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ril25" sheetId="1" r:id="rId4"/>
    <sheet state="visible" name="Historico" sheetId="2" r:id="rId5"/>
    <sheet state="visible" name="Retirados" sheetId="3" r:id="rId6"/>
    <sheet state="visible" name="SQL" sheetId="4" r:id="rId7"/>
  </sheets>
  <definedNames>
    <definedName hidden="1" localSheetId="0" name="_xlnm._FilterDatabase">abril25!$A$1:$Z$1000</definedName>
    <definedName hidden="1" localSheetId="2" name="_xlnm._FilterDatabase">Retirados!$A$1:$AE$1325</definedName>
  </definedNames>
  <calcPr/>
  <extLst>
    <ext uri="GoogleSheetsCustomDataVersion2">
      <go:sheetsCustomData xmlns:go="http://customooxmlschemas.google.com/" r:id="rId8" roundtripDataChecksum="5T1qtlNH72u6AhFuUvmYyzbfBN/n2i+JZMAV16Ocb/s="/>
    </ext>
  </extLst>
</workbook>
</file>

<file path=xl/sharedStrings.xml><?xml version="1.0" encoding="utf-8"?>
<sst xmlns="http://schemas.openxmlformats.org/spreadsheetml/2006/main" count="14299" uniqueCount="3594">
  <si>
    <t>REPARTICION</t>
  </si>
  <si>
    <t>JERARQUIA</t>
  </si>
  <si>
    <t>SEXO</t>
  </si>
  <si>
    <t>PATERNO</t>
  </si>
  <si>
    <t>MATERNO</t>
  </si>
  <si>
    <t>NOMBRES</t>
  </si>
  <si>
    <t>FUNCIONARIO</t>
  </si>
  <si>
    <t>FECH_NAC</t>
  </si>
  <si>
    <t>EDAD</t>
  </si>
  <si>
    <t>TIPO_CONT</t>
  </si>
  <si>
    <t>ESTAMENTO</t>
  </si>
  <si>
    <t>RUT</t>
  </si>
  <si>
    <t>GRADO</t>
  </si>
  <si>
    <t>FECH_RATIF_JERARQUIA</t>
  </si>
  <si>
    <t>FECH_ING_U</t>
  </si>
  <si>
    <t>DEJ_TRANSITORIA_VIG</t>
  </si>
  <si>
    <t>E_MAIL</t>
  </si>
  <si>
    <t>FECH_INI</t>
  </si>
  <si>
    <t>FECH_TERM_REAL</t>
  </si>
  <si>
    <t>DESC_FUNC</t>
  </si>
  <si>
    <t>HORAS_REALES</t>
  </si>
  <si>
    <t>FECHA_GRADO</t>
  </si>
  <si>
    <t>INSTITUCION</t>
  </si>
  <si>
    <t>PAIS_GRADO</t>
  </si>
  <si>
    <t>12090119 Dpto. de Sociología (funcionamiento)</t>
  </si>
  <si>
    <t>Prof.Titular - Categ. Academica Ord.</t>
  </si>
  <si>
    <t>Masculino</t>
  </si>
  <si>
    <t>Garretón</t>
  </si>
  <si>
    <t>Merino</t>
  </si>
  <si>
    <t>Manuel Antonio Eliseo</t>
  </si>
  <si>
    <t>Garretón Merino Manuel Antonio Eliseo</t>
  </si>
  <si>
    <t>P Propiedad</t>
  </si>
  <si>
    <t>A Académico</t>
  </si>
  <si>
    <t>0045966968</t>
  </si>
  <si>
    <t>P0900 Doctor</t>
  </si>
  <si>
    <t>NO</t>
  </si>
  <si>
    <t>magarret@u.uchile.cl</t>
  </si>
  <si>
    <t>Ecole des Hautes Etudes en Sciences Sociales</t>
  </si>
  <si>
    <t>FRANCIA</t>
  </si>
  <si>
    <t>12090117 Dpto. Educación (funcionamiento)</t>
  </si>
  <si>
    <t>Prof. Adjunto</t>
  </si>
  <si>
    <t>Vergara</t>
  </si>
  <si>
    <t>Estévez</t>
  </si>
  <si>
    <t>Jorge Arturo</t>
  </si>
  <si>
    <t>Vergara Estévez Jorge Arturo</t>
  </si>
  <si>
    <t>0048858201</t>
  </si>
  <si>
    <t>P0928 Doctor En Filosofía</t>
  </si>
  <si>
    <t>jvergaraestevez@gmail.com</t>
  </si>
  <si>
    <t>Académico 12 horas semanales de clases, grado  8 EUS, propiedad</t>
  </si>
  <si>
    <t>UNIV DE PARIS</t>
  </si>
  <si>
    <t>Baño</t>
  </si>
  <si>
    <t>Ahumada</t>
  </si>
  <si>
    <t>Rodrigo</t>
  </si>
  <si>
    <t>Baño Ahumada Rodrigo</t>
  </si>
  <si>
    <t>0041316438</t>
  </si>
  <si>
    <t>P0401 Licenciado</t>
  </si>
  <si>
    <t>rbano@uchile.cl</t>
  </si>
  <si>
    <t>Académico Prof. Titular, grado 05 EUS, Propiedad, Jornada Completa</t>
  </si>
  <si>
    <t>Universidad De Chile</t>
  </si>
  <si>
    <t>CHILE</t>
  </si>
  <si>
    <t>12090118 Dpto. de  Psicología (funcionamiento)</t>
  </si>
  <si>
    <t>Prof. Asociado - Categ. Academica Doc.</t>
  </si>
  <si>
    <t>Escaff</t>
  </si>
  <si>
    <t>Silva</t>
  </si>
  <si>
    <t>Elías Salvador</t>
  </si>
  <si>
    <t>Escaff Silva Elías Salvador</t>
  </si>
  <si>
    <t>C Contrata</t>
  </si>
  <si>
    <t>0051249291</t>
  </si>
  <si>
    <t>eescaff@gmail.com</t>
  </si>
  <si>
    <t>Académico, porfesor asociado, 21 horas, contrata.</t>
  </si>
  <si>
    <t>Molina</t>
  </si>
  <si>
    <t>Bahamonde</t>
  </si>
  <si>
    <t>Víctor Francisco</t>
  </si>
  <si>
    <t>Molina Bahamonde Víctor Francisco</t>
  </si>
  <si>
    <t>0050144585</t>
  </si>
  <si>
    <t>vimolina@u.uchile.cl</t>
  </si>
  <si>
    <t>Universidad De Birmingham</t>
  </si>
  <si>
    <t>REINO UNIDO (*)</t>
  </si>
  <si>
    <t>12090116 Dpto. de Antropología (funcionamiento)</t>
  </si>
  <si>
    <t>Prof.Titular - Categ. Academica Doc.</t>
  </si>
  <si>
    <t>Femenino</t>
  </si>
  <si>
    <t>Benavente</t>
  </si>
  <si>
    <t>Aninat</t>
  </si>
  <si>
    <t>María Antonieta de Lourdes</t>
  </si>
  <si>
    <t>Benavente Aninat María Antonieta de Lourdes</t>
  </si>
  <si>
    <t>0063763268</t>
  </si>
  <si>
    <t>abenaven@uchile.cl</t>
  </si>
  <si>
    <t>Académico Prof. Titular, grado 05 EUS, Propiedad, 22 horas semanales de clases.</t>
  </si>
  <si>
    <t>Universidad De Oviedo</t>
  </si>
  <si>
    <t>ESPAÑA</t>
  </si>
  <si>
    <t>Arnold</t>
  </si>
  <si>
    <t>Cathalifaud</t>
  </si>
  <si>
    <t>Norman Marcelo</t>
  </si>
  <si>
    <t>Arnold Cathalifaud Norman Marcelo</t>
  </si>
  <si>
    <t>0058370223</t>
  </si>
  <si>
    <t>marnold@u.uchile.cl</t>
  </si>
  <si>
    <t>Académico Jornada Completa, grado 4 EUS, propiedad</t>
  </si>
  <si>
    <t>Universidad de Bielefeld</t>
  </si>
  <si>
    <t>ALEMANIA</t>
  </si>
  <si>
    <t>Prof. Asociado - Categ. Academica Ord.</t>
  </si>
  <si>
    <t>Falabella</t>
  </si>
  <si>
    <t>Gellona</t>
  </si>
  <si>
    <t>Fernanda</t>
  </si>
  <si>
    <t>Falabella Gellona Fernanda</t>
  </si>
  <si>
    <t>K Ad Honorem Contrata</t>
  </si>
  <si>
    <t>004281184K</t>
  </si>
  <si>
    <t>P0850 Magister</t>
  </si>
  <si>
    <t>ffalabel@uchile.cl</t>
  </si>
  <si>
    <t>Académico, Prof. Asociado, 06 horas, Ad Honorem. Contrata</t>
  </si>
  <si>
    <t>Prof. Asistente - Categ. Academica Ord.</t>
  </si>
  <si>
    <t>Quiroz</t>
  </si>
  <si>
    <t>Larrea</t>
  </si>
  <si>
    <t>Daniel Osvaldo</t>
  </si>
  <si>
    <t>Quiroz Larrea Daniel Osvaldo</t>
  </si>
  <si>
    <t>0067435974</t>
  </si>
  <si>
    <t>danielquiroz54@gmail.com</t>
  </si>
  <si>
    <t>Vargas</t>
  </si>
  <si>
    <t>Casanova</t>
  </si>
  <si>
    <t>Nolda Patricia</t>
  </si>
  <si>
    <t>Vargas Casanova Nolda Patricia</t>
  </si>
  <si>
    <t>006282381K</t>
  </si>
  <si>
    <t>pvargas@u.uchile.cl</t>
  </si>
  <si>
    <t>Académico Profesor Titular, grado 5 EUS, Jornada Completa, Propiedad.</t>
  </si>
  <si>
    <t>Cristino</t>
  </si>
  <si>
    <t>Ferrando</t>
  </si>
  <si>
    <t>Claudio Piergiovanni</t>
  </si>
  <si>
    <t>Cristino Ferrando Claudio Piergiovanni</t>
  </si>
  <si>
    <t>0063269387</t>
  </si>
  <si>
    <t>clcristino@u.uchile.cl</t>
  </si>
  <si>
    <t>Águila</t>
  </si>
  <si>
    <t>Manuel Isaías</t>
  </si>
  <si>
    <t>Silva Águila Manuel Isaías</t>
  </si>
  <si>
    <t>0064332295</t>
  </si>
  <si>
    <t>msilvaag@uchile.cl</t>
  </si>
  <si>
    <t>1207</t>
  </si>
  <si>
    <t>Universidad Complut. Madris</t>
  </si>
  <si>
    <t>Yáñez</t>
  </si>
  <si>
    <t>Montecinos</t>
  </si>
  <si>
    <t>Juan Orlando</t>
  </si>
  <si>
    <t>Yáñez Montecinos Juan Orlando</t>
  </si>
  <si>
    <t>0057467576</t>
  </si>
  <si>
    <t>jyanez@uchile.cl</t>
  </si>
  <si>
    <t>Montecino</t>
  </si>
  <si>
    <t>Aguirre</t>
  </si>
  <si>
    <t>Sonia Cristina</t>
  </si>
  <si>
    <t>Montecino Aguirre Sonia Cristina</t>
  </si>
  <si>
    <t>006599819K</t>
  </si>
  <si>
    <t>smonteci@u.uchile.cl</t>
  </si>
  <si>
    <t>Académico Profesor Titular, grado 05 EUS, Propiedad, Jornada Completa.</t>
  </si>
  <si>
    <t>Universidad de Leiden</t>
  </si>
  <si>
    <t>PAÍSES BAJOS</t>
  </si>
  <si>
    <t>Mettifogo</t>
  </si>
  <si>
    <t>Guerrero</t>
  </si>
  <si>
    <t>Decio Alberto</t>
  </si>
  <si>
    <t>Mettifogo Guerrero Decio Alberto</t>
  </si>
  <si>
    <t>0087574105</t>
  </si>
  <si>
    <t>dmettifo@uchile.cl</t>
  </si>
  <si>
    <t>Rozas</t>
  </si>
  <si>
    <t>Ossandón</t>
  </si>
  <si>
    <t>Germán Sergio</t>
  </si>
  <si>
    <t>Rozas Ossandón Germán Sergio</t>
  </si>
  <si>
    <t>0058909521</t>
  </si>
  <si>
    <t>grozas@uchile.cl</t>
  </si>
  <si>
    <t>ACADEMICO, PROF. TITULAR, GRADO 05, PROPIEDAD</t>
  </si>
  <si>
    <t>Universidad Austral De Chile</t>
  </si>
  <si>
    <t>Alvarado</t>
  </si>
  <si>
    <t>Paiva</t>
  </si>
  <si>
    <t>Luis Arturo</t>
  </si>
  <si>
    <t>Alvarado Paiva Luis Arturo</t>
  </si>
  <si>
    <t>0070445956</t>
  </si>
  <si>
    <t>P0601 Especialista</t>
  </si>
  <si>
    <t>lalvaraw@uchile.cl</t>
  </si>
  <si>
    <t>Académico, Prof. Asociado, Grado 07 EUS, 12 horas,  Propiedad.</t>
  </si>
  <si>
    <t>Conacem</t>
  </si>
  <si>
    <t>Pey</t>
  </si>
  <si>
    <t>Tumanoff</t>
  </si>
  <si>
    <t>Roxana Antonina Cristal</t>
  </si>
  <si>
    <t>Pey Tumanoff Roxana Antonina Cristal</t>
  </si>
  <si>
    <t>007212152K</t>
  </si>
  <si>
    <t>P0901 Doctor En Ciencias</t>
  </si>
  <si>
    <t>rpey@uchile.cl</t>
  </si>
  <si>
    <t>Canales</t>
  </si>
  <si>
    <t>Cerón</t>
  </si>
  <si>
    <t>Manuel Enrique</t>
  </si>
  <si>
    <t>Canales Cerón Manuel Enrique</t>
  </si>
  <si>
    <t>0073412854</t>
  </si>
  <si>
    <t>mcanales@uchile.cl</t>
  </si>
  <si>
    <t>Académico, Prof. Titular, Grado 05 EUS, Propiedad, Jornada Completa.</t>
  </si>
  <si>
    <t>Universidad Complutense de Madrid</t>
  </si>
  <si>
    <t>Valdivieso</t>
  </si>
  <si>
    <t>Tocornal</t>
  </si>
  <si>
    <t>Pablo</t>
  </si>
  <si>
    <t>Valdivieso Tocornal Pablo</t>
  </si>
  <si>
    <t>0068711495</t>
  </si>
  <si>
    <t>pvaldivieso@uchile.cl</t>
  </si>
  <si>
    <t>Académico Prof. Asociado, Grado 07 EUS, Propiedad, Jornada Completa</t>
  </si>
  <si>
    <t>Universidad De Granada</t>
  </si>
  <si>
    <t>Wilson</t>
  </si>
  <si>
    <t>Alcalde</t>
  </si>
  <si>
    <t>Juan Enrique</t>
  </si>
  <si>
    <t>Wilson Alcalde Juan Enrique</t>
  </si>
  <si>
    <t>0092136531</t>
  </si>
  <si>
    <t>jewilson@u.uchile.cl</t>
  </si>
  <si>
    <t>Prof. Asociado, Grado 07 EUS, Jornada Completa, Propiedad.</t>
  </si>
  <si>
    <t>Marro</t>
  </si>
  <si>
    <t>Ortiz</t>
  </si>
  <si>
    <t>Francisco Javier</t>
  </si>
  <si>
    <t>Marro Ortiz Francisco Javier</t>
  </si>
  <si>
    <t>008752602K</t>
  </si>
  <si>
    <t>francisco.marro@gmail.com</t>
  </si>
  <si>
    <t>Profesor Adjunto, Propiedad, 12 Horas Semanales de Clases, grado 09 EUS.</t>
  </si>
  <si>
    <t>Universidad De Santiago</t>
  </si>
  <si>
    <t>Palma</t>
  </si>
  <si>
    <t>Manríquez</t>
  </si>
  <si>
    <t>Irma Ester</t>
  </si>
  <si>
    <t>Palma Manríquez Irma Ester</t>
  </si>
  <si>
    <t>0074240674</t>
  </si>
  <si>
    <t>ipalma@uchile.cl</t>
  </si>
  <si>
    <t>ACADEMICO, PROF. ASOCIADO, GRADO 07, CONTRATA AD HONOREM</t>
  </si>
  <si>
    <t>Sánchez</t>
  </si>
  <si>
    <t>Ilabaca</t>
  </si>
  <si>
    <t>Jaime Hernán</t>
  </si>
  <si>
    <t>Sánchez Ilabaca Jaime Hernán</t>
  </si>
  <si>
    <t>006965357K</t>
  </si>
  <si>
    <t>jsanchezi@uchile.cl</t>
  </si>
  <si>
    <t>Académico Profesor Titular, grado 5 EUS, 12 horas semanales de clases, Propiedad.</t>
  </si>
  <si>
    <t>Columbia University</t>
  </si>
  <si>
    <t>ESTADOS UNIDOS</t>
  </si>
  <si>
    <t>Cartajena</t>
  </si>
  <si>
    <t>Fasting</t>
  </si>
  <si>
    <t>María Isabel</t>
  </si>
  <si>
    <t>Cartajena Fasting María Isabel</t>
  </si>
  <si>
    <t>0069249698</t>
  </si>
  <si>
    <t>icartaje@u.uchile.cl</t>
  </si>
  <si>
    <t>Freien Universität Berlin</t>
  </si>
  <si>
    <t>Le-Bert</t>
  </si>
  <si>
    <t>Montaldo</t>
  </si>
  <si>
    <t>Juan Miguel</t>
  </si>
  <si>
    <t>Le-Bert Montaldo Juan Miguel</t>
  </si>
  <si>
    <t>0071923665</t>
  </si>
  <si>
    <t>juanlebert@uchile.cl</t>
  </si>
  <si>
    <t>Académico Prof. Adjunto, Grado 09 EUS, Contrata, 21 Horas Semanales de Clases.</t>
  </si>
  <si>
    <t>Universidad De Minnesota</t>
  </si>
  <si>
    <t>Redondo</t>
  </si>
  <si>
    <t>Rojo</t>
  </si>
  <si>
    <t>Jesus Maria</t>
  </si>
  <si>
    <t>Redondo Rojo Jesus Maria</t>
  </si>
  <si>
    <t>0146199267</t>
  </si>
  <si>
    <t>jredondo@u.uchile.cl</t>
  </si>
  <si>
    <t>PROFESOR TITULAR, GRADO 05, JC, CONTRATA</t>
  </si>
  <si>
    <t>Universidad De Deusto</t>
  </si>
  <si>
    <t>Lamadrid</t>
  </si>
  <si>
    <t>Álvarez</t>
  </si>
  <si>
    <t>Silvia Ana María</t>
  </si>
  <si>
    <t>Lamadrid Álvarez Silvia Ana María</t>
  </si>
  <si>
    <t>0054472900</t>
  </si>
  <si>
    <t>silamadr@u.uchile.cl</t>
  </si>
  <si>
    <t>Académico, Prof. Asociado, Grado 07 EUS, Media Jornada Propiedad.</t>
  </si>
  <si>
    <t>Ferrer</t>
  </si>
  <si>
    <t>Lues</t>
  </si>
  <si>
    <t>Marcela Patricia</t>
  </si>
  <si>
    <t>Ferrer Lues Marcela Patricia</t>
  </si>
  <si>
    <t>0112256865</t>
  </si>
  <si>
    <t>mferrer@uchile.cl</t>
  </si>
  <si>
    <t>ACADEMICO, PROF. ASOCIADO, JC, GRADO 07, CONTRATA</t>
  </si>
  <si>
    <t>SI</t>
  </si>
  <si>
    <t>Azúa</t>
  </si>
  <si>
    <t>Ríos</t>
  </si>
  <si>
    <t>Ximena Bernarda</t>
  </si>
  <si>
    <t>Azúa Ríos Ximena Bernarda</t>
  </si>
  <si>
    <t>0091498014</t>
  </si>
  <si>
    <t>xazua@u.uchile.cl</t>
  </si>
  <si>
    <t xml:space="preserve">ACADEMICO, PROF. ASOCIADO, GRADO 07 EUS, CONTRATA </t>
  </si>
  <si>
    <t>Uribe</t>
  </si>
  <si>
    <t>Rodríguez</t>
  </si>
  <si>
    <t>Mauricio Iván</t>
  </si>
  <si>
    <t>Uribe Rodríguez Mauricio Iván</t>
  </si>
  <si>
    <t>0097499195</t>
  </si>
  <si>
    <t>mur@uchile.cl</t>
  </si>
  <si>
    <t>Académico Jornada Completa, grado 7 EUS, propiedad</t>
  </si>
  <si>
    <t>Sanhueza</t>
  </si>
  <si>
    <t>Riquelme</t>
  </si>
  <si>
    <t>María Lorena</t>
  </si>
  <si>
    <t>Sanhueza Riquelme María Lorena</t>
  </si>
  <si>
    <t>0083578793</t>
  </si>
  <si>
    <t>loresan@uchile.cl</t>
  </si>
  <si>
    <t>Académico, Prof. Asociado, Grado 07 EUS, Jornada Completa, Propiedad.</t>
  </si>
  <si>
    <t>Universidad De Tarapaca</t>
  </si>
  <si>
    <t>Salazar</t>
  </si>
  <si>
    <t>Sutil</t>
  </si>
  <si>
    <t>Diego Rodrigo</t>
  </si>
  <si>
    <t>Salazar Sutil Diego Rodrigo</t>
  </si>
  <si>
    <t>0124562228</t>
  </si>
  <si>
    <t>dsalazar@uchile.cl</t>
  </si>
  <si>
    <t>Académico, Prof. Asociado, Grado 07 EUS, Propiedad.</t>
  </si>
  <si>
    <t>Soto</t>
  </si>
  <si>
    <t>Germán Raúl</t>
  </si>
  <si>
    <t>Manríquez Soto Germán Raúl</t>
  </si>
  <si>
    <t>0084308994</t>
  </si>
  <si>
    <t>gmanriquezs@odontologia.uchile.cl</t>
  </si>
  <si>
    <t>Académico Prof. Asociado, grado 07 EUS, Propiedad, 12 Horas Semanales de Clases.</t>
  </si>
  <si>
    <t>Gómez</t>
  </si>
  <si>
    <t>Seguel</t>
  </si>
  <si>
    <t>Andrés Alberto</t>
  </si>
  <si>
    <t>Gómez Seguel Andrés Alberto</t>
  </si>
  <si>
    <t>0122318974</t>
  </si>
  <si>
    <t>angomez@uchile.cl</t>
  </si>
  <si>
    <t>ACADEMICO, PROF. ASOCIADO JORNADA COMPLETA, GRADO 07.</t>
  </si>
  <si>
    <t>Universidad del País Vasco</t>
  </si>
  <si>
    <t>Osorio</t>
  </si>
  <si>
    <t>González</t>
  </si>
  <si>
    <t>Francisco Dagoberto</t>
  </si>
  <si>
    <t>Osorio González Francisco Dagoberto</t>
  </si>
  <si>
    <t>0105938403</t>
  </si>
  <si>
    <t>P0915 Doctor Filosofia Y Cs. Educacion</t>
  </si>
  <si>
    <t>fosorio@uchile.cl</t>
  </si>
  <si>
    <t>Académico Profesor Asociado, grado 07 EUS, Propiedad, 22 horas semanales de clases.</t>
  </si>
  <si>
    <t>Prof. Asistente - Categ. Academica Doc.</t>
  </si>
  <si>
    <t>Opazo</t>
  </si>
  <si>
    <t>Marmentini</t>
  </si>
  <si>
    <t>Opazo Marmentini Juan Enrique</t>
  </si>
  <si>
    <t>0104499252</t>
  </si>
  <si>
    <t>jeopazo@u.uchile.cl</t>
  </si>
  <si>
    <t>Universidad Alberto Hurtado</t>
  </si>
  <si>
    <t>Aguilar</t>
  </si>
  <si>
    <t>Novoa</t>
  </si>
  <si>
    <t>Omar Alessandro</t>
  </si>
  <si>
    <t>Aguilar Novoa Omar Alessandro</t>
  </si>
  <si>
    <t>0098430806</t>
  </si>
  <si>
    <t>oaguilar@uchile.cl</t>
  </si>
  <si>
    <t>Académico, Prof. Asociado, Grado 07 EUS, Media Jornada, Propiedad.</t>
  </si>
  <si>
    <t>Cottet</t>
  </si>
  <si>
    <t>Pablo Antonio</t>
  </si>
  <si>
    <t>Cottet Soto Pablo Antonio</t>
  </si>
  <si>
    <t>0099911107</t>
  </si>
  <si>
    <t>pcottet@yahoo.com</t>
  </si>
  <si>
    <t>Académico, Prof. Asistente, Media Jornada, Grado 09 EUS, Contrata.</t>
  </si>
  <si>
    <t>12090120 Departamento de Trabajo Social</t>
  </si>
  <si>
    <t>Rubilar</t>
  </si>
  <si>
    <t>Donoso</t>
  </si>
  <si>
    <t>María Gabriela</t>
  </si>
  <si>
    <t>Rubilar Donoso María Gabriela</t>
  </si>
  <si>
    <t>0087212831</t>
  </si>
  <si>
    <t>grubilar@uchile.cl</t>
  </si>
  <si>
    <t xml:space="preserve">PROFESOR TITULAR, GRADO 05, PROPIEDAD, JC </t>
  </si>
  <si>
    <t>Universidad Pontificia Comillas de Madrid</t>
  </si>
  <si>
    <t>Aceituno</t>
  </si>
  <si>
    <t>Morales</t>
  </si>
  <si>
    <t>Roberto Eduardo</t>
  </si>
  <si>
    <t>Aceituno Morales Roberto Eduardo</t>
  </si>
  <si>
    <t>008970247K</t>
  </si>
  <si>
    <t>roberto.aceitunom@gmail.com</t>
  </si>
  <si>
    <t>Académico Profesor Titular, Jornada Completa, grado 05 EUS, Propiedad.</t>
  </si>
  <si>
    <t>Universidad De Paris VII</t>
  </si>
  <si>
    <t>Arancibia</t>
  </si>
  <si>
    <t>Labarca</t>
  </si>
  <si>
    <t>Víctor Hugo Bernardino</t>
  </si>
  <si>
    <t>Arancibia Labarca Víctor Hugo Bernardino</t>
  </si>
  <si>
    <t>0105364180</t>
  </si>
  <si>
    <t>P0800 Magíster</t>
  </si>
  <si>
    <t>varancib@uchile.cl</t>
  </si>
  <si>
    <t>Prof. Asistente, 12 horas semanales de clases, contrata, grado 09 EUS.</t>
  </si>
  <si>
    <t>Duarte</t>
  </si>
  <si>
    <t>Quapper</t>
  </si>
  <si>
    <t>Claudio Orlando</t>
  </si>
  <si>
    <t>Duarte Quapper Claudio Orlando</t>
  </si>
  <si>
    <t>0088927222</t>
  </si>
  <si>
    <t>claudioduarte@u.uchile.cl</t>
  </si>
  <si>
    <t>Académico Prof. Asociado, grado 07 EUS, Propiedad, Jornada Completa.</t>
  </si>
  <si>
    <t>UNIVERSIDAD AUTONOMA DE BARCELONA</t>
  </si>
  <si>
    <t>Hamuy</t>
  </si>
  <si>
    <t>Pinto</t>
  </si>
  <si>
    <t>Eduardo Juan Aníbal</t>
  </si>
  <si>
    <t>Hamuy Pinto Eduardo Juan Aníbal</t>
  </si>
  <si>
    <t>0066162397</t>
  </si>
  <si>
    <t>P0855 Magister En Educacion</t>
  </si>
  <si>
    <t>ehamuy@uchile.cl</t>
  </si>
  <si>
    <t>Acuña</t>
  </si>
  <si>
    <t>Moenne</t>
  </si>
  <si>
    <t>María Elena</t>
  </si>
  <si>
    <t>Acuña Moenne María Elena</t>
  </si>
  <si>
    <t>0083694254</t>
  </si>
  <si>
    <t>maacuna@uchile.cl</t>
  </si>
  <si>
    <t>Universidad De Santiago De Chile</t>
  </si>
  <si>
    <t>Morgado</t>
  </si>
  <si>
    <t>Héctor Freddy</t>
  </si>
  <si>
    <t>Morales Morgado Héctor Freddy</t>
  </si>
  <si>
    <t>0091297612</t>
  </si>
  <si>
    <t>hmorales@u.uchile.cl</t>
  </si>
  <si>
    <t xml:space="preserve">Freie Universitat Berlin </t>
  </si>
  <si>
    <t>Ruiz</t>
  </si>
  <si>
    <t>Encina</t>
  </si>
  <si>
    <t>Carlos Eduardo</t>
  </si>
  <si>
    <t>Ruiz Encina Carlos Eduardo</t>
  </si>
  <si>
    <t>0079359009</t>
  </si>
  <si>
    <t>cruizencina@uchile.cl</t>
  </si>
  <si>
    <t>Académico, Prof. Asociado, Grado 07 EUS, Jornada Completa, Propiedad</t>
  </si>
  <si>
    <t>Sapiains</t>
  </si>
  <si>
    <t>Arrué</t>
  </si>
  <si>
    <t>Rodolfo Jorge Patricio</t>
  </si>
  <si>
    <t>Sapiains Arrué Rodolfo Jorge Patricio</t>
  </si>
  <si>
    <t>0086394413</t>
  </si>
  <si>
    <t>sapiains@uchile.cl</t>
  </si>
  <si>
    <t>University of Queensland</t>
  </si>
  <si>
    <t>AUSTRALIA</t>
  </si>
  <si>
    <t>Cornejo</t>
  </si>
  <si>
    <t>Chávez</t>
  </si>
  <si>
    <t>Rodrigo Carlos</t>
  </si>
  <si>
    <t>Cornejo Chávez Rodrigo Carlos</t>
  </si>
  <si>
    <t>0096646569</t>
  </si>
  <si>
    <t>rodrigo.cornejo@u.uchile.cl</t>
  </si>
  <si>
    <t>Barozet</t>
  </si>
  <si>
    <t>Emmanuelle</t>
  </si>
  <si>
    <t>Barozet  Emmanuelle</t>
  </si>
  <si>
    <t>0146301657</t>
  </si>
  <si>
    <t>ebarozet@uchile.cl</t>
  </si>
  <si>
    <t>Académico, Prof. Titular, Grado 05 EUS, Jornada Completa, Propiedad.</t>
  </si>
  <si>
    <t>Ecole des Hautes Studes en Sciences Sociales</t>
  </si>
  <si>
    <t>Thumala</t>
  </si>
  <si>
    <t>Dockendorff</t>
  </si>
  <si>
    <t>Daniela Cecilia</t>
  </si>
  <si>
    <t>Thumala Dockendorff Daniela Cecilia</t>
  </si>
  <si>
    <t>0085130927</t>
  </si>
  <si>
    <t>dthumala@u.uchile.cl</t>
  </si>
  <si>
    <t>Laborda</t>
  </si>
  <si>
    <t>Rojas</t>
  </si>
  <si>
    <t>Mario Arturo</t>
  </si>
  <si>
    <t>Laborda Rojas Mario Arturo</t>
  </si>
  <si>
    <t>0136884522</t>
  </si>
  <si>
    <t>mariolaborda@u.uchile.cl</t>
  </si>
  <si>
    <t xml:space="preserve">academico, profesor asociado, jornada completa, propiedad </t>
  </si>
  <si>
    <t>BINGHAMTON UNIVERSITY</t>
  </si>
  <si>
    <t>Quezada</t>
  </si>
  <si>
    <t>Scholz</t>
  </si>
  <si>
    <t>Vanetza Estela</t>
  </si>
  <si>
    <t>Quezada Scholz Vanetza Estela</t>
  </si>
  <si>
    <t>0104087256</t>
  </si>
  <si>
    <t>qvanetza@u.uchile.cl</t>
  </si>
  <si>
    <t>Pontificia Universidad Catolica De Chile</t>
  </si>
  <si>
    <t>Cerda</t>
  </si>
  <si>
    <t>Videla</t>
  </si>
  <si>
    <t>Claudio Marcelo</t>
  </si>
  <si>
    <t>Cerda Videla Claudio Marcelo</t>
  </si>
  <si>
    <t>0068669537</t>
  </si>
  <si>
    <t>claudiocerdaster@gmail.com</t>
  </si>
  <si>
    <t>Academico 6 horas Gr 9 EUS, P. Asistente, contrata</t>
  </si>
  <si>
    <t>Académico 6 horas semanales de clases, grado 9 EUS, contratado</t>
  </si>
  <si>
    <t>Beltrami</t>
  </si>
  <si>
    <t>Boisset</t>
  </si>
  <si>
    <t>Marcial Ernesto</t>
  </si>
  <si>
    <t>Beltrami Boisset Marcial Ernesto</t>
  </si>
  <si>
    <t>0079310727</t>
  </si>
  <si>
    <t>sin@mail</t>
  </si>
  <si>
    <t>Figueroa</t>
  </si>
  <si>
    <t>Valenzuela</t>
  </si>
  <si>
    <t>Rodrigo Andrés</t>
  </si>
  <si>
    <t>Figueroa Valenzuela Rodrigo Andrés</t>
  </si>
  <si>
    <t>0124272769</t>
  </si>
  <si>
    <t>rofiguer@uchile.cl</t>
  </si>
  <si>
    <t>Académico Media Jornada, grado 9 EUS, Propiedad</t>
  </si>
  <si>
    <t>Universidad Católica de Perú</t>
  </si>
  <si>
    <t>PERU</t>
  </si>
  <si>
    <t>Parraguez</t>
  </si>
  <si>
    <t>Paulina Isabel</t>
  </si>
  <si>
    <t>Osorio Parraguez Paulina Isabel</t>
  </si>
  <si>
    <t>009408038K</t>
  </si>
  <si>
    <t>posorio@uchile.cl</t>
  </si>
  <si>
    <t>Salinas</t>
  </si>
  <si>
    <t>Chaud</t>
  </si>
  <si>
    <t>María Isabel Andrea</t>
  </si>
  <si>
    <t>Salinas Chaud María Isabel Andrea</t>
  </si>
  <si>
    <t>0094949270</t>
  </si>
  <si>
    <t>misrpp@hotmail.com</t>
  </si>
  <si>
    <t>ACADEMICO, PROF. ASOCIADO, CONTRATA, GRADO 7, JC</t>
  </si>
  <si>
    <t>Avendaño</t>
  </si>
  <si>
    <t>Pavez</t>
  </si>
  <si>
    <t>Octavio Alejandro</t>
  </si>
  <si>
    <t>Avendaño Pavez Octavio Alejandro</t>
  </si>
  <si>
    <t>0119971810</t>
  </si>
  <si>
    <t>oavendanop@u.uchile.cl</t>
  </si>
  <si>
    <t>UNIV DE FIRENZE</t>
  </si>
  <si>
    <t>ITALIA</t>
  </si>
  <si>
    <t>Maldonado</t>
  </si>
  <si>
    <t>García</t>
  </si>
  <si>
    <t>Fabiola Valeska</t>
  </si>
  <si>
    <t>Maldonado García Fabiola Valeska</t>
  </si>
  <si>
    <t>0101461718</t>
  </si>
  <si>
    <t>fmaldona@uchile.cl</t>
  </si>
  <si>
    <t>ACADEMICO PROF. ASOCIADO, MEDIA JORNADA, CONTRATA, GRADO 07</t>
  </si>
  <si>
    <t>ACADEMICO PROF.ASOCIADO, GRADO 07, PROPIEDAD, MEDIA JORNADA</t>
  </si>
  <si>
    <t>Matus</t>
  </si>
  <si>
    <t>Sepúlveda</t>
  </si>
  <si>
    <t>Teresita Elizabeth del Carmen</t>
  </si>
  <si>
    <t>Matus Sepúlveda Teresita Elizabeth del Carmen</t>
  </si>
  <si>
    <t>0072771273</t>
  </si>
  <si>
    <t>teresamatus@u.uchile.cl</t>
  </si>
  <si>
    <t>UNIV CANDIDO MENDES</t>
  </si>
  <si>
    <t>BRASIL</t>
  </si>
  <si>
    <t>López</t>
  </si>
  <si>
    <t>Alfaro</t>
  </si>
  <si>
    <t>Pablo Alfonso</t>
  </si>
  <si>
    <t>López Alfaro Pablo Alfonso</t>
  </si>
  <si>
    <t>0076457573</t>
  </si>
  <si>
    <t>P0917 Doctor En Cs. De La Educacion</t>
  </si>
  <si>
    <t>pablopez@uchile.cl</t>
  </si>
  <si>
    <t>Académico, Prof. Asociado, Grado 07 EUS, Jornada Completa, Calidad de Propiedad.</t>
  </si>
  <si>
    <t>Academia De Humanismo Cristiano</t>
  </si>
  <si>
    <t>Greibe</t>
  </si>
  <si>
    <t>Kohn</t>
  </si>
  <si>
    <t>Andrea Marcela</t>
  </si>
  <si>
    <t>Greibe Kohn Andrea Marcela</t>
  </si>
  <si>
    <t>0122653463</t>
  </si>
  <si>
    <t>agreibe@u.uchile.cl</t>
  </si>
  <si>
    <t>Académico Prof. Asistente Grado 09 EUS Jornada Completa Propiedad</t>
  </si>
  <si>
    <t>Jabbaz</t>
  </si>
  <si>
    <t>María Soledad</t>
  </si>
  <si>
    <t>Ruiz Jabbaz María Soledad</t>
  </si>
  <si>
    <t>0124748992</t>
  </si>
  <si>
    <t>marruiz@u.uchile.cl</t>
  </si>
  <si>
    <t>Académico Jornada Completa, grado 9 EUS, propiedad</t>
  </si>
  <si>
    <t>Universite Sorbonne Paris Cite</t>
  </si>
  <si>
    <t>Asun</t>
  </si>
  <si>
    <t>Inostroza</t>
  </si>
  <si>
    <t>Rodrigo Anselmo</t>
  </si>
  <si>
    <t>Asun Inostroza Rodrigo Anselmo</t>
  </si>
  <si>
    <t>0114769878</t>
  </si>
  <si>
    <t>rasun@u.uchile.cl</t>
  </si>
  <si>
    <t>UNIV COMPLUTENSE DE MADRID</t>
  </si>
  <si>
    <t>Pérez</t>
  </si>
  <si>
    <t>Tello</t>
  </si>
  <si>
    <t>Sonia</t>
  </si>
  <si>
    <t>Pérez Tello Sonia</t>
  </si>
  <si>
    <t>0093089146</t>
  </si>
  <si>
    <t>sonperez@u.uchile.cl</t>
  </si>
  <si>
    <t>Universidad Católica del Sacro Cuore Milán</t>
  </si>
  <si>
    <t>Gálvez</t>
  </si>
  <si>
    <t>Felipe Antonio</t>
  </si>
  <si>
    <t>Gálvez Sánchez Felipe Antonio</t>
  </si>
  <si>
    <t>0144467752</t>
  </si>
  <si>
    <t>galvezsanchez@u.uchile.cl</t>
  </si>
  <si>
    <t>Académico 22 horas semanales de clases, grado 9 EUS, contratado</t>
  </si>
  <si>
    <t>Arteaga</t>
  </si>
  <si>
    <t>Catalina</t>
  </si>
  <si>
    <t>Arteaga Aguirre Catalina</t>
  </si>
  <si>
    <t>0099800682</t>
  </si>
  <si>
    <t>carteaga@u.uchile.cl</t>
  </si>
  <si>
    <t>Académico Profesor Asociado, Propiedad, Grado 07 EUS, Jornada Completa.</t>
  </si>
  <si>
    <t>UNIV NAC AUTON DE MEXICO</t>
  </si>
  <si>
    <t>MÉXICO</t>
  </si>
  <si>
    <t>Radiszcz</t>
  </si>
  <si>
    <t>Sotomayor</t>
  </si>
  <si>
    <t>Cristian Esteban</t>
  </si>
  <si>
    <t>Radiszcz Sotomayor Cristian Esteban</t>
  </si>
  <si>
    <t>0081974705</t>
  </si>
  <si>
    <t>eradiscz@uchile.cl</t>
  </si>
  <si>
    <t>Académico, Prof. Asociado,  Jornada Completa, calidad Propiedad, Grado 07 EUS.</t>
  </si>
  <si>
    <t>Universidad de París</t>
  </si>
  <si>
    <t>Zúñiga</t>
  </si>
  <si>
    <t>Rivas</t>
  </si>
  <si>
    <t>Claudia Carolina</t>
  </si>
  <si>
    <t>Zúñiga Rivas Claudia Carolina</t>
  </si>
  <si>
    <t>0123322134</t>
  </si>
  <si>
    <t>cczuniga@u.uchile.cl</t>
  </si>
  <si>
    <t xml:space="preserve">ACADEMICO, PROF. ASOCIADO, JORNADA COMPLETA, PROPIEDAD, </t>
  </si>
  <si>
    <t>Universidad Autónoma de Madrid</t>
  </si>
  <si>
    <t>Arensburg</t>
  </si>
  <si>
    <t>Castelli</t>
  </si>
  <si>
    <t>Svenska</t>
  </si>
  <si>
    <t>Arensburg Castelli Svenska</t>
  </si>
  <si>
    <t>0090613502</t>
  </si>
  <si>
    <t>P0921 Doctor En Psicologia</t>
  </si>
  <si>
    <t>sarensburg@u.uchile.cl</t>
  </si>
  <si>
    <t>UNIV AUTON BARCELONA</t>
  </si>
  <si>
    <t>Peroni</t>
  </si>
  <si>
    <t>Andrea</t>
  </si>
  <si>
    <t>Peroni  Andrea</t>
  </si>
  <si>
    <t>0144486218</t>
  </si>
  <si>
    <t>aperoni@uchile.cl</t>
  </si>
  <si>
    <t>Castro</t>
  </si>
  <si>
    <t>Torres</t>
  </si>
  <si>
    <t>María Paulina</t>
  </si>
  <si>
    <t>Castro Torres María Paulina</t>
  </si>
  <si>
    <t>0127763542</t>
  </si>
  <si>
    <t>paucastr@u.uchile.cl</t>
  </si>
  <si>
    <t>Académico Prof. Asistente, grado 09 EUS, Contrata, Jornada Completa</t>
  </si>
  <si>
    <t>Universidade Estadual de Campinas</t>
  </si>
  <si>
    <t>Piper</t>
  </si>
  <si>
    <t>Shafir</t>
  </si>
  <si>
    <t>Isabel</t>
  </si>
  <si>
    <t>Piper Shafir Isabel</t>
  </si>
  <si>
    <t>0069728561</t>
  </si>
  <si>
    <t>ipiper@u.uchile.cl</t>
  </si>
  <si>
    <t>Universidad Autónoma de Barcelona España</t>
  </si>
  <si>
    <t>Troncoso</t>
  </si>
  <si>
    <t>Meléndez</t>
  </si>
  <si>
    <t>Andrés Rolando</t>
  </si>
  <si>
    <t>Troncoso Meléndez Andrés Rolando</t>
  </si>
  <si>
    <t>0124861071</t>
  </si>
  <si>
    <t>atroncos@uchile.cl</t>
  </si>
  <si>
    <t>ACADEMICO PROF. TITULAR, GRADO 05, PROPIEDAD, JORNADA COMPLETA.</t>
  </si>
  <si>
    <t>Universidad de Santiago de Compostella</t>
  </si>
  <si>
    <t>Retamal</t>
  </si>
  <si>
    <t>Yermani</t>
  </si>
  <si>
    <t>Rodrigo Eduardo</t>
  </si>
  <si>
    <t>Retamal Yermani Rodrigo Eduardo</t>
  </si>
  <si>
    <t>0134718285</t>
  </si>
  <si>
    <t>rodrigoretamal@yahoo.com</t>
  </si>
  <si>
    <t>University of Cambridge</t>
  </si>
  <si>
    <t>Académico Media Jornada Grado 9 EUS Propiedad Prof. Asistente.</t>
  </si>
  <si>
    <t>Abarca</t>
  </si>
  <si>
    <t>Alarcón</t>
  </si>
  <si>
    <t>Ricardo Antonio</t>
  </si>
  <si>
    <t>Abarca Alarcón Ricardo Antonio</t>
  </si>
  <si>
    <t>0091977796</t>
  </si>
  <si>
    <t>rabarca@uchile.cl</t>
  </si>
  <si>
    <t>Académico, Prof.  Asistente, Grado 09 EUS, 12 horas de clases, Contrata.</t>
  </si>
  <si>
    <t>Amigo</t>
  </si>
  <si>
    <t>Latorre</t>
  </si>
  <si>
    <t>Bernardo Francisco</t>
  </si>
  <si>
    <t>Amigo Latorre Bernardo Francisco</t>
  </si>
  <si>
    <t>0092153886</t>
  </si>
  <si>
    <t>bamigo@u.uchile.cl</t>
  </si>
  <si>
    <t>ACADEMICO, TITULAR, GRADO 04, PROPIEDAD. JC</t>
  </si>
  <si>
    <t>Universidad Católica de Louvain</t>
  </si>
  <si>
    <t>BÉLGICA</t>
  </si>
  <si>
    <t>Menard</t>
  </si>
  <si>
    <t>Poupin</t>
  </si>
  <si>
    <t>Andre</t>
  </si>
  <si>
    <t>Menard Poupin Andre</t>
  </si>
  <si>
    <t>0097022097</t>
  </si>
  <si>
    <t>P0923 Doctor En Sociologia</t>
  </si>
  <si>
    <t>menard@uchile.cl</t>
  </si>
  <si>
    <t>Ehess</t>
  </si>
  <si>
    <t>Reyes</t>
  </si>
  <si>
    <t>Andreani</t>
  </si>
  <si>
    <t>María José</t>
  </si>
  <si>
    <t>Reyes Andreani María José</t>
  </si>
  <si>
    <t>0125849156</t>
  </si>
  <si>
    <t>mjrandreani@u.uchile.cl</t>
  </si>
  <si>
    <t xml:space="preserve">Universidad autonoma de Barcelona </t>
  </si>
  <si>
    <t>Isla</t>
  </si>
  <si>
    <t>Madariaga</t>
  </si>
  <si>
    <t>José Andrés</t>
  </si>
  <si>
    <t>Isla Madariaga José Andrés</t>
  </si>
  <si>
    <t>0114847054</t>
  </si>
  <si>
    <t>jaisla@u.uchile.cl</t>
  </si>
  <si>
    <t>Académico 22 horas semanales de clases, grado 9º EUS, contratado, Profesor Asistente</t>
  </si>
  <si>
    <t>Ecole Des Hautes Études en Sciences Sociales</t>
  </si>
  <si>
    <t>Cadenas</t>
  </si>
  <si>
    <t>Ramos</t>
  </si>
  <si>
    <t>Hugo Rodrigo</t>
  </si>
  <si>
    <t>Cadenas Ramos Hugo Rodrigo</t>
  </si>
  <si>
    <t>0135062200</t>
  </si>
  <si>
    <t>hcadenas@uchile.cl</t>
  </si>
  <si>
    <t>Universidad de München</t>
  </si>
  <si>
    <t>Rossi</t>
  </si>
  <si>
    <t>Mery</t>
  </si>
  <si>
    <t>José Luis</t>
  </si>
  <si>
    <t>Rossi Mery José Luis</t>
  </si>
  <si>
    <t>0136711946</t>
  </si>
  <si>
    <t>jrossimery@gmail.com</t>
  </si>
  <si>
    <t>Universidad Catolica</t>
  </si>
  <si>
    <t>Sarkis</t>
  </si>
  <si>
    <t>Ivette</t>
  </si>
  <si>
    <t>González Sarkis Ivette</t>
  </si>
  <si>
    <t>0130375812</t>
  </si>
  <si>
    <t>ivettegonzalez@u.uchile.cl</t>
  </si>
  <si>
    <t>UNIV DE BARCELONA</t>
  </si>
  <si>
    <t>Edmonson</t>
  </si>
  <si>
    <t>Rodrigo Edgardo</t>
  </si>
  <si>
    <t>Sánchez Edmonson Rodrigo Edgardo</t>
  </si>
  <si>
    <t>0093069064</t>
  </si>
  <si>
    <t>rosanche@u.uchile.cl</t>
  </si>
  <si>
    <t>Académico, Prof. Asistente, 12 horas, Grado 09 EUS, Contrata.</t>
  </si>
  <si>
    <t>Académico, Prof. Asistente, 12 horas, Grado 09, Contrata.</t>
  </si>
  <si>
    <t>Juan Alejandro</t>
  </si>
  <si>
    <t>González López Juan Alejandro</t>
  </si>
  <si>
    <t>0100440121</t>
  </si>
  <si>
    <t>juangl@uchile.cl</t>
  </si>
  <si>
    <t>Académico, Prof. Asistente, Grado 09 EUS, 12 horas, Contrata</t>
  </si>
  <si>
    <t>Miranda</t>
  </si>
  <si>
    <t>Jenniffer Katherine</t>
  </si>
  <si>
    <t>Miranda Miranda Jenniffer Katherine</t>
  </si>
  <si>
    <t>0133434852</t>
  </si>
  <si>
    <t>jmimirand@u.uchile.cl</t>
  </si>
  <si>
    <t>Académico Prof. Asistente, grado 09 EUS, Contrata, Jornada Completa.</t>
  </si>
  <si>
    <t>Universidad Autónoma de Barcelona</t>
  </si>
  <si>
    <t>Marcelo Rodrigo</t>
  </si>
  <si>
    <t>Pérez Pérez Marcelo Rodrigo</t>
  </si>
  <si>
    <t>0103639077</t>
  </si>
  <si>
    <t>perezmarcelo@u.uchile.cl</t>
  </si>
  <si>
    <t>ACADEMICO PROF. ASOCIADO, CONTRATA, 21 HORAS, GRADO 07</t>
  </si>
  <si>
    <t>Villagra</t>
  </si>
  <si>
    <t>Pincheira</t>
  </si>
  <si>
    <t>Carolina Aurora</t>
  </si>
  <si>
    <t>Villagra Pincheira Carolina Aurora</t>
  </si>
  <si>
    <t>0132397546</t>
  </si>
  <si>
    <t>cavillagra@uchile.cl</t>
  </si>
  <si>
    <t>ACADEMICO, PROF ASISTENTE, 21 HORAS, CONTRATA</t>
  </si>
  <si>
    <t>UNIVERSITY OF LEICESTER</t>
  </si>
  <si>
    <t>REINO UNIDO</t>
  </si>
  <si>
    <t>Razeto</t>
  </si>
  <si>
    <t>Migliaro</t>
  </si>
  <si>
    <t>Jorge Antonio</t>
  </si>
  <si>
    <t>Razeto Migliaro Jorge Antonio</t>
  </si>
  <si>
    <t>007569928K</t>
  </si>
  <si>
    <t>jrazeto@uchile.cl</t>
  </si>
  <si>
    <t>Académico Prof. Asociado, grado 07 EUS, Contrata, 22 Horas Semanales de Clases.</t>
  </si>
  <si>
    <t>Universidad Nacional de Cuyo</t>
  </si>
  <si>
    <t>ARGENTINA</t>
  </si>
  <si>
    <t>ACADEMICO, PROD. ASOCIADO, 22 HORAS , PROPIEDAD.</t>
  </si>
  <si>
    <t>Díaz</t>
  </si>
  <si>
    <t>Cánepa</t>
  </si>
  <si>
    <t>Carlos Ignacio</t>
  </si>
  <si>
    <t>Díaz Cánepa Carlos Ignacio</t>
  </si>
  <si>
    <t>0065821222</t>
  </si>
  <si>
    <t>carldiaz@uchile.cl</t>
  </si>
  <si>
    <t>Henríquez</t>
  </si>
  <si>
    <t>Helia Margarita</t>
  </si>
  <si>
    <t>Henríquez Riquelme Helia Margarita</t>
  </si>
  <si>
    <t>0048144195</t>
  </si>
  <si>
    <t>hhenriquez@uchile.cl</t>
  </si>
  <si>
    <t>Académico 6 horas semanales de clases, grado 9 EUS, contratada</t>
  </si>
  <si>
    <t>Urquiza</t>
  </si>
  <si>
    <t>Anahi Verónica Josefina</t>
  </si>
  <si>
    <t>Urquiza Gómez Anahi Verónica Josefina</t>
  </si>
  <si>
    <t>0102838270</t>
  </si>
  <si>
    <t>anahiurquiza@u.uchile.cl</t>
  </si>
  <si>
    <t>190</t>
  </si>
  <si>
    <t>UNIVERSITAT MUNCHEN LUDWIG MAXIMILIANS</t>
  </si>
  <si>
    <t>Manhey</t>
  </si>
  <si>
    <t>Moreno</t>
  </si>
  <si>
    <t>Mónica Clara</t>
  </si>
  <si>
    <t>Manhey Moreno Mónica Clara</t>
  </si>
  <si>
    <t>0083424656</t>
  </si>
  <si>
    <t>mmanhey@u.uchile.cl</t>
  </si>
  <si>
    <t>Univ. de Granada</t>
  </si>
  <si>
    <t>Cabrera</t>
  </si>
  <si>
    <t>Pablo Eduardo</t>
  </si>
  <si>
    <t>Cabrera Pérez Pablo Eduardo</t>
  </si>
  <si>
    <t>0130684394</t>
  </si>
  <si>
    <t>pcabrerap@u.uchile.cl</t>
  </si>
  <si>
    <t>Capella</t>
  </si>
  <si>
    <t>Claudia Milena</t>
  </si>
  <si>
    <t>Capella Sepúlveda Claudia Milena</t>
  </si>
  <si>
    <t>009968190K</t>
  </si>
  <si>
    <t>ccapella@u.uchile.cl</t>
  </si>
  <si>
    <t>Franch</t>
  </si>
  <si>
    <t>Maggiolo</t>
  </si>
  <si>
    <t>Carolina Beatriz</t>
  </si>
  <si>
    <t>Franch Maggiolo Carolina Beatriz</t>
  </si>
  <si>
    <t>0136867016</t>
  </si>
  <si>
    <t>cfranch@uchile.cl</t>
  </si>
  <si>
    <t>Andrade</t>
  </si>
  <si>
    <t>Guzmán</t>
  </si>
  <si>
    <t>Carlos Alejandro</t>
  </si>
  <si>
    <t>Andrade Guzmán Carlos Alejandro</t>
  </si>
  <si>
    <t>0109856746</t>
  </si>
  <si>
    <t>carlos.andrade@uchile.cl</t>
  </si>
  <si>
    <t>Fernández</t>
  </si>
  <si>
    <t>Droguett</t>
  </si>
  <si>
    <t>Roberto Andrés</t>
  </si>
  <si>
    <t>Fernández Droguett Roberto Andrés</t>
  </si>
  <si>
    <t>0122475832</t>
  </si>
  <si>
    <t>robertof@uchile.cl</t>
  </si>
  <si>
    <t>Tijoux</t>
  </si>
  <si>
    <t>María Emilia</t>
  </si>
  <si>
    <t>Tijoux Merino María Emilia</t>
  </si>
  <si>
    <t>006064585K</t>
  </si>
  <si>
    <t>emiliatijoux@uchile.cl</t>
  </si>
  <si>
    <t xml:space="preserve">Universidad de París </t>
  </si>
  <si>
    <t>Facuse</t>
  </si>
  <si>
    <t>Muñoz</t>
  </si>
  <si>
    <t>Marisol Yazmín Ximena</t>
  </si>
  <si>
    <t>Facuse Muñoz Marisol Yazmín Ximena</t>
  </si>
  <si>
    <t>0125558992</t>
  </si>
  <si>
    <t>marisolfacuse@uchile.cl</t>
  </si>
  <si>
    <t>Académico, Prof. Asociado, Grado 07 EUS, Jornada completa, Contrata.</t>
  </si>
  <si>
    <t>Université de Grenoble II</t>
  </si>
  <si>
    <t>Leiva</t>
  </si>
  <si>
    <t>Bahamondes</t>
  </si>
  <si>
    <t>Loreto Evelyn</t>
  </si>
  <si>
    <t>Leiva Bahamondes Loreto Evelyn</t>
  </si>
  <si>
    <t>0103770750</t>
  </si>
  <si>
    <t>loretoleivab@u.uchile.cl</t>
  </si>
  <si>
    <t>Espinoza</t>
  </si>
  <si>
    <t>Adriana Elizabeth</t>
  </si>
  <si>
    <t>Espinoza Soto Adriana Elizabeth</t>
  </si>
  <si>
    <t>0078386401</t>
  </si>
  <si>
    <t>adriana.espinoza@uchile.cl</t>
  </si>
  <si>
    <t>The University of British Columbia</t>
  </si>
  <si>
    <t>CANADA</t>
  </si>
  <si>
    <t>Paula Andrea</t>
  </si>
  <si>
    <t>Vergara Henríquez Paula Andrea</t>
  </si>
  <si>
    <t>0124707706</t>
  </si>
  <si>
    <t>phvergar@u.uchile.cl</t>
  </si>
  <si>
    <t>ACADEMICO, 21 HORAS, PROF. ASISTENTE, CONTRATA</t>
  </si>
  <si>
    <t>Universidad Andrés Bello</t>
  </si>
  <si>
    <t>Urrutia</t>
  </si>
  <si>
    <t>Miguel Previsto</t>
  </si>
  <si>
    <t>Urrutia Fernández Miguel Previsto</t>
  </si>
  <si>
    <t>0104433537</t>
  </si>
  <si>
    <t>murrutiaf@facso.cl</t>
  </si>
  <si>
    <t>Université Catholique de Louvain</t>
  </si>
  <si>
    <t>Zavala</t>
  </si>
  <si>
    <t>Villalón</t>
  </si>
  <si>
    <t>Gloria Beatriz</t>
  </si>
  <si>
    <t>Zavala Villalón Gloria Beatriz</t>
  </si>
  <si>
    <t>0120056271</t>
  </si>
  <si>
    <t>gzavala@u.uchile.cl</t>
  </si>
  <si>
    <t>Académico Prof. Asistente, grado 09 EUS, contrata, jornada completa.</t>
  </si>
  <si>
    <t>Jorquera</t>
  </si>
  <si>
    <t>Pamela Francisca</t>
  </si>
  <si>
    <t>Jorquera Álvarez Pamela Francisca</t>
  </si>
  <si>
    <t>0140455563</t>
  </si>
  <si>
    <t>pjorquera@facso.cl</t>
  </si>
  <si>
    <t>universidad Federal Do Rio Grande Do Sul</t>
  </si>
  <si>
    <t>Quiroga</t>
  </si>
  <si>
    <t>Ortega</t>
  </si>
  <si>
    <t>Flor Enelia</t>
  </si>
  <si>
    <t>Quiroga Ortega Flor Enelia</t>
  </si>
  <si>
    <t>0103227283</t>
  </si>
  <si>
    <t>fquiroga67@gmail.com</t>
  </si>
  <si>
    <t>Azócar</t>
  </si>
  <si>
    <t>de la Cruz</t>
  </si>
  <si>
    <t>Gabriela Alejandra</t>
  </si>
  <si>
    <t>Azócar de la Cruz Gabriela Alejandra</t>
  </si>
  <si>
    <t>0130529828</t>
  </si>
  <si>
    <t>gabriela.azocar@gmail.com</t>
  </si>
  <si>
    <t>Líbano</t>
  </si>
  <si>
    <t>Pablo Andrés</t>
  </si>
  <si>
    <t>Rojas Líbano Pablo Andrés</t>
  </si>
  <si>
    <t>0126460694</t>
  </si>
  <si>
    <t>projasl@u.uchile.cl</t>
  </si>
  <si>
    <t>Académico, Prof. Asistente, Grado 09 E.U.S, 21 horas de clases en Contrata.</t>
  </si>
  <si>
    <t>Cruz</t>
  </si>
  <si>
    <t>Mauricio Andrés</t>
  </si>
  <si>
    <t>López Cruz Mauricio Andrés</t>
  </si>
  <si>
    <t>0124547768</t>
  </si>
  <si>
    <t>m.lopez@uchile.cl</t>
  </si>
  <si>
    <t>UNIVERSIDAD AUTONOMA DE MADRID</t>
  </si>
  <si>
    <t>12090104 Escuela Postgrado</t>
  </si>
  <si>
    <t>Bellei</t>
  </si>
  <si>
    <t>Carvacho</t>
  </si>
  <si>
    <t>Cristian Iván</t>
  </si>
  <si>
    <t>Bellei Carvacho Cristian Iván</t>
  </si>
  <si>
    <t>0117376184</t>
  </si>
  <si>
    <t>cbellei@ciae.uchile.cl</t>
  </si>
  <si>
    <t>UNIVERSIDAD DE HARVARD</t>
  </si>
  <si>
    <t>Moraga</t>
  </si>
  <si>
    <t>Mauricio Leonardo</t>
  </si>
  <si>
    <t>Moraga Vergara Mauricio Leonardo</t>
  </si>
  <si>
    <t>0104428169</t>
  </si>
  <si>
    <t>mmoraga@uchile.cl</t>
  </si>
  <si>
    <t>Académico Profesor Asociado, grado 07 EUS, contrata, 6 Horas Semanales de Clases.</t>
  </si>
  <si>
    <t>Zamorano</t>
  </si>
  <si>
    <t>Claudio Manuel</t>
  </si>
  <si>
    <t>Zamorano Díaz Claudio Manuel</t>
  </si>
  <si>
    <t>0116300109</t>
  </si>
  <si>
    <t>claudio.zamorano@uchile.cl</t>
  </si>
  <si>
    <t>Académico Prof. Asistente, Jornada Completa, Contrata, Grado 09 EUS.</t>
  </si>
  <si>
    <t>Jaña</t>
  </si>
  <si>
    <t>Christian Esteban</t>
  </si>
  <si>
    <t>Miranda Jaña Christian Esteban</t>
  </si>
  <si>
    <t>0119739586</t>
  </si>
  <si>
    <t>christian.miranda@u.uchile.cl</t>
  </si>
  <si>
    <t>Gissi</t>
  </si>
  <si>
    <t>Barbieri</t>
  </si>
  <si>
    <t>Emiliano Nicolás</t>
  </si>
  <si>
    <t>Gissi Barbieri Emiliano Nicolás</t>
  </si>
  <si>
    <t>0090912321</t>
  </si>
  <si>
    <t>ngissi@u.uchile.cl</t>
  </si>
  <si>
    <t>UNAM</t>
  </si>
  <si>
    <t>Abarzúa</t>
  </si>
  <si>
    <t>Cubillos</t>
  </si>
  <si>
    <t>Marianella Soledad</t>
  </si>
  <si>
    <t>Abarzúa Cubillos Marianella Soledad</t>
  </si>
  <si>
    <t>0128782834</t>
  </si>
  <si>
    <t>mabarzuac@u.uchile.cl</t>
  </si>
  <si>
    <t>Contreras</t>
  </si>
  <si>
    <t>Hugo</t>
  </si>
  <si>
    <t>Torres Contreras Hugo</t>
  </si>
  <si>
    <t>0107190066</t>
  </si>
  <si>
    <t>htoresco@uchile.cl</t>
  </si>
  <si>
    <t>Académico Prof. Asistente, Jornada Completa, Grado 09 EUS, Contrata.</t>
  </si>
  <si>
    <t>Vidal</t>
  </si>
  <si>
    <t>Paula Francisca</t>
  </si>
  <si>
    <t>Vidal Molina Paula Francisca</t>
  </si>
  <si>
    <t>0109059919</t>
  </si>
  <si>
    <t>pvidal@u.uchile.cl</t>
  </si>
  <si>
    <t>UNIVERSIDADE FEDERAL DO RIO DE JANEIRO</t>
  </si>
  <si>
    <t>Urquieta</t>
  </si>
  <si>
    <t>María Antonieta</t>
  </si>
  <si>
    <t>Urquieta Álvarez María Antonieta</t>
  </si>
  <si>
    <t>0105376529</t>
  </si>
  <si>
    <t>antonieta.urquieta@u.uchile.cl</t>
  </si>
  <si>
    <t>UNIVERSIDAD AUTONOMA DE NUEVA LEON</t>
  </si>
  <si>
    <t>Galaz</t>
  </si>
  <si>
    <t>Valderrama</t>
  </si>
  <si>
    <t>Caterine Joanna</t>
  </si>
  <si>
    <t>Galaz Valderrama Caterine Joanna</t>
  </si>
  <si>
    <t>0109168432</t>
  </si>
  <si>
    <t>cgalazvalderrama@u.uchile.cl</t>
  </si>
  <si>
    <t>Universitat Autónoma de Barcelona</t>
  </si>
  <si>
    <t>de Saint Pierre</t>
  </si>
  <si>
    <t>Barrera</t>
  </si>
  <si>
    <t>Michelle Virginia</t>
  </si>
  <si>
    <t>de Saint Pierre Barrera Michelle Virginia</t>
  </si>
  <si>
    <t>0134424168</t>
  </si>
  <si>
    <t>michelle.desan@gmail.com</t>
  </si>
  <si>
    <t>Académico, 22 horas semanales de clases,  Contrata, Grado 09 EUS</t>
  </si>
  <si>
    <t>Míguez</t>
  </si>
  <si>
    <t>Cavieres</t>
  </si>
  <si>
    <t>Gonzalo Javier</t>
  </si>
  <si>
    <t>Míguez Cavieres Gonzalo Javier</t>
  </si>
  <si>
    <t>014619480K</t>
  </si>
  <si>
    <t>gonzalo_miguez@uchile.cl</t>
  </si>
  <si>
    <t>State University of New York at Binghamton</t>
  </si>
  <si>
    <t>Zagmutt</t>
  </si>
  <si>
    <t>Cahbar</t>
  </si>
  <si>
    <t>Abdulla Augusto</t>
  </si>
  <si>
    <t>Zagmutt Cahbar Abdulla Augusto</t>
  </si>
  <si>
    <t>0045030326</t>
  </si>
  <si>
    <t>augustozagmutt@gmail.com</t>
  </si>
  <si>
    <t>Academico Prof. Adjunto, Grado 09 EUS, Contrata, 12 horas semanales de clases.</t>
  </si>
  <si>
    <t>Belmar</t>
  </si>
  <si>
    <t>Pantelis</t>
  </si>
  <si>
    <t>Carolina Andrea</t>
  </si>
  <si>
    <t>Belmar Pantelis Carolina Andrea</t>
  </si>
  <si>
    <t>0144395158</t>
  </si>
  <si>
    <t>carolina_belmar@hotmail.com</t>
  </si>
  <si>
    <t xml:space="preserve">ACADEMICO ASISTENTE GRADO 09, MEDIA JORNADA, CONTRATA </t>
  </si>
  <si>
    <t>UNIVERSIDAD NACIONAL DEL CENTRO DE LA PROVINCIA DE BUENOS AIRES</t>
  </si>
  <si>
    <t>Herrera</t>
  </si>
  <si>
    <t>Valeria Modesta</t>
  </si>
  <si>
    <t>Herrera Fernández Valeria Modesta</t>
  </si>
  <si>
    <t>0108457198</t>
  </si>
  <si>
    <t>valherrera@u.uchile.cl</t>
  </si>
  <si>
    <t>Pablo Alberto</t>
  </si>
  <si>
    <t>Herrera Salinas Pablo Alberto</t>
  </si>
  <si>
    <t>0139626222</t>
  </si>
  <si>
    <t>pabloherreras@uchile.cl</t>
  </si>
  <si>
    <t>Académico, Prof. Asistente, Grado 09 EUS, 22 horas, Contrata.</t>
  </si>
  <si>
    <t>Aranda</t>
  </si>
  <si>
    <t>Erika Viviana del Carmen</t>
  </si>
  <si>
    <t>Soto Aranda Erika Viviana del Carmen</t>
  </si>
  <si>
    <t>0101060527</t>
  </si>
  <si>
    <t>Viviana.soto.a@uchile.cl</t>
  </si>
  <si>
    <t>Órdenes</t>
  </si>
  <si>
    <t>Danilo Esteban</t>
  </si>
  <si>
    <t>Sanhueza Órdenes Danilo Esteban</t>
  </si>
  <si>
    <t>0155096772</t>
  </si>
  <si>
    <t>DANILOSANHUEZA@GMAIL.COM</t>
  </si>
  <si>
    <t>Bórquez</t>
  </si>
  <si>
    <t>Quintas</t>
  </si>
  <si>
    <t>Margarita María Doralisa</t>
  </si>
  <si>
    <t>Bórquez Quintas Margarita María Doralisa</t>
  </si>
  <si>
    <t>0154064354</t>
  </si>
  <si>
    <t>magaborquez@u.uchile.cl</t>
  </si>
  <si>
    <t>Dufey</t>
  </si>
  <si>
    <t>Domínguez</t>
  </si>
  <si>
    <t>Michele</t>
  </si>
  <si>
    <t>Dufey Domínguez Michele</t>
  </si>
  <si>
    <t>0127973091</t>
  </si>
  <si>
    <t>mdufey@uchile.cl</t>
  </si>
  <si>
    <t>Académico, Prof. Asistente, Grado 09, Jornada Completa, Contrata.</t>
  </si>
  <si>
    <t>Boccardo</t>
  </si>
  <si>
    <t>Bosoni</t>
  </si>
  <si>
    <t>Giorgio Davide</t>
  </si>
  <si>
    <t>Boccardo Bosoni Giorgio Davide</t>
  </si>
  <si>
    <t>0150953863</t>
  </si>
  <si>
    <t>gboccardo@u.uchile.cl</t>
  </si>
  <si>
    <t>ACADEMICO.PROF. ASISTENSTE, GRADO 09, 06 HORAS. CONTRATA</t>
  </si>
  <si>
    <t>Quiñones</t>
  </si>
  <si>
    <t>Marcela Alejandra</t>
  </si>
  <si>
    <t>Quiñones Herrera Marcela Alejandra</t>
  </si>
  <si>
    <t>0153980411</t>
  </si>
  <si>
    <t>marquinoh@gmail.com</t>
  </si>
  <si>
    <t>Académico Prof. Asistente, Grado 09 EUS, Jornada Completa, Contrata.</t>
  </si>
  <si>
    <t>KU Leuven</t>
  </si>
  <si>
    <t>Grellet</t>
  </si>
  <si>
    <t>Bertero</t>
  </si>
  <si>
    <t>Carolina Nicole</t>
  </si>
  <si>
    <t>Grellet Bertero Carolina Nicole</t>
  </si>
  <si>
    <t>0077440828</t>
  </si>
  <si>
    <t>carolina.grellet@u.uchile.cl</t>
  </si>
  <si>
    <t>Millacura</t>
  </si>
  <si>
    <t>Salas</t>
  </si>
  <si>
    <t>Claudio Vicente</t>
  </si>
  <si>
    <t>Millacura Salas Claudio Vicente</t>
  </si>
  <si>
    <t>0084042048</t>
  </si>
  <si>
    <t>claudio.millacura@u.uchile.cl</t>
  </si>
  <si>
    <t>Académico, Prof. Asistente, Grado 09 EUS, Media Jornada, Contrata.</t>
  </si>
  <si>
    <t>Aroca</t>
  </si>
  <si>
    <t>Toloza</t>
  </si>
  <si>
    <t>Carolina Vivian</t>
  </si>
  <si>
    <t>Aroca Toloza Carolina Vivian</t>
  </si>
  <si>
    <t>0094615658</t>
  </si>
  <si>
    <t>carolina.aroca@u.uchile.cl</t>
  </si>
  <si>
    <t>Académico, Prof. Asistente, Grado 09  EUS, Jornada Completa, Contrata.</t>
  </si>
  <si>
    <t>Universidad De Playa Ancha De Cs. De_La Educacion</t>
  </si>
  <si>
    <t>Llanos</t>
  </si>
  <si>
    <t>Constanza María</t>
  </si>
  <si>
    <t>Torres Llanos Constanza María</t>
  </si>
  <si>
    <t>0161537993</t>
  </si>
  <si>
    <t>constanzatorres@uchile.cl</t>
  </si>
  <si>
    <t>ACADEMICO, PROF, ASISTENTE, GRADO 09, MEDIA JORNADA.</t>
  </si>
  <si>
    <t>Universidad De Concepcion</t>
  </si>
  <si>
    <t>Cabaluz</t>
  </si>
  <si>
    <t>Ducasse</t>
  </si>
  <si>
    <t>Jorge Fabián</t>
  </si>
  <si>
    <t>Cabaluz Ducasse Jorge Fabián</t>
  </si>
  <si>
    <t>0139050320</t>
  </si>
  <si>
    <t>fabiancabaluz@gmail.com</t>
  </si>
  <si>
    <t>ACADEMICO, PROF. ASISTENTE, 21 HORAS, GRADO 9</t>
  </si>
  <si>
    <t>Paulina</t>
  </si>
  <si>
    <t>Contreras Leiva Paulina</t>
  </si>
  <si>
    <t>0135500054</t>
  </si>
  <si>
    <t>paulicl@gmail.com</t>
  </si>
  <si>
    <t>Académico, Prof.  Asistente, 21 horas, Grado 09 EUS, Contrata.</t>
  </si>
  <si>
    <t>Angelcos</t>
  </si>
  <si>
    <t>Gutiérrez</t>
  </si>
  <si>
    <t>Nicolás Salvador Gregorio</t>
  </si>
  <si>
    <t>Angelcos Gutiérrez Nicolás Salvador Gregorio</t>
  </si>
  <si>
    <t>0157763415</t>
  </si>
  <si>
    <t>nicolas.angelcos@uchile.cl</t>
  </si>
  <si>
    <t>École Des Hautes Études en Sciences Sociales</t>
  </si>
  <si>
    <t>Montero</t>
  </si>
  <si>
    <t>de Caso</t>
  </si>
  <si>
    <t>Darío Ignacio</t>
  </si>
  <si>
    <t>Montero de Caso Darío Ignacio</t>
  </si>
  <si>
    <t>0138309479</t>
  </si>
  <si>
    <t>dario.montero@uchile.cl</t>
  </si>
  <si>
    <t>Friedrich-Schiller-Universitä Jena</t>
  </si>
  <si>
    <t>Navarro</t>
  </si>
  <si>
    <t>Karina Isabel</t>
  </si>
  <si>
    <t>Navarro Rodríguez Karina Isabel</t>
  </si>
  <si>
    <t>0139262816</t>
  </si>
  <si>
    <t>krodriguez@uchile.cl</t>
  </si>
  <si>
    <t>Johnson</t>
  </si>
  <si>
    <t>Mardones</t>
  </si>
  <si>
    <t>Daniel Fernando</t>
  </si>
  <si>
    <t>Johnson Mardones Daniel Fernando</t>
  </si>
  <si>
    <t>0105453558</t>
  </si>
  <si>
    <t>djohnson@uchile.cl</t>
  </si>
  <si>
    <t>UNIVERSIDAD ILLINOIS</t>
  </si>
  <si>
    <t>Gallegos</t>
  </si>
  <si>
    <t>Araya</t>
  </si>
  <si>
    <t>Verónica María</t>
  </si>
  <si>
    <t>Gallegos Araya Verónica María</t>
  </si>
  <si>
    <t>0080696582</t>
  </si>
  <si>
    <t>veronica.gallegos@uchile.cl</t>
  </si>
  <si>
    <t>Lira</t>
  </si>
  <si>
    <t>San Martín</t>
  </si>
  <si>
    <t>Nicolás Emilio</t>
  </si>
  <si>
    <t>Lira San Martín Nicolás Emilio</t>
  </si>
  <si>
    <t>0135507822</t>
  </si>
  <si>
    <t>nicolaslira@uchile.cl</t>
  </si>
  <si>
    <t>Académico Prof. Asistente, jornada completa, grado 09 EUS, contrata.</t>
  </si>
  <si>
    <t>UNIVERSIDAD DE PARIS I</t>
  </si>
  <si>
    <t>de Souza</t>
  </si>
  <si>
    <t>Herreros</t>
  </si>
  <si>
    <t>Patricio Felipe</t>
  </si>
  <si>
    <t>de Souza Herreros Patricio Felipe</t>
  </si>
  <si>
    <t>0094949246</t>
  </si>
  <si>
    <t>patricio.desouza@uchile.cl</t>
  </si>
  <si>
    <t>Universidad Catolica Del Norte</t>
  </si>
  <si>
    <t>Campos</t>
  </si>
  <si>
    <t>Santelices</t>
  </si>
  <si>
    <t>Regulo Armando Rafael</t>
  </si>
  <si>
    <t>Campos Santelices Regulo Armando Rafael</t>
  </si>
  <si>
    <t>0041811900</t>
  </si>
  <si>
    <t>ergosum.campos@gmail.com</t>
  </si>
  <si>
    <t>Académico, Prof. Adjunto, Contrata Ad Honorem, 06 horas.</t>
  </si>
  <si>
    <t>Universidad de Costa Rica</t>
  </si>
  <si>
    <t>COSTA RICA</t>
  </si>
  <si>
    <t>Marchant</t>
  </si>
  <si>
    <t>Matías Federico</t>
  </si>
  <si>
    <t>Marchant Reyes Matías Federico</t>
  </si>
  <si>
    <t>0090345877</t>
  </si>
  <si>
    <t>matiasmarchant@gmail.com</t>
  </si>
  <si>
    <t>Académico, prof. Asistente, Grado 09, 21 horas. Contrata</t>
  </si>
  <si>
    <t>Reyes Pérez Pablo Andrés</t>
  </si>
  <si>
    <t>0153127352</t>
  </si>
  <si>
    <t>pareyes82@gmail.com</t>
  </si>
  <si>
    <t>Académico, Prof. Asistente, 21 horas, Contrata, Grado 09 EUS.</t>
  </si>
  <si>
    <t>UNIVERSITE PARIS 8</t>
  </si>
  <si>
    <t>Roa</t>
  </si>
  <si>
    <t>Lorena Andrea</t>
  </si>
  <si>
    <t>Pérez Roa Lorena Andrea</t>
  </si>
  <si>
    <t>0139050150</t>
  </si>
  <si>
    <t>loperez@uchile.cl</t>
  </si>
  <si>
    <t>Université de Montréal</t>
  </si>
  <si>
    <t>Lelya Elena</t>
  </si>
  <si>
    <t>Troncoso Pérez Lelya Elena</t>
  </si>
  <si>
    <t>0179495899</t>
  </si>
  <si>
    <t>lelyatroncoso@uchile.cl</t>
  </si>
  <si>
    <t>José Ignacio</t>
  </si>
  <si>
    <t>Salazar Azócar José Ignacio</t>
  </si>
  <si>
    <t>0132861420</t>
  </si>
  <si>
    <t>josesalazar@uchile.cl</t>
  </si>
  <si>
    <t>Arce</t>
  </si>
  <si>
    <t>Gianinna Inés</t>
  </si>
  <si>
    <t>Muñoz Arce Gianinna Inés</t>
  </si>
  <si>
    <t>0135462888</t>
  </si>
  <si>
    <t>gianinna.munoz@uchile.cl</t>
  </si>
  <si>
    <t>University of Bristol</t>
  </si>
  <si>
    <t>Medina</t>
  </si>
  <si>
    <t>Fernando Andrés</t>
  </si>
  <si>
    <t>Campos Medina Fernando Andrés</t>
  </si>
  <si>
    <t>0145486009</t>
  </si>
  <si>
    <t>fernandocampos@uchile.cl</t>
  </si>
  <si>
    <t>Friedrich-Schiller-Universität Jena</t>
  </si>
  <si>
    <t>Anigstein</t>
  </si>
  <si>
    <t>.</t>
  </si>
  <si>
    <t>María Sol</t>
  </si>
  <si>
    <t>Anigstein . María Sol</t>
  </si>
  <si>
    <t>0147301383</t>
  </si>
  <si>
    <t>msanigste@uchile.cl</t>
  </si>
  <si>
    <t>Castillo</t>
  </si>
  <si>
    <t>Juan Carlos</t>
  </si>
  <si>
    <t>Castillo Valenzuela Juan Carlos</t>
  </si>
  <si>
    <t>010612714K</t>
  </si>
  <si>
    <t>juancastillov@uchile.cl</t>
  </si>
  <si>
    <t>Humboldt-Universität Zu Berlin</t>
  </si>
  <si>
    <t>Ávalos</t>
  </si>
  <si>
    <t>Davidson</t>
  </si>
  <si>
    <t>Beatrice</t>
  </si>
  <si>
    <t>Ávalos Davidson Beatrice</t>
  </si>
  <si>
    <t>0031833612</t>
  </si>
  <si>
    <t>bavalos254@gmail.com</t>
  </si>
  <si>
    <t>académico, 06 horas, contrata ad honorem.</t>
  </si>
  <si>
    <t>St. Louis University</t>
  </si>
  <si>
    <t>Jofré</t>
  </si>
  <si>
    <t>Poblete</t>
  </si>
  <si>
    <t>Daniella</t>
  </si>
  <si>
    <t>Jofré Poblete Daniella</t>
  </si>
  <si>
    <t>0141319213</t>
  </si>
  <si>
    <t>jofredaniella@gmail.com</t>
  </si>
  <si>
    <t xml:space="preserve">University of Toronto </t>
  </si>
  <si>
    <t>Gallardo</t>
  </si>
  <si>
    <t>Ignacio Andrés</t>
  </si>
  <si>
    <t>Gallardo Navarro Ignacio Andrés</t>
  </si>
  <si>
    <t>0120107674</t>
  </si>
  <si>
    <t>igallardo@ug.uchile.cl</t>
  </si>
  <si>
    <t>Campillo</t>
  </si>
  <si>
    <t>Toledano</t>
  </si>
  <si>
    <t>Claudia</t>
  </si>
  <si>
    <t>Campillo Toledano Claudia</t>
  </si>
  <si>
    <t>0264317460</t>
  </si>
  <si>
    <t>claudia.campillo@uchile.cl</t>
  </si>
  <si>
    <t>Colegio de la Frontera del Norte</t>
  </si>
  <si>
    <t>Reininger</t>
  </si>
  <si>
    <t>Pollak</t>
  </si>
  <si>
    <t>Tal</t>
  </si>
  <si>
    <t>Reininger Pollak Tal</t>
  </si>
  <si>
    <t>0175362193</t>
  </si>
  <si>
    <t>talyreininger@gmail.com</t>
  </si>
  <si>
    <t>260</t>
  </si>
  <si>
    <t>Fordham University</t>
  </si>
  <si>
    <t>Knaudt</t>
  </si>
  <si>
    <t>Sofía Catalina</t>
  </si>
  <si>
    <t>Donoso Knaudt Sofía Catalina</t>
  </si>
  <si>
    <t>0141321234</t>
  </si>
  <si>
    <t>sofia.donoso@uchile.cl</t>
  </si>
  <si>
    <t>ACADEMICO, PROF. ASISTENTE, JORNADA COMPLETA CONTRATA</t>
  </si>
  <si>
    <t>University of Oxford</t>
  </si>
  <si>
    <t>Viviani</t>
  </si>
  <si>
    <t>Montalva</t>
  </si>
  <si>
    <t>María Jesús</t>
  </si>
  <si>
    <t>Viviani Montalva María Jesús</t>
  </si>
  <si>
    <t>015380897K</t>
  </si>
  <si>
    <t>maria.viviani@uchile.cl</t>
  </si>
  <si>
    <t>Esteban Estefan</t>
  </si>
  <si>
    <t>Encina Zúñiga Esteban Estefan</t>
  </si>
  <si>
    <t>0159368084</t>
  </si>
  <si>
    <t>esteban2@uchile.cl</t>
  </si>
  <si>
    <t>ACADÉMICO, 06 HORAS, PROF. ASISTENTE, CONTRATA</t>
  </si>
  <si>
    <t>Susan Valeria</t>
  </si>
  <si>
    <t>Sanhueza Henríquez Susan Valeria</t>
  </si>
  <si>
    <t>0125238122</t>
  </si>
  <si>
    <t>susan.sanhueza@uchile.cl</t>
  </si>
  <si>
    <t>Universidad de Alicante</t>
  </si>
  <si>
    <t>Camilo Eduardo</t>
  </si>
  <si>
    <t>Morales Retamal Camilo Eduardo</t>
  </si>
  <si>
    <t>0156399981</t>
  </si>
  <si>
    <t>CAMILOMORALES1@GMAIL.COM</t>
  </si>
  <si>
    <t>Schellman</t>
  </si>
  <si>
    <t>Jaramillo</t>
  </si>
  <si>
    <t>Sandra</t>
  </si>
  <si>
    <t>Schellman Jaramillo Sandra</t>
  </si>
  <si>
    <t>0102596331</t>
  </si>
  <si>
    <t>sandra.schellman@uchile.cl</t>
  </si>
  <si>
    <t>Universidad Finis Terrae</t>
  </si>
  <si>
    <t>Ayala</t>
  </si>
  <si>
    <t>Rocabado</t>
  </si>
  <si>
    <t>Ruth Patricia</t>
  </si>
  <si>
    <t>Ayala Rocabado Ruth Patricia</t>
  </si>
  <si>
    <t>0144890329</t>
  </si>
  <si>
    <t>patricia.ayala.rocabado@gmail.com</t>
  </si>
  <si>
    <t>Académico, Prof. Asistente, Jornada Completa, Grado 09.</t>
  </si>
  <si>
    <t>Rodriguez</t>
  </si>
  <si>
    <t>de Arroyo</t>
  </si>
  <si>
    <t>Greta Marilyn</t>
  </si>
  <si>
    <t>Rodriguez de Arroyo Greta Marilyn</t>
  </si>
  <si>
    <t>0267956758</t>
  </si>
  <si>
    <t>greta.rodriguez@uchile.cl</t>
  </si>
  <si>
    <t>Instituto de Investigaciónes Cientificas</t>
  </si>
  <si>
    <t>VENEZUELA</t>
  </si>
  <si>
    <t>Saldías</t>
  </si>
  <si>
    <t>Eduardo Enrique</t>
  </si>
  <si>
    <t>Saldías Vergara Eduardo Enrique</t>
  </si>
  <si>
    <t>0163274418</t>
  </si>
  <si>
    <t>eduardosaldias@uchile.cl</t>
  </si>
  <si>
    <t>Kupczik</t>
  </si>
  <si>
    <t>Kornelius Florian</t>
  </si>
  <si>
    <t>Kupczik . Kornelius Florian</t>
  </si>
  <si>
    <t>025606944K</t>
  </si>
  <si>
    <t>kornelius.kupczik@uchile.cl</t>
  </si>
  <si>
    <t>University College of London</t>
  </si>
  <si>
    <t>Pablo Alonso</t>
  </si>
  <si>
    <t>Pérez Ahumada Pablo Alonso</t>
  </si>
  <si>
    <t>0157608428</t>
  </si>
  <si>
    <t>pabloperez@uchile.cl</t>
  </si>
  <si>
    <t>ACADÉMICO, PROF. ASISTENTE, GRADO 09, JC</t>
  </si>
  <si>
    <t>UNIVERSITY OF CALIFORNIA</t>
  </si>
  <si>
    <t>Vilches</t>
  </si>
  <si>
    <t>Vega</t>
  </si>
  <si>
    <t>Flora</t>
  </si>
  <si>
    <t>Vilches Vega Flora</t>
  </si>
  <si>
    <t>0116253399</t>
  </si>
  <si>
    <t>floravil@uchile.cl</t>
  </si>
  <si>
    <t>ACADEMICO, PROF. ASISTENTE, GRADO 09, CONTRATA, 12 HORAS</t>
  </si>
  <si>
    <t>University of Maryland</t>
  </si>
  <si>
    <t>Orellana</t>
  </si>
  <si>
    <t>Bravo</t>
  </si>
  <si>
    <t>Víctor Alfredo</t>
  </si>
  <si>
    <t>Orellana Bravo Víctor Alfredo</t>
  </si>
  <si>
    <t>0157893734</t>
  </si>
  <si>
    <t>victor.orellana@uchile.cl</t>
  </si>
  <si>
    <t>ACADEMICO, PROF, ASISTENTE, JC, GRADO 09, CONTRATA</t>
  </si>
  <si>
    <t>Universidade Do Estado Do Rio De Janeiro</t>
  </si>
  <si>
    <t>Puentes</t>
  </si>
  <si>
    <t>Daniela Olivia</t>
  </si>
  <si>
    <t>Puentes Chávez Daniela Olivia</t>
  </si>
  <si>
    <t>0139555384</t>
  </si>
  <si>
    <t>danielapuentes@uchile.cl</t>
  </si>
  <si>
    <t>Académico, Adjunto, 21 horas, Contrata, grado 09</t>
  </si>
  <si>
    <t>Universidad de Deusto</t>
  </si>
  <si>
    <t>Adlerstein</t>
  </si>
  <si>
    <t>Grimberg</t>
  </si>
  <si>
    <t>Cynthia Yael</t>
  </si>
  <si>
    <t>Adlerstein Grimberg Cynthia Yael</t>
  </si>
  <si>
    <t>0083227842</t>
  </si>
  <si>
    <t>cynthia.adlerstein@uchile.cl</t>
  </si>
  <si>
    <t>ACADEMICO, GRADO 07, CONTRATA, JC. PROF ASOCIADO</t>
  </si>
  <si>
    <t>FAC. LATINOAMERICANA DE CIENCIAS SOCIALES</t>
  </si>
  <si>
    <t>Carafi</t>
  </si>
  <si>
    <t>Eric Guillermo</t>
  </si>
  <si>
    <t>Carafi Ávalos Eric Guillermo</t>
  </si>
  <si>
    <t>0144069242</t>
  </si>
  <si>
    <t>ecarafi@uchile.cl</t>
  </si>
  <si>
    <t>Durán</t>
  </si>
  <si>
    <t>Gonzalo Ignacio</t>
  </si>
  <si>
    <t>Durán Sanhueza Gonzalo Ignacio</t>
  </si>
  <si>
    <t>013687845K</t>
  </si>
  <si>
    <t>gonzalo.duran@fundacionson.cl</t>
  </si>
  <si>
    <t>Universitat Duisburg Essen</t>
  </si>
  <si>
    <t>Investigador(a) Postdoctoral</t>
  </si>
  <si>
    <t>Mora</t>
  </si>
  <si>
    <t>Olate</t>
  </si>
  <si>
    <t>María Loreto</t>
  </si>
  <si>
    <t>Mora Olate María Loreto</t>
  </si>
  <si>
    <t>0143309479</t>
  </si>
  <si>
    <t>loretomora33@gmail.com</t>
  </si>
  <si>
    <t>Ad honorem contrata, Profesora Investigadora Postdoctoral, grado 10, JC</t>
  </si>
  <si>
    <t>Universidad Del Bio-Bio</t>
  </si>
  <si>
    <t>Bertin</t>
  </si>
  <si>
    <t>Francisca Cecilia</t>
  </si>
  <si>
    <t>Bertin Johnson Francisca Cecilia</t>
  </si>
  <si>
    <t>0155668830</t>
  </si>
  <si>
    <t>fbertinj@gmail.com</t>
  </si>
  <si>
    <t>CONTRATA  AD HONOREM, INVESTIGADOR POSTDOCTORAL, GRADO 10, JC</t>
  </si>
  <si>
    <t>Saracostti</t>
  </si>
  <si>
    <t>Schwartzman</t>
  </si>
  <si>
    <t>Mahia</t>
  </si>
  <si>
    <t>Saracostti Schwartzman Mahia</t>
  </si>
  <si>
    <t>0086664917</t>
  </si>
  <si>
    <t>masaracostti2022@gmail.com</t>
  </si>
  <si>
    <t>Universidad de Nueva York</t>
  </si>
  <si>
    <t>Mendez-Quiros</t>
  </si>
  <si>
    <t>Mendez-Quiros Aranda Pablo</t>
  </si>
  <si>
    <t>0153987203</t>
  </si>
  <si>
    <t>pmendezquiros@uchile.cl</t>
  </si>
  <si>
    <t>Universidad Autonoma de Barcelona</t>
  </si>
  <si>
    <t>Parrado</t>
  </si>
  <si>
    <t>Corredor</t>
  </si>
  <si>
    <t>Felipe Ernesto</t>
  </si>
  <si>
    <t>Parrado Corredor Felipe Ernesto</t>
  </si>
  <si>
    <t>0264280311</t>
  </si>
  <si>
    <t>felipe.parrado@uchile.cl</t>
  </si>
  <si>
    <t>ACADEMICO, INVESTIGADOR PÓSTDOCTORAL, GRADO 10, JC</t>
  </si>
  <si>
    <t>Universidad de Guadalajara</t>
  </si>
  <si>
    <t>Betancourt</t>
  </si>
  <si>
    <t>Sáez</t>
  </si>
  <si>
    <t>Marcela Eliana</t>
  </si>
  <si>
    <t>Betancourt Sáez Marcela Eliana</t>
  </si>
  <si>
    <t>0105559097</t>
  </si>
  <si>
    <t>marcela.betancourt@uchile.cl</t>
  </si>
  <si>
    <t>Universidad Federal Fluminense</t>
  </si>
  <si>
    <t>Abufhele</t>
  </si>
  <si>
    <t>Milad</t>
  </si>
  <si>
    <t>Valentina Paz</t>
  </si>
  <si>
    <t>Abufhele Milad Valentina Paz</t>
  </si>
  <si>
    <t>0144915259</t>
  </si>
  <si>
    <t>valentina.abufhele@gmail.com</t>
  </si>
  <si>
    <t>ACADÉMICA, PROF. ASISTENTE, GRADO 09, JC, CONTRATA</t>
  </si>
  <si>
    <t>The New School For Social Research</t>
  </si>
  <si>
    <t>Cifuentes</t>
  </si>
  <si>
    <t>Ariadna Alejandra</t>
  </si>
  <si>
    <t>Cifuentes Aguilar Ariadna Alejandra</t>
  </si>
  <si>
    <t>0167912540</t>
  </si>
  <si>
    <t>ariadnacifuentes@uchile.cl</t>
  </si>
  <si>
    <t>CONTRATA AD HONOREM, INVESTIGADOR POSTDOCTORAL, JC, GRADO 10</t>
  </si>
  <si>
    <t>Carrillo</t>
  </si>
  <si>
    <t>Sanchez</t>
  </si>
  <si>
    <t>Claudia Marcela</t>
  </si>
  <si>
    <t>Carrillo Sanchez Claudia Marcela</t>
  </si>
  <si>
    <t>0234619918</t>
  </si>
  <si>
    <t>claudia.carrillos@gmail.com</t>
  </si>
  <si>
    <t xml:space="preserve">CONTRATA AD HONOREM, INVESTIGADOR POSDOCTORAL, GRADO 10, JC </t>
  </si>
  <si>
    <t>Hiner</t>
  </si>
  <si>
    <t>Hillary Carroll</t>
  </si>
  <si>
    <t>Hiner . Hillary Carroll</t>
  </si>
  <si>
    <t>0147333196</t>
  </si>
  <si>
    <t>P0913 Doctor En Historia</t>
  </si>
  <si>
    <t>hillaryhiner@uchile.cl</t>
  </si>
  <si>
    <t>ACADEMICO, PROF. ASOCIADO, GRADO 7, JC</t>
  </si>
  <si>
    <t>Barco</t>
  </si>
  <si>
    <t>Lillo</t>
  </si>
  <si>
    <t>Blanca Soledad</t>
  </si>
  <si>
    <t>Barco Lillo Blanca Soledad</t>
  </si>
  <si>
    <t>0154330909</t>
  </si>
  <si>
    <t>blanca.barco2@gmail.com</t>
  </si>
  <si>
    <t>Fuenzalida</t>
  </si>
  <si>
    <t>Nicole Paulina</t>
  </si>
  <si>
    <t>Fuenzalida Bahamondes Nicole Paulina</t>
  </si>
  <si>
    <t>0161166758</t>
  </si>
  <si>
    <t>npfuenzalida@uchile.cl</t>
  </si>
  <si>
    <t>Concha</t>
  </si>
  <si>
    <t>Celume</t>
  </si>
  <si>
    <t>Francisca Andrea</t>
  </si>
  <si>
    <t>Concha Celume Francisca Andrea</t>
  </si>
  <si>
    <t>017085134K</t>
  </si>
  <si>
    <t>fran.concha@gmail.com</t>
  </si>
  <si>
    <t>Araos</t>
  </si>
  <si>
    <t>Araos Leiva Francisco Javier</t>
  </si>
  <si>
    <t>0151256988</t>
  </si>
  <si>
    <t>francisco.araos@uchile.cl</t>
  </si>
  <si>
    <t>Daniel Andrés</t>
  </si>
  <si>
    <t>Miranda Fuenzalida Daniel Andrés</t>
  </si>
  <si>
    <t>0151295126</t>
  </si>
  <si>
    <t>danmiranda@uchile.cl</t>
  </si>
  <si>
    <t>Almendra</t>
  </si>
  <si>
    <t>Javiera Andrea</t>
  </si>
  <si>
    <t>Cubillos Almendra Javiera Andrea</t>
  </si>
  <si>
    <t>0159355411</t>
  </si>
  <si>
    <t>cubillos.almendra@gmail.com</t>
  </si>
  <si>
    <t>Marambio</t>
  </si>
  <si>
    <t>Tapia</t>
  </si>
  <si>
    <t>Alejandro Enrique</t>
  </si>
  <si>
    <t>Marambio Tapia Alejandro Enrique</t>
  </si>
  <si>
    <t>0134379987</t>
  </si>
  <si>
    <t>alejandro.marambio@uchile.cl</t>
  </si>
  <si>
    <t>PROF. ASISTENTE,. GRADO 09, JC, CONTRATA</t>
  </si>
  <si>
    <t>The University of Manchester</t>
  </si>
  <si>
    <t>Toro</t>
  </si>
  <si>
    <t>Arévalo</t>
  </si>
  <si>
    <t>Sergio Alejandro</t>
  </si>
  <si>
    <t>Toro Arévalo Sergio Alejandro</t>
  </si>
  <si>
    <t>0101274284</t>
  </si>
  <si>
    <t>seatoro@gmail.com</t>
  </si>
  <si>
    <t>ACADEMICO, PROF. ASOCIADO, GRADO 07, JC</t>
  </si>
  <si>
    <t>Madrigal</t>
  </si>
  <si>
    <t>Calderón</t>
  </si>
  <si>
    <t>Johanna de Lourdes</t>
  </si>
  <si>
    <t>Madrigal Calderón Johanna de Lourdes</t>
  </si>
  <si>
    <t>0154246061</t>
  </si>
  <si>
    <t>madrigaljdmc@gmail.com</t>
  </si>
  <si>
    <t>PROFESORA  ASISTENTE, GRADO 09, JC,. CONTRATA</t>
  </si>
  <si>
    <t>Universite de Strasbourg</t>
  </si>
  <si>
    <t>Rosell</t>
  </si>
  <si>
    <t>Cisternas</t>
  </si>
  <si>
    <t>Javiera Esperanza</t>
  </si>
  <si>
    <t>Rosell Cisternas Javiera Esperanza</t>
  </si>
  <si>
    <t>0173151675</t>
  </si>
  <si>
    <t>javiera.rosell@uchile.cl</t>
  </si>
  <si>
    <t>Lozano</t>
  </si>
  <si>
    <t>_</t>
  </si>
  <si>
    <t>Juan Ignacio</t>
  </si>
  <si>
    <t>Lozano _ Juan Ignacio</t>
  </si>
  <si>
    <t>0286123465</t>
  </si>
  <si>
    <t>mg.lozanojuanignacio@gmail.com</t>
  </si>
  <si>
    <t>ACADEMICO, PROF. ASISTENTE, GRADO 09, JC</t>
  </si>
  <si>
    <t>Universidad Nacional de General Sarmiento</t>
  </si>
  <si>
    <t>A3B001 Académico Prof. Asistente</t>
  </si>
  <si>
    <t>A3B Prof. Asistente - Categ. Academica Doc.</t>
  </si>
  <si>
    <t>0001 Casado</t>
  </si>
  <si>
    <t>91977796</t>
  </si>
  <si>
    <t>T5270 Disenador Grafico</t>
  </si>
  <si>
    <t>Universidad De Valparaiso</t>
  </si>
  <si>
    <t>1 Chilena</t>
  </si>
  <si>
    <t>12090701 Departamento de Psicología</t>
  </si>
  <si>
    <t>A4A001 ACADEMICO  INSTRUCTOR</t>
  </si>
  <si>
    <t>Instructor</t>
  </si>
  <si>
    <t>A4A Instructor</t>
  </si>
  <si>
    <t>Paniagua</t>
  </si>
  <si>
    <t>Humberto</t>
  </si>
  <si>
    <t>Abarca Paniagua Humberto</t>
  </si>
  <si>
    <t>N0040 Profesional Superior</t>
  </si>
  <si>
    <t>104224067</t>
  </si>
  <si>
    <t>0104224067</t>
  </si>
  <si>
    <t>T5082 Sociologo</t>
  </si>
  <si>
    <t>A3A001 Académico Prof. Asistente</t>
  </si>
  <si>
    <t>A3A Prof. Asistente - Categ. Academica Ord.</t>
  </si>
  <si>
    <t>0002 Soltero</t>
  </si>
  <si>
    <t>128782834</t>
  </si>
  <si>
    <t>T5124 Psicologo</t>
  </si>
  <si>
    <t>A1B001 Académico Prof. Titular</t>
  </si>
  <si>
    <t>A1B Prof.Titular - Categ. Academica Doc.</t>
  </si>
  <si>
    <t>A2B001 Académico Prof. Asociado</t>
  </si>
  <si>
    <t>A2B Prof. Asociado - Categ. Academica Doc.</t>
  </si>
  <si>
    <t>83694254</t>
  </si>
  <si>
    <t>T5003 Antropologo</t>
  </si>
  <si>
    <t>12090301 Departamento de Antropología</t>
  </si>
  <si>
    <t>Aedo</t>
  </si>
  <si>
    <t>Andrés Isaías</t>
  </si>
  <si>
    <t>Aedo Henríquez Andrés Isaías</t>
  </si>
  <si>
    <t>130333095</t>
  </si>
  <si>
    <t>0130333095</t>
  </si>
  <si>
    <t>12090801 Departamento de Sociología</t>
  </si>
  <si>
    <t>Agar</t>
  </si>
  <si>
    <t>Corbinos</t>
  </si>
  <si>
    <t>Lorenzo René</t>
  </si>
  <si>
    <t>Agar Corbinos Lorenzo René</t>
  </si>
  <si>
    <t>66182177</t>
  </si>
  <si>
    <t>0066182177</t>
  </si>
  <si>
    <t>A7A001 ACADEMICO PROF. ADJUNTO</t>
  </si>
  <si>
    <t>A7A Prof. Adjunto</t>
  </si>
  <si>
    <t>Aguayo</t>
  </si>
  <si>
    <t>Chaves</t>
  </si>
  <si>
    <t>Enrique Eduardo</t>
  </si>
  <si>
    <t>Aguayo Chaves Enrique Eduardo</t>
  </si>
  <si>
    <t>0005 Divorciado</t>
  </si>
  <si>
    <t>57443626</t>
  </si>
  <si>
    <t>0057443626</t>
  </si>
  <si>
    <t>98430806</t>
  </si>
  <si>
    <t>Aguilera</t>
  </si>
  <si>
    <t>Faúndez</t>
  </si>
  <si>
    <t>Oscar Eugenio</t>
  </si>
  <si>
    <t>Aguilera Faúndez Oscar Eugenio</t>
  </si>
  <si>
    <t>N0041 Profesional Superior Sin Titulo</t>
  </si>
  <si>
    <t>59271822</t>
  </si>
  <si>
    <t>0059271822</t>
  </si>
  <si>
    <t>Sin Información</t>
  </si>
  <si>
    <t>12090501 Departamento de Investigaciónes Mediáticas y de la Comunicación</t>
  </si>
  <si>
    <t>A8A001 ACADEMICO INSTRUCTOR ADJUNTO</t>
  </si>
  <si>
    <t>Inst. Adjunto</t>
  </si>
  <si>
    <t>A8A Inst. Adjunto</t>
  </si>
  <si>
    <t>Bernarda</t>
  </si>
  <si>
    <t>Aguirre Valdivieso Bernarda</t>
  </si>
  <si>
    <t>55212406</t>
  </si>
  <si>
    <t>0055212406</t>
  </si>
  <si>
    <t>A1A001 Académico Prof. Titular</t>
  </si>
  <si>
    <t>A1A Prof.Titular - Categ. Academica Ord.</t>
  </si>
  <si>
    <t>Dina María</t>
  </si>
  <si>
    <t>Alarcón Quezada Dina María</t>
  </si>
  <si>
    <t>28703813</t>
  </si>
  <si>
    <t>0028703813</t>
  </si>
  <si>
    <t>T5020 Educadora De Parvulos</t>
  </si>
  <si>
    <t>Aldunate</t>
  </si>
  <si>
    <t>Balestra</t>
  </si>
  <si>
    <t>Carlos Bernardo</t>
  </si>
  <si>
    <t>Aldunate Balestra Carlos Bernardo</t>
  </si>
  <si>
    <t>79334871</t>
  </si>
  <si>
    <t>0079334871</t>
  </si>
  <si>
    <t>Allendes</t>
  </si>
  <si>
    <t>Ossa</t>
  </si>
  <si>
    <t>María Cecilia</t>
  </si>
  <si>
    <t>Allendes Ossa María Cecilia</t>
  </si>
  <si>
    <t>40933204</t>
  </si>
  <si>
    <t>0040933204</t>
  </si>
  <si>
    <t>P0501 Con Titulo Profesional</t>
  </si>
  <si>
    <t>Almeyda</t>
  </si>
  <si>
    <t>José Clodomiro</t>
  </si>
  <si>
    <t>Almeyda Medina José Clodomiro</t>
  </si>
  <si>
    <t>16653438</t>
  </si>
  <si>
    <t>0016653438</t>
  </si>
  <si>
    <t>70445956</t>
  </si>
  <si>
    <t>T5070 Medico-Cirujano</t>
  </si>
  <si>
    <t>Marta Teresa Celia</t>
  </si>
  <si>
    <t>Alvarado Pérez Marta Teresa Celia</t>
  </si>
  <si>
    <t>005112040K</t>
  </si>
  <si>
    <t>Yolanda Belén</t>
  </si>
  <si>
    <t>Álvarez Aguirre Yolanda Belén</t>
  </si>
  <si>
    <t>005420647K</t>
  </si>
  <si>
    <t>Nancy Andrea</t>
  </si>
  <si>
    <t>Álvarez Díaz Nancy Andrea</t>
  </si>
  <si>
    <t>78849681</t>
  </si>
  <si>
    <t>0078849681</t>
  </si>
  <si>
    <t>T5276 Psicologo</t>
  </si>
  <si>
    <t>Universidad Diego Portales</t>
  </si>
  <si>
    <t>Alvayay</t>
  </si>
  <si>
    <t>Jorge Rodrigo</t>
  </si>
  <si>
    <t>Alvayay Jaña Jorge Rodrigo</t>
  </si>
  <si>
    <t>47832519</t>
  </si>
  <si>
    <t>0047832519</t>
  </si>
  <si>
    <t>Flacso</t>
  </si>
  <si>
    <t>92153886</t>
  </si>
  <si>
    <t>T5074 Periodista</t>
  </si>
  <si>
    <t>109856746</t>
  </si>
  <si>
    <t>T5353 Ingeniero en Comercio Internacional</t>
  </si>
  <si>
    <t>Universidad Tecnologica Metropolitana</t>
  </si>
  <si>
    <t>157763415</t>
  </si>
  <si>
    <t>0004 Otro</t>
  </si>
  <si>
    <t>147301383</t>
  </si>
  <si>
    <t>Antivilo</t>
  </si>
  <si>
    <t>Bruna</t>
  </si>
  <si>
    <t>Andrés Felipe</t>
  </si>
  <si>
    <t>Antivilo Bruna Andrés Felipe</t>
  </si>
  <si>
    <t>139041283</t>
  </si>
  <si>
    <t>0139041283</t>
  </si>
  <si>
    <t>UNIV COMPLUTENSE MADRID</t>
  </si>
  <si>
    <t>105364180</t>
  </si>
  <si>
    <t>Arboleda</t>
  </si>
  <si>
    <t>Ariza</t>
  </si>
  <si>
    <t>Arboleda Ariza Juan Carlos</t>
  </si>
  <si>
    <t>257894703</t>
  </si>
  <si>
    <t>0257894703</t>
  </si>
  <si>
    <t>Universidad El Bosque</t>
  </si>
  <si>
    <t>A2A001 Académico Prof. Asociado</t>
  </si>
  <si>
    <t>A2A Prof. Asociado - Categ. Academica Ord.</t>
  </si>
  <si>
    <t>90613502</t>
  </si>
  <si>
    <t>58370223</t>
  </si>
  <si>
    <t>T5054 Licenciado en Antropologia</t>
  </si>
  <si>
    <t>94615658</t>
  </si>
  <si>
    <t>Universidad Catolica De Valparaíso</t>
  </si>
  <si>
    <t>Arrau</t>
  </si>
  <si>
    <t>Corominas</t>
  </si>
  <si>
    <t>Carlos Alfonso</t>
  </si>
  <si>
    <t>Arrau Corominas Carlos Alfonso</t>
  </si>
  <si>
    <t>36377488</t>
  </si>
  <si>
    <t>0036377488</t>
  </si>
  <si>
    <t>Universidad De Saint Louis - Washington</t>
  </si>
  <si>
    <t>002063 ACADEMICO MEDIA JORNADA</t>
  </si>
  <si>
    <t>Arriagada</t>
  </si>
  <si>
    <t>Luco</t>
  </si>
  <si>
    <t>Camilo Ramón</t>
  </si>
  <si>
    <t>Arriagada Luco Camilo Ramón</t>
  </si>
  <si>
    <t>008978610K</t>
  </si>
  <si>
    <t>FACULTAD LATINOAMERICANA DE CIENCIAS SOCIALES</t>
  </si>
  <si>
    <t>99800682</t>
  </si>
  <si>
    <t>MEXICO</t>
  </si>
  <si>
    <t>T5102 Profesor De Historia Y Geografia</t>
  </si>
  <si>
    <t>Universidad Metropolitana De Ciencias De La Educacion</t>
  </si>
  <si>
    <t>Aspillaga</t>
  </si>
  <si>
    <t>Fontaine</t>
  </si>
  <si>
    <t>Eugenio Armando</t>
  </si>
  <si>
    <t>Aspillaga Fontaine Eugenio Armando</t>
  </si>
  <si>
    <t>60186960</t>
  </si>
  <si>
    <t>0060186960</t>
  </si>
  <si>
    <t>T5079 Profesor De Biologia Y Cs Naturales</t>
  </si>
  <si>
    <t>Assael</t>
  </si>
  <si>
    <t>Budnik</t>
  </si>
  <si>
    <t>Jenny</t>
  </si>
  <si>
    <t>Assael Budnik Jenny</t>
  </si>
  <si>
    <t>64935976</t>
  </si>
  <si>
    <t>0064935976</t>
  </si>
  <si>
    <t>114769878</t>
  </si>
  <si>
    <t>Atria</t>
  </si>
  <si>
    <t>Benapres</t>
  </si>
  <si>
    <t>Raul Guillermo</t>
  </si>
  <si>
    <t>Atria Benapres Raul Guillermo</t>
  </si>
  <si>
    <t>43664433</t>
  </si>
  <si>
    <t>0043664433</t>
  </si>
  <si>
    <t>0003 Viudo</t>
  </si>
  <si>
    <t>31833612</t>
  </si>
  <si>
    <t>T5103 Prof.De Hist. Y Geogr.Y Educ Civica</t>
  </si>
  <si>
    <t>119971810</t>
  </si>
  <si>
    <t>144890329</t>
  </si>
  <si>
    <t>T5373 Arqueólogo</t>
  </si>
  <si>
    <t>10 Boliviana</t>
  </si>
  <si>
    <t>Aymerich</t>
  </si>
  <si>
    <t>Hegnauer</t>
  </si>
  <si>
    <t>Jaime Humberto</t>
  </si>
  <si>
    <t>Aymerich Hegnauer Jaime Humberto</t>
  </si>
  <si>
    <t>004200815K</t>
  </si>
  <si>
    <t>T5063 Licenciado en Sociologia</t>
  </si>
  <si>
    <t>130529828</t>
  </si>
  <si>
    <t>91498014</t>
  </si>
  <si>
    <t>T5372 Licenciado en Lengua y Literatura Hispanica, con Mención en Literatura</t>
  </si>
  <si>
    <t>41316438</t>
  </si>
  <si>
    <t>T5001 Abogado</t>
  </si>
  <si>
    <t>Bardelli</t>
  </si>
  <si>
    <t>Marta Andrea</t>
  </si>
  <si>
    <t>Bardelli González Marta Andrea</t>
  </si>
  <si>
    <t>126575513</t>
  </si>
  <si>
    <t>0126575513</t>
  </si>
  <si>
    <t>Barozet . Emmanuelle</t>
  </si>
  <si>
    <t>146301657</t>
  </si>
  <si>
    <t>Universidad de Chile</t>
  </si>
  <si>
    <t>Barría</t>
  </si>
  <si>
    <t>Iroume</t>
  </si>
  <si>
    <t>Jorge Cristian</t>
  </si>
  <si>
    <t>Barría Iroume Jorge Cristian</t>
  </si>
  <si>
    <t>60695997</t>
  </si>
  <si>
    <t>0060695997</t>
  </si>
  <si>
    <t>Basilio</t>
  </si>
  <si>
    <t>Seyler</t>
  </si>
  <si>
    <t>Marisol Gabriela</t>
  </si>
  <si>
    <t>Basilio Seyler Marisol Gabriela</t>
  </si>
  <si>
    <t>160787546</t>
  </si>
  <si>
    <t>0160787546</t>
  </si>
  <si>
    <t>12091001 Escuela de Pregrado</t>
  </si>
  <si>
    <t>Becerra</t>
  </si>
  <si>
    <t>Juan Gonzalo</t>
  </si>
  <si>
    <t>Becerra Silva Juan Gonzalo</t>
  </si>
  <si>
    <t>89748941</t>
  </si>
  <si>
    <t>0089748941</t>
  </si>
  <si>
    <t>117376184</t>
  </si>
  <si>
    <t>144395158</t>
  </si>
  <si>
    <t>79310727</t>
  </si>
  <si>
    <t>63763268</t>
  </si>
  <si>
    <t>T5007 Bibliotecaria</t>
  </si>
  <si>
    <t>Benítez</t>
  </si>
  <si>
    <t>Jiménez</t>
  </si>
  <si>
    <t>Dagoberto José</t>
  </si>
  <si>
    <t>Benítez Jiménez Dagoberto José</t>
  </si>
  <si>
    <t>36300159</t>
  </si>
  <si>
    <t>0036300159</t>
  </si>
  <si>
    <t>Berardi</t>
  </si>
  <si>
    <t>Drudi</t>
  </si>
  <si>
    <t>Leda</t>
  </si>
  <si>
    <t>Berardi Drudi Leda</t>
  </si>
  <si>
    <t>52092116</t>
  </si>
  <si>
    <t>0052092116</t>
  </si>
  <si>
    <t>Universidad Central De Venezuela</t>
  </si>
  <si>
    <t>T5104 Profesor De Ingles</t>
  </si>
  <si>
    <t>Berenguer</t>
  </si>
  <si>
    <t>José Angel</t>
  </si>
  <si>
    <t>Berenguer Rodríguez José Angel</t>
  </si>
  <si>
    <t>50268535</t>
  </si>
  <si>
    <t>0050268535</t>
  </si>
  <si>
    <t>Berríos</t>
  </si>
  <si>
    <t>Caro</t>
  </si>
  <si>
    <t>José Mario</t>
  </si>
  <si>
    <t>Berríos Caro José Mario</t>
  </si>
  <si>
    <t>50754960</t>
  </si>
  <si>
    <t>0050754960</t>
  </si>
  <si>
    <t>Mainhard</t>
  </si>
  <si>
    <t>Sigmon Ronald</t>
  </si>
  <si>
    <t>Betancourt Mainhard Sigmon Ronald</t>
  </si>
  <si>
    <t>63088188</t>
  </si>
  <si>
    <t>0063088188</t>
  </si>
  <si>
    <t>000304 ACADEMICO 12 HORAS PROFESOR ASISTENTE GRADO 9</t>
  </si>
  <si>
    <t>Blanco</t>
  </si>
  <si>
    <t>Fernando Alejandro</t>
  </si>
  <si>
    <t>Blanco Inostroza Fernando Alejandro</t>
  </si>
  <si>
    <t>96148747</t>
  </si>
  <si>
    <t>0096148747</t>
  </si>
  <si>
    <t>T5056 Licenciatura en Lengua y Civiliz. Francesa</t>
  </si>
  <si>
    <t>Bluthenthal</t>
  </si>
  <si>
    <t>Geis</t>
  </si>
  <si>
    <t>Irene</t>
  </si>
  <si>
    <t>Bluthenthal Geis Irene</t>
  </si>
  <si>
    <t>003630264K</t>
  </si>
  <si>
    <t>150953863</t>
  </si>
  <si>
    <t>Bolívar</t>
  </si>
  <si>
    <t>Daniela Angélica</t>
  </si>
  <si>
    <t>Bolívar Fernández Daniela Angélica</t>
  </si>
  <si>
    <t>126910029</t>
  </si>
  <si>
    <t>0126910029</t>
  </si>
  <si>
    <t>Katholieke Universiteit Leuven</t>
  </si>
  <si>
    <t>154064354</t>
  </si>
  <si>
    <t>12090601 Departamento de Educación</t>
  </si>
  <si>
    <t>Veloso</t>
  </si>
  <si>
    <t>Norma Lily Rosa</t>
  </si>
  <si>
    <t>Bravo Veloso Norma Lily Rosa</t>
  </si>
  <si>
    <t>26514789</t>
  </si>
  <si>
    <t>0026514789</t>
  </si>
  <si>
    <t>Universidad de las Cs. y Técnicas del Languedoc</t>
  </si>
  <si>
    <t>Briones</t>
  </si>
  <si>
    <t>Sergio Guillermo</t>
  </si>
  <si>
    <t>Briones Aedo Sergio Guillermo</t>
  </si>
  <si>
    <t>A Ad Honorem Propiedad</t>
  </si>
  <si>
    <t>16018732</t>
  </si>
  <si>
    <t>0016018732</t>
  </si>
  <si>
    <t>002070 Profesor Asistente</t>
  </si>
  <si>
    <t>María Eugenia</t>
  </si>
  <si>
    <t>Briones Álvarez María Eugenia</t>
  </si>
  <si>
    <t>83744545</t>
  </si>
  <si>
    <t>0083744545</t>
  </si>
  <si>
    <t>Bunster</t>
  </si>
  <si>
    <t>Burotto</t>
  </si>
  <si>
    <t>María Ximena del Carmen</t>
  </si>
  <si>
    <t>Bunster Burotto María Ximena del Carmen</t>
  </si>
  <si>
    <t>29757399</t>
  </si>
  <si>
    <t>0029757399</t>
  </si>
  <si>
    <t>Cabeza</t>
  </si>
  <si>
    <t>Monteira</t>
  </si>
  <si>
    <t>Angel Emilio</t>
  </si>
  <si>
    <t>Cabeza Monteira Angel Emilio</t>
  </si>
  <si>
    <t>54084838</t>
  </si>
  <si>
    <t>0054084838</t>
  </si>
  <si>
    <t>Cabib</t>
  </si>
  <si>
    <t>Madero</t>
  </si>
  <si>
    <t>Cabib Madero Ignacio Andrés</t>
  </si>
  <si>
    <t>016607164K</t>
  </si>
  <si>
    <t>Université de Lausanne</t>
  </si>
  <si>
    <t>SUIZA</t>
  </si>
  <si>
    <t>130684394</t>
  </si>
  <si>
    <t>UNIVERSIDAD DE CHILE</t>
  </si>
  <si>
    <t>135062200</t>
  </si>
  <si>
    <t>Teresa Laura</t>
  </si>
  <si>
    <t>Calderón González Teresa Laura</t>
  </si>
  <si>
    <t>73847265</t>
  </si>
  <si>
    <t>0073847265</t>
  </si>
  <si>
    <t>T5191 Profesor De Castellano</t>
  </si>
  <si>
    <t>Campbell</t>
  </si>
  <si>
    <t>Roberto Juan José</t>
  </si>
  <si>
    <t>Campbell Toro Roberto Juan José</t>
  </si>
  <si>
    <t>138820351</t>
  </si>
  <si>
    <t>0138820351</t>
  </si>
  <si>
    <t>UNIVERSIDAD DE PITTSBURGH</t>
  </si>
  <si>
    <t>Campillay</t>
  </si>
  <si>
    <t>Miguel Angel</t>
  </si>
  <si>
    <t>Campillay Araya Miguel Angel</t>
  </si>
  <si>
    <t>138709949</t>
  </si>
  <si>
    <t>0138709949</t>
  </si>
  <si>
    <t>264317460</t>
  </si>
  <si>
    <t>T5061 Licenciado en Ciencias Economicas</t>
  </si>
  <si>
    <t>Universidad Veracruzana</t>
  </si>
  <si>
    <t>33 Mexicana</t>
  </si>
  <si>
    <t>Sylvia María</t>
  </si>
  <si>
    <t>Campos González Sylvia María</t>
  </si>
  <si>
    <t>52008131</t>
  </si>
  <si>
    <t>0052008131</t>
  </si>
  <si>
    <t>145486009</t>
  </si>
  <si>
    <t>Regulo Armando</t>
  </si>
  <si>
    <t>Campos Santelices Regulo Armando</t>
  </si>
  <si>
    <t>41811900</t>
  </si>
  <si>
    <t>Ulloa</t>
  </si>
  <si>
    <t>Sergio Alfredo</t>
  </si>
  <si>
    <t>Campos Ulloa Sergio Alfredo</t>
  </si>
  <si>
    <t>52617030</t>
  </si>
  <si>
    <t>0052617030</t>
  </si>
  <si>
    <t>73412854</t>
  </si>
  <si>
    <t>Cañete</t>
  </si>
  <si>
    <t>Escalona</t>
  </si>
  <si>
    <t>Félix Reinaldo</t>
  </si>
  <si>
    <t>Cañete Escalona Félix Reinaldo</t>
  </si>
  <si>
    <t>23381427</t>
  </si>
  <si>
    <t>0023381427</t>
  </si>
  <si>
    <t>Cárdenas</t>
  </si>
  <si>
    <t>Squella</t>
  </si>
  <si>
    <t>Juan Pablo</t>
  </si>
  <si>
    <t>Cárdenas Squella Juan Pablo</t>
  </si>
  <si>
    <t>56338144</t>
  </si>
  <si>
    <t>0056338144</t>
  </si>
  <si>
    <t>Carrasco</t>
  </si>
  <si>
    <t>Chaparro</t>
  </si>
  <si>
    <t>Ximena de las Mercedes</t>
  </si>
  <si>
    <t>Carrasco Chaparro Ximena de las Mercedes</t>
  </si>
  <si>
    <t>65287846</t>
  </si>
  <si>
    <t>0065287846</t>
  </si>
  <si>
    <t>69249698</t>
  </si>
  <si>
    <t>Guillermo Mauricio</t>
  </si>
  <si>
    <t>Castillo Sánchez Guillermo Mauricio</t>
  </si>
  <si>
    <t>55246793</t>
  </si>
  <si>
    <t>0055246793</t>
  </si>
  <si>
    <t>Mario Marcelo</t>
  </si>
  <si>
    <t>Castro Domínguez Mario Marcelo</t>
  </si>
  <si>
    <t>70668556</t>
  </si>
  <si>
    <t>0070668556</t>
  </si>
  <si>
    <t>P0902 Doctor Of Philosophy</t>
  </si>
  <si>
    <t>UNIVERSITY OF TORON</t>
  </si>
  <si>
    <t>Lucic</t>
  </si>
  <si>
    <t>Milka Slavia</t>
  </si>
  <si>
    <t>Castro Lucic Milka Slavia</t>
  </si>
  <si>
    <t>47703077</t>
  </si>
  <si>
    <t>0047703077</t>
  </si>
  <si>
    <t>Academia Antropologia</t>
  </si>
  <si>
    <t>María Victoria</t>
  </si>
  <si>
    <t>Castro Rojas María Victoria</t>
  </si>
  <si>
    <t>004756333K</t>
  </si>
  <si>
    <t>T5089 Profesor De Ens.Media Filosofia</t>
  </si>
  <si>
    <t>127763542</t>
  </si>
  <si>
    <t>68669537</t>
  </si>
  <si>
    <t>Chacón</t>
  </si>
  <si>
    <t>Arturo Roberto</t>
  </si>
  <si>
    <t>Chacón Herrera Arturo Roberto</t>
  </si>
  <si>
    <t>36401397</t>
  </si>
  <si>
    <t>0036401397</t>
  </si>
  <si>
    <t>Universidad De Toronto</t>
  </si>
  <si>
    <t>Champin</t>
  </si>
  <si>
    <t>Dattwyler</t>
  </si>
  <si>
    <t>June Elizabeth</t>
  </si>
  <si>
    <t>Champin Dattwyler June Elizabeth</t>
  </si>
  <si>
    <t>63641987</t>
  </si>
  <si>
    <t>0063641987</t>
  </si>
  <si>
    <t>Chernilo</t>
  </si>
  <si>
    <t>Steiner</t>
  </si>
  <si>
    <t>Daniel Enrique</t>
  </si>
  <si>
    <t>Chernilo Steiner Daniel Enrique</t>
  </si>
  <si>
    <t>128518797</t>
  </si>
  <si>
    <t>0128518797</t>
  </si>
  <si>
    <t>Gatica</t>
  </si>
  <si>
    <t>Salvador Manuel Antonio</t>
  </si>
  <si>
    <t>Cifuentes Gatica Salvador Manuel Antonio</t>
  </si>
  <si>
    <t>25935675</t>
  </si>
  <si>
    <t>0025935675</t>
  </si>
  <si>
    <t>Clemente</t>
  </si>
  <si>
    <t>María del Pilar</t>
  </si>
  <si>
    <t>Clemente Briones María del Pilar</t>
  </si>
  <si>
    <t>64229524</t>
  </si>
  <si>
    <t>0064229524</t>
  </si>
  <si>
    <t>Edmundo</t>
  </si>
  <si>
    <t>Concha Contreras Edmundo</t>
  </si>
  <si>
    <t>13836795</t>
  </si>
  <si>
    <t>0013836795</t>
  </si>
  <si>
    <t>Constantinescu</t>
  </si>
  <si>
    <t>Florence Marie</t>
  </si>
  <si>
    <t>Constantinescu Cabrera Florence Marie</t>
  </si>
  <si>
    <t>103472067</t>
  </si>
  <si>
    <t>0103472067</t>
  </si>
  <si>
    <t>Contardo</t>
  </si>
  <si>
    <t>Egaña</t>
  </si>
  <si>
    <t>Sergio</t>
  </si>
  <si>
    <t>Contardo Egaña Sergio</t>
  </si>
  <si>
    <t>19240215</t>
  </si>
  <si>
    <t>0019240215</t>
  </si>
  <si>
    <t>135500054</t>
  </si>
  <si>
    <t>000285 ACADEMICO MEDIA JORNADA</t>
  </si>
  <si>
    <t>Cooper</t>
  </si>
  <si>
    <t>Mayr</t>
  </si>
  <si>
    <t>Doris</t>
  </si>
  <si>
    <t>Cooper Mayr Doris</t>
  </si>
  <si>
    <t>54780222</t>
  </si>
  <si>
    <t>0054780222</t>
  </si>
  <si>
    <t>A5A001 ACADEMICO AYUDANTE</t>
  </si>
  <si>
    <t>Ayudante</t>
  </si>
  <si>
    <t>A5A Ayudante</t>
  </si>
  <si>
    <t>Corbalán</t>
  </si>
  <si>
    <t>Pössel</t>
  </si>
  <si>
    <t>Francisca Johanna</t>
  </si>
  <si>
    <t>Corbalán Pössel Francisca Johanna</t>
  </si>
  <si>
    <t>164317196</t>
  </si>
  <si>
    <t>0164317196</t>
  </si>
  <si>
    <t>Institute of Education University of London</t>
  </si>
  <si>
    <t>INGLATERRA</t>
  </si>
  <si>
    <t>Cordeu</t>
  </si>
  <si>
    <t>Cuccia</t>
  </si>
  <si>
    <t>Cecilia Paula</t>
  </si>
  <si>
    <t>Cordeu Cuccia Cecilia Paula</t>
  </si>
  <si>
    <t>146491960</t>
  </si>
  <si>
    <t>0146491960</t>
  </si>
  <si>
    <t>5 Argentino/a</t>
  </si>
  <si>
    <t>Bustamante</t>
  </si>
  <si>
    <t>Luis Eduardo</t>
  </si>
  <si>
    <t>Cornejo Bustamante Luis Eduardo</t>
  </si>
  <si>
    <t>81756031</t>
  </si>
  <si>
    <t>0081756031</t>
  </si>
  <si>
    <t>Rodrigo  Carlos</t>
  </si>
  <si>
    <t>Cornejo Chávez Rodrigo  Carlos</t>
  </si>
  <si>
    <t>96646569</t>
  </si>
  <si>
    <t>Romero</t>
  </si>
  <si>
    <t>Raúl Humberto</t>
  </si>
  <si>
    <t>Cornejo Romero Raúl Humberto</t>
  </si>
  <si>
    <t>60877270</t>
  </si>
  <si>
    <t>0060877270</t>
  </si>
  <si>
    <t>Cortés</t>
  </si>
  <si>
    <t>Cristian Armando</t>
  </si>
  <si>
    <t>Cortés Silva Cristian Armando</t>
  </si>
  <si>
    <t>72738217</t>
  </si>
  <si>
    <t>0072738217</t>
  </si>
  <si>
    <t>Corvalán</t>
  </si>
  <si>
    <t>Bustos</t>
  </si>
  <si>
    <t>María Isabel del Milagro</t>
  </si>
  <si>
    <t>Corvalán Bustos María Isabel del Milagro</t>
  </si>
  <si>
    <t>53274706</t>
  </si>
  <si>
    <t>0053274706</t>
  </si>
  <si>
    <t>T5093 Profesor De Ens.Media Ingles</t>
  </si>
  <si>
    <t>Ministerio De Educacion</t>
  </si>
  <si>
    <t>Olivia Alejandra del Rosario</t>
  </si>
  <si>
    <t>Corvalán Bustos Olivia Alejandra del Rosario</t>
  </si>
  <si>
    <t>68709202</t>
  </si>
  <si>
    <t>0068709202</t>
  </si>
  <si>
    <t>T5084 Profesor De Estado</t>
  </si>
  <si>
    <t>99911107</t>
  </si>
  <si>
    <t>Universidad Arcis</t>
  </si>
  <si>
    <t>63269387</t>
  </si>
  <si>
    <t>Pino</t>
  </si>
  <si>
    <t>Luis Alejandro</t>
  </si>
  <si>
    <t>Cruz Pino Luis Alejandro</t>
  </si>
  <si>
    <t>004930126K</t>
  </si>
  <si>
    <t>T5032 Ingeniero Comercial</t>
  </si>
  <si>
    <t>Cumsille</t>
  </si>
  <si>
    <t>Garib</t>
  </si>
  <si>
    <t>Guillermo Elías</t>
  </si>
  <si>
    <t>Cumsille Garib Guillermo Elías</t>
  </si>
  <si>
    <t>004286885K</t>
  </si>
  <si>
    <t>Curivil</t>
  </si>
  <si>
    <t>Pablo Neftalí</t>
  </si>
  <si>
    <t>Curivil Bravo Pablo Neftalí</t>
  </si>
  <si>
    <t>132757399</t>
  </si>
  <si>
    <t>0132757399</t>
  </si>
  <si>
    <t>T5006 Bachiller</t>
  </si>
  <si>
    <t>Dannemann</t>
  </si>
  <si>
    <t>Rothstein</t>
  </si>
  <si>
    <t>Manuel Teodoro Juan María</t>
  </si>
  <si>
    <t>Dannemann Rothstein Manuel Teodoro Juan María</t>
  </si>
  <si>
    <t>22804960</t>
  </si>
  <si>
    <t>0022804960</t>
  </si>
  <si>
    <t>de la Carrera</t>
  </si>
  <si>
    <t>Alejandro Eugenio</t>
  </si>
  <si>
    <t>de la Carrera Díaz Alejandro Eugenio</t>
  </si>
  <si>
    <t>007074192K</t>
  </si>
  <si>
    <t>de la Puente</t>
  </si>
  <si>
    <t>Lafoy</t>
  </si>
  <si>
    <t>Erasmo Patricio Mario</t>
  </si>
  <si>
    <t>de la Puente Lafoy Erasmo Patricio Mario</t>
  </si>
  <si>
    <t>36379782</t>
  </si>
  <si>
    <t>0036379782</t>
  </si>
  <si>
    <t>134424168</t>
  </si>
  <si>
    <t>T5010 Bioquimico</t>
  </si>
  <si>
    <t>94949246</t>
  </si>
  <si>
    <t>del Villar</t>
  </si>
  <si>
    <t>Fidel Rafael</t>
  </si>
  <si>
    <t>del Villar Muñoz Fidel Rafael</t>
  </si>
  <si>
    <t>51271181</t>
  </si>
  <si>
    <t>0051271181</t>
  </si>
  <si>
    <t>Universite Sorbonne Nouvelle Paris 3</t>
  </si>
  <si>
    <t>Délano</t>
  </si>
  <si>
    <t>Alfonso</t>
  </si>
  <si>
    <t>Bárbara Jean</t>
  </si>
  <si>
    <t>Délano Alfonso Bárbara Jean</t>
  </si>
  <si>
    <t>62242531</t>
  </si>
  <si>
    <t>0062242531</t>
  </si>
  <si>
    <t>Descouvieres</t>
  </si>
  <si>
    <t>Carlos</t>
  </si>
  <si>
    <t>Descouvieres Carrillo Carlos</t>
  </si>
  <si>
    <t>31900867</t>
  </si>
  <si>
    <t>0031900867</t>
  </si>
  <si>
    <t>Universidad De La Sorbonne</t>
  </si>
  <si>
    <t>Di Silvestre</t>
  </si>
  <si>
    <t>Paradizo</t>
  </si>
  <si>
    <t>María Cristina</t>
  </si>
  <si>
    <t>Di Silvestre Paradizo María Cristina</t>
  </si>
  <si>
    <t>006028086K</t>
  </si>
  <si>
    <t>65821222</t>
  </si>
  <si>
    <t>001064 Academico</t>
  </si>
  <si>
    <t>Alondra Esmeralda</t>
  </si>
  <si>
    <t>Díaz Castillo Alondra Esmeralda</t>
  </si>
  <si>
    <t>53067344</t>
  </si>
  <si>
    <t>0053067344</t>
  </si>
  <si>
    <t>Universidad Modelo</t>
  </si>
  <si>
    <t>Rogelio Eugenio</t>
  </si>
  <si>
    <t>Díaz Castillo Rogelio Eugenio</t>
  </si>
  <si>
    <t>39567768</t>
  </si>
  <si>
    <t>0039567768</t>
  </si>
  <si>
    <t>Dides</t>
  </si>
  <si>
    <t>Salvador</t>
  </si>
  <si>
    <t>Dides Muñoz Salvador</t>
  </si>
  <si>
    <t>29358281</t>
  </si>
  <si>
    <t>0029358281</t>
  </si>
  <si>
    <t>Diez</t>
  </si>
  <si>
    <t>Escobar</t>
  </si>
  <si>
    <t>María Inés</t>
  </si>
  <si>
    <t>Diez Escobar María Inés</t>
  </si>
  <si>
    <t>006064473K</t>
  </si>
  <si>
    <t>141321234</t>
  </si>
  <si>
    <t>University  Of  Oxford</t>
  </si>
  <si>
    <t>001845 Profesor Asistente</t>
  </si>
  <si>
    <t>Niemeyer</t>
  </si>
  <si>
    <t>Tania Edna Lama</t>
  </si>
  <si>
    <t>Donoso Niemeyer Tania Edna Lama</t>
  </si>
  <si>
    <t>90457551</t>
  </si>
  <si>
    <t>0090457551</t>
  </si>
  <si>
    <t>Retamales</t>
  </si>
  <si>
    <t>Graciela Benigna</t>
  </si>
  <si>
    <t>Donoso Retamales Graciela Benigna</t>
  </si>
  <si>
    <t>53101631</t>
  </si>
  <si>
    <t>0053101631</t>
  </si>
  <si>
    <t>T5105 Profesor De Matematicas</t>
  </si>
  <si>
    <t>Archibaldo Enrique</t>
  </si>
  <si>
    <t>Donoso Sepúlveda Archibaldo Enrique</t>
  </si>
  <si>
    <t>38759604</t>
  </si>
  <si>
    <t>0038759604</t>
  </si>
  <si>
    <t>P0602 Especialidad Médica u Odontológica</t>
  </si>
  <si>
    <t>88927222</t>
  </si>
  <si>
    <t>127973091</t>
  </si>
  <si>
    <t>Pacheco</t>
  </si>
  <si>
    <t>Fernando</t>
  </si>
  <si>
    <t>Durán Pacheco Fernando</t>
  </si>
  <si>
    <t>41066423</t>
  </si>
  <si>
    <t>0041066423</t>
  </si>
  <si>
    <t>Universidad Wiscusin Madison</t>
  </si>
  <si>
    <t>Echeverría</t>
  </si>
  <si>
    <t>Peña</t>
  </si>
  <si>
    <t>Echeverría Peña María Inés</t>
  </si>
  <si>
    <t>43284800</t>
  </si>
  <si>
    <t>0043284800</t>
  </si>
  <si>
    <t>Eissmann</t>
  </si>
  <si>
    <t>Patricia Graciela</t>
  </si>
  <si>
    <t>Eissmann Valenzuela Patricia Graciela</t>
  </si>
  <si>
    <t>47720818</t>
  </si>
  <si>
    <t>0047720818</t>
  </si>
  <si>
    <t>159368084</t>
  </si>
  <si>
    <t>51249291</t>
  </si>
  <si>
    <t>Escudero</t>
  </si>
  <si>
    <t>Burrows</t>
  </si>
  <si>
    <t>Mary Ethel</t>
  </si>
  <si>
    <t>Escudero Burrows Mary Ethel</t>
  </si>
  <si>
    <t>17200518</t>
  </si>
  <si>
    <t>0017200518</t>
  </si>
  <si>
    <t>Universidad De Ohio</t>
  </si>
  <si>
    <t>Sergio Gustavo Emilio</t>
  </si>
  <si>
    <t>Espinoza Cifuentes Sergio Gustavo Emilio</t>
  </si>
  <si>
    <t>41821175</t>
  </si>
  <si>
    <t>0041821175</t>
  </si>
  <si>
    <t>Parra</t>
  </si>
  <si>
    <t>Sergio Fernando</t>
  </si>
  <si>
    <t>Espinoza Parra Sergio Fernando</t>
  </si>
  <si>
    <t>115352717</t>
  </si>
  <si>
    <t>0115352717</t>
  </si>
  <si>
    <t>Universidad Las Condes</t>
  </si>
  <si>
    <t>78386401</t>
  </si>
  <si>
    <t>125558992</t>
  </si>
  <si>
    <t>Gonzalo Estanislao</t>
  </si>
  <si>
    <t>Falabella García Gonzalo Estanislao</t>
  </si>
  <si>
    <t>43346776</t>
  </si>
  <si>
    <t>0043346776</t>
  </si>
  <si>
    <t>University of Sussex</t>
  </si>
  <si>
    <t>Falaha</t>
  </si>
  <si>
    <t>Lumi</t>
  </si>
  <si>
    <t>Boris Abdulmasih</t>
  </si>
  <si>
    <t>Falaha Lumi Boris Abdulmasih</t>
  </si>
  <si>
    <t>31568676</t>
  </si>
  <si>
    <t>0031568676</t>
  </si>
  <si>
    <t>ESCUELA DE PRACTICA DE ALTOS ESTUDIOS</t>
  </si>
  <si>
    <t>Faletto</t>
  </si>
  <si>
    <t>Verne</t>
  </si>
  <si>
    <t>Enzo Doménico Miguel</t>
  </si>
  <si>
    <t>Faletto Verne Enzo Doménico Miguel</t>
  </si>
  <si>
    <t>33567383</t>
  </si>
  <si>
    <t>0033567383</t>
  </si>
  <si>
    <t>Favi</t>
  </si>
  <si>
    <t>Gloria Berta</t>
  </si>
  <si>
    <t>Favi Cortés Gloria Berta</t>
  </si>
  <si>
    <t>53126774</t>
  </si>
  <si>
    <t>0053126774</t>
  </si>
  <si>
    <t>Fenieux</t>
  </si>
  <si>
    <t>Carmen Gloria</t>
  </si>
  <si>
    <t>Fenieux Campos Carmen Gloria</t>
  </si>
  <si>
    <t>83411007</t>
  </si>
  <si>
    <t>0083411007</t>
  </si>
  <si>
    <t>Cox</t>
  </si>
  <si>
    <t>María Victoria Teresa</t>
  </si>
  <si>
    <t>Fernández Cox María Victoria Teresa</t>
  </si>
  <si>
    <t>003156624K</t>
  </si>
  <si>
    <t>Darraz</t>
  </si>
  <si>
    <t>Jorge Andrés</t>
  </si>
  <si>
    <t>Fernández Darraz Jorge Andrés</t>
  </si>
  <si>
    <t>102714806</t>
  </si>
  <si>
    <t>0102714806</t>
  </si>
  <si>
    <t>T5062 Licenciado en Filosofia</t>
  </si>
  <si>
    <t>Universidad De Artes, Ciencias Y Comunicación (Un</t>
  </si>
  <si>
    <t>Francisca María</t>
  </si>
  <si>
    <t>Fernández Droguett Francisca María</t>
  </si>
  <si>
    <t>138899098</t>
  </si>
  <si>
    <t>0138899098</t>
  </si>
  <si>
    <t>122475832</t>
  </si>
  <si>
    <t>Mateo</t>
  </si>
  <si>
    <t>Francisco Joaquín</t>
  </si>
  <si>
    <t>Fernández Mateo Francisco Joaquín</t>
  </si>
  <si>
    <t>42817708</t>
  </si>
  <si>
    <t>0042817708</t>
  </si>
  <si>
    <t>UNIVERSIDAD DE MINESOTA</t>
  </si>
  <si>
    <t>SIN INFORMACION</t>
  </si>
  <si>
    <t>Tornini</t>
  </si>
  <si>
    <t>Jorge Bernardo</t>
  </si>
  <si>
    <t>Fernández Tornini Jorge Bernardo</t>
  </si>
  <si>
    <t>24714829</t>
  </si>
  <si>
    <t>0024714829</t>
  </si>
  <si>
    <t>Ferreira</t>
  </si>
  <si>
    <t>Carolina de Lourdes</t>
  </si>
  <si>
    <t>Ferreira Soto Carolina de Lourdes</t>
  </si>
  <si>
    <t>76244022</t>
  </si>
  <si>
    <t>0076244022</t>
  </si>
  <si>
    <t>112256865</t>
  </si>
  <si>
    <t>124272769</t>
  </si>
  <si>
    <t>Flores</t>
  </si>
  <si>
    <t>Sergio Vladimir</t>
  </si>
  <si>
    <t>Flores Carrasco Sergio Vladimir</t>
  </si>
  <si>
    <t>121793172</t>
  </si>
  <si>
    <t>0121793172</t>
  </si>
  <si>
    <t>UNIV DE IOWA</t>
  </si>
  <si>
    <t>Eduardo Rodrigo</t>
  </si>
  <si>
    <t>Flores Guerrero Eduardo Rodrigo</t>
  </si>
  <si>
    <t>88785649</t>
  </si>
  <si>
    <t>0088785649</t>
  </si>
  <si>
    <t>Universidad De Barcelona</t>
  </si>
  <si>
    <t>Juan Antonio</t>
  </si>
  <si>
    <t>Flores Riquelme Juan Antonio</t>
  </si>
  <si>
    <t>85397710</t>
  </si>
  <si>
    <t>0085397710</t>
  </si>
  <si>
    <t>Foerster</t>
  </si>
  <si>
    <t>Roelf René Heinz</t>
  </si>
  <si>
    <t>Foerster González Roelf René Heinz</t>
  </si>
  <si>
    <t>67846222</t>
  </si>
  <si>
    <t>0067846222</t>
  </si>
  <si>
    <t>Universidad Leidel</t>
  </si>
  <si>
    <t>HOLANDA</t>
  </si>
  <si>
    <t>Foladori</t>
  </si>
  <si>
    <t>Abeledo</t>
  </si>
  <si>
    <t>Horacio Carlos</t>
  </si>
  <si>
    <t>Foladori Abeledo Horacio Carlos</t>
  </si>
  <si>
    <t>014579756K</t>
  </si>
  <si>
    <t>Institute For Advance Studies International</t>
  </si>
  <si>
    <t>T5065 Licenciado en Psicologia</t>
  </si>
  <si>
    <t>Universidad de la  República</t>
  </si>
  <si>
    <t>Fontecilla</t>
  </si>
  <si>
    <t>Isabel Margarita</t>
  </si>
  <si>
    <t>Fontecilla Silva Isabel Margarita</t>
  </si>
  <si>
    <t>46666348</t>
  </si>
  <si>
    <t>0046666348</t>
  </si>
  <si>
    <t>Foxley</t>
  </si>
  <si>
    <t>Rioseco</t>
  </si>
  <si>
    <t>Ana María</t>
  </si>
  <si>
    <t>Foxley Rioseco Ana María</t>
  </si>
  <si>
    <t>55974640</t>
  </si>
  <si>
    <t>0055974640</t>
  </si>
  <si>
    <t>136867016</t>
  </si>
  <si>
    <t>T8102 Antropólgo Social</t>
  </si>
  <si>
    <t>Frez</t>
  </si>
  <si>
    <t>de Negri</t>
  </si>
  <si>
    <t>Guillermo Ulises</t>
  </si>
  <si>
    <t>Frez de Negri Guillermo Ulises</t>
  </si>
  <si>
    <t>53670504</t>
  </si>
  <si>
    <t>0053670504</t>
  </si>
  <si>
    <t>Frías</t>
  </si>
  <si>
    <t>Carla Mirella</t>
  </si>
  <si>
    <t>Frías Ortega Carla Mirella</t>
  </si>
  <si>
    <t>105402880</t>
  </si>
  <si>
    <t>0105402880</t>
  </si>
  <si>
    <t>Universitat Autonoma de Barcelona</t>
  </si>
  <si>
    <t>T5005 Asistente Social</t>
  </si>
  <si>
    <t>Fuentes</t>
  </si>
  <si>
    <t>Aeta</t>
  </si>
  <si>
    <t>Iris Luisa de Lourdes</t>
  </si>
  <si>
    <t>Fuentes Aeta Iris Luisa de Lourdes</t>
  </si>
  <si>
    <t>50573354</t>
  </si>
  <si>
    <t>0050573354</t>
  </si>
  <si>
    <t>Magaly Andrea</t>
  </si>
  <si>
    <t>Fuentes Riquelme Magaly Andrea</t>
  </si>
  <si>
    <t>015365820K</t>
  </si>
  <si>
    <t>Vera</t>
  </si>
  <si>
    <t>Cristian Humberto</t>
  </si>
  <si>
    <t>Fuentes Vera Cristian Humberto</t>
  </si>
  <si>
    <t>85390317</t>
  </si>
  <si>
    <t>0085390317</t>
  </si>
  <si>
    <t>Gajardo</t>
  </si>
  <si>
    <t>Ibáñez</t>
  </si>
  <si>
    <t>Luis de la Cruz</t>
  </si>
  <si>
    <t>Gajardo Ibáñez Luis de la Cruz</t>
  </si>
  <si>
    <t>63661511</t>
  </si>
  <si>
    <t>0063661511</t>
  </si>
  <si>
    <t>109168432</t>
  </si>
  <si>
    <t>Sergio Hernán</t>
  </si>
  <si>
    <t>Gallardo Espinoza Sergio Hernán</t>
  </si>
  <si>
    <t>36217081</t>
  </si>
  <si>
    <t>0036217081</t>
  </si>
  <si>
    <t>120107674</t>
  </si>
  <si>
    <t>Universidad De La Republica</t>
  </si>
  <si>
    <t>Rayo</t>
  </si>
  <si>
    <t>Iris María</t>
  </si>
  <si>
    <t>Gallardo Rayo Iris María</t>
  </si>
  <si>
    <t>55729786</t>
  </si>
  <si>
    <t>0055729786</t>
  </si>
  <si>
    <t>80696582</t>
  </si>
  <si>
    <t>Rodolfo Gustavo</t>
  </si>
  <si>
    <t>Gálvez Contreras Rodolfo Gustavo</t>
  </si>
  <si>
    <t>49440316</t>
  </si>
  <si>
    <t>0049440316</t>
  </si>
  <si>
    <t>144467752</t>
  </si>
  <si>
    <t>Gárate</t>
  </si>
  <si>
    <t>Vallejos</t>
  </si>
  <si>
    <t>Annette Isabel</t>
  </si>
  <si>
    <t>Gárate Vallejos Annette Isabel</t>
  </si>
  <si>
    <t>123980409</t>
  </si>
  <si>
    <t>0123980409</t>
  </si>
  <si>
    <t>T5164 Programador De Sistemas</t>
  </si>
  <si>
    <t>Universidad De Antofagasta</t>
  </si>
  <si>
    <t>45966968</t>
  </si>
  <si>
    <t>Gedda</t>
  </si>
  <si>
    <t>Francisco Victtorio</t>
  </si>
  <si>
    <t>Gedda Ortiz Francisco Victtorio</t>
  </si>
  <si>
    <t>51082907</t>
  </si>
  <si>
    <t>0051082907</t>
  </si>
  <si>
    <t>T5233 Comunicador Social</t>
  </si>
  <si>
    <t>George</t>
  </si>
  <si>
    <t>Lara</t>
  </si>
  <si>
    <t>Myriam Luisa</t>
  </si>
  <si>
    <t>George Lara Myriam Luisa</t>
  </si>
  <si>
    <t>48374875</t>
  </si>
  <si>
    <t>0048374875</t>
  </si>
  <si>
    <t>90912321</t>
  </si>
  <si>
    <t>122318974</t>
  </si>
  <si>
    <t>1/8/0998</t>
  </si>
  <si>
    <t>Cataldo</t>
  </si>
  <si>
    <t>Julia María Felisa</t>
  </si>
  <si>
    <t>González Cataldo Julia María Felisa</t>
  </si>
  <si>
    <t>42842028</t>
  </si>
  <si>
    <t>0042842028</t>
  </si>
  <si>
    <t>Marcelo Ignacio</t>
  </si>
  <si>
    <t>González Gálvez Marcelo Ignacio</t>
  </si>
  <si>
    <t>153806217</t>
  </si>
  <si>
    <t>0153806217</t>
  </si>
  <si>
    <t>The University of Edinburgh.</t>
  </si>
  <si>
    <t>ESCOCIA</t>
  </si>
  <si>
    <t>100440121</t>
  </si>
  <si>
    <t>Francisco Alberto</t>
  </si>
  <si>
    <t>González Rodríguez Francisco Alberto</t>
  </si>
  <si>
    <t>006067728K</t>
  </si>
  <si>
    <t>Gustavo Adolfo</t>
  </si>
  <si>
    <t>González Rodríguez Gustavo Adolfo</t>
  </si>
  <si>
    <t>47564670</t>
  </si>
  <si>
    <t>0047564670</t>
  </si>
  <si>
    <t>P0890 Magíster en Comunicación Política</t>
  </si>
  <si>
    <t>Sergio José</t>
  </si>
  <si>
    <t>González Rodríguez Sergio José</t>
  </si>
  <si>
    <t>60677271</t>
  </si>
  <si>
    <t>0060677271</t>
  </si>
  <si>
    <t>Universidad Complutense</t>
  </si>
  <si>
    <t>130375812</t>
  </si>
  <si>
    <t>Goñi</t>
  </si>
  <si>
    <t>Riedemann</t>
  </si>
  <si>
    <t>Macarena</t>
  </si>
  <si>
    <t>Goñi Riedemann Macarena</t>
  </si>
  <si>
    <t>141201395</t>
  </si>
  <si>
    <t>0141201395</t>
  </si>
  <si>
    <t>Universidad Santo Tomás</t>
  </si>
  <si>
    <t>Grebe</t>
  </si>
  <si>
    <t>Vicuña</t>
  </si>
  <si>
    <t>Esther Elisa Loreto</t>
  </si>
  <si>
    <t>Grebe Vicuña Esther Elisa Loreto</t>
  </si>
  <si>
    <t>19294757</t>
  </si>
  <si>
    <t>0019294757</t>
  </si>
  <si>
    <t>Queen`S University</t>
  </si>
  <si>
    <t>122653463</t>
  </si>
  <si>
    <t>77440828</t>
  </si>
  <si>
    <t>Guajardo</t>
  </si>
  <si>
    <t>Luna</t>
  </si>
  <si>
    <t>Jorge Segundo</t>
  </si>
  <si>
    <t>Guajardo Luna Jorge Segundo</t>
  </si>
  <si>
    <t>004583624K</t>
  </si>
  <si>
    <t>Guillón</t>
  </si>
  <si>
    <t>Moretti</t>
  </si>
  <si>
    <t>Martha Denise</t>
  </si>
  <si>
    <t>Guillón Moretti Martha Denise</t>
  </si>
  <si>
    <t>61965262</t>
  </si>
  <si>
    <t>0061965262</t>
  </si>
  <si>
    <t>Bermedo</t>
  </si>
  <si>
    <t>María Verónica</t>
  </si>
  <si>
    <t>Gutiérrez Bermedo María Verónica</t>
  </si>
  <si>
    <t>81039399</t>
  </si>
  <si>
    <t>0081039399</t>
  </si>
  <si>
    <t>Haefner</t>
  </si>
  <si>
    <t>Velásquez</t>
  </si>
  <si>
    <t>Haefner Velásquez Carlos Alejandro</t>
  </si>
  <si>
    <t>82862366</t>
  </si>
  <si>
    <t>0082862366</t>
  </si>
  <si>
    <t>Universidad Iberoamericana</t>
  </si>
  <si>
    <t>Eduardo  Juan  Anibal</t>
  </si>
  <si>
    <t>Hamuy Pinto Eduardo  Juan  Anibal</t>
  </si>
  <si>
    <t>66162397</t>
  </si>
  <si>
    <t>Universidad De Arcis</t>
  </si>
  <si>
    <t>48144195</t>
  </si>
  <si>
    <t>Hermosilla</t>
  </si>
  <si>
    <t>Nuriluz Ema</t>
  </si>
  <si>
    <t>Hermosilla Osorio Nuriluz Ema</t>
  </si>
  <si>
    <t>70792753</t>
  </si>
  <si>
    <t>0070792753</t>
  </si>
  <si>
    <t>Hernández</t>
  </si>
  <si>
    <t>Aracena</t>
  </si>
  <si>
    <t>Roberto Jesús</t>
  </si>
  <si>
    <t>Hernández Aracena Roberto Jesús</t>
  </si>
  <si>
    <t>37741175</t>
  </si>
  <si>
    <t>0037741175</t>
  </si>
  <si>
    <t>Ponce</t>
  </si>
  <si>
    <t>Roberto Amador</t>
  </si>
  <si>
    <t>Hernández Ponce Roberto Amador</t>
  </si>
  <si>
    <t>31949866</t>
  </si>
  <si>
    <t>0031949866</t>
  </si>
  <si>
    <t>Rosa Angélica</t>
  </si>
  <si>
    <t>Herrera Espinoza Rosa Angélica</t>
  </si>
  <si>
    <t>126326262</t>
  </si>
  <si>
    <t>0126326262</t>
  </si>
  <si>
    <t>108457198</t>
  </si>
  <si>
    <t>T5120 Prof.Especialista En Educ.Diferenc.</t>
  </si>
  <si>
    <t>Jeldres</t>
  </si>
  <si>
    <t>Juan Francisco</t>
  </si>
  <si>
    <t>Herrera Jeldres Juan Francisco</t>
  </si>
  <si>
    <t>94875870</t>
  </si>
  <si>
    <t>0094875870</t>
  </si>
  <si>
    <t>139626222</t>
  </si>
  <si>
    <t>Veas</t>
  </si>
  <si>
    <t>Juan Alberto</t>
  </si>
  <si>
    <t>Herrera Veas Juan Alberto</t>
  </si>
  <si>
    <t>99428465</t>
  </si>
  <si>
    <t>0099428465</t>
  </si>
  <si>
    <t>Parodi</t>
  </si>
  <si>
    <t>Marion Alejandra</t>
  </si>
  <si>
    <t>Inostroza Parodi Marion Alejandra</t>
  </si>
  <si>
    <t>136788728</t>
  </si>
  <si>
    <t>0136788728</t>
  </si>
  <si>
    <t>Inzunza</t>
  </si>
  <si>
    <t>Higueras</t>
  </si>
  <si>
    <t>Jorge Luis</t>
  </si>
  <si>
    <t>Inzunza Higueras Jorge Luis</t>
  </si>
  <si>
    <t>129592745</t>
  </si>
  <si>
    <t>0129592745</t>
  </si>
  <si>
    <t>Université Paris X</t>
  </si>
  <si>
    <t>Iribarren</t>
  </si>
  <si>
    <t>Stubing</t>
  </si>
  <si>
    <t>Rosa Elena Julia</t>
  </si>
  <si>
    <t>Iribarren Stubing Rosa Elena Julia</t>
  </si>
  <si>
    <t>61019308</t>
  </si>
  <si>
    <t>0061019308</t>
  </si>
  <si>
    <t>114847054</t>
  </si>
  <si>
    <t>Rogelio Adolfo</t>
  </si>
  <si>
    <t>Isla Pérez Rogelio Adolfo</t>
  </si>
  <si>
    <t>72579003</t>
  </si>
  <si>
    <t>0072579003</t>
  </si>
  <si>
    <t>Iturriaga</t>
  </si>
  <si>
    <t>Moya</t>
  </si>
  <si>
    <t>Juan Edmundo</t>
  </si>
  <si>
    <t>Iturriaga Moya Juan Edmundo</t>
  </si>
  <si>
    <t>36304782</t>
  </si>
  <si>
    <t>0036304782</t>
  </si>
  <si>
    <t>Iturrieta</t>
  </si>
  <si>
    <t>Silvia Ester</t>
  </si>
  <si>
    <t>Iturrieta Torres Silvia Ester</t>
  </si>
  <si>
    <t>50320545</t>
  </si>
  <si>
    <t>0050320545</t>
  </si>
  <si>
    <t>Ivanovic-Zuvic</t>
  </si>
  <si>
    <t>Ramírez</t>
  </si>
  <si>
    <t>Fernando Vicente</t>
  </si>
  <si>
    <t>Ivanovic-Zuvic Ramírez Fernando Vicente</t>
  </si>
  <si>
    <t>53250769</t>
  </si>
  <si>
    <t>0053250769</t>
  </si>
  <si>
    <t>Izaurieta</t>
  </si>
  <si>
    <t>San Juan</t>
  </si>
  <si>
    <t>Roberto José</t>
  </si>
  <si>
    <t>Izaurieta San Juan Roberto José</t>
  </si>
  <si>
    <t>58643831</t>
  </si>
  <si>
    <t>0058643831</t>
  </si>
  <si>
    <t>P0100 Sin Grado</t>
  </si>
  <si>
    <t>T8005 Cartógrafo</t>
  </si>
  <si>
    <t>Instituto Profesional De Santiago</t>
  </si>
  <si>
    <t>Jackson</t>
  </si>
  <si>
    <t>Donald Guillermo</t>
  </si>
  <si>
    <t>Jackson Squella Donald Guillermo</t>
  </si>
  <si>
    <t>86861968</t>
  </si>
  <si>
    <t>0086861968</t>
  </si>
  <si>
    <t>Lagos</t>
  </si>
  <si>
    <t>Jiménez Lagos Gustavo Adolfo</t>
  </si>
  <si>
    <t>52215374</t>
  </si>
  <si>
    <t>0052215374</t>
  </si>
  <si>
    <t>Michaelis</t>
  </si>
  <si>
    <t>Alejandro James</t>
  </si>
  <si>
    <t>Jiménez Michaelis Alejandro James</t>
  </si>
  <si>
    <t>58911925</t>
  </si>
  <si>
    <t>0058911925</t>
  </si>
  <si>
    <t>Francisco Andrés</t>
  </si>
  <si>
    <t>Jiménez Parodi Francisco Andrés</t>
  </si>
  <si>
    <t>154216960</t>
  </si>
  <si>
    <t>0154216960</t>
  </si>
  <si>
    <t>141319213</t>
  </si>
  <si>
    <t>University of Toronto</t>
  </si>
  <si>
    <t>105453558</t>
  </si>
  <si>
    <t>140455563</t>
  </si>
  <si>
    <t>004047 Investigador(a) Postdoctoral</t>
  </si>
  <si>
    <t>A11 Investigador(a) Postdoctoral</t>
  </si>
  <si>
    <t>Tamara Gabriela</t>
  </si>
  <si>
    <t>Jorquera Álvarez Tamara Gabriela</t>
  </si>
  <si>
    <t>167494048</t>
  </si>
  <si>
    <t>0167494048</t>
  </si>
  <si>
    <t>Kaltwasser</t>
  </si>
  <si>
    <t>Passig</t>
  </si>
  <si>
    <t>Jorge Oscar</t>
  </si>
  <si>
    <t>Kaltwasser Passig Jorge Oscar</t>
  </si>
  <si>
    <t>10956358</t>
  </si>
  <si>
    <t>0010956358</t>
  </si>
  <si>
    <t>Kardonsky</t>
  </si>
  <si>
    <t>Cohn</t>
  </si>
  <si>
    <t>Kardonsky Cohn Vera</t>
  </si>
  <si>
    <t>28516088</t>
  </si>
  <si>
    <t>0028516088</t>
  </si>
  <si>
    <t>Kovalskys</t>
  </si>
  <si>
    <t>Szvarc</t>
  </si>
  <si>
    <t>Juana</t>
  </si>
  <si>
    <t>Kovalskys Szvarc Juana</t>
  </si>
  <si>
    <t>43558242</t>
  </si>
  <si>
    <t>0043558242</t>
  </si>
  <si>
    <t>Kramp</t>
  </si>
  <si>
    <t>Denegri</t>
  </si>
  <si>
    <t>Uwe Arthur</t>
  </si>
  <si>
    <t>Kramp Denegri Uwe Arthur</t>
  </si>
  <si>
    <t>009384050K</t>
  </si>
  <si>
    <t>Universidad de Barcelona</t>
  </si>
  <si>
    <t>Krapivka</t>
  </si>
  <si>
    <t>Sebastián Alejandro</t>
  </si>
  <si>
    <t>Krapivka Flores Sebastián Alejandro</t>
  </si>
  <si>
    <t>103282357</t>
  </si>
  <si>
    <t>0103282357</t>
  </si>
  <si>
    <t>P0863 Magister En Ciencias Biologicas</t>
  </si>
  <si>
    <t>T5302 Licenciado en Ciencias Biologicas</t>
  </si>
  <si>
    <t>T1009 Biologica</t>
  </si>
  <si>
    <t>Universität Hamburg, Hamburg</t>
  </si>
  <si>
    <t>2 Alemán/a</t>
  </si>
  <si>
    <t>Kusanovic</t>
  </si>
  <si>
    <t>Galleguillos</t>
  </si>
  <si>
    <t>Kusanovic Galleguillos Jorge Antonio</t>
  </si>
  <si>
    <t>83930667</t>
  </si>
  <si>
    <t>0083930667</t>
  </si>
  <si>
    <t>136884522</t>
  </si>
  <si>
    <t>Labra</t>
  </si>
  <si>
    <t>Sprohnle</t>
  </si>
  <si>
    <t>Fabián Arnaldo</t>
  </si>
  <si>
    <t>Labra Sprohnle Fabián Arnaldo</t>
  </si>
  <si>
    <t>009024485K</t>
  </si>
  <si>
    <t>54472900</t>
  </si>
  <si>
    <t>Landabur</t>
  </si>
  <si>
    <t>Rodrigo Antonio</t>
  </si>
  <si>
    <t>Landabur Ayala Rodrigo Antonio</t>
  </si>
  <si>
    <t>014091035K</t>
  </si>
  <si>
    <t>universidad autonoma madrid</t>
  </si>
  <si>
    <t>Sergio Antonio</t>
  </si>
  <si>
    <t>Lara Cisternas Sergio Antonio</t>
  </si>
  <si>
    <t>88393295</t>
  </si>
  <si>
    <t>0088393295</t>
  </si>
  <si>
    <t>Universidad Central</t>
  </si>
  <si>
    <t>Larotonda</t>
  </si>
  <si>
    <t>Dinardi</t>
  </si>
  <si>
    <t>Christian Augusto</t>
  </si>
  <si>
    <t>Larotonda Dinardi Christian Augusto</t>
  </si>
  <si>
    <t>146159915</t>
  </si>
  <si>
    <t>0146159915</t>
  </si>
  <si>
    <t>T5099 Profesor De Filosofia</t>
  </si>
  <si>
    <t>Universidad del Salvador</t>
  </si>
  <si>
    <t>Larraín</t>
  </si>
  <si>
    <t>Heiremans</t>
  </si>
  <si>
    <t>Larraín Heiremans María Soledad</t>
  </si>
  <si>
    <t>56631089</t>
  </si>
  <si>
    <t>0056631089</t>
  </si>
  <si>
    <t>Universidad Catolica Cardenal Raúl Silva Heníquez</t>
  </si>
  <si>
    <t>Peroldo</t>
  </si>
  <si>
    <t>Larrea Peroldo Miguel Angel</t>
  </si>
  <si>
    <t>60006385</t>
  </si>
  <si>
    <t>0060006385</t>
  </si>
  <si>
    <t>Lastra</t>
  </si>
  <si>
    <t>Maritza Lucrecia</t>
  </si>
  <si>
    <t>Lastra Bravo Maritza Lucrecia</t>
  </si>
  <si>
    <t>91558041</t>
  </si>
  <si>
    <t>0091558041</t>
  </si>
  <si>
    <t>Lastra Torres Sonia</t>
  </si>
  <si>
    <t>61072772</t>
  </si>
  <si>
    <t>0061072772</t>
  </si>
  <si>
    <t>T5117 Prof.De Educ.Gral.Bas.En Matematica</t>
  </si>
  <si>
    <t>Gaete</t>
  </si>
  <si>
    <t>Latorre Gaete Enrique Eduardo</t>
  </si>
  <si>
    <t>30674758</t>
  </si>
  <si>
    <t>0030674758</t>
  </si>
  <si>
    <t>Lavados</t>
  </si>
  <si>
    <t>Montes</t>
  </si>
  <si>
    <t>Carmen Marcela</t>
  </si>
  <si>
    <t>Lavados Montes Carmen Marcela</t>
  </si>
  <si>
    <t>83863927</t>
  </si>
  <si>
    <t>0083863927</t>
  </si>
  <si>
    <t>Universidad Catolica De La Santisima Concepcion</t>
  </si>
  <si>
    <t>Lavanchy</t>
  </si>
  <si>
    <t>Ávila</t>
  </si>
  <si>
    <t>Ernesto Enrique</t>
  </si>
  <si>
    <t>Lavanchy Ávila Ernesto Enrique</t>
  </si>
  <si>
    <t>36840080</t>
  </si>
  <si>
    <t>0036840080</t>
  </si>
  <si>
    <t>71923665</t>
  </si>
  <si>
    <t>Lecaros</t>
  </si>
  <si>
    <t>Astrid Lucía</t>
  </si>
  <si>
    <t>Lecaros Pino Astrid Lucía</t>
  </si>
  <si>
    <t>59399578</t>
  </si>
  <si>
    <t>0059399578</t>
  </si>
  <si>
    <t>103770750</t>
  </si>
  <si>
    <t>Lemp</t>
  </si>
  <si>
    <t>Urzúa</t>
  </si>
  <si>
    <t>Cecilia Mariana</t>
  </si>
  <si>
    <t>Lemp Urzúa Cecilia Mariana</t>
  </si>
  <si>
    <t>128447989</t>
  </si>
  <si>
    <t>0128447989</t>
  </si>
  <si>
    <t>T8167 Licenciada en Arte con Mención en Restauración</t>
  </si>
  <si>
    <t>Lepe</t>
  </si>
  <si>
    <t>Yasna Marcela</t>
  </si>
  <si>
    <t>Lepe Saldías Yasna Marcela</t>
  </si>
  <si>
    <t>107939865</t>
  </si>
  <si>
    <t>0107939865</t>
  </si>
  <si>
    <t>T5365 Profesor Especializado en Danza</t>
  </si>
  <si>
    <t>Letelier</t>
  </si>
  <si>
    <t>Vial</t>
  </si>
  <si>
    <t>María del Rosario</t>
  </si>
  <si>
    <t>Letelier Vial María del Rosario</t>
  </si>
  <si>
    <t>55019959</t>
  </si>
  <si>
    <t>0055019959</t>
  </si>
  <si>
    <t>135507822</t>
  </si>
  <si>
    <t>Andrés Osvaldo</t>
  </si>
  <si>
    <t>Llanos Silva Andrés Osvaldo</t>
  </si>
  <si>
    <t>74161103</t>
  </si>
  <si>
    <t>0074161103</t>
  </si>
  <si>
    <t>Llaña</t>
  </si>
  <si>
    <t>Mena</t>
  </si>
  <si>
    <t>Mónica Elena</t>
  </si>
  <si>
    <t>Llaña Mena Mónica Elena</t>
  </si>
  <si>
    <t>41034130</t>
  </si>
  <si>
    <t>0041034130</t>
  </si>
  <si>
    <t>Lolas</t>
  </si>
  <si>
    <t>Nazrala</t>
  </si>
  <si>
    <t>Mercedes</t>
  </si>
  <si>
    <t>Lolas Nazrala Mercedes</t>
  </si>
  <si>
    <t>21327255</t>
  </si>
  <si>
    <t>0021327255</t>
  </si>
  <si>
    <t>12090901 Escuela de Postgrado</t>
  </si>
  <si>
    <t>Stepke</t>
  </si>
  <si>
    <t>Víctor Fernando</t>
  </si>
  <si>
    <t>Lolas Stepke Víctor Fernando</t>
  </si>
  <si>
    <t>53990622</t>
  </si>
  <si>
    <t>0053990622</t>
  </si>
  <si>
    <t>76457573</t>
  </si>
  <si>
    <t>T5053 Licenciado en Fisica</t>
  </si>
  <si>
    <t>124547768</t>
  </si>
  <si>
    <t>del Pino</t>
  </si>
  <si>
    <t>Jorge Edmundo</t>
  </si>
  <si>
    <t>López del Pino Jorge Edmundo</t>
  </si>
  <si>
    <t>94881994</t>
  </si>
  <si>
    <t>0094881994</t>
  </si>
  <si>
    <t>Hucke</t>
  </si>
  <si>
    <t>Edmundo Luciano Oscar</t>
  </si>
  <si>
    <t>López Hucke Edmundo Luciano Oscar</t>
  </si>
  <si>
    <t>D Función Docente</t>
  </si>
  <si>
    <t>36390328</t>
  </si>
  <si>
    <t>0036390328</t>
  </si>
  <si>
    <t>Universidad Catolica De Lovaina</t>
  </si>
  <si>
    <t>T5232 Administrador De Empresas</t>
  </si>
  <si>
    <t>U. CATÓLICA</t>
  </si>
  <si>
    <t>Lopéz</t>
  </si>
  <si>
    <t>Lazaro</t>
  </si>
  <si>
    <t>Lopéz Lazaro Sandra</t>
  </si>
  <si>
    <t>255206532</t>
  </si>
  <si>
    <t>0255206532</t>
  </si>
  <si>
    <t>Universidad de Granada</t>
  </si>
  <si>
    <t>T5332 Licenciado en Historia</t>
  </si>
  <si>
    <t>Universidad de Alcalá</t>
  </si>
  <si>
    <t>Luis Héctor</t>
  </si>
  <si>
    <t>López Mena Luis Héctor</t>
  </si>
  <si>
    <t>52566428</t>
  </si>
  <si>
    <t>0052566428</t>
  </si>
  <si>
    <t>Mendoza</t>
  </si>
  <si>
    <t>Patricio Gonzalo</t>
  </si>
  <si>
    <t>López Mendoza Patricio Gonzalo</t>
  </si>
  <si>
    <t>130841848</t>
  </si>
  <si>
    <t>0130841848</t>
  </si>
  <si>
    <t>Ricardo Arturo</t>
  </si>
  <si>
    <t>López Pérez Ricardo Arturo</t>
  </si>
  <si>
    <t>60673659</t>
  </si>
  <si>
    <t>0060673659</t>
  </si>
  <si>
    <t>Lozano Medina Ricardo Antonio</t>
  </si>
  <si>
    <t>116327465</t>
  </si>
  <si>
    <t>0116327465</t>
  </si>
  <si>
    <t>Universidad Blas Cañas</t>
  </si>
  <si>
    <t>Luzoro</t>
  </si>
  <si>
    <t>Jorge Pancracio</t>
  </si>
  <si>
    <t>Luzoro García Jorge Pancracio</t>
  </si>
  <si>
    <t>50804445</t>
  </si>
  <si>
    <t>0050804445</t>
  </si>
  <si>
    <t>Hugo Alfonso</t>
  </si>
  <si>
    <t>Madariaga Díaz Hugo Alfonso</t>
  </si>
  <si>
    <t>46018044</t>
  </si>
  <si>
    <t>0046018044</t>
  </si>
  <si>
    <t>101461718</t>
  </si>
  <si>
    <t>83424656</t>
  </si>
  <si>
    <t>Instituto Profesional De Providencia</t>
  </si>
  <si>
    <t>84308994</t>
  </si>
  <si>
    <t>T5238 Biologo</t>
  </si>
  <si>
    <t>Universidad Estatal de Jarkov</t>
  </si>
  <si>
    <t>90345877</t>
  </si>
  <si>
    <t>Martínez</t>
  </si>
  <si>
    <t>Gabriel Andrés</t>
  </si>
  <si>
    <t>Martínez Miranda Gabriel Andrés</t>
  </si>
  <si>
    <t>015384142K</t>
  </si>
  <si>
    <t>Ravanal</t>
  </si>
  <si>
    <t>Víctor Manuel</t>
  </si>
  <si>
    <t>Martínez Ravanal Víctor Manuel</t>
  </si>
  <si>
    <t>52935563</t>
  </si>
  <si>
    <t>0052935563</t>
  </si>
  <si>
    <t>Ribes</t>
  </si>
  <si>
    <t>Antonio Jesus</t>
  </si>
  <si>
    <t>Martínez Ribes Antonio Jesus</t>
  </si>
  <si>
    <t>145394074</t>
  </si>
  <si>
    <t>0145394074</t>
  </si>
  <si>
    <t>Martinic</t>
  </si>
  <si>
    <t>Valencia</t>
  </si>
  <si>
    <t>Martinic Valencia Sergio</t>
  </si>
  <si>
    <t>58972789</t>
  </si>
  <si>
    <t>0058972789</t>
  </si>
  <si>
    <t>Massone</t>
  </si>
  <si>
    <t>Mezzano</t>
  </si>
  <si>
    <t>Claudio</t>
  </si>
  <si>
    <t>Massone Mezzano Claudio</t>
  </si>
  <si>
    <t>53287174</t>
  </si>
  <si>
    <t>0053287174</t>
  </si>
  <si>
    <t>Mauricio</t>
  </si>
  <si>
    <t>Massone Mezzano Mauricio</t>
  </si>
  <si>
    <t>64123688</t>
  </si>
  <si>
    <t>0064123688</t>
  </si>
  <si>
    <t>Maturana</t>
  </si>
  <si>
    <t>Carlos Horacio</t>
  </si>
  <si>
    <t>Maturana Miranda Carlos Horacio</t>
  </si>
  <si>
    <t>41021020</t>
  </si>
  <si>
    <t>0041021020</t>
  </si>
  <si>
    <t>Romesin</t>
  </si>
  <si>
    <t>Humberto Augusto</t>
  </si>
  <si>
    <t>Maturana Romesin Humberto Augusto</t>
  </si>
  <si>
    <t>29311803</t>
  </si>
  <si>
    <t>0029311803</t>
  </si>
  <si>
    <t>Universidad De Harvard</t>
  </si>
  <si>
    <t>Alejandra Marcela</t>
  </si>
  <si>
    <t>Matus Acuña Alejandra Marcela</t>
  </si>
  <si>
    <t>98632395</t>
  </si>
  <si>
    <t>0098632395</t>
  </si>
  <si>
    <t>P0801 Master En Ciencias</t>
  </si>
  <si>
    <t>Harvard University</t>
  </si>
  <si>
    <t>72771273</t>
  </si>
  <si>
    <t>Mayol</t>
  </si>
  <si>
    <t>Alberto Manfredo</t>
  </si>
  <si>
    <t>Mayol Miranda Alberto Manfredo</t>
  </si>
  <si>
    <t>99048794</t>
  </si>
  <si>
    <t>0099048794</t>
  </si>
  <si>
    <t>Sergio Rodrigo</t>
  </si>
  <si>
    <t>Medina Parra Sergio Rodrigo</t>
  </si>
  <si>
    <t>100479729</t>
  </si>
  <si>
    <t>0100479729</t>
  </si>
  <si>
    <t>Manuel Francisco</t>
  </si>
  <si>
    <t>Mena Larraín Manuel Francisco</t>
  </si>
  <si>
    <t>65575051</t>
  </si>
  <si>
    <t>0065575051</t>
  </si>
  <si>
    <t>Universidad De California</t>
  </si>
  <si>
    <t>Orell</t>
  </si>
  <si>
    <t>Samuel</t>
  </si>
  <si>
    <t>Mena Orell Samuel</t>
  </si>
  <si>
    <t>55756147</t>
  </si>
  <si>
    <t>0055756147</t>
  </si>
  <si>
    <t>97022097</t>
  </si>
  <si>
    <t>Mendez</t>
  </si>
  <si>
    <t>Melgar</t>
  </si>
  <si>
    <t>Cesar Augusto</t>
  </si>
  <si>
    <t>Mendez Melgar Cesar Augusto</t>
  </si>
  <si>
    <t>014458614K</t>
  </si>
  <si>
    <t>37 Peruana</t>
  </si>
  <si>
    <t>Menke</t>
  </si>
  <si>
    <t>Theis</t>
  </si>
  <si>
    <t>Luis</t>
  </si>
  <si>
    <t>Menke Theis Luis</t>
  </si>
  <si>
    <t>31995647</t>
  </si>
  <si>
    <t>0031995647</t>
  </si>
  <si>
    <t>87574105</t>
  </si>
  <si>
    <t>Micheli</t>
  </si>
  <si>
    <t>Micheli Ibáñez Carmen Gloria</t>
  </si>
  <si>
    <t>006551799K</t>
  </si>
  <si>
    <t>84042048</t>
  </si>
  <si>
    <t>Universidad De La Frontera</t>
  </si>
  <si>
    <t>119739586</t>
  </si>
  <si>
    <t>T5110 Profesor De Educ.Gral.Basica</t>
  </si>
  <si>
    <t>Instituto Profesional Luis Galdames</t>
  </si>
  <si>
    <t>133434852</t>
  </si>
  <si>
    <t>Mladinich</t>
  </si>
  <si>
    <t>Alonso</t>
  </si>
  <si>
    <t>Antonio Ramón</t>
  </si>
  <si>
    <t>Mladinich Alonso Antonio Ramón</t>
  </si>
  <si>
    <t>60722676</t>
  </si>
  <si>
    <t>0060722676</t>
  </si>
  <si>
    <t>University of Purdue</t>
  </si>
  <si>
    <t>50144585</t>
  </si>
  <si>
    <t>Moncada</t>
  </si>
  <si>
    <t>Arroyo</t>
  </si>
  <si>
    <t>Laura Adriana</t>
  </si>
  <si>
    <t>Moncada Arroyo Laura Adriana</t>
  </si>
  <si>
    <t>70045486</t>
  </si>
  <si>
    <t>0070045486</t>
  </si>
  <si>
    <t>138309479</t>
  </si>
  <si>
    <t>Saavedra</t>
  </si>
  <si>
    <t>Cecilia Lucía Irma</t>
  </si>
  <si>
    <t>Montero Saavedra Cecilia Lucía Irma</t>
  </si>
  <si>
    <t>47403472</t>
  </si>
  <si>
    <t>0047403472</t>
  </si>
  <si>
    <t>Universidad De Paris</t>
  </si>
  <si>
    <t>104428169</t>
  </si>
  <si>
    <t>Farías</t>
  </si>
  <si>
    <t>Germán Patricio</t>
  </si>
  <si>
    <t>Morales Farías Germán Patricio</t>
  </si>
  <si>
    <t>008327431K</t>
  </si>
  <si>
    <t>Eduardo Javier</t>
  </si>
  <si>
    <t>Morales Morales Eduardo Javier</t>
  </si>
  <si>
    <t>40482059</t>
  </si>
  <si>
    <t>0040482059</t>
  </si>
  <si>
    <t>Héctor  Freddy</t>
  </si>
  <si>
    <t>Morales Morgado Héctor  Freddy</t>
  </si>
  <si>
    <t>91297612</t>
  </si>
  <si>
    <t>Freie Universitat Berlin</t>
  </si>
  <si>
    <t>156399981</t>
  </si>
  <si>
    <t>Jenny Andrea</t>
  </si>
  <si>
    <t>Moreno Romero Jenny Andrea</t>
  </si>
  <si>
    <t>156148091</t>
  </si>
  <si>
    <t>0156148091</t>
  </si>
  <si>
    <t>The University of Nottingham</t>
  </si>
  <si>
    <t>Munizaga</t>
  </si>
  <si>
    <t>Roberto</t>
  </si>
  <si>
    <t>Munizaga Aguirre Roberto</t>
  </si>
  <si>
    <t>4865693</t>
  </si>
  <si>
    <t>Villavicencio</t>
  </si>
  <si>
    <t>Juan Roberto</t>
  </si>
  <si>
    <t>Munizaga Villavicencio Juan Roberto</t>
  </si>
  <si>
    <t>34640521</t>
  </si>
  <si>
    <t>0034640521</t>
  </si>
  <si>
    <t>135462888</t>
  </si>
  <si>
    <t>Chaut</t>
  </si>
  <si>
    <t>Raúl Enrique</t>
  </si>
  <si>
    <t>Muñoz Chaut Raúl Enrique</t>
  </si>
  <si>
    <t>56029990</t>
  </si>
  <si>
    <t>0056029990</t>
  </si>
  <si>
    <t>Luisa Patricia Alejandra</t>
  </si>
  <si>
    <t>Muñoz Salazar Luisa Patricia Alejandra</t>
  </si>
  <si>
    <t>66339041</t>
  </si>
  <si>
    <t>0066339041</t>
  </si>
  <si>
    <t>Universidad De Pennsylvania</t>
  </si>
  <si>
    <t>Medel</t>
  </si>
  <si>
    <t>Carolina Violeta</t>
  </si>
  <si>
    <t>Navarro Medel Carolina Violeta</t>
  </si>
  <si>
    <t>122392619</t>
  </si>
  <si>
    <t>0122392619</t>
  </si>
  <si>
    <t>DEAKIN UNIVERSITY</t>
  </si>
  <si>
    <t>139262816</t>
  </si>
  <si>
    <t>Nazar</t>
  </si>
  <si>
    <t>Víctor Leoncio</t>
  </si>
  <si>
    <t>Nazar Contreras Víctor Leoncio</t>
  </si>
  <si>
    <t>26960444</t>
  </si>
  <si>
    <t>0026960444</t>
  </si>
  <si>
    <t>Marich</t>
  </si>
  <si>
    <t>August Hermann</t>
  </si>
  <si>
    <t>Niemeyer Marich August Hermann</t>
  </si>
  <si>
    <t>47562104</t>
  </si>
  <si>
    <t>0047562104</t>
  </si>
  <si>
    <t>Obach</t>
  </si>
  <si>
    <t>King</t>
  </si>
  <si>
    <t>Alexandra Alice</t>
  </si>
  <si>
    <t>Obach King Alexandra Alice</t>
  </si>
  <si>
    <t>009497688K</t>
  </si>
  <si>
    <t>Ochoa</t>
  </si>
  <si>
    <t>Ballesteros</t>
  </si>
  <si>
    <t>Luis Alberto</t>
  </si>
  <si>
    <t>Ochoa Ballesteros Luis Alberto</t>
  </si>
  <si>
    <t>30865154</t>
  </si>
  <si>
    <t>0030865154</t>
  </si>
  <si>
    <t>104499252</t>
  </si>
  <si>
    <t>157893734</t>
  </si>
  <si>
    <t>Mario Julio</t>
  </si>
  <si>
    <t>Orellana Rodríguez Mario Julio</t>
  </si>
  <si>
    <t>32406815</t>
  </si>
  <si>
    <t>0032406815</t>
  </si>
  <si>
    <t>Sanzana</t>
  </si>
  <si>
    <t>Myriam del Carmen</t>
  </si>
  <si>
    <t>Orellana Sanzana Myriam del Carmen</t>
  </si>
  <si>
    <t>48436927</t>
  </si>
  <si>
    <t>0048436927</t>
  </si>
  <si>
    <t>Orler</t>
  </si>
  <si>
    <t>Hutter</t>
  </si>
  <si>
    <t>Marcela Carola</t>
  </si>
  <si>
    <t>Orler Hutter Marcela Carola</t>
  </si>
  <si>
    <t>146751768</t>
  </si>
  <si>
    <t>0146751768</t>
  </si>
  <si>
    <t>Nelson Rodrigo</t>
  </si>
  <si>
    <t>Ortega Jiménez Nelson Rodrigo</t>
  </si>
  <si>
    <t>105964374</t>
  </si>
  <si>
    <t>0105964374</t>
  </si>
  <si>
    <t>105938403</t>
  </si>
  <si>
    <t>Héctor Hugo</t>
  </si>
  <si>
    <t>Osorio Hernández Héctor Hugo</t>
  </si>
  <si>
    <t>47644054</t>
  </si>
  <si>
    <t>0047644054</t>
  </si>
  <si>
    <t>Lagreze</t>
  </si>
  <si>
    <t>Osorio Lagreze María Cristina</t>
  </si>
  <si>
    <t>34212406</t>
  </si>
  <si>
    <t>0034212406</t>
  </si>
  <si>
    <t>Swears</t>
  </si>
  <si>
    <t>Carlos Joaquín</t>
  </si>
  <si>
    <t>Ossa Swears Carlos Joaquín</t>
  </si>
  <si>
    <t>79309559</t>
  </si>
  <si>
    <t>0079309559</t>
  </si>
  <si>
    <t>T5231 Licenciado En Teoria E Hist.Arte</t>
  </si>
  <si>
    <t>Buljevic</t>
  </si>
  <si>
    <t>Carlos Andrés</t>
  </si>
  <si>
    <t>Ossandón Buljevic Carlos Andrés</t>
  </si>
  <si>
    <t>60455252</t>
  </si>
  <si>
    <t>0060455252</t>
  </si>
  <si>
    <t>Universidad De Gante</t>
  </si>
  <si>
    <t>Otano</t>
  </si>
  <si>
    <t>Garde</t>
  </si>
  <si>
    <t>Rafael</t>
  </si>
  <si>
    <t>Otano Garde Rafael</t>
  </si>
  <si>
    <t>65571455</t>
  </si>
  <si>
    <t>0065571455</t>
  </si>
  <si>
    <t>21 Espanola</t>
  </si>
  <si>
    <t>Otero</t>
  </si>
  <si>
    <t>Bello</t>
  </si>
  <si>
    <t>Edison Hermes</t>
  </si>
  <si>
    <t>Otero Bello Edison Hermes</t>
  </si>
  <si>
    <t>47489253</t>
  </si>
  <si>
    <t>0047489253</t>
  </si>
  <si>
    <t>Oxman</t>
  </si>
  <si>
    <t>Verónica Patricia</t>
  </si>
  <si>
    <t>Oxman Vega Verónica Patricia</t>
  </si>
  <si>
    <t>77458026</t>
  </si>
  <si>
    <t>0077458026</t>
  </si>
  <si>
    <t>Universidad Of New South Wales</t>
  </si>
  <si>
    <t>Padopulos</t>
  </si>
  <si>
    <t>Cameratti</t>
  </si>
  <si>
    <t>Padopulos Cameratti Fernando</t>
  </si>
  <si>
    <t>54353405</t>
  </si>
  <si>
    <t>0054353405</t>
  </si>
  <si>
    <t>Palavicino</t>
  </si>
  <si>
    <t>Vatcky</t>
  </si>
  <si>
    <t>María Angélica</t>
  </si>
  <si>
    <t>Palavicino Vatcky María Angélica</t>
  </si>
  <si>
    <t>004469784K</t>
  </si>
  <si>
    <t>Evelyn Geraldine</t>
  </si>
  <si>
    <t>Palma Flores Evelyn Geraldine</t>
  </si>
  <si>
    <t>134368861</t>
  </si>
  <si>
    <t>0134368861</t>
  </si>
  <si>
    <t>74240674</t>
  </si>
  <si>
    <t>Parada</t>
  </si>
  <si>
    <t>Silvia</t>
  </si>
  <si>
    <t>Parada Ahumada Silvia</t>
  </si>
  <si>
    <t>26385741</t>
  </si>
  <si>
    <t>0026385741</t>
  </si>
  <si>
    <t>Allende</t>
  </si>
  <si>
    <t>Enrique Rafael</t>
  </si>
  <si>
    <t>Parada Allende Enrique Rafael</t>
  </si>
  <si>
    <t>27737765</t>
  </si>
  <si>
    <t>0027737765</t>
  </si>
  <si>
    <t>Pardo</t>
  </si>
  <si>
    <t>Selma del Tránsito</t>
  </si>
  <si>
    <t>Pardo Navarro Selma del Tránsito</t>
  </si>
  <si>
    <t>70119323</t>
  </si>
  <si>
    <t>0070119323</t>
  </si>
  <si>
    <t>T5210 Administrador Publico</t>
  </si>
  <si>
    <t>Paredes</t>
  </si>
  <si>
    <t>Claudio Alejandro</t>
  </si>
  <si>
    <t>Paredes Díaz Claudio Alejandro</t>
  </si>
  <si>
    <t>63677205</t>
  </si>
  <si>
    <t>0063677205</t>
  </si>
  <si>
    <t>T5078 Profesor De Biologia</t>
  </si>
  <si>
    <t>Paredes Merino Rosa Angélica</t>
  </si>
  <si>
    <t>34657807</t>
  </si>
  <si>
    <t>0034657807</t>
  </si>
  <si>
    <t>Sabaj</t>
  </si>
  <si>
    <t>Parra Sabaj María Eugenia</t>
  </si>
  <si>
    <t>48454151</t>
  </si>
  <si>
    <t>0048454151</t>
  </si>
  <si>
    <t>Pavlovic</t>
  </si>
  <si>
    <t>Barbaric</t>
  </si>
  <si>
    <t>Pavlovic Barbaric Daniel Andrés</t>
  </si>
  <si>
    <t>124870984</t>
  </si>
  <si>
    <t>0124870984</t>
  </si>
  <si>
    <t>Pemjean</t>
  </si>
  <si>
    <t>Isabel Alejandra</t>
  </si>
  <si>
    <t>Pemjean Contreras Isabel Alejandra</t>
  </si>
  <si>
    <t>153789061</t>
  </si>
  <si>
    <t>0153789061</t>
  </si>
  <si>
    <t>157608428</t>
  </si>
  <si>
    <t>Perez</t>
  </si>
  <si>
    <t>de los Rios</t>
  </si>
  <si>
    <t>Miriam</t>
  </si>
  <si>
    <t>Perez de los Rios Miriam</t>
  </si>
  <si>
    <t>254191191</t>
  </si>
  <si>
    <t>0254191191</t>
  </si>
  <si>
    <t>UNIV AUTONOMA BARCELONA</t>
  </si>
  <si>
    <t>Fernando Ramón</t>
  </si>
  <si>
    <t>Pérez Fuentes Fernando Ramón</t>
  </si>
  <si>
    <t>004141040K</t>
  </si>
  <si>
    <t>103639077</t>
  </si>
  <si>
    <t>139050150</t>
  </si>
  <si>
    <t>A9A001 ACADEMICO NO EVALUADO</t>
  </si>
  <si>
    <t>No Evaluado</t>
  </si>
  <si>
    <t>A9A No Evaluado</t>
  </si>
  <si>
    <t>Carlos Aurelio</t>
  </si>
  <si>
    <t>Pérez Soto Carlos Aurelio</t>
  </si>
  <si>
    <t>68770254</t>
  </si>
  <si>
    <t>0068770254</t>
  </si>
  <si>
    <t>T5100 Profesor De Fisica</t>
  </si>
  <si>
    <t>93089146</t>
  </si>
  <si>
    <t>Peroni . Andrea</t>
  </si>
  <si>
    <t>144486218</t>
  </si>
  <si>
    <t>T5218 Licenciado en Ciencias</t>
  </si>
  <si>
    <t>Lavín</t>
  </si>
  <si>
    <t>Luz María Gloria</t>
  </si>
  <si>
    <t>Pinto Lavín Luz María Gloria</t>
  </si>
  <si>
    <t>42850535</t>
  </si>
  <si>
    <t>0042850535</t>
  </si>
  <si>
    <t>Santa-Cruz</t>
  </si>
  <si>
    <t>Teresa Vicenta</t>
  </si>
  <si>
    <t>Pinto Santa-Cruz Teresa Vicenta</t>
  </si>
  <si>
    <t>12663986</t>
  </si>
  <si>
    <t>0012663986</t>
  </si>
  <si>
    <t>69728561</t>
  </si>
  <si>
    <t>Pizarro</t>
  </si>
  <si>
    <t>Paulina Alejandra</t>
  </si>
  <si>
    <t>Pizarro Laborda Paulina Alejandra</t>
  </si>
  <si>
    <t>139230523</t>
  </si>
  <si>
    <t>0139230523</t>
  </si>
  <si>
    <t>Marino Aliro</t>
  </si>
  <si>
    <t>Pizarro Pizarro Marino Aliro</t>
  </si>
  <si>
    <t>18680491</t>
  </si>
  <si>
    <t>0018680491</t>
  </si>
  <si>
    <t>Raúl Jesús Enrique</t>
  </si>
  <si>
    <t>Pizarro Sánchez Raúl Jesús Enrique</t>
  </si>
  <si>
    <t>61012281</t>
  </si>
  <si>
    <t>0061012281</t>
  </si>
  <si>
    <t>Universidad De Chicago</t>
  </si>
  <si>
    <t>Patricio Fernando</t>
  </si>
  <si>
    <t>Poblete Zúñiga Patricio Fernando</t>
  </si>
  <si>
    <t>48962475</t>
  </si>
  <si>
    <t>0048962475</t>
  </si>
  <si>
    <t>Politzer</t>
  </si>
  <si>
    <t>Kerekes</t>
  </si>
  <si>
    <t>Patricia Rosa</t>
  </si>
  <si>
    <t>Politzer Kerekes Patricia Rosa</t>
  </si>
  <si>
    <t>60684952</t>
  </si>
  <si>
    <t>0060684952</t>
  </si>
  <si>
    <t>Porre</t>
  </si>
  <si>
    <t>Ibacache</t>
  </si>
  <si>
    <t>Madeleine Marie</t>
  </si>
  <si>
    <t>Porre Ibacache Madeleine Marie</t>
  </si>
  <si>
    <t>153364575</t>
  </si>
  <si>
    <t>0153364575</t>
  </si>
  <si>
    <t>Universidad Adolfo Ibañez</t>
  </si>
  <si>
    <t>Prado</t>
  </si>
  <si>
    <t>Ballester</t>
  </si>
  <si>
    <t>Cristian Orlando</t>
  </si>
  <si>
    <t>Prado Ballester Cristian Orlando</t>
  </si>
  <si>
    <t>103153999</t>
  </si>
  <si>
    <t>0103153999</t>
  </si>
  <si>
    <t>Prenafeta</t>
  </si>
  <si>
    <t>Jenkin</t>
  </si>
  <si>
    <t>Sergio Arturo</t>
  </si>
  <si>
    <t>Prenafeta Jenkin Sergio Arturo</t>
  </si>
  <si>
    <t>34845573</t>
  </si>
  <si>
    <t>0034845573</t>
  </si>
  <si>
    <t>T5080 Profesor Biologia Y Quimica</t>
  </si>
  <si>
    <t>139555384</t>
  </si>
  <si>
    <t>Quaas</t>
  </si>
  <si>
    <t>Fermandois</t>
  </si>
  <si>
    <t>Cecilia Guacolda</t>
  </si>
  <si>
    <t>Quaas Fermandois Cecilia Guacolda</t>
  </si>
  <si>
    <t>55998299</t>
  </si>
  <si>
    <t>0055998299</t>
  </si>
  <si>
    <t>Universidad Rene Descartes</t>
  </si>
  <si>
    <t>Quesille</t>
  </si>
  <si>
    <t>Nicolás Fuad</t>
  </si>
  <si>
    <t>Quesille Sánchez Nicolás Fuad</t>
  </si>
  <si>
    <t>010176754K</t>
  </si>
  <si>
    <t>CARLOS III DE MADRID</t>
  </si>
  <si>
    <t>María Isabel Mercedes</t>
  </si>
  <si>
    <t>Quezada Martínez María Isabel Mercedes</t>
  </si>
  <si>
    <t>38719033</t>
  </si>
  <si>
    <t>0038719033</t>
  </si>
  <si>
    <t>Vanetza  Estela</t>
  </si>
  <si>
    <t>Quezada Scholz Vanetza  Estela</t>
  </si>
  <si>
    <t>104087256</t>
  </si>
  <si>
    <t>153980411</t>
  </si>
  <si>
    <t>Edixon</t>
  </si>
  <si>
    <t>Quiñones Reyes Edixon</t>
  </si>
  <si>
    <t>244846114</t>
  </si>
  <si>
    <t>0244846114</t>
  </si>
  <si>
    <t>Universidad Nacional de Colombia</t>
  </si>
  <si>
    <t>14 Colombiana</t>
  </si>
  <si>
    <t>103227283</t>
  </si>
  <si>
    <t>67435974</t>
  </si>
  <si>
    <t>Valeria Carmen</t>
  </si>
  <si>
    <t>Quiroz Quiroz Valeria Carmen</t>
  </si>
  <si>
    <t>86169835</t>
  </si>
  <si>
    <t>0086169835</t>
  </si>
  <si>
    <t>Quiroz Saavedra Rodrigo Antonio</t>
  </si>
  <si>
    <t>130473598</t>
  </si>
  <si>
    <t>0130473598</t>
  </si>
  <si>
    <t>81974705</t>
  </si>
  <si>
    <t>Radrigán</t>
  </si>
  <si>
    <t>Rubio</t>
  </si>
  <si>
    <t>Mario Hernán</t>
  </si>
  <si>
    <t>Radrigán Rubio Mario Hernán</t>
  </si>
  <si>
    <t>74225926</t>
  </si>
  <si>
    <t>0074225926</t>
  </si>
  <si>
    <t>Rebolledo</t>
  </si>
  <si>
    <t>Rebolledo González María Loreto</t>
  </si>
  <si>
    <t>62713208</t>
  </si>
  <si>
    <t>0062713208</t>
  </si>
  <si>
    <t>UNIVERSIDAD DE BARCELONA</t>
  </si>
  <si>
    <t>Recasens</t>
  </si>
  <si>
    <t>Salvo</t>
  </si>
  <si>
    <t>Andrés Gaspar</t>
  </si>
  <si>
    <t>Recasens Salvo Andrés Gaspar</t>
  </si>
  <si>
    <t>34420467</t>
  </si>
  <si>
    <t>0034420467</t>
  </si>
  <si>
    <t>146199267</t>
  </si>
  <si>
    <t>175362193</t>
  </si>
  <si>
    <t>T5253 Bachelor Of Arts</t>
  </si>
  <si>
    <t>The University Wisconsin Masison</t>
  </si>
  <si>
    <t>134718285</t>
  </si>
  <si>
    <t>125849156</t>
  </si>
  <si>
    <t>Universidad autonoma de Barcelona</t>
  </si>
  <si>
    <t>Carlos Gabriel</t>
  </si>
  <si>
    <t>Reyes Figueroa Carlos Gabriel</t>
  </si>
  <si>
    <t>52588529</t>
  </si>
  <si>
    <t>0052588529</t>
  </si>
  <si>
    <t>Oscar Alfredo</t>
  </si>
  <si>
    <t>Reyes Peña Oscar Alfredo</t>
  </si>
  <si>
    <t>72662237</t>
  </si>
  <si>
    <t>0072662237</t>
  </si>
  <si>
    <t>153127352</t>
  </si>
  <si>
    <t>Tulio Rodrigo</t>
  </si>
  <si>
    <t>Ríos Castro Tulio Rodrigo</t>
  </si>
  <si>
    <t>56716424</t>
  </si>
  <si>
    <t>0056716424</t>
  </si>
  <si>
    <t>Paula</t>
  </si>
  <si>
    <t>Ríos Palma Paula</t>
  </si>
  <si>
    <t>104891594</t>
  </si>
  <si>
    <t>0104891594</t>
  </si>
  <si>
    <t>Teresa Gertrudis</t>
  </si>
  <si>
    <t>Ríos Saavedra Teresa Gertrudis</t>
  </si>
  <si>
    <t>69206484</t>
  </si>
  <si>
    <t>0069206484</t>
  </si>
  <si>
    <t>T5121 Profesor Normalista</t>
  </si>
  <si>
    <t>Arredondo</t>
  </si>
  <si>
    <t>Angélica Alejandra</t>
  </si>
  <si>
    <t>Riquelme Arredondo Angélica Alejandra</t>
  </si>
  <si>
    <t>012436258K</t>
  </si>
  <si>
    <t>Universidad De La Serena</t>
  </si>
  <si>
    <t>Vásquez</t>
  </si>
  <si>
    <t>René Rubén</t>
  </si>
  <si>
    <t>Riquelme Vásquez René Rubén</t>
  </si>
  <si>
    <t>56041532</t>
  </si>
  <si>
    <t>0056041532</t>
  </si>
  <si>
    <t>L'Academia di Psicoterapia della Famiglia</t>
  </si>
  <si>
    <t>Rivera</t>
  </si>
  <si>
    <t>Rosa</t>
  </si>
  <si>
    <t>Miguel Luis</t>
  </si>
  <si>
    <t>Rivera Rosa Miguel Luis</t>
  </si>
  <si>
    <t>68724058</t>
  </si>
  <si>
    <t>0068724058</t>
  </si>
  <si>
    <t>University Of Essex</t>
  </si>
  <si>
    <t>Riveros</t>
  </si>
  <si>
    <t>Luis Alfredo</t>
  </si>
  <si>
    <t>Riveros Cornejo Luis Alfredo</t>
  </si>
  <si>
    <t>60253145</t>
  </si>
  <si>
    <t>0060253145</t>
  </si>
  <si>
    <t>Universidad Tecnica Del Estado</t>
  </si>
  <si>
    <t>Rodríguez de Arroyo Greta Marilyn</t>
  </si>
  <si>
    <t>267956758</t>
  </si>
  <si>
    <t>Universidad Central de Venezuela UCV</t>
  </si>
  <si>
    <t>48 Venezolana</t>
  </si>
  <si>
    <t>María Verónica Josefina</t>
  </si>
  <si>
    <t>Rodríguez Quezada María Verónica Josefina</t>
  </si>
  <si>
    <t>55702438</t>
  </si>
  <si>
    <t>0055702438</t>
  </si>
  <si>
    <t>Rodriguez-Cano</t>
  </si>
  <si>
    <t>Barja</t>
  </si>
  <si>
    <t>Julián</t>
  </si>
  <si>
    <t>Rodriguez-Cano Barja Julián</t>
  </si>
  <si>
    <t>27431240</t>
  </si>
  <si>
    <t>0027431240</t>
  </si>
  <si>
    <t>Universidad De York Toronto</t>
  </si>
  <si>
    <t>Cortez</t>
  </si>
  <si>
    <t>Viviana del Carmen</t>
  </si>
  <si>
    <t>Rojas Cortez Viviana del Carmen</t>
  </si>
  <si>
    <t>65937956</t>
  </si>
  <si>
    <t>0065937956</t>
  </si>
  <si>
    <t>Gorigoitia</t>
  </si>
  <si>
    <t>Monica de las Mercedes</t>
  </si>
  <si>
    <t>Rojas Gorigoitia Monica de las Mercedes</t>
  </si>
  <si>
    <t>005522112K</t>
  </si>
  <si>
    <t>126460694</t>
  </si>
  <si>
    <t>Olea</t>
  </si>
  <si>
    <t>Hugo Antonio</t>
  </si>
  <si>
    <t>Rojas Olea Hugo Antonio</t>
  </si>
  <si>
    <t>65505282</t>
  </si>
  <si>
    <t>0065505282</t>
  </si>
  <si>
    <t>Patuelli</t>
  </si>
  <si>
    <t>Karina Hortensia</t>
  </si>
  <si>
    <t>Rojas Patuelli Karina Hortensia</t>
  </si>
  <si>
    <t>128578196</t>
  </si>
  <si>
    <t>0128578196</t>
  </si>
  <si>
    <t>T5022 Estadistico</t>
  </si>
  <si>
    <t>Romeo</t>
  </si>
  <si>
    <t>Cardone</t>
  </si>
  <si>
    <t>Julia</t>
  </si>
  <si>
    <t>Romeo Cardone Julia</t>
  </si>
  <si>
    <t>40458336</t>
  </si>
  <si>
    <t>0040458336</t>
  </si>
  <si>
    <t>Romieux</t>
  </si>
  <si>
    <t>Olarte</t>
  </si>
  <si>
    <t>Michel Auguste</t>
  </si>
  <si>
    <t>Romieux Olarte Michel Auguste</t>
  </si>
  <si>
    <t>60887462</t>
  </si>
  <si>
    <t>0060887462</t>
  </si>
  <si>
    <t>23 Francesa</t>
  </si>
  <si>
    <t>Romo</t>
  </si>
  <si>
    <t>Marty</t>
  </si>
  <si>
    <t>Marcela Edith</t>
  </si>
  <si>
    <t>Romo Marty Marcela Edith</t>
  </si>
  <si>
    <t>120354019</t>
  </si>
  <si>
    <t>0120354019</t>
  </si>
  <si>
    <t>Carvajal</t>
  </si>
  <si>
    <t>Alejandra Rossana</t>
  </si>
  <si>
    <t>Rossi Carvajal Alejandra Rossana</t>
  </si>
  <si>
    <t>014103765K</t>
  </si>
  <si>
    <t>136711946</t>
  </si>
  <si>
    <t>58909521</t>
  </si>
  <si>
    <t>87212831</t>
  </si>
  <si>
    <t>79359009</t>
  </si>
  <si>
    <t>124748992</t>
  </si>
  <si>
    <t>Ruz</t>
  </si>
  <si>
    <t>Juan Damos</t>
  </si>
  <si>
    <t>Ruz Ruz Juan Damos</t>
  </si>
  <si>
    <t>43011693</t>
  </si>
  <si>
    <t>0043011693</t>
  </si>
  <si>
    <t>Universidad De Lovaina</t>
  </si>
  <si>
    <t>T5101 Profesor De Frances</t>
  </si>
  <si>
    <t>Universidad Católica de Chile</t>
  </si>
  <si>
    <t>Carlos Alberto</t>
  </si>
  <si>
    <t>Saavedra Cerda Carlos Alberto</t>
  </si>
  <si>
    <t>107717846</t>
  </si>
  <si>
    <t>0107717846</t>
  </si>
  <si>
    <t>Livoni</t>
  </si>
  <si>
    <t>María de los Angeles</t>
  </si>
  <si>
    <t>Saavedra Livoni María de los Angeles</t>
  </si>
  <si>
    <t>003982888K</t>
  </si>
  <si>
    <t>Universidad De Tales</t>
  </si>
  <si>
    <t>43 Suiza</t>
  </si>
  <si>
    <t>Sadler</t>
  </si>
  <si>
    <t>Spencer</t>
  </si>
  <si>
    <t>María Michelle</t>
  </si>
  <si>
    <t>Sadler Spencer María Michelle</t>
  </si>
  <si>
    <t>86343258</t>
  </si>
  <si>
    <t>0086343258</t>
  </si>
  <si>
    <t>University Of Oxford</t>
  </si>
  <si>
    <t>Salamanca</t>
  </si>
  <si>
    <t>Jorge Fernando</t>
  </si>
  <si>
    <t>Salamanca Osorio Jorge Fernando</t>
  </si>
  <si>
    <t>005734749K</t>
  </si>
  <si>
    <t>124562228</t>
  </si>
  <si>
    <t>163274418</t>
  </si>
  <si>
    <t>Salinas Castro Juan Carlos</t>
  </si>
  <si>
    <t>102203453</t>
  </si>
  <si>
    <t>0102203453</t>
  </si>
  <si>
    <t>T5018 Dentista</t>
  </si>
  <si>
    <t>Maria  Isabel Andrea</t>
  </si>
  <si>
    <t>Salinas Chaud Maria  Isabel Andrea</t>
  </si>
  <si>
    <t>94949270</t>
  </si>
  <si>
    <t>Enríquez</t>
  </si>
  <si>
    <t>Germán José</t>
  </si>
  <si>
    <t>San Martín Enríquez Germán José</t>
  </si>
  <si>
    <t>60256020</t>
  </si>
  <si>
    <t>0060256020</t>
  </si>
  <si>
    <t>San Martín Espinoza María Angélica</t>
  </si>
  <si>
    <t>59884018</t>
  </si>
  <si>
    <t>0059884018</t>
  </si>
  <si>
    <t>Cabezas</t>
  </si>
  <si>
    <t>Gilberto</t>
  </si>
  <si>
    <t>Sánchez Cabezas Gilberto</t>
  </si>
  <si>
    <t>41256087</t>
  </si>
  <si>
    <t>0041256087</t>
  </si>
  <si>
    <t>Universidad De Budapest</t>
  </si>
  <si>
    <t>HUNGRIA</t>
  </si>
  <si>
    <t>Edgardo Rodrigo</t>
  </si>
  <si>
    <t>Sánchez Edmonson Edgardo Rodrigo</t>
  </si>
  <si>
    <t>93069064</t>
  </si>
  <si>
    <t>Walter Delfín</t>
  </si>
  <si>
    <t>Sánchez González Walter Delfín</t>
  </si>
  <si>
    <t>005179463K</t>
  </si>
  <si>
    <t>Universidad De Notre Dame</t>
  </si>
  <si>
    <t>Rodrigo Eduardo Ramón</t>
  </si>
  <si>
    <t>Sánchez Romero Rodrigo Eduardo Ramón</t>
  </si>
  <si>
    <t>103627397</t>
  </si>
  <si>
    <t>0103627397</t>
  </si>
  <si>
    <t>Sandoval</t>
  </si>
  <si>
    <t>Mario Waldo</t>
  </si>
  <si>
    <t>Sandoval Manríquez Mario Waldo</t>
  </si>
  <si>
    <t>68970040</t>
  </si>
  <si>
    <t>0068970040</t>
  </si>
  <si>
    <t>125238122</t>
  </si>
  <si>
    <t>Olivares</t>
  </si>
  <si>
    <t>Guillermo Enrique</t>
  </si>
  <si>
    <t>Sanhueza Olivares Guillermo Enrique</t>
  </si>
  <si>
    <t>136956728</t>
  </si>
  <si>
    <t>0136956728</t>
  </si>
  <si>
    <t>The University of Michigan</t>
  </si>
  <si>
    <t>155096772</t>
  </si>
  <si>
    <t>83578793</t>
  </si>
  <si>
    <t>Santa Cruz</t>
  </si>
  <si>
    <t>Achurra</t>
  </si>
  <si>
    <t>Eduardo Luis Mario</t>
  </si>
  <si>
    <t>Santa Cruz Achurra Eduardo Luis Mario</t>
  </si>
  <si>
    <t>52230470</t>
  </si>
  <si>
    <t>0052230470</t>
  </si>
  <si>
    <t>Santa Cruz López Juan Antonio</t>
  </si>
  <si>
    <t>69545599</t>
  </si>
  <si>
    <t>0069545599</t>
  </si>
  <si>
    <t>Santibáñez</t>
  </si>
  <si>
    <t>Hidalgo</t>
  </si>
  <si>
    <t>Guy José</t>
  </si>
  <si>
    <t>Santibáñez Hidalgo Guy José</t>
  </si>
  <si>
    <t>27728618</t>
  </si>
  <si>
    <t>0027728618</t>
  </si>
  <si>
    <t>Dimas Carlos</t>
  </si>
  <si>
    <t>Santibáñez Yáñez Dimas Carlos</t>
  </si>
  <si>
    <t>010620862K</t>
  </si>
  <si>
    <t>Universidad Computense de Madrid</t>
  </si>
  <si>
    <t>Rodolfo Jorge  Patricio</t>
  </si>
  <si>
    <t>Sapiains Arrué Rodolfo Jorge  Patricio</t>
  </si>
  <si>
    <t>86394413</t>
  </si>
  <si>
    <t>Sassenfeld</t>
  </si>
  <si>
    <t>Andre Michel</t>
  </si>
  <si>
    <t>Sassenfeld Jorquera Andre Michel</t>
  </si>
  <si>
    <t>153216649</t>
  </si>
  <si>
    <t>0153216649</t>
  </si>
  <si>
    <t>Sasso</t>
  </si>
  <si>
    <t>Carmen Ilse</t>
  </si>
  <si>
    <t>Sasso Olivares Carmen Ilse</t>
  </si>
  <si>
    <t>48548652</t>
  </si>
  <si>
    <t>0048548652</t>
  </si>
  <si>
    <t>102596331</t>
  </si>
  <si>
    <t>Segovia</t>
  </si>
  <si>
    <t>Eduardo Segundo</t>
  </si>
  <si>
    <t>Segovia Marchant Eduardo Segundo</t>
  </si>
  <si>
    <t>53667058</t>
  </si>
  <si>
    <t>0053667058</t>
  </si>
  <si>
    <t>Galeas</t>
  </si>
  <si>
    <t>Mauricio Alejandro</t>
  </si>
  <si>
    <t>Sepúlveda Galeas Mauricio Alejandro</t>
  </si>
  <si>
    <t>106004161</t>
  </si>
  <si>
    <t>0106004161</t>
  </si>
  <si>
    <t>Universitat Rovira I Virgili</t>
  </si>
  <si>
    <t>Hilda Erika</t>
  </si>
  <si>
    <t>Sepúlveda Ramírez Hilda Erika</t>
  </si>
  <si>
    <t>005019096K</t>
  </si>
  <si>
    <t>María Gabriela del Carmen</t>
  </si>
  <si>
    <t>Sepúlveda Ramírez María Gabriela del Carmen</t>
  </si>
  <si>
    <t>53124798</t>
  </si>
  <si>
    <t>0053124798</t>
  </si>
  <si>
    <t>Massari</t>
  </si>
  <si>
    <t>María Virginia</t>
  </si>
  <si>
    <t>Seyler Massari María Virginia</t>
  </si>
  <si>
    <t>65978377</t>
  </si>
  <si>
    <t>0065978377</t>
  </si>
  <si>
    <t>Shomaly</t>
  </si>
  <si>
    <t>Khashram</t>
  </si>
  <si>
    <t>Denise Ellen</t>
  </si>
  <si>
    <t>Shomaly Khashram Denise Ellen</t>
  </si>
  <si>
    <t>85321099</t>
  </si>
  <si>
    <t>0085321099</t>
  </si>
  <si>
    <t>64332295</t>
  </si>
  <si>
    <t>Negrete</t>
  </si>
  <si>
    <t>Ramón Leonardo</t>
  </si>
  <si>
    <t>Silva Negrete Ramón Leonardo</t>
  </si>
  <si>
    <t>43389920</t>
  </si>
  <si>
    <t>0043389920</t>
  </si>
  <si>
    <t>Skewes</t>
  </si>
  <si>
    <t>Vodanovic</t>
  </si>
  <si>
    <t>Skewes Vodanovic Juan Carlos</t>
  </si>
  <si>
    <t>60869359</t>
  </si>
  <si>
    <t>0060869359</t>
  </si>
  <si>
    <t>Skoknic</t>
  </si>
  <si>
    <t>Cvitanic</t>
  </si>
  <si>
    <t>Vania Antonia</t>
  </si>
  <si>
    <t>Skoknic Cvitanic Vania Antonia</t>
  </si>
  <si>
    <t>58951080</t>
  </si>
  <si>
    <t>0058951080</t>
  </si>
  <si>
    <t>101060527</t>
  </si>
  <si>
    <t>Guillermo Andrés</t>
  </si>
  <si>
    <t>Soto Vergara Guillermo Andrés</t>
  </si>
  <si>
    <t>009083245K</t>
  </si>
  <si>
    <t>Universidad de Valladolid</t>
  </si>
  <si>
    <t>T5059 Licenciado en Letras</t>
  </si>
  <si>
    <t>Soza</t>
  </si>
  <si>
    <t>Montiel</t>
  </si>
  <si>
    <t>Nelson Julio</t>
  </si>
  <si>
    <t>Soza Montiel Nelson Julio</t>
  </si>
  <si>
    <t>61802665</t>
  </si>
  <si>
    <t>0061802665</t>
  </si>
  <si>
    <t>Stehberg</t>
  </si>
  <si>
    <t>Landsberger</t>
  </si>
  <si>
    <t>Rubén Federico</t>
  </si>
  <si>
    <t>Stehberg Landsberger Rubén Federico</t>
  </si>
  <si>
    <t>58905976</t>
  </si>
  <si>
    <t>0058905976</t>
  </si>
  <si>
    <t>Steil</t>
  </si>
  <si>
    <t>Velozo</t>
  </si>
  <si>
    <t>Willy Walter</t>
  </si>
  <si>
    <t>Steil Velozo Willy Walter</t>
  </si>
  <si>
    <t>63742376</t>
  </si>
  <si>
    <t>0063742376</t>
  </si>
  <si>
    <t>Sunkel</t>
  </si>
  <si>
    <t>Cariola</t>
  </si>
  <si>
    <t>Juan Guillermo</t>
  </si>
  <si>
    <t>Sunkel Cariola Juan Guillermo</t>
  </si>
  <si>
    <t>73203597</t>
  </si>
  <si>
    <t>0073203597</t>
  </si>
  <si>
    <t>Silvia Carolina</t>
  </si>
  <si>
    <t>Tapia Donoso Silvia Carolina</t>
  </si>
  <si>
    <t>132725195</t>
  </si>
  <si>
    <t>0132725195</t>
  </si>
  <si>
    <t>Téllez</t>
  </si>
  <si>
    <t>Lugaro</t>
  </si>
  <si>
    <t>Eduardo Raimundo</t>
  </si>
  <si>
    <t>Téllez Lugaro Eduardo Raimundo</t>
  </si>
  <si>
    <t>73590884</t>
  </si>
  <si>
    <t>0073590884</t>
  </si>
  <si>
    <t>Thomas</t>
  </si>
  <si>
    <t>Winter</t>
  </si>
  <si>
    <t>Carlos María</t>
  </si>
  <si>
    <t>Thomas Winter Carlos María</t>
  </si>
  <si>
    <t>38041541</t>
  </si>
  <si>
    <t>0038041541</t>
  </si>
  <si>
    <t>85130927</t>
  </si>
  <si>
    <t>Universidad París 8</t>
  </si>
  <si>
    <t>Titelman</t>
  </si>
  <si>
    <t>Titelman Kardonsky Sandra</t>
  </si>
  <si>
    <t>68906571</t>
  </si>
  <si>
    <t>0068906571</t>
  </si>
  <si>
    <t>Universidad Catolica Washington</t>
  </si>
  <si>
    <t>Torrales</t>
  </si>
  <si>
    <t>Daniel Ildefonso</t>
  </si>
  <si>
    <t>Torrales Aguirre Daniel Ildefonso</t>
  </si>
  <si>
    <t>68277418</t>
  </si>
  <si>
    <t>0068277418</t>
  </si>
  <si>
    <t>107190066</t>
  </si>
  <si>
    <t>Osvaldo Ignacio</t>
  </si>
  <si>
    <t>Torres Gutiérrez Osvaldo Ignacio</t>
  </si>
  <si>
    <t>63212385</t>
  </si>
  <si>
    <t>0063212385</t>
  </si>
  <si>
    <t>Emilio Rodrigo</t>
  </si>
  <si>
    <t>Torres Rojas Emilio Rodrigo</t>
  </si>
  <si>
    <t>96154100</t>
  </si>
  <si>
    <t>0096154100</t>
  </si>
  <si>
    <t>124861071</t>
  </si>
  <si>
    <t>179495899</t>
  </si>
  <si>
    <t>Truffello</t>
  </si>
  <si>
    <t>Camponovo</t>
  </si>
  <si>
    <t>Irene Cecilia María</t>
  </si>
  <si>
    <t>Truffello Camponovo Irene Cecilia María</t>
  </si>
  <si>
    <t>41011556</t>
  </si>
  <si>
    <t>0041011556</t>
  </si>
  <si>
    <t>Tudela</t>
  </si>
  <si>
    <t>Patricio Hernán</t>
  </si>
  <si>
    <t>Tudela Poblete Patricio Hernán</t>
  </si>
  <si>
    <t>86551985</t>
  </si>
  <si>
    <t>0086551985</t>
  </si>
  <si>
    <t>Universidad De Bonn</t>
  </si>
  <si>
    <t>Undurraga</t>
  </si>
  <si>
    <t>Ignacio Urbano</t>
  </si>
  <si>
    <t>Undurraga Chacón Ignacio Urbano</t>
  </si>
  <si>
    <t>62771585</t>
  </si>
  <si>
    <t>0062771585</t>
  </si>
  <si>
    <t>Unger</t>
  </si>
  <si>
    <t>Georg Heinz</t>
  </si>
  <si>
    <t>Unger Vergara Georg Heinz</t>
  </si>
  <si>
    <t>92598969</t>
  </si>
  <si>
    <t>0092598969</t>
  </si>
  <si>
    <t>97499195</t>
  </si>
  <si>
    <t>105376529</t>
  </si>
  <si>
    <t>102838270</t>
  </si>
  <si>
    <t>Urrejola</t>
  </si>
  <si>
    <t>Dittborn</t>
  </si>
  <si>
    <t>Urrejola Dittborn Carlos</t>
  </si>
  <si>
    <t>37107085</t>
  </si>
  <si>
    <t>0037107085</t>
  </si>
  <si>
    <t>Universidad De Oxford</t>
  </si>
  <si>
    <t>104433537</t>
  </si>
  <si>
    <t>Schwartz</t>
  </si>
  <si>
    <t>Carlos Rafael Jorge</t>
  </si>
  <si>
    <t>Urrutia Schwartz Carlos Rafael Jorge</t>
  </si>
  <si>
    <t>41069643</t>
  </si>
  <si>
    <t>0041069643</t>
  </si>
  <si>
    <t>Escuela Superior De Estudiso De Mark</t>
  </si>
  <si>
    <t>Frademann</t>
  </si>
  <si>
    <t>Raúl Ricardo</t>
  </si>
  <si>
    <t>Urzúa Frademann Raúl Ricardo</t>
  </si>
  <si>
    <t>31238668</t>
  </si>
  <si>
    <t>0031238668</t>
  </si>
  <si>
    <t>68711495</t>
  </si>
  <si>
    <t>Ibarra</t>
  </si>
  <si>
    <t>Sergio Patricio</t>
  </si>
  <si>
    <t>Valenzuela Ibarra Sergio Patricio</t>
  </si>
  <si>
    <t>141430661</t>
  </si>
  <si>
    <t>0141430661</t>
  </si>
  <si>
    <t>Luis Bernardo</t>
  </si>
  <si>
    <t>Valenzuela Rojas Luis Bernardo</t>
  </si>
  <si>
    <t>00984531</t>
  </si>
  <si>
    <t>0000984531</t>
  </si>
  <si>
    <t>Varela</t>
  </si>
  <si>
    <t>Andrés Fernando</t>
  </si>
  <si>
    <t>Varela García Andrés Fernando</t>
  </si>
  <si>
    <t>41056975</t>
  </si>
  <si>
    <t>0041056975</t>
  </si>
  <si>
    <t>T5025 Ingeniero Civil</t>
  </si>
  <si>
    <t>Lola Carmen</t>
  </si>
  <si>
    <t>Vargas Gaete Lola Carmen</t>
  </si>
  <si>
    <t>003064509K</t>
  </si>
  <si>
    <t>Alexis Eduardo</t>
  </si>
  <si>
    <t>Vásquez Henríquez Alexis Eduardo</t>
  </si>
  <si>
    <t>76990875</t>
  </si>
  <si>
    <t>0076990875</t>
  </si>
  <si>
    <t>Vivar</t>
  </si>
  <si>
    <t>Carolina Alejandra</t>
  </si>
  <si>
    <t>Vásquez Vivar Carolina Alejandra</t>
  </si>
  <si>
    <t>105513291</t>
  </si>
  <si>
    <t>0105513291</t>
  </si>
  <si>
    <t>Galvez-Rivas</t>
  </si>
  <si>
    <t>Jorge Alfonso Federico</t>
  </si>
  <si>
    <t>Vega Galvez-Rivas Jorge Alfonso Federico</t>
  </si>
  <si>
    <t>69873812</t>
  </si>
  <si>
    <t>0069873812</t>
  </si>
  <si>
    <t>Veglia</t>
  </si>
  <si>
    <t>Quintana</t>
  </si>
  <si>
    <t>María Luisa</t>
  </si>
  <si>
    <t>Veglia Quintana María Luisa</t>
  </si>
  <si>
    <t>85274600</t>
  </si>
  <si>
    <t>0085274600</t>
  </si>
  <si>
    <t>Véliz</t>
  </si>
  <si>
    <t>Córdova</t>
  </si>
  <si>
    <t>Soledad del Carmen</t>
  </si>
  <si>
    <t>Véliz Córdova Soledad del Carmen</t>
  </si>
  <si>
    <t>153780471</t>
  </si>
  <si>
    <t>0153780471</t>
  </si>
  <si>
    <t>Anglia Ruskin University</t>
  </si>
  <si>
    <t>Venegas</t>
  </si>
  <si>
    <t>Carlos Sócrates</t>
  </si>
  <si>
    <t>Venegas Díaz Carlos Sócrates</t>
  </si>
  <si>
    <t>56605541</t>
  </si>
  <si>
    <t>0056605541</t>
  </si>
  <si>
    <t>Meigg</t>
  </si>
  <si>
    <t>David Alberto Sergio Enrique</t>
  </si>
  <si>
    <t>Vera Meigg David Alberto Sergio Enrique</t>
  </si>
  <si>
    <t>43386190</t>
  </si>
  <si>
    <t>0043386190</t>
  </si>
  <si>
    <t>T5345 Realizador Cinematografico</t>
  </si>
  <si>
    <t>Vera Pavez Juan Ignacio</t>
  </si>
  <si>
    <t>135484504</t>
  </si>
  <si>
    <t>0135484504</t>
  </si>
  <si>
    <t>48858201</t>
  </si>
  <si>
    <t>124707706</t>
  </si>
  <si>
    <t>Kaulen</t>
  </si>
  <si>
    <t>Sebastián Ignacio</t>
  </si>
  <si>
    <t>Vidal Kaulen Sebastián Ignacio</t>
  </si>
  <si>
    <t>130286380</t>
  </si>
  <si>
    <t>0130286380</t>
  </si>
  <si>
    <t>109059919</t>
  </si>
  <si>
    <t>Héctor Arturo</t>
  </si>
  <si>
    <t>Vidal Mora Héctor Arturo</t>
  </si>
  <si>
    <t>77793771</t>
  </si>
  <si>
    <t>0077793771</t>
  </si>
  <si>
    <t>T5014 Contador Auditor</t>
  </si>
  <si>
    <t>Manuel Santiago</t>
  </si>
  <si>
    <t>Vidal Muñoz Manuel Santiago</t>
  </si>
  <si>
    <t>64041700</t>
  </si>
  <si>
    <t>0064041700</t>
  </si>
  <si>
    <t>Márquez</t>
  </si>
  <si>
    <t>Rogelio Arturo</t>
  </si>
  <si>
    <t>Vilches Márquez Rogelio Arturo</t>
  </si>
  <si>
    <t>88316207</t>
  </si>
  <si>
    <t>0088316207</t>
  </si>
  <si>
    <t>Liliana Isabel</t>
  </si>
  <si>
    <t>Vilches Seguel Liliana Isabel</t>
  </si>
  <si>
    <t>62071982</t>
  </si>
  <si>
    <t>0062071982</t>
  </si>
  <si>
    <t>116253399</t>
  </si>
  <si>
    <t>Villablanca</t>
  </si>
  <si>
    <t>Zurita</t>
  </si>
  <si>
    <t>Hernán Sergio</t>
  </si>
  <si>
    <t>Villablanca Zurita Hernán Sergio</t>
  </si>
  <si>
    <t>26846331</t>
  </si>
  <si>
    <t>0026846331</t>
  </si>
  <si>
    <t>Universidad De Belgrado</t>
  </si>
  <si>
    <t>YUGOSLAVIA</t>
  </si>
  <si>
    <t>132397546</t>
  </si>
  <si>
    <t>Villarroel</t>
  </si>
  <si>
    <t>Ilic</t>
  </si>
  <si>
    <t>Leonardo Rodrigo</t>
  </si>
  <si>
    <t>Villarroel Ilic Leonardo Rodrigo</t>
  </si>
  <si>
    <t>36156228</t>
  </si>
  <si>
    <t>0036156228</t>
  </si>
  <si>
    <t>Vivanco</t>
  </si>
  <si>
    <t>Manuel Antonio</t>
  </si>
  <si>
    <t>Vivanco Arancibia Manuel Antonio</t>
  </si>
  <si>
    <t>52010349</t>
  </si>
  <si>
    <t>0052010349</t>
  </si>
  <si>
    <t>Viveros</t>
  </si>
  <si>
    <t>Licer Roger</t>
  </si>
  <si>
    <t>Viveros Cerda Licer Roger</t>
  </si>
  <si>
    <t>32758118</t>
  </si>
  <si>
    <t>0032758118</t>
  </si>
  <si>
    <t>Waiser</t>
  </si>
  <si>
    <t>Palombo</t>
  </si>
  <si>
    <t>Myriam</t>
  </si>
  <si>
    <t>Waiser Palombo Myriam</t>
  </si>
  <si>
    <t>49435819</t>
  </si>
  <si>
    <t>0049435819</t>
  </si>
  <si>
    <t>Weinstein</t>
  </si>
  <si>
    <t>Eugenia Ruth</t>
  </si>
  <si>
    <t>Weinstein Aranda Eugenia Ruth</t>
  </si>
  <si>
    <t>51995201</t>
  </si>
  <si>
    <t>0051995201</t>
  </si>
  <si>
    <t>Universidad De Desarrollo</t>
  </si>
  <si>
    <t>Weisner</t>
  </si>
  <si>
    <t>Horowitz</t>
  </si>
  <si>
    <t>Mónica</t>
  </si>
  <si>
    <t>Weisner Horowitz Mónica</t>
  </si>
  <si>
    <t>42822302</t>
  </si>
  <si>
    <t>0042822302</t>
  </si>
  <si>
    <t>Wenk</t>
  </si>
  <si>
    <t>Wehmeyer</t>
  </si>
  <si>
    <t>Elisabeth Anna Margarete</t>
  </si>
  <si>
    <t>Wenk Wehmeyer Elisabeth Anna Margarete</t>
  </si>
  <si>
    <t>47782864</t>
  </si>
  <si>
    <t>0047782864</t>
  </si>
  <si>
    <t>Wertheim</t>
  </si>
  <si>
    <t>Rotman</t>
  </si>
  <si>
    <t>Lilian Isabel</t>
  </si>
  <si>
    <t>Wertheim Rotman Lilian Isabel</t>
  </si>
  <si>
    <t>66811662</t>
  </si>
  <si>
    <t>0066811662</t>
  </si>
  <si>
    <t>92136531</t>
  </si>
  <si>
    <t>Galecio</t>
  </si>
  <si>
    <t>Jaime César</t>
  </si>
  <si>
    <t>Yáñez Galecio Jaime César</t>
  </si>
  <si>
    <t>96037414</t>
  </si>
  <si>
    <t>0096037414</t>
  </si>
  <si>
    <t>57467576</t>
  </si>
  <si>
    <t>45030326</t>
  </si>
  <si>
    <t>116300109</t>
  </si>
  <si>
    <t>120056271</t>
  </si>
  <si>
    <t>Zemelman</t>
  </si>
  <si>
    <t>Hugo Hernán</t>
  </si>
  <si>
    <t>Zemelman Merino Hugo Hernán</t>
  </si>
  <si>
    <t>20832193</t>
  </si>
  <si>
    <t>0020832193</t>
  </si>
  <si>
    <t>Zeran</t>
  </si>
  <si>
    <t>Chelech</t>
  </si>
  <si>
    <t>Alia Faride</t>
  </si>
  <si>
    <t>Zeran Chelech Alia Faride</t>
  </si>
  <si>
    <t>62682558</t>
  </si>
  <si>
    <t>0062682558</t>
  </si>
  <si>
    <t>Zlachevsky</t>
  </si>
  <si>
    <t>Ojeda</t>
  </si>
  <si>
    <t>Zlachevsky Ojeda Ana María</t>
  </si>
  <si>
    <t>28575696</t>
  </si>
  <si>
    <t>0028575696</t>
  </si>
  <si>
    <t>123322134</t>
  </si>
  <si>
    <t/>
  </si>
  <si>
    <t>CARGO</t>
  </si>
  <si>
    <t>ESCALAFON</t>
  </si>
  <si>
    <t>EST_CIVIL</t>
  </si>
  <si>
    <t>NIVEL_EDU</t>
  </si>
  <si>
    <t>RUT_NORM</t>
  </si>
  <si>
    <t>TITULO</t>
  </si>
  <si>
    <t>select * from l_cont_ppto</t>
  </si>
  <si>
    <t>VIGENCIA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</si>
</sst>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/m/yyyy"/>
  </numFmts>
  <fonts count="5">
    <font>
      <sz val="11.0"/>
      <color rgb="FF000000"/>
      <name val="Aptos Narrow"/>
      <scheme val="minor"/>
    </font>
    <font>
      <color theme="1"/>
      <name val="Aptos Narrow"/>
      <scheme val="minor"/>
    </font>
    <font>
      <sz val="11.0"/>
      <color rgb="FF000000"/>
      <name val="Aptos Narrow"/>
    </font>
    <font>
      <sz val="11.0"/>
      <color theme="1"/>
      <name val="Dialog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49" xfId="0" applyFont="1" applyNumberFormat="1"/>
    <xf borderId="0" fillId="0" fontId="1" numFmtId="165" xfId="0" applyFont="1" applyNumberFormat="1"/>
    <xf borderId="0" fillId="2" fontId="1" numFmtId="0" xfId="0" applyFill="1" applyFont="1"/>
    <xf borderId="0" fillId="2" fontId="1" numFmtId="165" xfId="0" applyFont="1" applyNumberFormat="1"/>
    <xf borderId="0" fillId="2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9.13"/>
    <col customWidth="1" min="6" max="6" width="24.5"/>
    <col customWidth="1" min="7" max="7" width="40.13"/>
    <col customWidth="1" min="8" max="16" width="9.13"/>
    <col customWidth="1" min="17" max="17" width="30.38"/>
    <col customWidth="1" min="18" max="26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2">
        <v>15849.0</v>
      </c>
      <c r="I2" s="3">
        <v>82.0</v>
      </c>
      <c r="J2" s="1" t="s">
        <v>31</v>
      </c>
      <c r="K2" s="1" t="s">
        <v>32</v>
      </c>
      <c r="L2" s="1" t="s">
        <v>33</v>
      </c>
      <c r="M2" s="1" t="s">
        <v>34</v>
      </c>
      <c r="N2" s="2">
        <v>34409.0</v>
      </c>
      <c r="O2" s="2">
        <v>24198.0</v>
      </c>
      <c r="P2" s="1" t="s">
        <v>35</v>
      </c>
      <c r="Q2" s="1" t="s">
        <v>36</v>
      </c>
      <c r="R2" s="2">
        <v>42186.0</v>
      </c>
      <c r="S2" s="2">
        <v>73050.0</v>
      </c>
      <c r="U2" s="3">
        <v>44.0</v>
      </c>
      <c r="V2" s="2">
        <v>25860.0</v>
      </c>
      <c r="W2" s="1" t="s">
        <v>37</v>
      </c>
      <c r="X2" s="1" t="s">
        <v>38</v>
      </c>
    </row>
    <row r="3">
      <c r="A3" s="1" t="s">
        <v>39</v>
      </c>
      <c r="B3" s="1" t="s">
        <v>40</v>
      </c>
      <c r="C3" s="1" t="s">
        <v>26</v>
      </c>
      <c r="D3" s="1" t="s">
        <v>41</v>
      </c>
      <c r="E3" s="1" t="s">
        <v>42</v>
      </c>
      <c r="F3" s="1" t="s">
        <v>43</v>
      </c>
      <c r="G3" s="1" t="s">
        <v>44</v>
      </c>
      <c r="H3" s="2">
        <v>16141.0</v>
      </c>
      <c r="I3" s="3">
        <v>81.0</v>
      </c>
      <c r="J3" s="1" t="s">
        <v>31</v>
      </c>
      <c r="K3" s="1" t="s">
        <v>32</v>
      </c>
      <c r="L3" s="1" t="s">
        <v>45</v>
      </c>
      <c r="M3" s="1" t="s">
        <v>46</v>
      </c>
      <c r="N3" s="2">
        <v>38883.0</v>
      </c>
      <c r="O3" s="2">
        <v>24532.0</v>
      </c>
      <c r="P3" s="1" t="s">
        <v>35</v>
      </c>
      <c r="Q3" s="1" t="s">
        <v>47</v>
      </c>
      <c r="R3" s="2">
        <v>42186.0</v>
      </c>
      <c r="S3" s="2">
        <v>73050.0</v>
      </c>
      <c r="T3" s="1" t="s">
        <v>48</v>
      </c>
      <c r="U3" s="3">
        <v>12.0</v>
      </c>
      <c r="V3" s="2">
        <v>38687.0</v>
      </c>
      <c r="W3" s="1" t="s">
        <v>49</v>
      </c>
      <c r="X3" s="1" t="s">
        <v>38</v>
      </c>
    </row>
    <row r="4">
      <c r="A4" s="1" t="s">
        <v>24</v>
      </c>
      <c r="B4" s="1" t="s">
        <v>25</v>
      </c>
      <c r="C4" s="1" t="s">
        <v>26</v>
      </c>
      <c r="D4" s="1" t="s">
        <v>50</v>
      </c>
      <c r="E4" s="1" t="s">
        <v>51</v>
      </c>
      <c r="F4" s="1" t="s">
        <v>52</v>
      </c>
      <c r="G4" s="1" t="s">
        <v>53</v>
      </c>
      <c r="H4" s="2">
        <v>14874.0</v>
      </c>
      <c r="I4" s="3">
        <v>85.0</v>
      </c>
      <c r="J4" s="1" t="s">
        <v>31</v>
      </c>
      <c r="K4" s="1" t="s">
        <v>32</v>
      </c>
      <c r="L4" s="1" t="s">
        <v>54</v>
      </c>
      <c r="M4" s="1" t="s">
        <v>55</v>
      </c>
      <c r="N4" s="2">
        <v>41185.0</v>
      </c>
      <c r="O4" s="2">
        <v>24777.0</v>
      </c>
      <c r="P4" s="1" t="s">
        <v>35</v>
      </c>
      <c r="Q4" s="1" t="s">
        <v>56</v>
      </c>
      <c r="R4" s="2">
        <v>42186.0</v>
      </c>
      <c r="S4" s="2">
        <v>73050.0</v>
      </c>
      <c r="T4" s="1" t="s">
        <v>57</v>
      </c>
      <c r="U4" s="3">
        <v>44.0</v>
      </c>
      <c r="V4" s="2">
        <v>24054.0</v>
      </c>
      <c r="W4" s="1" t="s">
        <v>58</v>
      </c>
      <c r="X4" s="1" t="s">
        <v>59</v>
      </c>
    </row>
    <row r="5">
      <c r="A5" s="1" t="s">
        <v>60</v>
      </c>
      <c r="B5" s="1" t="s">
        <v>61</v>
      </c>
      <c r="C5" s="1" t="s">
        <v>26</v>
      </c>
      <c r="D5" s="1" t="s">
        <v>62</v>
      </c>
      <c r="E5" s="1" t="s">
        <v>63</v>
      </c>
      <c r="F5" s="1" t="s">
        <v>64</v>
      </c>
      <c r="G5" s="1" t="s">
        <v>65</v>
      </c>
      <c r="H5" s="2">
        <v>17489.0</v>
      </c>
      <c r="I5" s="3">
        <v>78.0</v>
      </c>
      <c r="J5" s="1" t="s">
        <v>66</v>
      </c>
      <c r="K5" s="1" t="s">
        <v>32</v>
      </c>
      <c r="L5" s="1" t="s">
        <v>67</v>
      </c>
      <c r="N5" s="2">
        <v>42228.0</v>
      </c>
      <c r="O5" s="2">
        <v>25082.0</v>
      </c>
      <c r="P5" s="1" t="s">
        <v>35</v>
      </c>
      <c r="Q5" s="1" t="s">
        <v>68</v>
      </c>
      <c r="R5" s="2">
        <v>45658.0</v>
      </c>
      <c r="S5" s="2">
        <v>46022.0</v>
      </c>
      <c r="T5" s="1" t="s">
        <v>69</v>
      </c>
      <c r="U5" s="3">
        <v>21.0</v>
      </c>
    </row>
    <row r="6">
      <c r="A6" s="1" t="s">
        <v>60</v>
      </c>
      <c r="B6" s="1" t="s">
        <v>40</v>
      </c>
      <c r="C6" s="1" t="s">
        <v>26</v>
      </c>
      <c r="D6" s="1" t="s">
        <v>70</v>
      </c>
      <c r="E6" s="1" t="s">
        <v>71</v>
      </c>
      <c r="F6" s="1" t="s">
        <v>72</v>
      </c>
      <c r="G6" s="1" t="s">
        <v>73</v>
      </c>
      <c r="H6" s="2">
        <v>16705.0</v>
      </c>
      <c r="I6" s="3">
        <v>80.0</v>
      </c>
      <c r="J6" s="1" t="s">
        <v>31</v>
      </c>
      <c r="K6" s="1" t="s">
        <v>32</v>
      </c>
      <c r="L6" s="1" t="s">
        <v>74</v>
      </c>
      <c r="M6" s="1" t="s">
        <v>34</v>
      </c>
      <c r="N6" s="2">
        <v>40534.0</v>
      </c>
      <c r="O6" s="2">
        <v>25082.0</v>
      </c>
      <c r="P6" s="1" t="s">
        <v>35</v>
      </c>
      <c r="Q6" s="1" t="s">
        <v>75</v>
      </c>
      <c r="R6" s="2">
        <v>42186.0</v>
      </c>
      <c r="S6" s="2">
        <v>73050.0</v>
      </c>
      <c r="U6" s="3">
        <v>22.0</v>
      </c>
      <c r="V6" s="2">
        <v>30681.0</v>
      </c>
      <c r="W6" s="1" t="s">
        <v>76</v>
      </c>
      <c r="X6" s="1" t="s">
        <v>77</v>
      </c>
    </row>
    <row r="7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2">
        <v>19035.0</v>
      </c>
      <c r="I7" s="3">
        <v>73.0</v>
      </c>
      <c r="J7" s="1" t="s">
        <v>31</v>
      </c>
      <c r="K7" s="1" t="s">
        <v>32</v>
      </c>
      <c r="L7" s="1" t="s">
        <v>85</v>
      </c>
      <c r="M7" s="1" t="s">
        <v>34</v>
      </c>
      <c r="N7" s="2">
        <v>40198.0</v>
      </c>
      <c r="O7" s="2">
        <v>28126.0</v>
      </c>
      <c r="P7" s="1" t="s">
        <v>35</v>
      </c>
      <c r="Q7" s="1" t="s">
        <v>86</v>
      </c>
      <c r="R7" s="2">
        <v>42186.0</v>
      </c>
      <c r="S7" s="2">
        <v>73050.0</v>
      </c>
      <c r="T7" s="1" t="s">
        <v>87</v>
      </c>
      <c r="U7" s="3">
        <v>22.0</v>
      </c>
      <c r="V7" s="2">
        <v>36234.0</v>
      </c>
      <c r="W7" s="1" t="s">
        <v>88</v>
      </c>
      <c r="X7" s="1" t="s">
        <v>89</v>
      </c>
    </row>
    <row r="8">
      <c r="A8" s="1" t="s">
        <v>78</v>
      </c>
      <c r="B8" s="1" t="s">
        <v>25</v>
      </c>
      <c r="C8" s="1" t="s">
        <v>26</v>
      </c>
      <c r="D8" s="1" t="s">
        <v>90</v>
      </c>
      <c r="E8" s="1" t="s">
        <v>91</v>
      </c>
      <c r="F8" s="1" t="s">
        <v>92</v>
      </c>
      <c r="G8" s="1" t="s">
        <v>93</v>
      </c>
      <c r="H8" s="2">
        <v>19712.0</v>
      </c>
      <c r="I8" s="3">
        <v>72.0</v>
      </c>
      <c r="J8" s="1" t="s">
        <v>31</v>
      </c>
      <c r="K8" s="1" t="s">
        <v>32</v>
      </c>
      <c r="L8" s="1" t="s">
        <v>94</v>
      </c>
      <c r="M8" s="1" t="s">
        <v>34</v>
      </c>
      <c r="N8" s="2">
        <v>38231.0</v>
      </c>
      <c r="O8" s="2">
        <v>28126.0</v>
      </c>
      <c r="P8" s="1" t="s">
        <v>35</v>
      </c>
      <c r="Q8" s="1" t="s">
        <v>95</v>
      </c>
      <c r="R8" s="2">
        <v>42186.0</v>
      </c>
      <c r="S8" s="2">
        <v>73050.0</v>
      </c>
      <c r="T8" s="1" t="s">
        <v>96</v>
      </c>
      <c r="U8" s="3">
        <v>44.0</v>
      </c>
      <c r="V8" s="2">
        <v>32142.0</v>
      </c>
      <c r="W8" s="1" t="s">
        <v>97</v>
      </c>
      <c r="X8" s="1" t="s">
        <v>98</v>
      </c>
    </row>
    <row r="9">
      <c r="A9" s="1" t="s">
        <v>78</v>
      </c>
      <c r="B9" s="1" t="s">
        <v>99</v>
      </c>
      <c r="C9" s="1" t="s">
        <v>80</v>
      </c>
      <c r="D9" s="1" t="s">
        <v>100</v>
      </c>
      <c r="E9" s="1" t="s">
        <v>101</v>
      </c>
      <c r="F9" s="1" t="s">
        <v>102</v>
      </c>
      <c r="G9" s="1" t="s">
        <v>103</v>
      </c>
      <c r="H9" s="2">
        <v>17891.0</v>
      </c>
      <c r="I9" s="3">
        <v>77.0</v>
      </c>
      <c r="J9" s="1" t="s">
        <v>104</v>
      </c>
      <c r="K9" s="1" t="s">
        <v>32</v>
      </c>
      <c r="L9" s="1" t="s">
        <v>105</v>
      </c>
      <c r="M9" s="1" t="s">
        <v>106</v>
      </c>
      <c r="N9" s="2">
        <v>33353.0</v>
      </c>
      <c r="O9" s="2">
        <v>28185.0</v>
      </c>
      <c r="P9" s="1" t="s">
        <v>35</v>
      </c>
      <c r="Q9" s="1" t="s">
        <v>107</v>
      </c>
      <c r="R9" s="2">
        <v>45658.0</v>
      </c>
      <c r="S9" s="2">
        <v>46022.0</v>
      </c>
      <c r="T9" s="1" t="s">
        <v>108</v>
      </c>
      <c r="U9" s="3">
        <v>6.0</v>
      </c>
      <c r="V9" s="2">
        <v>31412.0</v>
      </c>
      <c r="W9" s="1" t="s">
        <v>58</v>
      </c>
      <c r="X9" s="1" t="s">
        <v>59</v>
      </c>
    </row>
    <row r="10">
      <c r="A10" s="1" t="s">
        <v>78</v>
      </c>
      <c r="B10" s="1" t="s">
        <v>109</v>
      </c>
      <c r="C10" s="1" t="s">
        <v>26</v>
      </c>
      <c r="D10" s="1" t="s">
        <v>110</v>
      </c>
      <c r="E10" s="1" t="s">
        <v>111</v>
      </c>
      <c r="F10" s="1" t="s">
        <v>112</v>
      </c>
      <c r="G10" s="1" t="s">
        <v>113</v>
      </c>
      <c r="H10" s="2">
        <v>19745.0</v>
      </c>
      <c r="I10" s="3">
        <v>71.0</v>
      </c>
      <c r="J10" s="1" t="s">
        <v>31</v>
      </c>
      <c r="K10" s="1" t="s">
        <v>32</v>
      </c>
      <c r="L10" s="1" t="s">
        <v>114</v>
      </c>
      <c r="N10" s="2">
        <v>31230.0</v>
      </c>
      <c r="O10" s="2">
        <v>28946.0</v>
      </c>
      <c r="P10" s="1" t="s">
        <v>35</v>
      </c>
      <c r="Q10" s="1" t="s">
        <v>115</v>
      </c>
      <c r="R10" s="2">
        <v>42186.0</v>
      </c>
      <c r="S10" s="2">
        <v>73050.0</v>
      </c>
      <c r="U10" s="3">
        <v>12.0</v>
      </c>
    </row>
    <row r="11">
      <c r="A11" s="1" t="s">
        <v>78</v>
      </c>
      <c r="B11" s="1" t="s">
        <v>25</v>
      </c>
      <c r="C11" s="1" t="s">
        <v>80</v>
      </c>
      <c r="D11" s="1" t="s">
        <v>116</v>
      </c>
      <c r="E11" s="1" t="s">
        <v>117</v>
      </c>
      <c r="F11" s="1" t="s">
        <v>118</v>
      </c>
      <c r="G11" s="1" t="s">
        <v>119</v>
      </c>
      <c r="H11" s="2">
        <v>19825.0</v>
      </c>
      <c r="I11" s="3">
        <v>71.0</v>
      </c>
      <c r="J11" s="1" t="s">
        <v>31</v>
      </c>
      <c r="K11" s="1" t="s">
        <v>32</v>
      </c>
      <c r="L11" s="1" t="s">
        <v>120</v>
      </c>
      <c r="M11" s="1" t="s">
        <v>55</v>
      </c>
      <c r="N11" s="2">
        <v>40163.0</v>
      </c>
      <c r="O11" s="2">
        <v>29007.0</v>
      </c>
      <c r="P11" s="1" t="s">
        <v>35</v>
      </c>
      <c r="Q11" s="1" t="s">
        <v>121</v>
      </c>
      <c r="R11" s="2">
        <v>42186.0</v>
      </c>
      <c r="S11" s="2">
        <v>73050.0</v>
      </c>
      <c r="T11" s="1" t="s">
        <v>122</v>
      </c>
      <c r="U11" s="3">
        <v>44.0</v>
      </c>
      <c r="V11" s="2">
        <v>29139.0</v>
      </c>
      <c r="W11" s="1" t="s">
        <v>58</v>
      </c>
      <c r="X11" s="1" t="s">
        <v>59</v>
      </c>
    </row>
    <row r="12">
      <c r="A12" s="1" t="s">
        <v>78</v>
      </c>
      <c r="B12" s="1" t="s">
        <v>99</v>
      </c>
      <c r="C12" s="1" t="s">
        <v>26</v>
      </c>
      <c r="D12" s="1" t="s">
        <v>123</v>
      </c>
      <c r="E12" s="1" t="s">
        <v>124</v>
      </c>
      <c r="F12" s="1" t="s">
        <v>125</v>
      </c>
      <c r="G12" s="1" t="s">
        <v>126</v>
      </c>
      <c r="H12" s="2">
        <v>18549.0</v>
      </c>
      <c r="I12" s="3">
        <v>75.0</v>
      </c>
      <c r="J12" s="1" t="s">
        <v>31</v>
      </c>
      <c r="K12" s="1" t="s">
        <v>32</v>
      </c>
      <c r="L12" s="1" t="s">
        <v>127</v>
      </c>
      <c r="M12" s="1" t="s">
        <v>55</v>
      </c>
      <c r="N12" s="2">
        <v>40282.0</v>
      </c>
      <c r="O12" s="2">
        <v>29007.0</v>
      </c>
      <c r="P12" s="1" t="s">
        <v>35</v>
      </c>
      <c r="Q12" s="1" t="s">
        <v>128</v>
      </c>
      <c r="R12" s="2">
        <v>42186.0</v>
      </c>
      <c r="S12" s="2">
        <v>73050.0</v>
      </c>
      <c r="U12" s="3">
        <v>44.0</v>
      </c>
      <c r="V12" s="2">
        <v>36179.0</v>
      </c>
      <c r="W12" s="1" t="s">
        <v>58</v>
      </c>
      <c r="X12" s="1" t="s">
        <v>59</v>
      </c>
    </row>
    <row r="13">
      <c r="A13" s="1" t="s">
        <v>39</v>
      </c>
      <c r="B13" s="1" t="s">
        <v>61</v>
      </c>
      <c r="C13" s="1" t="s">
        <v>26</v>
      </c>
      <c r="D13" s="1" t="s">
        <v>63</v>
      </c>
      <c r="E13" s="1" t="s">
        <v>129</v>
      </c>
      <c r="F13" s="1" t="s">
        <v>130</v>
      </c>
      <c r="G13" s="1" t="s">
        <v>131</v>
      </c>
      <c r="H13" s="2">
        <v>18722.0</v>
      </c>
      <c r="I13" s="3">
        <v>74.0</v>
      </c>
      <c r="J13" s="1" t="s">
        <v>104</v>
      </c>
      <c r="K13" s="1" t="s">
        <v>32</v>
      </c>
      <c r="L13" s="1" t="s">
        <v>132</v>
      </c>
      <c r="M13" s="1" t="s">
        <v>34</v>
      </c>
      <c r="N13" s="2">
        <v>38910.0</v>
      </c>
      <c r="O13" s="2">
        <v>31929.0</v>
      </c>
      <c r="P13" s="1" t="s">
        <v>35</v>
      </c>
      <c r="Q13" s="1" t="s">
        <v>133</v>
      </c>
      <c r="R13" s="2">
        <v>45658.0</v>
      </c>
      <c r="S13" s="2">
        <v>46022.0</v>
      </c>
      <c r="T13" s="1" t="s">
        <v>134</v>
      </c>
      <c r="U13" s="3">
        <v>2.0</v>
      </c>
      <c r="V13" s="2">
        <v>40891.0</v>
      </c>
      <c r="W13" s="1" t="s">
        <v>135</v>
      </c>
      <c r="X13" s="1" t="s">
        <v>89</v>
      </c>
    </row>
    <row r="14">
      <c r="A14" s="1" t="s">
        <v>60</v>
      </c>
      <c r="B14" s="1" t="s">
        <v>40</v>
      </c>
      <c r="C14" s="1" t="s">
        <v>26</v>
      </c>
      <c r="D14" s="1" t="s">
        <v>136</v>
      </c>
      <c r="E14" s="1" t="s">
        <v>137</v>
      </c>
      <c r="F14" s="1" t="s">
        <v>138</v>
      </c>
      <c r="G14" s="1" t="s">
        <v>139</v>
      </c>
      <c r="H14" s="2">
        <v>18569.0</v>
      </c>
      <c r="I14" s="3">
        <v>75.0</v>
      </c>
      <c r="J14" s="1" t="s">
        <v>31</v>
      </c>
      <c r="K14" s="1" t="s">
        <v>32</v>
      </c>
      <c r="L14" s="1" t="s">
        <v>140</v>
      </c>
      <c r="M14" s="1" t="s">
        <v>34</v>
      </c>
      <c r="N14" s="2">
        <v>40534.0</v>
      </c>
      <c r="O14" s="2">
        <v>31990.0</v>
      </c>
      <c r="P14" s="1" t="s">
        <v>35</v>
      </c>
      <c r="Q14" s="1" t="s">
        <v>141</v>
      </c>
      <c r="R14" s="2">
        <v>42186.0</v>
      </c>
      <c r="S14" s="2">
        <v>73050.0</v>
      </c>
      <c r="U14" s="3">
        <v>44.0</v>
      </c>
      <c r="V14" s="2">
        <v>38651.0</v>
      </c>
      <c r="W14" s="1" t="s">
        <v>58</v>
      </c>
      <c r="X14" s="1" t="s">
        <v>59</v>
      </c>
    </row>
    <row r="15">
      <c r="A15" s="1" t="s">
        <v>78</v>
      </c>
      <c r="B15" s="1" t="s">
        <v>25</v>
      </c>
      <c r="C15" s="1" t="s">
        <v>80</v>
      </c>
      <c r="D15" s="1" t="s">
        <v>142</v>
      </c>
      <c r="E15" s="1" t="s">
        <v>143</v>
      </c>
      <c r="F15" s="1" t="s">
        <v>144</v>
      </c>
      <c r="G15" s="1" t="s">
        <v>145</v>
      </c>
      <c r="H15" s="2">
        <v>20040.0</v>
      </c>
      <c r="I15" s="3">
        <v>71.0</v>
      </c>
      <c r="J15" s="1" t="s">
        <v>31</v>
      </c>
      <c r="K15" s="1" t="s">
        <v>32</v>
      </c>
      <c r="L15" s="1" t="s">
        <v>146</v>
      </c>
      <c r="M15" s="1" t="s">
        <v>34</v>
      </c>
      <c r="N15" s="2">
        <v>40044.0</v>
      </c>
      <c r="O15" s="2">
        <v>33543.0</v>
      </c>
      <c r="P15" s="1" t="s">
        <v>35</v>
      </c>
      <c r="Q15" s="1" t="s">
        <v>147</v>
      </c>
      <c r="R15" s="2">
        <v>42186.0</v>
      </c>
      <c r="S15" s="2">
        <v>73050.0</v>
      </c>
      <c r="T15" s="1" t="s">
        <v>148</v>
      </c>
      <c r="U15" s="3">
        <v>44.0</v>
      </c>
      <c r="V15" s="2">
        <v>38991.0</v>
      </c>
      <c r="W15" s="1" t="s">
        <v>149</v>
      </c>
      <c r="X15" s="1" t="s">
        <v>150</v>
      </c>
    </row>
    <row r="16">
      <c r="A16" s="1" t="s">
        <v>60</v>
      </c>
      <c r="B16" s="1" t="s">
        <v>61</v>
      </c>
      <c r="C16" s="1" t="s">
        <v>26</v>
      </c>
      <c r="D16" s="1" t="s">
        <v>151</v>
      </c>
      <c r="E16" s="1" t="s">
        <v>152</v>
      </c>
      <c r="F16" s="1" t="s">
        <v>153</v>
      </c>
      <c r="G16" s="1" t="s">
        <v>154</v>
      </c>
      <c r="H16" s="2">
        <v>22057.0</v>
      </c>
      <c r="I16" s="3">
        <v>65.0</v>
      </c>
      <c r="J16" s="1" t="s">
        <v>66</v>
      </c>
      <c r="K16" s="1" t="s">
        <v>32</v>
      </c>
      <c r="L16" s="1" t="s">
        <v>155</v>
      </c>
      <c r="M16" s="1" t="s">
        <v>34</v>
      </c>
      <c r="N16" s="2">
        <v>45504.0</v>
      </c>
      <c r="O16" s="2">
        <v>33635.0</v>
      </c>
      <c r="P16" s="1" t="s">
        <v>35</v>
      </c>
      <c r="Q16" s="1" t="s">
        <v>156</v>
      </c>
      <c r="R16" s="2">
        <v>45658.0</v>
      </c>
      <c r="S16" s="2">
        <v>46022.0</v>
      </c>
      <c r="U16" s="3">
        <v>22.0</v>
      </c>
      <c r="V16" s="2">
        <v>42818.0</v>
      </c>
      <c r="W16" s="1" t="s">
        <v>58</v>
      </c>
      <c r="X16" s="1" t="s">
        <v>59</v>
      </c>
    </row>
    <row r="17">
      <c r="A17" s="1" t="s">
        <v>60</v>
      </c>
      <c r="B17" s="1" t="s">
        <v>79</v>
      </c>
      <c r="C17" s="1" t="s">
        <v>26</v>
      </c>
      <c r="D17" s="1" t="s">
        <v>157</v>
      </c>
      <c r="E17" s="1" t="s">
        <v>158</v>
      </c>
      <c r="F17" s="1" t="s">
        <v>159</v>
      </c>
      <c r="G17" s="1" t="s">
        <v>160</v>
      </c>
      <c r="H17" s="2">
        <v>20183.0</v>
      </c>
      <c r="I17" s="3">
        <v>70.0</v>
      </c>
      <c r="J17" s="1" t="s">
        <v>31</v>
      </c>
      <c r="K17" s="1" t="s">
        <v>32</v>
      </c>
      <c r="L17" s="1" t="s">
        <v>161</v>
      </c>
      <c r="M17" s="1" t="s">
        <v>34</v>
      </c>
      <c r="N17" s="2">
        <v>45469.0</v>
      </c>
      <c r="O17" s="2">
        <v>33664.0</v>
      </c>
      <c r="P17" s="1" t="s">
        <v>35</v>
      </c>
      <c r="Q17" s="1" t="s">
        <v>162</v>
      </c>
      <c r="R17" s="2">
        <v>45536.0</v>
      </c>
      <c r="S17" s="2">
        <v>73050.0</v>
      </c>
      <c r="T17" s="1" t="s">
        <v>163</v>
      </c>
      <c r="U17" s="3">
        <v>44.0</v>
      </c>
      <c r="V17" s="2">
        <v>42986.0</v>
      </c>
      <c r="W17" s="1" t="s">
        <v>164</v>
      </c>
      <c r="X17" s="1" t="s">
        <v>59</v>
      </c>
    </row>
    <row r="18">
      <c r="A18" s="1" t="s">
        <v>60</v>
      </c>
      <c r="B18" s="1" t="s">
        <v>61</v>
      </c>
      <c r="C18" s="1" t="s">
        <v>26</v>
      </c>
      <c r="D18" s="1" t="s">
        <v>165</v>
      </c>
      <c r="E18" s="1" t="s">
        <v>166</v>
      </c>
      <c r="F18" s="1" t="s">
        <v>167</v>
      </c>
      <c r="G18" s="1" t="s">
        <v>168</v>
      </c>
      <c r="H18" s="2">
        <v>21165.0</v>
      </c>
      <c r="I18" s="3">
        <v>68.0</v>
      </c>
      <c r="J18" s="1" t="s">
        <v>31</v>
      </c>
      <c r="K18" s="1" t="s">
        <v>32</v>
      </c>
      <c r="L18" s="1" t="s">
        <v>169</v>
      </c>
      <c r="M18" s="1" t="s">
        <v>170</v>
      </c>
      <c r="N18" s="2">
        <v>42515.0</v>
      </c>
      <c r="O18" s="2">
        <v>33878.0</v>
      </c>
      <c r="P18" s="1" t="s">
        <v>35</v>
      </c>
      <c r="Q18" s="1" t="s">
        <v>171</v>
      </c>
      <c r="R18" s="2">
        <v>42705.0</v>
      </c>
      <c r="S18" s="2">
        <v>73050.0</v>
      </c>
      <c r="T18" s="1" t="s">
        <v>172</v>
      </c>
      <c r="U18" s="3">
        <v>12.0</v>
      </c>
      <c r="V18" s="2">
        <v>39660.0</v>
      </c>
      <c r="W18" s="1" t="s">
        <v>173</v>
      </c>
      <c r="X18" s="1" t="s">
        <v>59</v>
      </c>
    </row>
    <row r="19">
      <c r="A19" s="1" t="s">
        <v>60</v>
      </c>
      <c r="B19" s="1" t="s">
        <v>99</v>
      </c>
      <c r="C19" s="1" t="s">
        <v>80</v>
      </c>
      <c r="D19" s="1" t="s">
        <v>174</v>
      </c>
      <c r="E19" s="1" t="s">
        <v>175</v>
      </c>
      <c r="F19" s="1" t="s">
        <v>176</v>
      </c>
      <c r="G19" s="1" t="s">
        <v>177</v>
      </c>
      <c r="H19" s="2">
        <v>21374.0</v>
      </c>
      <c r="I19" s="3">
        <v>67.0</v>
      </c>
      <c r="J19" s="1" t="s">
        <v>31</v>
      </c>
      <c r="K19" s="1" t="s">
        <v>32</v>
      </c>
      <c r="L19" s="1" t="s">
        <v>178</v>
      </c>
      <c r="M19" s="1" t="s">
        <v>179</v>
      </c>
      <c r="N19" s="2">
        <v>37258.0</v>
      </c>
      <c r="O19" s="2">
        <v>33970.0</v>
      </c>
      <c r="P19" s="1" t="s">
        <v>35</v>
      </c>
      <c r="Q19" s="1" t="s">
        <v>180</v>
      </c>
      <c r="R19" s="2">
        <v>42186.0</v>
      </c>
      <c r="S19" s="2">
        <v>73050.0</v>
      </c>
      <c r="U19" s="3">
        <v>6.0</v>
      </c>
      <c r="V19" s="2">
        <v>33949.0</v>
      </c>
      <c r="W19" s="1" t="s">
        <v>58</v>
      </c>
      <c r="X19" s="1" t="s">
        <v>59</v>
      </c>
    </row>
    <row r="20">
      <c r="A20" s="1" t="s">
        <v>24</v>
      </c>
      <c r="B20" s="1" t="s">
        <v>25</v>
      </c>
      <c r="C20" s="1" t="s">
        <v>26</v>
      </c>
      <c r="D20" s="1" t="s">
        <v>181</v>
      </c>
      <c r="E20" s="1" t="s">
        <v>182</v>
      </c>
      <c r="F20" s="1" t="s">
        <v>183</v>
      </c>
      <c r="G20" s="1" t="s">
        <v>184</v>
      </c>
      <c r="H20" s="2">
        <v>21574.0</v>
      </c>
      <c r="I20" s="3">
        <v>66.0</v>
      </c>
      <c r="J20" s="1" t="s">
        <v>31</v>
      </c>
      <c r="K20" s="1" t="s">
        <v>32</v>
      </c>
      <c r="L20" s="1" t="s">
        <v>185</v>
      </c>
      <c r="M20" s="1" t="s">
        <v>34</v>
      </c>
      <c r="N20" s="2">
        <v>43075.0</v>
      </c>
      <c r="O20" s="2">
        <v>34001.0</v>
      </c>
      <c r="P20" s="1" t="s">
        <v>35</v>
      </c>
      <c r="Q20" s="1" t="s">
        <v>186</v>
      </c>
      <c r="R20" s="2">
        <v>43101.0</v>
      </c>
      <c r="S20" s="2">
        <v>73050.0</v>
      </c>
      <c r="T20" s="1" t="s">
        <v>187</v>
      </c>
      <c r="U20" s="3">
        <v>44.0</v>
      </c>
      <c r="V20" s="2">
        <v>32873.0</v>
      </c>
      <c r="W20" s="1" t="s">
        <v>188</v>
      </c>
      <c r="X20" s="1" t="s">
        <v>89</v>
      </c>
    </row>
    <row r="21" ht="15.75" customHeight="1">
      <c r="A21" s="1" t="s">
        <v>60</v>
      </c>
      <c r="B21" s="1" t="s">
        <v>61</v>
      </c>
      <c r="C21" s="1" t="s">
        <v>26</v>
      </c>
      <c r="D21" s="1" t="s">
        <v>189</v>
      </c>
      <c r="E21" s="1" t="s">
        <v>190</v>
      </c>
      <c r="F21" s="1" t="s">
        <v>191</v>
      </c>
      <c r="G21" s="1" t="s">
        <v>192</v>
      </c>
      <c r="H21" s="2">
        <v>21127.0</v>
      </c>
      <c r="I21" s="3">
        <v>68.0</v>
      </c>
      <c r="J21" s="1" t="s">
        <v>31</v>
      </c>
      <c r="K21" s="1" t="s">
        <v>32</v>
      </c>
      <c r="L21" s="1" t="s">
        <v>193</v>
      </c>
      <c r="M21" s="1" t="s">
        <v>34</v>
      </c>
      <c r="N21" s="2">
        <v>41017.0</v>
      </c>
      <c r="O21" s="2">
        <v>34060.0</v>
      </c>
      <c r="P21" s="1" t="s">
        <v>35</v>
      </c>
      <c r="Q21" s="1" t="s">
        <v>194</v>
      </c>
      <c r="R21" s="2">
        <v>42186.0</v>
      </c>
      <c r="S21" s="2">
        <v>73050.0</v>
      </c>
      <c r="T21" s="1" t="s">
        <v>195</v>
      </c>
      <c r="U21" s="3">
        <v>44.0</v>
      </c>
      <c r="V21" s="2">
        <v>39988.0</v>
      </c>
      <c r="W21" s="1" t="s">
        <v>196</v>
      </c>
      <c r="X21" s="1" t="s">
        <v>89</v>
      </c>
    </row>
    <row r="22" ht="15.75" customHeight="1">
      <c r="A22" s="1" t="s">
        <v>60</v>
      </c>
      <c r="B22" s="1" t="s">
        <v>99</v>
      </c>
      <c r="C22" s="1" t="s">
        <v>26</v>
      </c>
      <c r="D22" s="1" t="s">
        <v>197</v>
      </c>
      <c r="E22" s="1" t="s">
        <v>198</v>
      </c>
      <c r="F22" s="1" t="s">
        <v>199</v>
      </c>
      <c r="G22" s="1" t="s">
        <v>200</v>
      </c>
      <c r="H22" s="2">
        <v>22670.0</v>
      </c>
      <c r="I22" s="3">
        <v>63.0</v>
      </c>
      <c r="J22" s="1" t="s">
        <v>31</v>
      </c>
      <c r="K22" s="1" t="s">
        <v>32</v>
      </c>
      <c r="L22" s="1" t="s">
        <v>201</v>
      </c>
      <c r="M22" s="1" t="s">
        <v>34</v>
      </c>
      <c r="N22" s="2">
        <v>42487.0</v>
      </c>
      <c r="O22" s="2">
        <v>34060.0</v>
      </c>
      <c r="P22" s="1" t="s">
        <v>35</v>
      </c>
      <c r="Q22" s="1" t="s">
        <v>202</v>
      </c>
      <c r="R22" s="2">
        <v>42491.0</v>
      </c>
      <c r="S22" s="2">
        <v>73050.0</v>
      </c>
      <c r="T22" s="1" t="s">
        <v>203</v>
      </c>
      <c r="U22" s="3">
        <v>44.0</v>
      </c>
      <c r="V22" s="2">
        <v>39029.0</v>
      </c>
      <c r="W22" s="1" t="s">
        <v>58</v>
      </c>
      <c r="X22" s="1" t="s">
        <v>59</v>
      </c>
    </row>
    <row r="23" ht="15.75" customHeight="1">
      <c r="A23" s="1" t="s">
        <v>60</v>
      </c>
      <c r="B23" s="1" t="s">
        <v>40</v>
      </c>
      <c r="C23" s="1" t="s">
        <v>26</v>
      </c>
      <c r="D23" s="1" t="s">
        <v>204</v>
      </c>
      <c r="E23" s="1" t="s">
        <v>205</v>
      </c>
      <c r="F23" s="1" t="s">
        <v>206</v>
      </c>
      <c r="G23" s="1" t="s">
        <v>207</v>
      </c>
      <c r="H23" s="2">
        <v>23471.0</v>
      </c>
      <c r="I23" s="3">
        <v>61.0</v>
      </c>
      <c r="J23" s="1" t="s">
        <v>31</v>
      </c>
      <c r="K23" s="1" t="s">
        <v>32</v>
      </c>
      <c r="L23" s="1" t="s">
        <v>208</v>
      </c>
      <c r="M23" s="1" t="s">
        <v>55</v>
      </c>
      <c r="N23" s="2">
        <v>41476.0</v>
      </c>
      <c r="O23" s="2">
        <v>34121.0</v>
      </c>
      <c r="P23" s="1" t="s">
        <v>35</v>
      </c>
      <c r="Q23" s="1" t="s">
        <v>209</v>
      </c>
      <c r="R23" s="2">
        <v>42186.0</v>
      </c>
      <c r="S23" s="2">
        <v>73050.0</v>
      </c>
      <c r="T23" s="1" t="s">
        <v>210</v>
      </c>
      <c r="U23" s="3">
        <v>12.0</v>
      </c>
      <c r="V23" s="2">
        <v>32413.0</v>
      </c>
      <c r="W23" s="1" t="s">
        <v>211</v>
      </c>
      <c r="X23" s="1" t="s">
        <v>59</v>
      </c>
    </row>
    <row r="24" ht="15.75" customHeight="1">
      <c r="A24" s="1" t="s">
        <v>60</v>
      </c>
      <c r="B24" s="1" t="s">
        <v>99</v>
      </c>
      <c r="C24" s="1" t="s">
        <v>80</v>
      </c>
      <c r="D24" s="1" t="s">
        <v>212</v>
      </c>
      <c r="E24" s="1" t="s">
        <v>213</v>
      </c>
      <c r="F24" s="1" t="s">
        <v>214</v>
      </c>
      <c r="G24" s="1" t="s">
        <v>215</v>
      </c>
      <c r="H24" s="2">
        <v>21081.0</v>
      </c>
      <c r="I24" s="3">
        <v>68.0</v>
      </c>
      <c r="J24" s="1" t="s">
        <v>104</v>
      </c>
      <c r="K24" s="1" t="s">
        <v>32</v>
      </c>
      <c r="L24" s="1" t="s">
        <v>216</v>
      </c>
      <c r="M24" s="1" t="s">
        <v>34</v>
      </c>
      <c r="N24" s="2">
        <v>40611.0</v>
      </c>
      <c r="O24" s="2">
        <v>34425.0</v>
      </c>
      <c r="P24" s="1" t="s">
        <v>35</v>
      </c>
      <c r="Q24" s="1" t="s">
        <v>217</v>
      </c>
      <c r="R24" s="2">
        <v>45658.0</v>
      </c>
      <c r="S24" s="2">
        <v>46022.0</v>
      </c>
      <c r="T24" s="1" t="s">
        <v>218</v>
      </c>
      <c r="U24" s="3">
        <v>6.0</v>
      </c>
      <c r="V24" s="2">
        <v>39024.0</v>
      </c>
      <c r="W24" s="1" t="s">
        <v>58</v>
      </c>
      <c r="X24" s="1" t="s">
        <v>59</v>
      </c>
    </row>
    <row r="25" ht="15.75" customHeight="1">
      <c r="A25" s="1" t="s">
        <v>39</v>
      </c>
      <c r="B25" s="1" t="s">
        <v>25</v>
      </c>
      <c r="C25" s="1" t="s">
        <v>26</v>
      </c>
      <c r="D25" s="1" t="s">
        <v>219</v>
      </c>
      <c r="E25" s="1" t="s">
        <v>220</v>
      </c>
      <c r="F25" s="1" t="s">
        <v>221</v>
      </c>
      <c r="G25" s="1" t="s">
        <v>222</v>
      </c>
      <c r="H25" s="2">
        <v>21233.0</v>
      </c>
      <c r="I25" s="3">
        <v>67.0</v>
      </c>
      <c r="J25" s="1" t="s">
        <v>31</v>
      </c>
      <c r="K25" s="1" t="s">
        <v>32</v>
      </c>
      <c r="L25" s="1" t="s">
        <v>223</v>
      </c>
      <c r="M25" s="1" t="s">
        <v>34</v>
      </c>
      <c r="N25" s="2">
        <v>40184.0</v>
      </c>
      <c r="O25" s="2">
        <v>34455.0</v>
      </c>
      <c r="P25" s="1" t="s">
        <v>35</v>
      </c>
      <c r="Q25" s="1" t="s">
        <v>224</v>
      </c>
      <c r="R25" s="2">
        <v>42186.0</v>
      </c>
      <c r="S25" s="2">
        <v>73050.0</v>
      </c>
      <c r="T25" s="1" t="s">
        <v>225</v>
      </c>
      <c r="U25" s="3">
        <v>12.0</v>
      </c>
      <c r="V25" s="2">
        <v>31182.0</v>
      </c>
      <c r="W25" s="1" t="s">
        <v>226</v>
      </c>
      <c r="X25" s="1" t="s">
        <v>227</v>
      </c>
    </row>
    <row r="26" ht="15.75" customHeight="1">
      <c r="A26" s="1" t="s">
        <v>78</v>
      </c>
      <c r="B26" s="1" t="s">
        <v>25</v>
      </c>
      <c r="C26" s="1" t="s">
        <v>80</v>
      </c>
      <c r="D26" s="1" t="s">
        <v>228</v>
      </c>
      <c r="E26" s="1" t="s">
        <v>229</v>
      </c>
      <c r="F26" s="1" t="s">
        <v>230</v>
      </c>
      <c r="G26" s="1" t="s">
        <v>231</v>
      </c>
      <c r="H26" s="2">
        <v>24092.0</v>
      </c>
      <c r="I26" s="3">
        <v>60.0</v>
      </c>
      <c r="J26" s="1" t="s">
        <v>31</v>
      </c>
      <c r="K26" s="1" t="s">
        <v>32</v>
      </c>
      <c r="L26" s="1" t="s">
        <v>232</v>
      </c>
      <c r="M26" s="1" t="s">
        <v>34</v>
      </c>
      <c r="N26" s="2">
        <v>44587.0</v>
      </c>
      <c r="O26" s="2">
        <v>34547.0</v>
      </c>
      <c r="P26" s="1" t="s">
        <v>35</v>
      </c>
      <c r="Q26" s="1" t="s">
        <v>233</v>
      </c>
      <c r="R26" s="2">
        <v>44866.0</v>
      </c>
      <c r="S26" s="2">
        <v>73050.0</v>
      </c>
      <c r="U26" s="3">
        <v>22.0</v>
      </c>
      <c r="V26" s="2">
        <v>37296.0</v>
      </c>
      <c r="W26" s="1" t="s">
        <v>234</v>
      </c>
      <c r="X26" s="1" t="s">
        <v>98</v>
      </c>
    </row>
    <row r="27" ht="15.75" customHeight="1">
      <c r="A27" s="1" t="s">
        <v>78</v>
      </c>
      <c r="B27" s="1" t="s">
        <v>40</v>
      </c>
      <c r="C27" s="1" t="s">
        <v>26</v>
      </c>
      <c r="D27" s="1" t="s">
        <v>235</v>
      </c>
      <c r="E27" s="1" t="s">
        <v>236</v>
      </c>
      <c r="F27" s="1" t="s">
        <v>237</v>
      </c>
      <c r="G27" s="1" t="s">
        <v>238</v>
      </c>
      <c r="H27" s="2">
        <v>19730.0</v>
      </c>
      <c r="I27" s="3">
        <v>72.0</v>
      </c>
      <c r="J27" s="1" t="s">
        <v>66</v>
      </c>
      <c r="K27" s="1" t="s">
        <v>32</v>
      </c>
      <c r="L27" s="1" t="s">
        <v>239</v>
      </c>
      <c r="M27" s="1" t="s">
        <v>34</v>
      </c>
      <c r="N27" s="2">
        <v>41792.0</v>
      </c>
      <c r="O27" s="2">
        <v>34820.0</v>
      </c>
      <c r="P27" s="1" t="s">
        <v>35</v>
      </c>
      <c r="Q27" s="1" t="s">
        <v>240</v>
      </c>
      <c r="R27" s="2">
        <v>45658.0</v>
      </c>
      <c r="S27" s="2">
        <v>46022.0</v>
      </c>
      <c r="T27" s="1" t="s">
        <v>241</v>
      </c>
      <c r="U27" s="3">
        <v>21.0</v>
      </c>
      <c r="V27" s="2">
        <v>32873.0</v>
      </c>
      <c r="W27" s="1" t="s">
        <v>242</v>
      </c>
      <c r="X27" s="1" t="s">
        <v>227</v>
      </c>
    </row>
    <row r="28" ht="15.75" customHeight="1">
      <c r="A28" s="1" t="s">
        <v>60</v>
      </c>
      <c r="B28" s="1" t="s">
        <v>25</v>
      </c>
      <c r="C28" s="1" t="s">
        <v>26</v>
      </c>
      <c r="D28" s="1" t="s">
        <v>243</v>
      </c>
      <c r="E28" s="1" t="s">
        <v>244</v>
      </c>
      <c r="F28" s="1" t="s">
        <v>245</v>
      </c>
      <c r="G28" s="1" t="s">
        <v>246</v>
      </c>
      <c r="H28" s="2">
        <v>21071.0</v>
      </c>
      <c r="I28" s="3">
        <v>68.0</v>
      </c>
      <c r="J28" s="1" t="s">
        <v>66</v>
      </c>
      <c r="K28" s="1" t="s">
        <v>32</v>
      </c>
      <c r="L28" s="1" t="s">
        <v>247</v>
      </c>
      <c r="M28" s="1" t="s">
        <v>34</v>
      </c>
      <c r="N28" s="2">
        <v>41724.0</v>
      </c>
      <c r="O28" s="2">
        <v>35068.0</v>
      </c>
      <c r="P28" s="1" t="s">
        <v>35</v>
      </c>
      <c r="Q28" s="1" t="s">
        <v>248</v>
      </c>
      <c r="R28" s="2">
        <v>45658.0</v>
      </c>
      <c r="S28" s="2">
        <v>46022.0</v>
      </c>
      <c r="T28" s="1" t="s">
        <v>249</v>
      </c>
      <c r="U28" s="3">
        <v>22.0</v>
      </c>
      <c r="V28" s="2">
        <v>34699.0</v>
      </c>
      <c r="W28" s="1" t="s">
        <v>250</v>
      </c>
      <c r="X28" s="1" t="s">
        <v>89</v>
      </c>
    </row>
    <row r="29" ht="15.75" customHeight="1">
      <c r="A29" s="1" t="s">
        <v>24</v>
      </c>
      <c r="B29" s="1" t="s">
        <v>61</v>
      </c>
      <c r="C29" s="1" t="s">
        <v>80</v>
      </c>
      <c r="D29" s="1" t="s">
        <v>251</v>
      </c>
      <c r="E29" s="1" t="s">
        <v>252</v>
      </c>
      <c r="F29" s="1" t="s">
        <v>253</v>
      </c>
      <c r="G29" s="1" t="s">
        <v>254</v>
      </c>
      <c r="H29" s="2">
        <v>18563.0</v>
      </c>
      <c r="I29" s="3">
        <v>75.0</v>
      </c>
      <c r="J29" s="1" t="s">
        <v>31</v>
      </c>
      <c r="K29" s="1" t="s">
        <v>32</v>
      </c>
      <c r="L29" s="1" t="s">
        <v>255</v>
      </c>
      <c r="M29" s="1" t="s">
        <v>34</v>
      </c>
      <c r="N29" s="2">
        <v>42683.0</v>
      </c>
      <c r="O29" s="2">
        <v>35278.0</v>
      </c>
      <c r="P29" s="1" t="s">
        <v>35</v>
      </c>
      <c r="Q29" s="1" t="s">
        <v>256</v>
      </c>
      <c r="R29" s="2">
        <v>42705.0</v>
      </c>
      <c r="S29" s="2">
        <v>73050.0</v>
      </c>
      <c r="T29" s="1" t="s">
        <v>257</v>
      </c>
      <c r="U29" s="3">
        <v>22.0</v>
      </c>
      <c r="V29" s="2">
        <v>41870.0</v>
      </c>
      <c r="W29" s="1" t="s">
        <v>58</v>
      </c>
      <c r="X29" s="1" t="s">
        <v>59</v>
      </c>
    </row>
    <row r="30" ht="15.75" customHeight="1">
      <c r="A30" s="1" t="s">
        <v>24</v>
      </c>
      <c r="B30" s="1" t="s">
        <v>99</v>
      </c>
      <c r="C30" s="1" t="s">
        <v>80</v>
      </c>
      <c r="D30" s="1" t="s">
        <v>258</v>
      </c>
      <c r="E30" s="1" t="s">
        <v>259</v>
      </c>
      <c r="F30" s="1" t="s">
        <v>260</v>
      </c>
      <c r="G30" s="1" t="s">
        <v>261</v>
      </c>
      <c r="H30" s="2">
        <v>24970.0</v>
      </c>
      <c r="I30" s="3">
        <v>57.0</v>
      </c>
      <c r="J30" s="1" t="s">
        <v>66</v>
      </c>
      <c r="K30" s="1" t="s">
        <v>32</v>
      </c>
      <c r="L30" s="1" t="s">
        <v>262</v>
      </c>
      <c r="M30" s="1" t="s">
        <v>34</v>
      </c>
      <c r="N30" s="2">
        <v>43551.0</v>
      </c>
      <c r="O30" s="2">
        <v>35639.0</v>
      </c>
      <c r="P30" s="1" t="s">
        <v>35</v>
      </c>
      <c r="Q30" s="1" t="s">
        <v>263</v>
      </c>
      <c r="R30" s="2">
        <v>45658.0</v>
      </c>
      <c r="S30" s="2">
        <v>46022.0</v>
      </c>
      <c r="T30" s="1" t="s">
        <v>264</v>
      </c>
      <c r="U30" s="3">
        <v>44.0</v>
      </c>
      <c r="V30" s="2">
        <v>42174.0</v>
      </c>
      <c r="W30" s="1" t="s">
        <v>58</v>
      </c>
      <c r="X30" s="1" t="s">
        <v>59</v>
      </c>
    </row>
    <row r="31" ht="15.75" customHeight="1">
      <c r="A31" s="1" t="s">
        <v>24</v>
      </c>
      <c r="B31" s="1" t="s">
        <v>99</v>
      </c>
      <c r="C31" s="1" t="s">
        <v>80</v>
      </c>
      <c r="D31" s="1" t="s">
        <v>258</v>
      </c>
      <c r="E31" s="1" t="s">
        <v>259</v>
      </c>
      <c r="F31" s="1" t="s">
        <v>260</v>
      </c>
      <c r="G31" s="1" t="s">
        <v>261</v>
      </c>
      <c r="H31" s="2">
        <v>24970.0</v>
      </c>
      <c r="I31" s="3">
        <v>57.0</v>
      </c>
      <c r="J31" s="1" t="s">
        <v>31</v>
      </c>
      <c r="K31" s="1" t="s">
        <v>32</v>
      </c>
      <c r="L31" s="1" t="s">
        <v>262</v>
      </c>
      <c r="M31" s="1" t="s">
        <v>34</v>
      </c>
      <c r="N31" s="2">
        <v>43551.0</v>
      </c>
      <c r="O31" s="2">
        <v>35639.0</v>
      </c>
      <c r="P31" s="1" t="s">
        <v>265</v>
      </c>
      <c r="Q31" s="1" t="s">
        <v>263</v>
      </c>
      <c r="R31" s="2">
        <v>43586.0</v>
      </c>
      <c r="S31" s="2">
        <v>73050.0</v>
      </c>
      <c r="U31" s="3">
        <v>22.0</v>
      </c>
      <c r="V31" s="2">
        <v>42174.0</v>
      </c>
      <c r="W31" s="1" t="s">
        <v>58</v>
      </c>
      <c r="X31" s="1" t="s">
        <v>59</v>
      </c>
    </row>
    <row r="32" ht="15.75" customHeight="1">
      <c r="A32" s="1" t="s">
        <v>39</v>
      </c>
      <c r="B32" s="1" t="s">
        <v>61</v>
      </c>
      <c r="C32" s="1" t="s">
        <v>80</v>
      </c>
      <c r="D32" s="1" t="s">
        <v>266</v>
      </c>
      <c r="E32" s="1" t="s">
        <v>267</v>
      </c>
      <c r="F32" s="1" t="s">
        <v>268</v>
      </c>
      <c r="G32" s="1" t="s">
        <v>269</v>
      </c>
      <c r="H32" s="2">
        <v>23131.0</v>
      </c>
      <c r="I32" s="3">
        <v>62.0</v>
      </c>
      <c r="J32" s="1" t="s">
        <v>66</v>
      </c>
      <c r="K32" s="1" t="s">
        <v>32</v>
      </c>
      <c r="L32" s="1" t="s">
        <v>270</v>
      </c>
      <c r="M32" s="1" t="s">
        <v>34</v>
      </c>
      <c r="N32" s="2">
        <v>43411.0</v>
      </c>
      <c r="O32" s="2">
        <v>35704.0</v>
      </c>
      <c r="P32" s="1" t="s">
        <v>35</v>
      </c>
      <c r="Q32" s="1" t="s">
        <v>271</v>
      </c>
      <c r="R32" s="2">
        <v>45658.0</v>
      </c>
      <c r="S32" s="2">
        <v>46022.0</v>
      </c>
      <c r="T32" s="1" t="s">
        <v>272</v>
      </c>
      <c r="U32" s="3">
        <v>6.0</v>
      </c>
      <c r="V32" s="2">
        <v>41002.0</v>
      </c>
      <c r="W32" s="1" t="s">
        <v>58</v>
      </c>
      <c r="X32" s="1" t="s">
        <v>59</v>
      </c>
    </row>
    <row r="33" ht="15.75" customHeight="1">
      <c r="A33" s="1" t="s">
        <v>78</v>
      </c>
      <c r="B33" s="1" t="s">
        <v>99</v>
      </c>
      <c r="C33" s="1" t="s">
        <v>26</v>
      </c>
      <c r="D33" s="1" t="s">
        <v>273</v>
      </c>
      <c r="E33" s="1" t="s">
        <v>274</v>
      </c>
      <c r="F33" s="1" t="s">
        <v>275</v>
      </c>
      <c r="G33" s="1" t="s">
        <v>276</v>
      </c>
      <c r="H33" s="2">
        <v>25136.0</v>
      </c>
      <c r="I33" s="3">
        <v>57.0</v>
      </c>
      <c r="J33" s="1" t="s">
        <v>31</v>
      </c>
      <c r="K33" s="1" t="s">
        <v>32</v>
      </c>
      <c r="L33" s="1" t="s">
        <v>277</v>
      </c>
      <c r="M33" s="1" t="s">
        <v>106</v>
      </c>
      <c r="N33" s="2">
        <v>39897.0</v>
      </c>
      <c r="O33" s="2">
        <v>35947.0</v>
      </c>
      <c r="P33" s="1" t="s">
        <v>35</v>
      </c>
      <c r="Q33" s="1" t="s">
        <v>278</v>
      </c>
      <c r="R33" s="2">
        <v>42186.0</v>
      </c>
      <c r="S33" s="2">
        <v>73050.0</v>
      </c>
      <c r="T33" s="1" t="s">
        <v>279</v>
      </c>
      <c r="U33" s="3">
        <v>44.0</v>
      </c>
      <c r="V33" s="2">
        <v>38639.0</v>
      </c>
      <c r="W33" s="1" t="s">
        <v>58</v>
      </c>
      <c r="X33" s="1" t="s">
        <v>59</v>
      </c>
    </row>
    <row r="34" ht="15.75" customHeight="1">
      <c r="A34" s="1" t="s">
        <v>78</v>
      </c>
      <c r="B34" s="1" t="s">
        <v>99</v>
      </c>
      <c r="C34" s="1" t="s">
        <v>80</v>
      </c>
      <c r="D34" s="1" t="s">
        <v>280</v>
      </c>
      <c r="E34" s="1" t="s">
        <v>281</v>
      </c>
      <c r="F34" s="1" t="s">
        <v>282</v>
      </c>
      <c r="G34" s="1" t="s">
        <v>283</v>
      </c>
      <c r="H34" s="2">
        <v>26100.0</v>
      </c>
      <c r="I34" s="3">
        <v>54.0</v>
      </c>
      <c r="J34" s="1" t="s">
        <v>31</v>
      </c>
      <c r="K34" s="1" t="s">
        <v>32</v>
      </c>
      <c r="L34" s="1" t="s">
        <v>284</v>
      </c>
      <c r="M34" s="1" t="s">
        <v>34</v>
      </c>
      <c r="N34" s="2">
        <v>42606.0</v>
      </c>
      <c r="O34" s="2">
        <v>35947.0</v>
      </c>
      <c r="P34" s="1" t="s">
        <v>35</v>
      </c>
      <c r="Q34" s="1" t="s">
        <v>285</v>
      </c>
      <c r="R34" s="2">
        <v>42644.0</v>
      </c>
      <c r="S34" s="2">
        <v>73050.0</v>
      </c>
      <c r="T34" s="1" t="s">
        <v>286</v>
      </c>
      <c r="U34" s="3">
        <v>44.0</v>
      </c>
      <c r="V34" s="2">
        <v>41824.0</v>
      </c>
      <c r="W34" s="1" t="s">
        <v>287</v>
      </c>
      <c r="X34" s="1" t="s">
        <v>59</v>
      </c>
    </row>
    <row r="35" ht="15.75" customHeight="1">
      <c r="A35" s="1" t="s">
        <v>78</v>
      </c>
      <c r="B35" s="1" t="s">
        <v>99</v>
      </c>
      <c r="C35" s="1" t="s">
        <v>26</v>
      </c>
      <c r="D35" s="1" t="s">
        <v>288</v>
      </c>
      <c r="E35" s="1" t="s">
        <v>289</v>
      </c>
      <c r="F35" s="1" t="s">
        <v>290</v>
      </c>
      <c r="G35" s="1" t="s">
        <v>291</v>
      </c>
      <c r="H35" s="2">
        <v>26752.0</v>
      </c>
      <c r="I35" s="3">
        <v>52.0</v>
      </c>
      <c r="J35" s="1" t="s">
        <v>31</v>
      </c>
      <c r="K35" s="1" t="s">
        <v>32</v>
      </c>
      <c r="L35" s="1" t="s">
        <v>292</v>
      </c>
      <c r="M35" s="1" t="s">
        <v>106</v>
      </c>
      <c r="N35" s="2">
        <v>42480.0</v>
      </c>
      <c r="O35" s="2">
        <v>35956.0</v>
      </c>
      <c r="P35" s="1" t="s">
        <v>35</v>
      </c>
      <c r="Q35" s="1" t="s">
        <v>293</v>
      </c>
      <c r="R35" s="2">
        <v>42491.0</v>
      </c>
      <c r="S35" s="2">
        <v>73050.0</v>
      </c>
      <c r="T35" s="1" t="s">
        <v>294</v>
      </c>
      <c r="U35" s="3">
        <v>22.0</v>
      </c>
      <c r="V35" s="2">
        <v>37610.0</v>
      </c>
      <c r="W35" s="1" t="s">
        <v>58</v>
      </c>
      <c r="X35" s="1" t="s">
        <v>59</v>
      </c>
    </row>
    <row r="36" ht="15.75" customHeight="1">
      <c r="A36" s="1" t="s">
        <v>78</v>
      </c>
      <c r="B36" s="1" t="s">
        <v>99</v>
      </c>
      <c r="C36" s="1" t="s">
        <v>26</v>
      </c>
      <c r="D36" s="1" t="s">
        <v>213</v>
      </c>
      <c r="E36" s="1" t="s">
        <v>295</v>
      </c>
      <c r="F36" s="1" t="s">
        <v>296</v>
      </c>
      <c r="G36" s="1" t="s">
        <v>297</v>
      </c>
      <c r="H36" s="2">
        <v>22812.0</v>
      </c>
      <c r="I36" s="3">
        <v>63.0</v>
      </c>
      <c r="J36" s="1" t="s">
        <v>31</v>
      </c>
      <c r="K36" s="1" t="s">
        <v>32</v>
      </c>
      <c r="L36" s="1" t="s">
        <v>298</v>
      </c>
      <c r="M36" s="1" t="s">
        <v>179</v>
      </c>
      <c r="N36" s="2">
        <v>41745.0</v>
      </c>
      <c r="O36" s="2">
        <v>35977.0</v>
      </c>
      <c r="P36" s="1" t="s">
        <v>35</v>
      </c>
      <c r="Q36" s="1" t="s">
        <v>299</v>
      </c>
      <c r="R36" s="2">
        <v>42186.0</v>
      </c>
      <c r="S36" s="2">
        <v>73050.0</v>
      </c>
      <c r="T36" s="1" t="s">
        <v>300</v>
      </c>
      <c r="U36" s="3">
        <v>12.0</v>
      </c>
      <c r="V36" s="2">
        <v>37266.0</v>
      </c>
      <c r="W36" s="1" t="s">
        <v>58</v>
      </c>
      <c r="X36" s="1" t="s">
        <v>59</v>
      </c>
    </row>
    <row r="37" ht="15.75" customHeight="1">
      <c r="A37" s="1" t="s">
        <v>78</v>
      </c>
      <c r="B37" s="1" t="s">
        <v>99</v>
      </c>
      <c r="C37" s="1" t="s">
        <v>26</v>
      </c>
      <c r="D37" s="1" t="s">
        <v>301</v>
      </c>
      <c r="E37" s="1" t="s">
        <v>302</v>
      </c>
      <c r="F37" s="1" t="s">
        <v>303</v>
      </c>
      <c r="G37" s="1" t="s">
        <v>304</v>
      </c>
      <c r="H37" s="2">
        <v>26371.0</v>
      </c>
      <c r="I37" s="3">
        <v>53.0</v>
      </c>
      <c r="J37" s="1" t="s">
        <v>31</v>
      </c>
      <c r="K37" s="1" t="s">
        <v>32</v>
      </c>
      <c r="L37" s="1" t="s">
        <v>305</v>
      </c>
      <c r="M37" s="1" t="s">
        <v>34</v>
      </c>
      <c r="N37" s="2">
        <v>42382.0</v>
      </c>
      <c r="O37" s="2">
        <v>36008.0</v>
      </c>
      <c r="P37" s="1" t="s">
        <v>35</v>
      </c>
      <c r="Q37" s="1" t="s">
        <v>306</v>
      </c>
      <c r="R37" s="2">
        <v>43405.0</v>
      </c>
      <c r="S37" s="2">
        <v>73050.0</v>
      </c>
      <c r="T37" s="1" t="s">
        <v>307</v>
      </c>
      <c r="U37" s="3">
        <v>44.0</v>
      </c>
      <c r="V37" s="2">
        <v>39353.0</v>
      </c>
      <c r="W37" s="1" t="s">
        <v>308</v>
      </c>
      <c r="X37" s="1" t="s">
        <v>89</v>
      </c>
    </row>
    <row r="38" ht="15.75" customHeight="1">
      <c r="A38" s="1" t="s">
        <v>78</v>
      </c>
      <c r="B38" s="1" t="s">
        <v>61</v>
      </c>
      <c r="C38" s="1" t="s">
        <v>26</v>
      </c>
      <c r="D38" s="1" t="s">
        <v>309</v>
      </c>
      <c r="E38" s="1" t="s">
        <v>310</v>
      </c>
      <c r="F38" s="1" t="s">
        <v>311</v>
      </c>
      <c r="G38" s="1" t="s">
        <v>312</v>
      </c>
      <c r="H38" s="2">
        <v>25120.0</v>
      </c>
      <c r="I38" s="3">
        <v>57.0</v>
      </c>
      <c r="J38" s="1" t="s">
        <v>31</v>
      </c>
      <c r="K38" s="1" t="s">
        <v>32</v>
      </c>
      <c r="L38" s="1" t="s">
        <v>313</v>
      </c>
      <c r="M38" s="1" t="s">
        <v>314</v>
      </c>
      <c r="N38" s="2">
        <v>40758.0</v>
      </c>
      <c r="O38" s="2">
        <v>36039.0</v>
      </c>
      <c r="P38" s="1" t="s">
        <v>35</v>
      </c>
      <c r="Q38" s="1" t="s">
        <v>315</v>
      </c>
      <c r="R38" s="2">
        <v>42186.0</v>
      </c>
      <c r="S38" s="2">
        <v>73050.0</v>
      </c>
      <c r="T38" s="1" t="s">
        <v>316</v>
      </c>
      <c r="U38" s="3">
        <v>22.0</v>
      </c>
      <c r="V38" s="2">
        <v>37987.0</v>
      </c>
      <c r="W38" s="1" t="s">
        <v>58</v>
      </c>
      <c r="X38" s="1" t="s">
        <v>59</v>
      </c>
    </row>
    <row r="39" ht="15.75" customHeight="1">
      <c r="A39" s="1" t="s">
        <v>24</v>
      </c>
      <c r="B39" s="1" t="s">
        <v>317</v>
      </c>
      <c r="C39" s="1" t="s">
        <v>26</v>
      </c>
      <c r="D39" s="1" t="s">
        <v>318</v>
      </c>
      <c r="E39" s="1" t="s">
        <v>319</v>
      </c>
      <c r="F39" s="1" t="s">
        <v>199</v>
      </c>
      <c r="G39" s="1" t="s">
        <v>320</v>
      </c>
      <c r="H39" s="2">
        <v>24490.0</v>
      </c>
      <c r="I39" s="3">
        <v>58.0</v>
      </c>
      <c r="J39" s="1" t="s">
        <v>66</v>
      </c>
      <c r="K39" s="1" t="s">
        <v>32</v>
      </c>
      <c r="L39" s="1" t="s">
        <v>321</v>
      </c>
      <c r="M39" s="1" t="s">
        <v>34</v>
      </c>
      <c r="N39" s="2">
        <v>44700.0</v>
      </c>
      <c r="O39" s="2">
        <v>36312.0</v>
      </c>
      <c r="P39" s="1" t="s">
        <v>35</v>
      </c>
      <c r="Q39" s="1" t="s">
        <v>322</v>
      </c>
      <c r="R39" s="2">
        <v>45658.0</v>
      </c>
      <c r="S39" s="2">
        <v>46022.0</v>
      </c>
      <c r="U39" s="3">
        <v>44.0</v>
      </c>
      <c r="V39" s="2">
        <v>41992.0</v>
      </c>
      <c r="W39" s="1" t="s">
        <v>323</v>
      </c>
      <c r="X39" s="1" t="s">
        <v>59</v>
      </c>
    </row>
    <row r="40" ht="15.75" customHeight="1">
      <c r="A40" s="1" t="s">
        <v>24</v>
      </c>
      <c r="B40" s="1" t="s">
        <v>61</v>
      </c>
      <c r="C40" s="1" t="s">
        <v>26</v>
      </c>
      <c r="D40" s="1" t="s">
        <v>324</v>
      </c>
      <c r="E40" s="1" t="s">
        <v>325</v>
      </c>
      <c r="F40" s="1" t="s">
        <v>326</v>
      </c>
      <c r="G40" s="1" t="s">
        <v>327</v>
      </c>
      <c r="H40" s="2">
        <v>24397.0</v>
      </c>
      <c r="I40" s="3">
        <v>59.0</v>
      </c>
      <c r="J40" s="1" t="s">
        <v>31</v>
      </c>
      <c r="K40" s="1" t="s">
        <v>32</v>
      </c>
      <c r="L40" s="1" t="s">
        <v>328</v>
      </c>
      <c r="M40" s="1" t="s">
        <v>34</v>
      </c>
      <c r="N40" s="2">
        <v>42704.0</v>
      </c>
      <c r="O40" s="2">
        <v>36342.0</v>
      </c>
      <c r="P40" s="1" t="s">
        <v>35</v>
      </c>
      <c r="Q40" s="1" t="s">
        <v>329</v>
      </c>
      <c r="R40" s="2">
        <v>42736.0</v>
      </c>
      <c r="S40" s="2">
        <v>73050.0</v>
      </c>
      <c r="T40" s="1" t="s">
        <v>330</v>
      </c>
      <c r="U40" s="3">
        <v>22.0</v>
      </c>
      <c r="V40" s="2">
        <v>41794.0</v>
      </c>
      <c r="W40" s="1" t="s">
        <v>323</v>
      </c>
      <c r="X40" s="1" t="s">
        <v>59</v>
      </c>
    </row>
    <row r="41" ht="15.75" customHeight="1">
      <c r="A41" s="1" t="s">
        <v>24</v>
      </c>
      <c r="B41" s="1" t="s">
        <v>109</v>
      </c>
      <c r="C41" s="1" t="s">
        <v>26</v>
      </c>
      <c r="D41" s="1" t="s">
        <v>331</v>
      </c>
      <c r="E41" s="1" t="s">
        <v>295</v>
      </c>
      <c r="F41" s="1" t="s">
        <v>332</v>
      </c>
      <c r="G41" s="1" t="s">
        <v>333</v>
      </c>
      <c r="H41" s="2">
        <v>23749.0</v>
      </c>
      <c r="I41" s="3">
        <v>61.0</v>
      </c>
      <c r="J41" s="1" t="s">
        <v>66</v>
      </c>
      <c r="K41" s="1" t="s">
        <v>32</v>
      </c>
      <c r="L41" s="1" t="s">
        <v>334</v>
      </c>
      <c r="M41" s="1" t="s">
        <v>34</v>
      </c>
      <c r="N41" s="2">
        <v>36361.0</v>
      </c>
      <c r="O41" s="2">
        <v>36373.0</v>
      </c>
      <c r="P41" s="1" t="s">
        <v>35</v>
      </c>
      <c r="Q41" s="1" t="s">
        <v>335</v>
      </c>
      <c r="R41" s="2">
        <v>45658.0</v>
      </c>
      <c r="S41" s="2">
        <v>46022.0</v>
      </c>
      <c r="T41" s="1" t="s">
        <v>336</v>
      </c>
      <c r="U41" s="3">
        <v>22.0</v>
      </c>
      <c r="V41" s="2">
        <v>40050.0</v>
      </c>
      <c r="W41" s="1" t="s">
        <v>58</v>
      </c>
      <c r="X41" s="1" t="s">
        <v>59</v>
      </c>
    </row>
    <row r="42" ht="15.75" customHeight="1">
      <c r="A42" s="1" t="s">
        <v>337</v>
      </c>
      <c r="B42" s="1" t="s">
        <v>25</v>
      </c>
      <c r="C42" s="1" t="s">
        <v>80</v>
      </c>
      <c r="D42" s="1" t="s">
        <v>338</v>
      </c>
      <c r="E42" s="1" t="s">
        <v>339</v>
      </c>
      <c r="F42" s="1" t="s">
        <v>340</v>
      </c>
      <c r="G42" s="1" t="s">
        <v>341</v>
      </c>
      <c r="H42" s="2">
        <v>26755.0</v>
      </c>
      <c r="I42" s="3">
        <v>52.0</v>
      </c>
      <c r="J42" s="1" t="s">
        <v>31</v>
      </c>
      <c r="K42" s="1" t="s">
        <v>32</v>
      </c>
      <c r="L42" s="1" t="s">
        <v>342</v>
      </c>
      <c r="M42" s="1" t="s">
        <v>34</v>
      </c>
      <c r="N42" s="2">
        <v>45392.0</v>
      </c>
      <c r="O42" s="2">
        <v>36526.0</v>
      </c>
      <c r="P42" s="1" t="s">
        <v>35</v>
      </c>
      <c r="Q42" s="1" t="s">
        <v>343</v>
      </c>
      <c r="R42" s="2">
        <v>45536.0</v>
      </c>
      <c r="S42" s="2">
        <v>73050.0</v>
      </c>
      <c r="T42" s="1" t="s">
        <v>344</v>
      </c>
      <c r="U42" s="3">
        <v>44.0</v>
      </c>
      <c r="V42" s="2">
        <v>40198.0</v>
      </c>
      <c r="W42" s="1" t="s">
        <v>345</v>
      </c>
      <c r="X42" s="1" t="s">
        <v>89</v>
      </c>
    </row>
    <row r="43" ht="15.75" customHeight="1">
      <c r="A43" s="1" t="s">
        <v>60</v>
      </c>
      <c r="B43" s="1" t="s">
        <v>79</v>
      </c>
      <c r="C43" s="1" t="s">
        <v>26</v>
      </c>
      <c r="D43" s="1" t="s">
        <v>346</v>
      </c>
      <c r="E43" s="1" t="s">
        <v>347</v>
      </c>
      <c r="F43" s="1" t="s">
        <v>348</v>
      </c>
      <c r="G43" s="1" t="s">
        <v>349</v>
      </c>
      <c r="H43" s="2">
        <v>22349.0</v>
      </c>
      <c r="I43" s="3">
        <v>64.0</v>
      </c>
      <c r="J43" s="1" t="s">
        <v>31</v>
      </c>
      <c r="K43" s="1" t="s">
        <v>32</v>
      </c>
      <c r="L43" s="1" t="s">
        <v>350</v>
      </c>
      <c r="M43" s="1" t="s">
        <v>34</v>
      </c>
      <c r="N43" s="2">
        <v>41738.0</v>
      </c>
      <c r="O43" s="2">
        <v>36647.0</v>
      </c>
      <c r="P43" s="1" t="s">
        <v>35</v>
      </c>
      <c r="Q43" s="1" t="s">
        <v>351</v>
      </c>
      <c r="R43" s="2">
        <v>42856.0</v>
      </c>
      <c r="S43" s="2">
        <v>73050.0</v>
      </c>
      <c r="T43" s="1" t="s">
        <v>352</v>
      </c>
      <c r="U43" s="3">
        <v>44.0</v>
      </c>
      <c r="V43" s="2">
        <v>36891.0</v>
      </c>
      <c r="W43" s="1" t="s">
        <v>353</v>
      </c>
      <c r="X43" s="1" t="s">
        <v>38</v>
      </c>
    </row>
    <row r="44" ht="15.75" customHeight="1">
      <c r="A44" s="1" t="s">
        <v>60</v>
      </c>
      <c r="B44" s="1" t="s">
        <v>109</v>
      </c>
      <c r="C44" s="1" t="s">
        <v>26</v>
      </c>
      <c r="D44" s="1" t="s">
        <v>354</v>
      </c>
      <c r="E44" s="1" t="s">
        <v>355</v>
      </c>
      <c r="F44" s="1" t="s">
        <v>356</v>
      </c>
      <c r="G44" s="1" t="s">
        <v>357</v>
      </c>
      <c r="H44" s="2">
        <v>25492.0</v>
      </c>
      <c r="I44" s="3">
        <v>56.0</v>
      </c>
      <c r="J44" s="1" t="s">
        <v>66</v>
      </c>
      <c r="K44" s="1" t="s">
        <v>32</v>
      </c>
      <c r="L44" s="1" t="s">
        <v>358</v>
      </c>
      <c r="M44" s="1" t="s">
        <v>359</v>
      </c>
      <c r="N44" s="2">
        <v>40129.0</v>
      </c>
      <c r="O44" s="2">
        <v>36800.0</v>
      </c>
      <c r="P44" s="1" t="s">
        <v>35</v>
      </c>
      <c r="Q44" s="1" t="s">
        <v>360</v>
      </c>
      <c r="R44" s="2">
        <v>45658.0</v>
      </c>
      <c r="S44" s="2">
        <v>46022.0</v>
      </c>
      <c r="T44" s="1" t="s">
        <v>361</v>
      </c>
      <c r="U44" s="3">
        <v>12.0</v>
      </c>
      <c r="V44" s="2">
        <v>39276.0</v>
      </c>
      <c r="W44" s="1" t="s">
        <v>58</v>
      </c>
      <c r="X44" s="1" t="s">
        <v>59</v>
      </c>
    </row>
    <row r="45" ht="15.75" customHeight="1">
      <c r="A45" s="1" t="s">
        <v>24</v>
      </c>
      <c r="B45" s="1" t="s">
        <v>99</v>
      </c>
      <c r="C45" s="1" t="s">
        <v>26</v>
      </c>
      <c r="D45" s="1" t="s">
        <v>362</v>
      </c>
      <c r="E45" s="1" t="s">
        <v>363</v>
      </c>
      <c r="F45" s="1" t="s">
        <v>364</v>
      </c>
      <c r="G45" s="1" t="s">
        <v>365</v>
      </c>
      <c r="H45" s="2">
        <v>23149.0</v>
      </c>
      <c r="I45" s="3">
        <v>62.0</v>
      </c>
      <c r="J45" s="1" t="s">
        <v>31</v>
      </c>
      <c r="K45" s="1" t="s">
        <v>32</v>
      </c>
      <c r="L45" s="1" t="s">
        <v>366</v>
      </c>
      <c r="M45" s="1" t="s">
        <v>34</v>
      </c>
      <c r="N45" s="2">
        <v>42893.0</v>
      </c>
      <c r="O45" s="2">
        <v>36800.0</v>
      </c>
      <c r="P45" s="1" t="s">
        <v>35</v>
      </c>
      <c r="Q45" s="1" t="s">
        <v>367</v>
      </c>
      <c r="R45" s="2">
        <v>42917.0</v>
      </c>
      <c r="S45" s="2">
        <v>73050.0</v>
      </c>
      <c r="T45" s="1" t="s">
        <v>368</v>
      </c>
      <c r="U45" s="3">
        <v>44.0</v>
      </c>
      <c r="V45" s="2">
        <v>42390.0</v>
      </c>
      <c r="W45" s="1" t="s">
        <v>369</v>
      </c>
      <c r="X45" s="1" t="s">
        <v>89</v>
      </c>
    </row>
    <row r="46" ht="15.75" customHeight="1">
      <c r="A46" s="1" t="s">
        <v>39</v>
      </c>
      <c r="B46" s="1" t="s">
        <v>61</v>
      </c>
      <c r="C46" s="1" t="s">
        <v>26</v>
      </c>
      <c r="D46" s="1" t="s">
        <v>370</v>
      </c>
      <c r="E46" s="1" t="s">
        <v>371</v>
      </c>
      <c r="F46" s="1" t="s">
        <v>372</v>
      </c>
      <c r="G46" s="1" t="s">
        <v>373</v>
      </c>
      <c r="H46" s="2">
        <v>21386.0</v>
      </c>
      <c r="I46" s="3">
        <v>67.0</v>
      </c>
      <c r="J46" s="1" t="s">
        <v>66</v>
      </c>
      <c r="K46" s="1" t="s">
        <v>32</v>
      </c>
      <c r="L46" s="1" t="s">
        <v>374</v>
      </c>
      <c r="M46" s="1" t="s">
        <v>375</v>
      </c>
      <c r="N46" s="2">
        <v>45525.0</v>
      </c>
      <c r="O46" s="2">
        <v>37316.0</v>
      </c>
      <c r="P46" s="1" t="s">
        <v>35</v>
      </c>
      <c r="Q46" s="1" t="s">
        <v>376</v>
      </c>
      <c r="R46" s="2">
        <v>45658.0</v>
      </c>
      <c r="S46" s="2">
        <v>46022.0</v>
      </c>
      <c r="U46" s="3">
        <v>12.0</v>
      </c>
      <c r="V46" s="2">
        <v>39654.0</v>
      </c>
      <c r="W46" s="1" t="s">
        <v>58</v>
      </c>
      <c r="X46" s="1" t="s">
        <v>59</v>
      </c>
    </row>
    <row r="47" ht="15.75" customHeight="1">
      <c r="A47" s="1" t="s">
        <v>78</v>
      </c>
      <c r="B47" s="1" t="s">
        <v>61</v>
      </c>
      <c r="C47" s="1" t="s">
        <v>80</v>
      </c>
      <c r="D47" s="1" t="s">
        <v>377</v>
      </c>
      <c r="E47" s="1" t="s">
        <v>378</v>
      </c>
      <c r="F47" s="1" t="s">
        <v>379</v>
      </c>
      <c r="G47" s="1" t="s">
        <v>380</v>
      </c>
      <c r="H47" s="2">
        <v>25490.0</v>
      </c>
      <c r="I47" s="3">
        <v>56.0</v>
      </c>
      <c r="J47" s="1" t="s">
        <v>31</v>
      </c>
      <c r="K47" s="1" t="s">
        <v>32</v>
      </c>
      <c r="L47" s="1" t="s">
        <v>381</v>
      </c>
      <c r="M47" s="1" t="s">
        <v>34</v>
      </c>
      <c r="N47" s="2">
        <v>44545.0</v>
      </c>
      <c r="O47" s="2">
        <v>37316.0</v>
      </c>
      <c r="P47" s="1" t="s">
        <v>35</v>
      </c>
      <c r="Q47" s="1" t="s">
        <v>382</v>
      </c>
      <c r="R47" s="2">
        <v>44562.0</v>
      </c>
      <c r="S47" s="2">
        <v>73050.0</v>
      </c>
      <c r="U47" s="3">
        <v>22.0</v>
      </c>
      <c r="V47" s="2">
        <v>38718.0</v>
      </c>
      <c r="W47" s="1" t="s">
        <v>383</v>
      </c>
      <c r="X47" s="1" t="s">
        <v>59</v>
      </c>
    </row>
    <row r="48" ht="15.75" customHeight="1">
      <c r="A48" s="1" t="s">
        <v>78</v>
      </c>
      <c r="B48" s="1" t="s">
        <v>99</v>
      </c>
      <c r="C48" s="1" t="s">
        <v>26</v>
      </c>
      <c r="D48" s="1" t="s">
        <v>347</v>
      </c>
      <c r="E48" s="1" t="s">
        <v>384</v>
      </c>
      <c r="F48" s="1" t="s">
        <v>385</v>
      </c>
      <c r="G48" s="1" t="s">
        <v>386</v>
      </c>
      <c r="H48" s="2">
        <v>24057.0</v>
      </c>
      <c r="I48" s="3">
        <v>60.0</v>
      </c>
      <c r="J48" s="1" t="s">
        <v>31</v>
      </c>
      <c r="K48" s="1" t="s">
        <v>32</v>
      </c>
      <c r="L48" s="1" t="s">
        <v>387</v>
      </c>
      <c r="M48" s="1" t="s">
        <v>34</v>
      </c>
      <c r="N48" s="2">
        <v>44524.0</v>
      </c>
      <c r="O48" s="2">
        <v>37347.0</v>
      </c>
      <c r="P48" s="1" t="s">
        <v>35</v>
      </c>
      <c r="Q48" s="1" t="s">
        <v>388</v>
      </c>
      <c r="R48" s="2">
        <v>45047.0</v>
      </c>
      <c r="S48" s="2">
        <v>73050.0</v>
      </c>
      <c r="U48" s="3">
        <v>44.0</v>
      </c>
      <c r="V48" s="2">
        <v>40284.0</v>
      </c>
      <c r="W48" s="1" t="s">
        <v>389</v>
      </c>
      <c r="X48" s="1" t="s">
        <v>98</v>
      </c>
    </row>
    <row r="49" ht="15.75" customHeight="1">
      <c r="A49" s="1" t="s">
        <v>24</v>
      </c>
      <c r="B49" s="1" t="s">
        <v>99</v>
      </c>
      <c r="C49" s="1" t="s">
        <v>26</v>
      </c>
      <c r="D49" s="1" t="s">
        <v>390</v>
      </c>
      <c r="E49" s="1" t="s">
        <v>391</v>
      </c>
      <c r="F49" s="1" t="s">
        <v>392</v>
      </c>
      <c r="G49" s="1" t="s">
        <v>393</v>
      </c>
      <c r="H49" s="2">
        <v>23585.0</v>
      </c>
      <c r="I49" s="3">
        <v>61.0</v>
      </c>
      <c r="J49" s="1" t="s">
        <v>31</v>
      </c>
      <c r="K49" s="1" t="s">
        <v>32</v>
      </c>
      <c r="L49" s="1" t="s">
        <v>394</v>
      </c>
      <c r="M49" s="1" t="s">
        <v>34</v>
      </c>
      <c r="N49" s="2">
        <v>42291.0</v>
      </c>
      <c r="O49" s="2">
        <v>37377.0</v>
      </c>
      <c r="P49" s="1" t="s">
        <v>35</v>
      </c>
      <c r="Q49" s="1" t="s">
        <v>395</v>
      </c>
      <c r="R49" s="2">
        <v>42430.0</v>
      </c>
      <c r="S49" s="2">
        <v>73050.0</v>
      </c>
      <c r="T49" s="1" t="s">
        <v>396</v>
      </c>
      <c r="U49" s="3">
        <v>44.0</v>
      </c>
      <c r="V49" s="2">
        <v>41733.0</v>
      </c>
      <c r="W49" s="1" t="s">
        <v>58</v>
      </c>
      <c r="X49" s="1" t="s">
        <v>59</v>
      </c>
    </row>
    <row r="50" ht="15.75" customHeight="1">
      <c r="A50" s="1" t="s">
        <v>60</v>
      </c>
      <c r="B50" s="1" t="s">
        <v>99</v>
      </c>
      <c r="C50" s="1" t="s">
        <v>26</v>
      </c>
      <c r="D50" s="1" t="s">
        <v>397</v>
      </c>
      <c r="E50" s="1" t="s">
        <v>398</v>
      </c>
      <c r="F50" s="1" t="s">
        <v>399</v>
      </c>
      <c r="G50" s="1" t="s">
        <v>400</v>
      </c>
      <c r="H50" s="2">
        <v>27155.0</v>
      </c>
      <c r="I50" s="3">
        <v>51.0</v>
      </c>
      <c r="J50" s="1" t="s">
        <v>31</v>
      </c>
      <c r="K50" s="1" t="s">
        <v>32</v>
      </c>
      <c r="L50" s="1" t="s">
        <v>401</v>
      </c>
      <c r="M50" s="1" t="s">
        <v>34</v>
      </c>
      <c r="N50" s="2">
        <v>45035.0</v>
      </c>
      <c r="O50" s="2">
        <v>37834.0</v>
      </c>
      <c r="P50" s="1" t="s">
        <v>35</v>
      </c>
      <c r="Q50" s="1" t="s">
        <v>402</v>
      </c>
      <c r="R50" s="2">
        <v>45078.0</v>
      </c>
      <c r="S50" s="2">
        <v>73050.0</v>
      </c>
      <c r="U50" s="3">
        <v>22.0</v>
      </c>
      <c r="V50" s="2">
        <v>41913.0</v>
      </c>
      <c r="W50" s="1" t="s">
        <v>403</v>
      </c>
      <c r="X50" s="1" t="s">
        <v>404</v>
      </c>
    </row>
    <row r="51" ht="15.75" customHeight="1">
      <c r="A51" s="1" t="s">
        <v>60</v>
      </c>
      <c r="B51" s="1" t="s">
        <v>99</v>
      </c>
      <c r="C51" s="1" t="s">
        <v>26</v>
      </c>
      <c r="D51" s="1" t="s">
        <v>405</v>
      </c>
      <c r="E51" s="1" t="s">
        <v>406</v>
      </c>
      <c r="F51" s="1" t="s">
        <v>407</v>
      </c>
      <c r="G51" s="1" t="s">
        <v>408</v>
      </c>
      <c r="H51" s="2">
        <v>26164.0</v>
      </c>
      <c r="I51" s="3">
        <v>54.0</v>
      </c>
      <c r="J51" s="1" t="s">
        <v>31</v>
      </c>
      <c r="K51" s="1" t="s">
        <v>32</v>
      </c>
      <c r="L51" s="1" t="s">
        <v>409</v>
      </c>
      <c r="M51" s="1" t="s">
        <v>34</v>
      </c>
      <c r="N51" s="2">
        <v>42851.0</v>
      </c>
      <c r="O51" s="2">
        <v>37834.0</v>
      </c>
      <c r="P51" s="1" t="s">
        <v>35</v>
      </c>
      <c r="Q51" s="1" t="s">
        <v>410</v>
      </c>
      <c r="R51" s="2">
        <v>44501.0</v>
      </c>
      <c r="S51" s="2">
        <v>73050.0</v>
      </c>
      <c r="U51" s="3">
        <v>44.0</v>
      </c>
      <c r="V51" s="2">
        <v>42735.0</v>
      </c>
      <c r="W51" s="1" t="s">
        <v>58</v>
      </c>
      <c r="X51" s="1" t="s">
        <v>59</v>
      </c>
    </row>
    <row r="52" ht="15.75" customHeight="1">
      <c r="A52" s="1" t="s">
        <v>24</v>
      </c>
      <c r="B52" s="1" t="s">
        <v>25</v>
      </c>
      <c r="C52" s="1" t="s">
        <v>80</v>
      </c>
      <c r="D52" s="1" t="s">
        <v>411</v>
      </c>
      <c r="F52" s="1" t="s">
        <v>412</v>
      </c>
      <c r="G52" s="1" t="s">
        <v>413</v>
      </c>
      <c r="H52" s="2">
        <v>26487.0</v>
      </c>
      <c r="I52" s="3">
        <v>53.0</v>
      </c>
      <c r="J52" s="1" t="s">
        <v>31</v>
      </c>
      <c r="K52" s="1" t="s">
        <v>32</v>
      </c>
      <c r="L52" s="1" t="s">
        <v>414</v>
      </c>
      <c r="M52" s="1" t="s">
        <v>34</v>
      </c>
      <c r="N52" s="2">
        <v>43243.0</v>
      </c>
      <c r="O52" s="2">
        <v>37987.0</v>
      </c>
      <c r="P52" s="1" t="s">
        <v>35</v>
      </c>
      <c r="Q52" s="1" t="s">
        <v>415</v>
      </c>
      <c r="R52" s="2">
        <v>43252.0</v>
      </c>
      <c r="S52" s="2">
        <v>73050.0</v>
      </c>
      <c r="T52" s="1" t="s">
        <v>416</v>
      </c>
      <c r="U52" s="3">
        <v>44.0</v>
      </c>
      <c r="V52" s="2">
        <v>37427.0</v>
      </c>
      <c r="W52" s="1" t="s">
        <v>417</v>
      </c>
      <c r="X52" s="1" t="s">
        <v>38</v>
      </c>
    </row>
    <row r="53" ht="15.75" customHeight="1">
      <c r="A53" s="1" t="s">
        <v>60</v>
      </c>
      <c r="B53" s="1" t="s">
        <v>25</v>
      </c>
      <c r="C53" s="1" t="s">
        <v>80</v>
      </c>
      <c r="D53" s="1" t="s">
        <v>418</v>
      </c>
      <c r="E53" s="1" t="s">
        <v>419</v>
      </c>
      <c r="F53" s="1" t="s">
        <v>420</v>
      </c>
      <c r="G53" s="1" t="s">
        <v>421</v>
      </c>
      <c r="H53" s="2">
        <v>24428.0</v>
      </c>
      <c r="I53" s="3">
        <v>59.0</v>
      </c>
      <c r="J53" s="1" t="s">
        <v>31</v>
      </c>
      <c r="K53" s="1" t="s">
        <v>32</v>
      </c>
      <c r="L53" s="1" t="s">
        <v>422</v>
      </c>
      <c r="M53" s="1" t="s">
        <v>34</v>
      </c>
      <c r="N53" s="2">
        <v>44629.0</v>
      </c>
      <c r="O53" s="2">
        <v>38085.0</v>
      </c>
      <c r="P53" s="1" t="s">
        <v>35</v>
      </c>
      <c r="Q53" s="1" t="s">
        <v>423</v>
      </c>
      <c r="R53" s="2">
        <v>45047.0</v>
      </c>
      <c r="S53" s="2">
        <v>73050.0</v>
      </c>
      <c r="U53" s="3">
        <v>44.0</v>
      </c>
      <c r="V53" s="2">
        <v>40725.0</v>
      </c>
      <c r="W53" s="1" t="s">
        <v>58</v>
      </c>
      <c r="X53" s="1" t="s">
        <v>59</v>
      </c>
    </row>
    <row r="54" ht="15.75" customHeight="1">
      <c r="A54" s="1" t="s">
        <v>60</v>
      </c>
      <c r="B54" s="1" t="s">
        <v>99</v>
      </c>
      <c r="C54" s="1" t="s">
        <v>26</v>
      </c>
      <c r="D54" s="1" t="s">
        <v>424</v>
      </c>
      <c r="E54" s="1" t="s">
        <v>425</v>
      </c>
      <c r="F54" s="1" t="s">
        <v>426</v>
      </c>
      <c r="G54" s="1" t="s">
        <v>427</v>
      </c>
      <c r="H54" s="2">
        <v>29111.0</v>
      </c>
      <c r="I54" s="3">
        <v>46.0</v>
      </c>
      <c r="J54" s="1" t="s">
        <v>31</v>
      </c>
      <c r="K54" s="1" t="s">
        <v>32</v>
      </c>
      <c r="L54" s="1" t="s">
        <v>428</v>
      </c>
      <c r="M54" s="1" t="s">
        <v>34</v>
      </c>
      <c r="N54" s="2">
        <v>42123.0</v>
      </c>
      <c r="O54" s="2">
        <v>38200.0</v>
      </c>
      <c r="P54" s="1" t="s">
        <v>35</v>
      </c>
      <c r="Q54" s="1" t="s">
        <v>429</v>
      </c>
      <c r="R54" s="2">
        <v>43556.0</v>
      </c>
      <c r="S54" s="2">
        <v>73050.0</v>
      </c>
      <c r="T54" s="1" t="s">
        <v>430</v>
      </c>
      <c r="U54" s="3">
        <v>44.0</v>
      </c>
      <c r="V54" s="2">
        <v>41030.0</v>
      </c>
      <c r="W54" s="1" t="s">
        <v>431</v>
      </c>
      <c r="X54" s="1" t="s">
        <v>227</v>
      </c>
    </row>
    <row r="55" ht="15.75" customHeight="1">
      <c r="A55" s="1" t="s">
        <v>60</v>
      </c>
      <c r="B55" s="1" t="s">
        <v>109</v>
      </c>
      <c r="C55" s="1" t="s">
        <v>80</v>
      </c>
      <c r="D55" s="1" t="s">
        <v>432</v>
      </c>
      <c r="E55" s="1" t="s">
        <v>433</v>
      </c>
      <c r="F55" s="1" t="s">
        <v>434</v>
      </c>
      <c r="G55" s="1" t="s">
        <v>435</v>
      </c>
      <c r="H55" s="2">
        <v>28843.0</v>
      </c>
      <c r="I55" s="3">
        <v>47.0</v>
      </c>
      <c r="J55" s="1" t="s">
        <v>66</v>
      </c>
      <c r="K55" s="1" t="s">
        <v>32</v>
      </c>
      <c r="L55" s="1" t="s">
        <v>436</v>
      </c>
      <c r="M55" s="1" t="s">
        <v>34</v>
      </c>
      <c r="N55" s="2">
        <v>43376.0</v>
      </c>
      <c r="O55" s="2">
        <v>38200.0</v>
      </c>
      <c r="P55" s="1" t="s">
        <v>35</v>
      </c>
      <c r="Q55" s="1" t="s">
        <v>437</v>
      </c>
      <c r="R55" s="2">
        <v>45658.0</v>
      </c>
      <c r="S55" s="2">
        <v>46022.0</v>
      </c>
      <c r="U55" s="3">
        <v>44.0</v>
      </c>
      <c r="V55" s="2">
        <v>42676.0</v>
      </c>
      <c r="W55" s="1" t="s">
        <v>438</v>
      </c>
      <c r="X55" s="1" t="s">
        <v>59</v>
      </c>
    </row>
    <row r="56" ht="15.75" customHeight="1">
      <c r="A56" s="1" t="s">
        <v>78</v>
      </c>
      <c r="B56" s="1" t="s">
        <v>317</v>
      </c>
      <c r="C56" s="1" t="s">
        <v>26</v>
      </c>
      <c r="D56" s="1" t="s">
        <v>439</v>
      </c>
      <c r="E56" s="1" t="s">
        <v>440</v>
      </c>
      <c r="F56" s="1" t="s">
        <v>441</v>
      </c>
      <c r="G56" s="1" t="s">
        <v>442</v>
      </c>
      <c r="H56" s="2">
        <v>20725.0</v>
      </c>
      <c r="I56" s="3">
        <v>69.0</v>
      </c>
      <c r="J56" s="1" t="s">
        <v>66</v>
      </c>
      <c r="K56" s="1" t="s">
        <v>32</v>
      </c>
      <c r="L56" s="1" t="s">
        <v>443</v>
      </c>
      <c r="N56" s="2">
        <v>38231.0</v>
      </c>
      <c r="O56" s="2">
        <v>38261.0</v>
      </c>
      <c r="P56" s="1" t="s">
        <v>35</v>
      </c>
      <c r="Q56" s="1" t="s">
        <v>444</v>
      </c>
      <c r="R56" s="2">
        <v>45658.0</v>
      </c>
      <c r="S56" s="2">
        <v>46022.0</v>
      </c>
      <c r="T56" s="1" t="s">
        <v>445</v>
      </c>
      <c r="U56" s="3">
        <v>6.0</v>
      </c>
    </row>
    <row r="57" ht="15.75" customHeight="1">
      <c r="A57" s="1" t="s">
        <v>78</v>
      </c>
      <c r="B57" s="1" t="s">
        <v>317</v>
      </c>
      <c r="C57" s="1" t="s">
        <v>26</v>
      </c>
      <c r="D57" s="1" t="s">
        <v>439</v>
      </c>
      <c r="E57" s="1" t="s">
        <v>440</v>
      </c>
      <c r="F57" s="1" t="s">
        <v>441</v>
      </c>
      <c r="G57" s="1" t="s">
        <v>442</v>
      </c>
      <c r="H57" s="2">
        <v>20725.0</v>
      </c>
      <c r="I57" s="3">
        <v>69.0</v>
      </c>
      <c r="J57" s="1" t="s">
        <v>66</v>
      </c>
      <c r="K57" s="1" t="s">
        <v>32</v>
      </c>
      <c r="L57" s="1" t="s">
        <v>443</v>
      </c>
      <c r="N57" s="2">
        <v>38231.0</v>
      </c>
      <c r="O57" s="2">
        <v>38261.0</v>
      </c>
      <c r="P57" s="1" t="s">
        <v>35</v>
      </c>
      <c r="Q57" s="1" t="s">
        <v>444</v>
      </c>
      <c r="R57" s="2">
        <v>45658.0</v>
      </c>
      <c r="S57" s="2">
        <v>46022.0</v>
      </c>
      <c r="T57" s="1" t="s">
        <v>446</v>
      </c>
      <c r="U57" s="3">
        <v>6.0</v>
      </c>
    </row>
    <row r="58" ht="15.75" customHeight="1">
      <c r="A58" s="1" t="s">
        <v>60</v>
      </c>
      <c r="B58" s="1" t="s">
        <v>109</v>
      </c>
      <c r="C58" s="1" t="s">
        <v>26</v>
      </c>
      <c r="D58" s="1" t="s">
        <v>447</v>
      </c>
      <c r="E58" s="1" t="s">
        <v>448</v>
      </c>
      <c r="F58" s="1" t="s">
        <v>449</v>
      </c>
      <c r="G58" s="1" t="s">
        <v>450</v>
      </c>
      <c r="H58" s="2">
        <v>21251.0</v>
      </c>
      <c r="I58" s="3">
        <v>67.0</v>
      </c>
      <c r="J58" s="1" t="s">
        <v>66</v>
      </c>
      <c r="K58" s="1" t="s">
        <v>32</v>
      </c>
      <c r="L58" s="1" t="s">
        <v>451</v>
      </c>
      <c r="M58" s="1" t="s">
        <v>359</v>
      </c>
      <c r="N58" s="2">
        <v>38250.0</v>
      </c>
      <c r="O58" s="2">
        <v>38261.0</v>
      </c>
      <c r="P58" s="1" t="s">
        <v>35</v>
      </c>
      <c r="Q58" s="1" t="s">
        <v>452</v>
      </c>
      <c r="R58" s="2">
        <v>45658.0</v>
      </c>
      <c r="S58" s="2">
        <v>46022.0</v>
      </c>
      <c r="T58" s="1" t="s">
        <v>361</v>
      </c>
      <c r="U58" s="3">
        <v>12.0</v>
      </c>
      <c r="V58" s="2">
        <v>33631.0</v>
      </c>
      <c r="W58" s="1" t="s">
        <v>58</v>
      </c>
      <c r="X58" s="1" t="s">
        <v>59</v>
      </c>
    </row>
    <row r="59" ht="15.75" customHeight="1">
      <c r="A59" s="1" t="s">
        <v>24</v>
      </c>
      <c r="B59" s="1" t="s">
        <v>109</v>
      </c>
      <c r="C59" s="1" t="s">
        <v>26</v>
      </c>
      <c r="D59" s="1" t="s">
        <v>453</v>
      </c>
      <c r="E59" s="1" t="s">
        <v>454</v>
      </c>
      <c r="F59" s="1" t="s">
        <v>455</v>
      </c>
      <c r="G59" s="1" t="s">
        <v>456</v>
      </c>
      <c r="H59" s="2">
        <v>26924.0</v>
      </c>
      <c r="I59" s="3">
        <v>52.0</v>
      </c>
      <c r="J59" s="1" t="s">
        <v>31</v>
      </c>
      <c r="K59" s="1" t="s">
        <v>32</v>
      </c>
      <c r="L59" s="1" t="s">
        <v>457</v>
      </c>
      <c r="M59" s="1" t="s">
        <v>106</v>
      </c>
      <c r="N59" s="2">
        <v>39821.0</v>
      </c>
      <c r="O59" s="2">
        <v>38292.0</v>
      </c>
      <c r="P59" s="1" t="s">
        <v>35</v>
      </c>
      <c r="Q59" s="1" t="s">
        <v>458</v>
      </c>
      <c r="R59" s="2">
        <v>42186.0</v>
      </c>
      <c r="S59" s="2">
        <v>73050.0</v>
      </c>
      <c r="T59" s="1" t="s">
        <v>459</v>
      </c>
      <c r="U59" s="3">
        <v>22.0</v>
      </c>
      <c r="V59" s="2">
        <v>36859.0</v>
      </c>
      <c r="W59" s="1" t="s">
        <v>460</v>
      </c>
      <c r="X59" s="1" t="s">
        <v>461</v>
      </c>
    </row>
    <row r="60" ht="15.75" customHeight="1">
      <c r="A60" s="1" t="s">
        <v>78</v>
      </c>
      <c r="B60" s="1" t="s">
        <v>25</v>
      </c>
      <c r="C60" s="1" t="s">
        <v>80</v>
      </c>
      <c r="D60" s="1" t="s">
        <v>309</v>
      </c>
      <c r="E60" s="1" t="s">
        <v>462</v>
      </c>
      <c r="F60" s="1" t="s">
        <v>463</v>
      </c>
      <c r="G60" s="1" t="s">
        <v>464</v>
      </c>
      <c r="H60" s="2">
        <v>25877.0</v>
      </c>
      <c r="I60" s="3">
        <v>55.0</v>
      </c>
      <c r="J60" s="1" t="s">
        <v>31</v>
      </c>
      <c r="K60" s="1" t="s">
        <v>32</v>
      </c>
      <c r="L60" s="1" t="s">
        <v>465</v>
      </c>
      <c r="M60" s="1" t="s">
        <v>34</v>
      </c>
      <c r="N60" s="2">
        <v>45217.0</v>
      </c>
      <c r="O60" s="2">
        <v>38292.0</v>
      </c>
      <c r="P60" s="1" t="s">
        <v>35</v>
      </c>
      <c r="Q60" s="1" t="s">
        <v>466</v>
      </c>
      <c r="R60" s="2">
        <v>45413.0</v>
      </c>
      <c r="S60" s="2">
        <v>73050.0</v>
      </c>
      <c r="U60" s="3">
        <v>44.0</v>
      </c>
      <c r="V60" s="2">
        <v>38002.0</v>
      </c>
      <c r="W60" s="1" t="s">
        <v>308</v>
      </c>
      <c r="X60" s="1" t="s">
        <v>89</v>
      </c>
    </row>
    <row r="61" ht="15.75" customHeight="1">
      <c r="A61" s="1" t="s">
        <v>60</v>
      </c>
      <c r="B61" s="1" t="s">
        <v>61</v>
      </c>
      <c r="C61" s="1" t="s">
        <v>80</v>
      </c>
      <c r="D61" s="1" t="s">
        <v>467</v>
      </c>
      <c r="E61" s="1" t="s">
        <v>468</v>
      </c>
      <c r="F61" s="1" t="s">
        <v>469</v>
      </c>
      <c r="G61" s="1" t="s">
        <v>470</v>
      </c>
      <c r="H61" s="2">
        <v>23232.0</v>
      </c>
      <c r="I61" s="3">
        <v>62.0</v>
      </c>
      <c r="J61" s="1" t="s">
        <v>66</v>
      </c>
      <c r="K61" s="1" t="s">
        <v>32</v>
      </c>
      <c r="L61" s="1" t="s">
        <v>471</v>
      </c>
      <c r="M61" s="1" t="s">
        <v>34</v>
      </c>
      <c r="N61" s="2">
        <v>44846.0</v>
      </c>
      <c r="O61" s="2">
        <v>38292.0</v>
      </c>
      <c r="P61" s="1" t="s">
        <v>35</v>
      </c>
      <c r="Q61" s="1" t="s">
        <v>472</v>
      </c>
      <c r="R61" s="2">
        <v>45658.0</v>
      </c>
      <c r="S61" s="2">
        <v>46022.0</v>
      </c>
      <c r="T61" s="1" t="s">
        <v>473</v>
      </c>
      <c r="U61" s="3">
        <v>44.0</v>
      </c>
      <c r="V61" s="2">
        <v>40022.0</v>
      </c>
      <c r="W61" s="1" t="s">
        <v>58</v>
      </c>
      <c r="X61" s="1" t="s">
        <v>59</v>
      </c>
    </row>
    <row r="62" ht="15.75" customHeight="1">
      <c r="A62" s="1" t="s">
        <v>24</v>
      </c>
      <c r="B62" s="1" t="s">
        <v>99</v>
      </c>
      <c r="C62" s="1" t="s">
        <v>26</v>
      </c>
      <c r="D62" s="1" t="s">
        <v>474</v>
      </c>
      <c r="E62" s="1" t="s">
        <v>475</v>
      </c>
      <c r="F62" s="1" t="s">
        <v>476</v>
      </c>
      <c r="G62" s="1" t="s">
        <v>477</v>
      </c>
      <c r="H62" s="2">
        <v>26298.0</v>
      </c>
      <c r="I62" s="3">
        <v>54.0</v>
      </c>
      <c r="J62" s="1" t="s">
        <v>31</v>
      </c>
      <c r="K62" s="1" t="s">
        <v>32</v>
      </c>
      <c r="L62" s="1" t="s">
        <v>478</v>
      </c>
      <c r="M62" s="1" t="s">
        <v>34</v>
      </c>
      <c r="N62" s="2">
        <v>43285.0</v>
      </c>
      <c r="O62" s="2">
        <v>38322.0</v>
      </c>
      <c r="P62" s="1" t="s">
        <v>35</v>
      </c>
      <c r="Q62" s="1" t="s">
        <v>479</v>
      </c>
      <c r="R62" s="2">
        <v>44440.0</v>
      </c>
      <c r="S62" s="2">
        <v>73050.0</v>
      </c>
      <c r="U62" s="3">
        <v>44.0</v>
      </c>
      <c r="V62" s="2">
        <v>38623.0</v>
      </c>
      <c r="W62" s="1" t="s">
        <v>480</v>
      </c>
      <c r="X62" s="1" t="s">
        <v>481</v>
      </c>
    </row>
    <row r="63" ht="15.75" customHeight="1">
      <c r="A63" s="1" t="s">
        <v>39</v>
      </c>
      <c r="B63" s="1" t="s">
        <v>61</v>
      </c>
      <c r="C63" s="1" t="s">
        <v>80</v>
      </c>
      <c r="D63" s="1" t="s">
        <v>482</v>
      </c>
      <c r="E63" s="1" t="s">
        <v>483</v>
      </c>
      <c r="F63" s="1" t="s">
        <v>484</v>
      </c>
      <c r="G63" s="1" t="s">
        <v>485</v>
      </c>
      <c r="H63" s="2">
        <v>24008.0</v>
      </c>
      <c r="I63" s="3">
        <v>60.0</v>
      </c>
      <c r="J63" s="1" t="s">
        <v>66</v>
      </c>
      <c r="K63" s="1" t="s">
        <v>32</v>
      </c>
      <c r="L63" s="1" t="s">
        <v>486</v>
      </c>
      <c r="M63" s="1" t="s">
        <v>55</v>
      </c>
      <c r="N63" s="2">
        <v>44524.0</v>
      </c>
      <c r="O63" s="2">
        <v>38322.0</v>
      </c>
      <c r="P63" s="1" t="s">
        <v>35</v>
      </c>
      <c r="Q63" s="1" t="s">
        <v>487</v>
      </c>
      <c r="R63" s="2">
        <v>45658.0</v>
      </c>
      <c r="S63" s="2">
        <v>46022.0</v>
      </c>
      <c r="T63" s="1" t="s">
        <v>488</v>
      </c>
      <c r="U63" s="3">
        <v>22.0</v>
      </c>
      <c r="V63" s="2">
        <v>38174.0</v>
      </c>
      <c r="W63" s="1" t="s">
        <v>58</v>
      </c>
      <c r="X63" s="1" t="s">
        <v>59</v>
      </c>
    </row>
    <row r="64" ht="15.75" customHeight="1">
      <c r="A64" s="1" t="s">
        <v>39</v>
      </c>
      <c r="B64" s="1" t="s">
        <v>61</v>
      </c>
      <c r="C64" s="1" t="s">
        <v>80</v>
      </c>
      <c r="D64" s="1" t="s">
        <v>482</v>
      </c>
      <c r="E64" s="1" t="s">
        <v>483</v>
      </c>
      <c r="F64" s="1" t="s">
        <v>484</v>
      </c>
      <c r="G64" s="1" t="s">
        <v>485</v>
      </c>
      <c r="H64" s="2">
        <v>24008.0</v>
      </c>
      <c r="I64" s="3">
        <v>60.0</v>
      </c>
      <c r="J64" s="1" t="s">
        <v>31</v>
      </c>
      <c r="K64" s="1" t="s">
        <v>32</v>
      </c>
      <c r="L64" s="1" t="s">
        <v>486</v>
      </c>
      <c r="M64" s="1" t="s">
        <v>55</v>
      </c>
      <c r="N64" s="2">
        <v>44524.0</v>
      </c>
      <c r="O64" s="2">
        <v>38322.0</v>
      </c>
      <c r="P64" s="1" t="s">
        <v>35</v>
      </c>
      <c r="Q64" s="1" t="s">
        <v>487</v>
      </c>
      <c r="R64" s="2">
        <v>44564.0</v>
      </c>
      <c r="S64" s="2">
        <v>73050.0</v>
      </c>
      <c r="T64" s="1" t="s">
        <v>489</v>
      </c>
      <c r="U64" s="3">
        <v>22.0</v>
      </c>
      <c r="V64" s="2">
        <v>38174.0</v>
      </c>
      <c r="W64" s="1" t="s">
        <v>58</v>
      </c>
      <c r="X64" s="1" t="s">
        <v>59</v>
      </c>
    </row>
    <row r="65" ht="15.75" customHeight="1">
      <c r="A65" s="1" t="s">
        <v>337</v>
      </c>
      <c r="B65" s="1" t="s">
        <v>25</v>
      </c>
      <c r="C65" s="1" t="s">
        <v>80</v>
      </c>
      <c r="D65" s="1" t="s">
        <v>490</v>
      </c>
      <c r="E65" s="1" t="s">
        <v>491</v>
      </c>
      <c r="F65" s="1" t="s">
        <v>492</v>
      </c>
      <c r="G65" s="1" t="s">
        <v>493</v>
      </c>
      <c r="H65" s="2">
        <v>20650.0</v>
      </c>
      <c r="I65" s="3">
        <v>69.0</v>
      </c>
      <c r="J65" s="1" t="s">
        <v>104</v>
      </c>
      <c r="K65" s="1" t="s">
        <v>32</v>
      </c>
      <c r="L65" s="1" t="s">
        <v>494</v>
      </c>
      <c r="M65" s="1" t="s">
        <v>34</v>
      </c>
      <c r="N65" s="2">
        <v>44587.0</v>
      </c>
      <c r="O65" s="2">
        <v>38454.0</v>
      </c>
      <c r="P65" s="1" t="s">
        <v>35</v>
      </c>
      <c r="Q65" s="1" t="s">
        <v>495</v>
      </c>
      <c r="R65" s="2">
        <v>45658.0</v>
      </c>
      <c r="S65" s="2">
        <v>46022.0</v>
      </c>
      <c r="U65" s="3">
        <v>6.0</v>
      </c>
      <c r="V65" s="2">
        <v>36616.0</v>
      </c>
      <c r="W65" s="1" t="s">
        <v>496</v>
      </c>
      <c r="X65" s="1" t="s">
        <v>497</v>
      </c>
    </row>
    <row r="66" ht="15.75" customHeight="1">
      <c r="A66" s="1" t="s">
        <v>337</v>
      </c>
      <c r="B66" s="1" t="s">
        <v>25</v>
      </c>
      <c r="C66" s="1" t="s">
        <v>80</v>
      </c>
      <c r="D66" s="1" t="s">
        <v>490</v>
      </c>
      <c r="E66" s="1" t="s">
        <v>491</v>
      </c>
      <c r="F66" s="1" t="s">
        <v>492</v>
      </c>
      <c r="G66" s="1" t="s">
        <v>493</v>
      </c>
      <c r="H66" s="2">
        <v>20650.0</v>
      </c>
      <c r="I66" s="3">
        <v>69.0</v>
      </c>
      <c r="J66" s="1" t="s">
        <v>66</v>
      </c>
      <c r="K66" s="1" t="s">
        <v>32</v>
      </c>
      <c r="L66" s="1" t="s">
        <v>494</v>
      </c>
      <c r="M66" s="1" t="s">
        <v>34</v>
      </c>
      <c r="N66" s="2">
        <v>44587.0</v>
      </c>
      <c r="O66" s="2">
        <v>38454.0</v>
      </c>
      <c r="P66" s="1" t="s">
        <v>35</v>
      </c>
      <c r="Q66" s="1" t="s">
        <v>495</v>
      </c>
      <c r="R66" s="2">
        <v>45658.0</v>
      </c>
      <c r="S66" s="2">
        <v>46022.0</v>
      </c>
      <c r="U66" s="3">
        <v>6.0</v>
      </c>
      <c r="V66" s="2">
        <v>36616.0</v>
      </c>
      <c r="W66" s="1" t="s">
        <v>496</v>
      </c>
      <c r="X66" s="1" t="s">
        <v>497</v>
      </c>
    </row>
    <row r="67" ht="15.75" customHeight="1">
      <c r="A67" s="1" t="s">
        <v>337</v>
      </c>
      <c r="B67" s="1" t="s">
        <v>25</v>
      </c>
      <c r="C67" s="1" t="s">
        <v>80</v>
      </c>
      <c r="D67" s="1" t="s">
        <v>490</v>
      </c>
      <c r="E67" s="1" t="s">
        <v>491</v>
      </c>
      <c r="F67" s="1" t="s">
        <v>492</v>
      </c>
      <c r="G67" s="1" t="s">
        <v>493</v>
      </c>
      <c r="H67" s="2">
        <v>20650.0</v>
      </c>
      <c r="I67" s="3">
        <v>69.0</v>
      </c>
      <c r="J67" s="1" t="s">
        <v>31</v>
      </c>
      <c r="K67" s="1" t="s">
        <v>32</v>
      </c>
      <c r="L67" s="1" t="s">
        <v>494</v>
      </c>
      <c r="M67" s="1" t="s">
        <v>34</v>
      </c>
      <c r="N67" s="2">
        <v>44587.0</v>
      </c>
      <c r="O67" s="2">
        <v>38454.0</v>
      </c>
      <c r="P67" s="1" t="s">
        <v>265</v>
      </c>
      <c r="Q67" s="1" t="s">
        <v>495</v>
      </c>
      <c r="R67" s="2">
        <v>44743.0</v>
      </c>
      <c r="S67" s="2">
        <v>73050.0</v>
      </c>
      <c r="U67" s="3">
        <v>44.0</v>
      </c>
      <c r="V67" s="2">
        <v>36616.0</v>
      </c>
      <c r="W67" s="1" t="s">
        <v>496</v>
      </c>
      <c r="X67" s="1" t="s">
        <v>497</v>
      </c>
    </row>
    <row r="68" ht="15.75" customHeight="1">
      <c r="A68" s="1" t="s">
        <v>39</v>
      </c>
      <c r="B68" s="1" t="s">
        <v>61</v>
      </c>
      <c r="C68" s="1" t="s">
        <v>26</v>
      </c>
      <c r="D68" s="1" t="s">
        <v>498</v>
      </c>
      <c r="E68" s="1" t="s">
        <v>499</v>
      </c>
      <c r="F68" s="1" t="s">
        <v>500</v>
      </c>
      <c r="G68" s="1" t="s">
        <v>501</v>
      </c>
      <c r="H68" s="2">
        <v>21399.0</v>
      </c>
      <c r="I68" s="3">
        <v>67.0</v>
      </c>
      <c r="J68" s="1" t="s">
        <v>31</v>
      </c>
      <c r="K68" s="1" t="s">
        <v>32</v>
      </c>
      <c r="L68" s="1" t="s">
        <v>502</v>
      </c>
      <c r="M68" s="1" t="s">
        <v>503</v>
      </c>
      <c r="N68" s="2">
        <v>41738.0</v>
      </c>
      <c r="O68" s="2">
        <v>38477.0</v>
      </c>
      <c r="P68" s="1" t="s">
        <v>35</v>
      </c>
      <c r="Q68" s="1" t="s">
        <v>504</v>
      </c>
      <c r="R68" s="2">
        <v>42372.0</v>
      </c>
      <c r="S68" s="2">
        <v>73050.0</v>
      </c>
      <c r="T68" s="1" t="s">
        <v>505</v>
      </c>
      <c r="U68" s="3">
        <v>44.0</v>
      </c>
      <c r="V68" s="2">
        <v>38742.0</v>
      </c>
      <c r="W68" s="1" t="s">
        <v>506</v>
      </c>
      <c r="X68" s="1" t="s">
        <v>59</v>
      </c>
    </row>
    <row r="69" ht="15.75" customHeight="1">
      <c r="A69" s="1" t="s">
        <v>24</v>
      </c>
      <c r="B69" s="1" t="s">
        <v>317</v>
      </c>
      <c r="C69" s="1" t="s">
        <v>80</v>
      </c>
      <c r="D69" s="1" t="s">
        <v>507</v>
      </c>
      <c r="E69" s="1" t="s">
        <v>508</v>
      </c>
      <c r="F69" s="1" t="s">
        <v>509</v>
      </c>
      <c r="G69" s="1" t="s">
        <v>510</v>
      </c>
      <c r="H69" s="2">
        <v>26591.0</v>
      </c>
      <c r="I69" s="3">
        <v>53.0</v>
      </c>
      <c r="J69" s="1" t="s">
        <v>31</v>
      </c>
      <c r="K69" s="1" t="s">
        <v>32</v>
      </c>
      <c r="L69" s="1" t="s">
        <v>511</v>
      </c>
      <c r="M69" s="1" t="s">
        <v>55</v>
      </c>
      <c r="N69" s="2">
        <v>41291.0</v>
      </c>
      <c r="O69" s="2">
        <v>38838.0</v>
      </c>
      <c r="P69" s="1" t="s">
        <v>35</v>
      </c>
      <c r="Q69" s="1" t="s">
        <v>512</v>
      </c>
      <c r="R69" s="2">
        <v>42186.0</v>
      </c>
      <c r="S69" s="2">
        <v>73050.0</v>
      </c>
      <c r="T69" s="1" t="s">
        <v>513</v>
      </c>
      <c r="U69" s="3">
        <v>44.0</v>
      </c>
      <c r="V69" s="2">
        <v>35874.0</v>
      </c>
      <c r="W69" s="1" t="s">
        <v>58</v>
      </c>
      <c r="X69" s="1" t="s">
        <v>59</v>
      </c>
    </row>
    <row r="70" ht="15.75" customHeight="1">
      <c r="A70" s="1" t="s">
        <v>60</v>
      </c>
      <c r="B70" s="1" t="s">
        <v>317</v>
      </c>
      <c r="C70" s="1" t="s">
        <v>80</v>
      </c>
      <c r="D70" s="1" t="s">
        <v>390</v>
      </c>
      <c r="E70" s="1" t="s">
        <v>514</v>
      </c>
      <c r="F70" s="1" t="s">
        <v>515</v>
      </c>
      <c r="G70" s="1" t="s">
        <v>516</v>
      </c>
      <c r="H70" s="2">
        <v>26971.0</v>
      </c>
      <c r="I70" s="3">
        <v>52.0</v>
      </c>
      <c r="J70" s="1" t="s">
        <v>31</v>
      </c>
      <c r="K70" s="1" t="s">
        <v>32</v>
      </c>
      <c r="L70" s="1" t="s">
        <v>517</v>
      </c>
      <c r="M70" s="1" t="s">
        <v>34</v>
      </c>
      <c r="N70" s="2">
        <v>45420.0</v>
      </c>
      <c r="O70" s="2">
        <v>38838.0</v>
      </c>
      <c r="P70" s="1" t="s">
        <v>35</v>
      </c>
      <c r="Q70" s="1" t="s">
        <v>518</v>
      </c>
      <c r="R70" s="2">
        <v>45444.0</v>
      </c>
      <c r="S70" s="2">
        <v>73050.0</v>
      </c>
      <c r="T70" s="1" t="s">
        <v>519</v>
      </c>
      <c r="U70" s="3">
        <v>44.0</v>
      </c>
      <c r="V70" s="2">
        <v>43539.0</v>
      </c>
      <c r="W70" s="1" t="s">
        <v>520</v>
      </c>
      <c r="X70" s="1" t="s">
        <v>38</v>
      </c>
    </row>
    <row r="71" ht="15.75" customHeight="1">
      <c r="A71" s="1" t="s">
        <v>24</v>
      </c>
      <c r="B71" s="1" t="s">
        <v>99</v>
      </c>
      <c r="C71" s="1" t="s">
        <v>26</v>
      </c>
      <c r="D71" s="1" t="s">
        <v>521</v>
      </c>
      <c r="E71" s="1" t="s">
        <v>522</v>
      </c>
      <c r="F71" s="1" t="s">
        <v>523</v>
      </c>
      <c r="G71" s="1" t="s">
        <v>524</v>
      </c>
      <c r="H71" s="2">
        <v>25295.0</v>
      </c>
      <c r="I71" s="3">
        <v>56.0</v>
      </c>
      <c r="J71" s="1" t="s">
        <v>31</v>
      </c>
      <c r="K71" s="1" t="s">
        <v>32</v>
      </c>
      <c r="L71" s="1" t="s">
        <v>525</v>
      </c>
      <c r="M71" s="1" t="s">
        <v>34</v>
      </c>
      <c r="N71" s="2">
        <v>43243.0</v>
      </c>
      <c r="O71" s="2">
        <v>38838.0</v>
      </c>
      <c r="P71" s="1" t="s">
        <v>35</v>
      </c>
      <c r="Q71" s="1" t="s">
        <v>526</v>
      </c>
      <c r="R71" s="2">
        <v>43252.0</v>
      </c>
      <c r="S71" s="2">
        <v>73050.0</v>
      </c>
      <c r="U71" s="3">
        <v>44.0</v>
      </c>
      <c r="V71" s="2">
        <v>42387.0</v>
      </c>
      <c r="W71" s="1" t="s">
        <v>527</v>
      </c>
      <c r="X71" s="1" t="s">
        <v>89</v>
      </c>
    </row>
    <row r="72" ht="15.75" customHeight="1">
      <c r="A72" s="1" t="s">
        <v>60</v>
      </c>
      <c r="B72" s="1" t="s">
        <v>99</v>
      </c>
      <c r="C72" s="1" t="s">
        <v>80</v>
      </c>
      <c r="D72" s="1" t="s">
        <v>528</v>
      </c>
      <c r="E72" s="1" t="s">
        <v>529</v>
      </c>
      <c r="F72" s="1" t="s">
        <v>530</v>
      </c>
      <c r="G72" s="1" t="s">
        <v>531</v>
      </c>
      <c r="H72" s="2">
        <v>27109.0</v>
      </c>
      <c r="I72" s="3">
        <v>51.0</v>
      </c>
      <c r="J72" s="1" t="s">
        <v>31</v>
      </c>
      <c r="K72" s="1" t="s">
        <v>32</v>
      </c>
      <c r="L72" s="1" t="s">
        <v>532</v>
      </c>
      <c r="M72" s="1" t="s">
        <v>34</v>
      </c>
      <c r="N72" s="2">
        <v>45217.0</v>
      </c>
      <c r="O72" s="2">
        <v>38838.0</v>
      </c>
      <c r="P72" s="1" t="s">
        <v>35</v>
      </c>
      <c r="Q72" s="1" t="s">
        <v>533</v>
      </c>
      <c r="R72" s="2">
        <v>45413.0</v>
      </c>
      <c r="S72" s="2">
        <v>73050.0</v>
      </c>
      <c r="U72" s="3">
        <v>22.0</v>
      </c>
      <c r="V72" s="2">
        <v>37716.0</v>
      </c>
      <c r="W72" s="1" t="s">
        <v>534</v>
      </c>
      <c r="X72" s="1" t="s">
        <v>481</v>
      </c>
    </row>
    <row r="73" ht="15.75" customHeight="1">
      <c r="A73" s="1" t="s">
        <v>60</v>
      </c>
      <c r="B73" s="1" t="s">
        <v>317</v>
      </c>
      <c r="C73" s="1" t="s">
        <v>26</v>
      </c>
      <c r="D73" s="1" t="s">
        <v>535</v>
      </c>
      <c r="E73" s="1" t="s">
        <v>219</v>
      </c>
      <c r="F73" s="1" t="s">
        <v>536</v>
      </c>
      <c r="G73" s="1" t="s">
        <v>537</v>
      </c>
      <c r="H73" s="2">
        <v>27309.0</v>
      </c>
      <c r="I73" s="3">
        <v>51.0</v>
      </c>
      <c r="J73" s="1" t="s">
        <v>66</v>
      </c>
      <c r="K73" s="1" t="s">
        <v>32</v>
      </c>
      <c r="L73" s="1" t="s">
        <v>538</v>
      </c>
      <c r="M73" s="1" t="s">
        <v>34</v>
      </c>
      <c r="N73" s="2">
        <v>44328.0</v>
      </c>
      <c r="O73" s="2">
        <v>38838.0</v>
      </c>
      <c r="P73" s="1" t="s">
        <v>35</v>
      </c>
      <c r="Q73" s="1" t="s">
        <v>539</v>
      </c>
      <c r="R73" s="2">
        <v>45658.0</v>
      </c>
      <c r="S73" s="2">
        <v>46022.0</v>
      </c>
      <c r="T73" s="1" t="s">
        <v>540</v>
      </c>
      <c r="U73" s="3">
        <v>22.0</v>
      </c>
      <c r="V73" s="2">
        <v>43461.0</v>
      </c>
      <c r="W73" s="1" t="s">
        <v>58</v>
      </c>
      <c r="X73" s="1" t="s">
        <v>59</v>
      </c>
    </row>
    <row r="74" ht="15.75" customHeight="1">
      <c r="A74" s="1" t="s">
        <v>24</v>
      </c>
      <c r="B74" s="1" t="s">
        <v>99</v>
      </c>
      <c r="C74" s="1" t="s">
        <v>80</v>
      </c>
      <c r="D74" s="1" t="s">
        <v>541</v>
      </c>
      <c r="E74" s="1" t="s">
        <v>143</v>
      </c>
      <c r="F74" s="1" t="s">
        <v>542</v>
      </c>
      <c r="G74" s="1" t="s">
        <v>543</v>
      </c>
      <c r="H74" s="2">
        <v>25279.0</v>
      </c>
      <c r="I74" s="3">
        <v>56.0</v>
      </c>
      <c r="J74" s="1" t="s">
        <v>31</v>
      </c>
      <c r="K74" s="1" t="s">
        <v>32</v>
      </c>
      <c r="L74" s="1" t="s">
        <v>544</v>
      </c>
      <c r="M74" s="1" t="s">
        <v>34</v>
      </c>
      <c r="N74" s="2">
        <v>41892.0</v>
      </c>
      <c r="O74" s="2">
        <v>38838.0</v>
      </c>
      <c r="P74" s="1" t="s">
        <v>35</v>
      </c>
      <c r="Q74" s="1" t="s">
        <v>545</v>
      </c>
      <c r="R74" s="2">
        <v>42186.0</v>
      </c>
      <c r="S74" s="2">
        <v>73050.0</v>
      </c>
      <c r="T74" s="1" t="s">
        <v>546</v>
      </c>
      <c r="U74" s="3">
        <v>44.0</v>
      </c>
      <c r="V74" s="2">
        <v>39422.0</v>
      </c>
      <c r="W74" s="1" t="s">
        <v>547</v>
      </c>
      <c r="X74" s="1" t="s">
        <v>548</v>
      </c>
    </row>
    <row r="75" ht="15.75" customHeight="1">
      <c r="A75" s="1" t="s">
        <v>60</v>
      </c>
      <c r="B75" s="1" t="s">
        <v>61</v>
      </c>
      <c r="C75" s="1" t="s">
        <v>26</v>
      </c>
      <c r="D75" s="1" t="s">
        <v>549</v>
      </c>
      <c r="E75" s="1" t="s">
        <v>550</v>
      </c>
      <c r="F75" s="1" t="s">
        <v>551</v>
      </c>
      <c r="G75" s="1" t="s">
        <v>552</v>
      </c>
      <c r="H75" s="2">
        <v>26095.0</v>
      </c>
      <c r="I75" s="3">
        <v>54.0</v>
      </c>
      <c r="J75" s="1" t="s">
        <v>31</v>
      </c>
      <c r="K75" s="1" t="s">
        <v>32</v>
      </c>
      <c r="L75" s="1" t="s">
        <v>553</v>
      </c>
      <c r="M75" s="1" t="s">
        <v>34</v>
      </c>
      <c r="N75" s="2">
        <v>41717.0</v>
      </c>
      <c r="O75" s="2">
        <v>38838.0</v>
      </c>
      <c r="P75" s="1" t="s">
        <v>35</v>
      </c>
      <c r="Q75" s="1" t="s">
        <v>554</v>
      </c>
      <c r="R75" s="2">
        <v>42186.0</v>
      </c>
      <c r="S75" s="2">
        <v>73050.0</v>
      </c>
      <c r="T75" s="1" t="s">
        <v>555</v>
      </c>
      <c r="U75" s="3">
        <v>44.0</v>
      </c>
      <c r="V75" s="2">
        <v>38546.0</v>
      </c>
      <c r="W75" s="1" t="s">
        <v>556</v>
      </c>
      <c r="X75" s="1" t="s">
        <v>38</v>
      </c>
    </row>
    <row r="76" ht="15.75" customHeight="1">
      <c r="A76" s="1" t="s">
        <v>60</v>
      </c>
      <c r="B76" s="1" t="s">
        <v>99</v>
      </c>
      <c r="C76" s="1" t="s">
        <v>80</v>
      </c>
      <c r="D76" s="1" t="s">
        <v>557</v>
      </c>
      <c r="E76" s="1" t="s">
        <v>558</v>
      </c>
      <c r="F76" s="1" t="s">
        <v>559</v>
      </c>
      <c r="G76" s="1" t="s">
        <v>560</v>
      </c>
      <c r="H76" s="2">
        <v>26907.0</v>
      </c>
      <c r="I76" s="3">
        <v>52.0</v>
      </c>
      <c r="J76" s="1" t="s">
        <v>31</v>
      </c>
      <c r="K76" s="1" t="s">
        <v>32</v>
      </c>
      <c r="L76" s="1" t="s">
        <v>561</v>
      </c>
      <c r="M76" s="1" t="s">
        <v>34</v>
      </c>
      <c r="N76" s="2">
        <v>41990.0</v>
      </c>
      <c r="O76" s="2">
        <v>38838.0</v>
      </c>
      <c r="P76" s="1" t="s">
        <v>35</v>
      </c>
      <c r="Q76" s="1" t="s">
        <v>562</v>
      </c>
      <c r="R76" s="2">
        <v>43556.0</v>
      </c>
      <c r="S76" s="2">
        <v>73050.0</v>
      </c>
      <c r="T76" s="1" t="s">
        <v>563</v>
      </c>
      <c r="U76" s="3">
        <v>44.0</v>
      </c>
      <c r="V76" s="2">
        <v>38771.0</v>
      </c>
      <c r="W76" s="1" t="s">
        <v>564</v>
      </c>
      <c r="X76" s="1" t="s">
        <v>89</v>
      </c>
    </row>
    <row r="77" ht="15.75" customHeight="1">
      <c r="A77" s="1" t="s">
        <v>60</v>
      </c>
      <c r="B77" s="1" t="s">
        <v>99</v>
      </c>
      <c r="C77" s="1" t="s">
        <v>80</v>
      </c>
      <c r="D77" s="1" t="s">
        <v>565</v>
      </c>
      <c r="E77" s="1" t="s">
        <v>566</v>
      </c>
      <c r="F77" s="1" t="s">
        <v>567</v>
      </c>
      <c r="G77" s="1" t="s">
        <v>568</v>
      </c>
      <c r="H77" s="2">
        <v>26540.0</v>
      </c>
      <c r="I77" s="3">
        <v>53.0</v>
      </c>
      <c r="J77" s="1" t="s">
        <v>66</v>
      </c>
      <c r="K77" s="1" t="s">
        <v>32</v>
      </c>
      <c r="L77" s="1" t="s">
        <v>569</v>
      </c>
      <c r="M77" s="1" t="s">
        <v>570</v>
      </c>
      <c r="N77" s="2">
        <v>44048.0</v>
      </c>
      <c r="O77" s="2">
        <v>38869.0</v>
      </c>
      <c r="P77" s="1" t="s">
        <v>35</v>
      </c>
      <c r="Q77" s="1" t="s">
        <v>571</v>
      </c>
      <c r="R77" s="2">
        <v>45658.0</v>
      </c>
      <c r="S77" s="2">
        <v>46022.0</v>
      </c>
      <c r="U77" s="3">
        <v>44.0</v>
      </c>
      <c r="V77" s="2">
        <v>37271.0</v>
      </c>
      <c r="W77" s="1" t="s">
        <v>572</v>
      </c>
      <c r="X77" s="1" t="s">
        <v>89</v>
      </c>
    </row>
    <row r="78" ht="15.75" customHeight="1">
      <c r="A78" s="1" t="s">
        <v>60</v>
      </c>
      <c r="B78" s="1" t="s">
        <v>99</v>
      </c>
      <c r="C78" s="1" t="s">
        <v>80</v>
      </c>
      <c r="D78" s="1" t="s">
        <v>565</v>
      </c>
      <c r="E78" s="1" t="s">
        <v>566</v>
      </c>
      <c r="F78" s="1" t="s">
        <v>567</v>
      </c>
      <c r="G78" s="1" t="s">
        <v>568</v>
      </c>
      <c r="H78" s="2">
        <v>26540.0</v>
      </c>
      <c r="I78" s="3">
        <v>53.0</v>
      </c>
      <c r="J78" s="1" t="s">
        <v>31</v>
      </c>
      <c r="K78" s="1" t="s">
        <v>32</v>
      </c>
      <c r="L78" s="1" t="s">
        <v>569</v>
      </c>
      <c r="M78" s="1" t="s">
        <v>570</v>
      </c>
      <c r="N78" s="2">
        <v>44048.0</v>
      </c>
      <c r="O78" s="2">
        <v>38869.0</v>
      </c>
      <c r="P78" s="1" t="s">
        <v>35</v>
      </c>
      <c r="Q78" s="1" t="s">
        <v>571</v>
      </c>
      <c r="R78" s="2">
        <v>44256.0</v>
      </c>
      <c r="S78" s="2">
        <v>73050.0</v>
      </c>
      <c r="U78" s="3">
        <v>6.0</v>
      </c>
      <c r="V78" s="2">
        <v>37271.0</v>
      </c>
      <c r="W78" s="1" t="s">
        <v>572</v>
      </c>
      <c r="X78" s="1" t="s">
        <v>89</v>
      </c>
    </row>
    <row r="79" ht="15.75" customHeight="1">
      <c r="A79" s="1" t="s">
        <v>24</v>
      </c>
      <c r="B79" s="1" t="s">
        <v>61</v>
      </c>
      <c r="C79" s="1" t="s">
        <v>80</v>
      </c>
      <c r="D79" s="1" t="s">
        <v>573</v>
      </c>
      <c r="F79" s="1" t="s">
        <v>574</v>
      </c>
      <c r="G79" s="1" t="s">
        <v>575</v>
      </c>
      <c r="H79" s="2">
        <v>22815.0</v>
      </c>
      <c r="I79" s="3">
        <v>63.0</v>
      </c>
      <c r="J79" s="1" t="s">
        <v>31</v>
      </c>
      <c r="K79" s="1" t="s">
        <v>32</v>
      </c>
      <c r="L79" s="1" t="s">
        <v>576</v>
      </c>
      <c r="M79" s="1" t="s">
        <v>34</v>
      </c>
      <c r="N79" s="2">
        <v>44041.0</v>
      </c>
      <c r="O79" s="2">
        <v>38899.0</v>
      </c>
      <c r="P79" s="1" t="s">
        <v>35</v>
      </c>
      <c r="Q79" s="1" t="s">
        <v>577</v>
      </c>
      <c r="R79" s="2">
        <v>45383.0</v>
      </c>
      <c r="S79" s="2">
        <v>73050.0</v>
      </c>
      <c r="U79" s="3">
        <v>44.0</v>
      </c>
      <c r="V79" s="2">
        <v>41920.0</v>
      </c>
      <c r="W79" s="1" t="s">
        <v>383</v>
      </c>
      <c r="X79" s="1" t="s">
        <v>59</v>
      </c>
    </row>
    <row r="80" ht="15.75" customHeight="1">
      <c r="A80" s="1" t="s">
        <v>60</v>
      </c>
      <c r="B80" s="1" t="s">
        <v>109</v>
      </c>
      <c r="C80" s="1" t="s">
        <v>80</v>
      </c>
      <c r="D80" s="1" t="s">
        <v>578</v>
      </c>
      <c r="E80" s="1" t="s">
        <v>579</v>
      </c>
      <c r="F80" s="1" t="s">
        <v>580</v>
      </c>
      <c r="G80" s="1" t="s">
        <v>581</v>
      </c>
      <c r="H80" s="2">
        <v>27586.0</v>
      </c>
      <c r="I80" s="3">
        <v>50.0</v>
      </c>
      <c r="J80" s="1" t="s">
        <v>66</v>
      </c>
      <c r="K80" s="1" t="s">
        <v>32</v>
      </c>
      <c r="L80" s="1" t="s">
        <v>582</v>
      </c>
      <c r="M80" s="1" t="s">
        <v>34</v>
      </c>
      <c r="N80" s="2">
        <v>41284.0</v>
      </c>
      <c r="O80" s="2">
        <v>38899.0</v>
      </c>
      <c r="P80" s="1" t="s">
        <v>35</v>
      </c>
      <c r="Q80" s="1" t="s">
        <v>583</v>
      </c>
      <c r="R80" s="2">
        <v>45658.0</v>
      </c>
      <c r="S80" s="2">
        <v>46022.0</v>
      </c>
      <c r="T80" s="1" t="s">
        <v>584</v>
      </c>
      <c r="U80" s="3">
        <v>44.0</v>
      </c>
      <c r="V80" s="2">
        <v>43647.0</v>
      </c>
      <c r="W80" s="1" t="s">
        <v>585</v>
      </c>
      <c r="X80" s="1" t="s">
        <v>497</v>
      </c>
    </row>
    <row r="81" ht="15.75" customHeight="1">
      <c r="A81" s="1" t="s">
        <v>60</v>
      </c>
      <c r="B81" s="1" t="s">
        <v>99</v>
      </c>
      <c r="C81" s="1" t="s">
        <v>80</v>
      </c>
      <c r="D81" s="1" t="s">
        <v>586</v>
      </c>
      <c r="E81" s="1" t="s">
        <v>587</v>
      </c>
      <c r="F81" s="1" t="s">
        <v>588</v>
      </c>
      <c r="G81" s="1" t="s">
        <v>589</v>
      </c>
      <c r="H81" s="2">
        <v>24976.0</v>
      </c>
      <c r="I81" s="3">
        <v>57.0</v>
      </c>
      <c r="J81" s="1" t="s">
        <v>31</v>
      </c>
      <c r="K81" s="1" t="s">
        <v>32</v>
      </c>
      <c r="L81" s="1" t="s">
        <v>590</v>
      </c>
      <c r="M81" s="1" t="s">
        <v>34</v>
      </c>
      <c r="N81" s="2">
        <v>40863.0</v>
      </c>
      <c r="O81" s="2">
        <v>38915.0</v>
      </c>
      <c r="P81" s="1" t="s">
        <v>35</v>
      </c>
      <c r="Q81" s="1" t="s">
        <v>591</v>
      </c>
      <c r="R81" s="2">
        <v>42186.0</v>
      </c>
      <c r="S81" s="2">
        <v>73050.0</v>
      </c>
      <c r="T81" s="1" t="s">
        <v>195</v>
      </c>
      <c r="U81" s="3">
        <v>44.0</v>
      </c>
      <c r="V81" s="2">
        <v>38322.0</v>
      </c>
      <c r="W81" s="1" t="s">
        <v>592</v>
      </c>
      <c r="X81" s="1" t="s">
        <v>89</v>
      </c>
    </row>
    <row r="82" ht="15.75" customHeight="1">
      <c r="A82" s="1" t="s">
        <v>78</v>
      </c>
      <c r="B82" s="1" t="s">
        <v>25</v>
      </c>
      <c r="C82" s="1" t="s">
        <v>26</v>
      </c>
      <c r="D82" s="1" t="s">
        <v>593</v>
      </c>
      <c r="E82" s="1" t="s">
        <v>594</v>
      </c>
      <c r="F82" s="1" t="s">
        <v>595</v>
      </c>
      <c r="G82" s="1" t="s">
        <v>596</v>
      </c>
      <c r="H82" s="2">
        <v>26676.0</v>
      </c>
      <c r="I82" s="3">
        <v>53.0</v>
      </c>
      <c r="J82" s="1" t="s">
        <v>31</v>
      </c>
      <c r="K82" s="1" t="s">
        <v>32</v>
      </c>
      <c r="L82" s="1" t="s">
        <v>597</v>
      </c>
      <c r="M82" s="1" t="s">
        <v>34</v>
      </c>
      <c r="N82" s="2">
        <v>44657.0</v>
      </c>
      <c r="O82" s="2">
        <v>38915.0</v>
      </c>
      <c r="P82" s="1" t="s">
        <v>35</v>
      </c>
      <c r="Q82" s="1" t="s">
        <v>598</v>
      </c>
      <c r="R82" s="2">
        <v>44682.0</v>
      </c>
      <c r="S82" s="2">
        <v>73050.0</v>
      </c>
      <c r="T82" s="1" t="s">
        <v>599</v>
      </c>
      <c r="U82" s="3">
        <v>44.0</v>
      </c>
      <c r="V82" s="2">
        <v>37928.0</v>
      </c>
      <c r="W82" s="1" t="s">
        <v>600</v>
      </c>
      <c r="X82" s="1" t="s">
        <v>89</v>
      </c>
    </row>
    <row r="83" ht="15.75" customHeight="1">
      <c r="A83" s="1" t="s">
        <v>78</v>
      </c>
      <c r="B83" s="1" t="s">
        <v>317</v>
      </c>
      <c r="C83" s="1" t="s">
        <v>26</v>
      </c>
      <c r="D83" s="1" t="s">
        <v>601</v>
      </c>
      <c r="E83" s="1" t="s">
        <v>602</v>
      </c>
      <c r="F83" s="1" t="s">
        <v>603</v>
      </c>
      <c r="G83" s="1" t="s">
        <v>604</v>
      </c>
      <c r="H83" s="2">
        <v>28555.0</v>
      </c>
      <c r="I83" s="3">
        <v>47.0</v>
      </c>
      <c r="J83" s="1" t="s">
        <v>66</v>
      </c>
      <c r="K83" s="1" t="s">
        <v>32</v>
      </c>
      <c r="L83" s="1" t="s">
        <v>605</v>
      </c>
      <c r="M83" s="1" t="s">
        <v>34</v>
      </c>
      <c r="N83" s="2">
        <v>40115.0</v>
      </c>
      <c r="O83" s="2">
        <v>38961.0</v>
      </c>
      <c r="P83" s="1" t="s">
        <v>35</v>
      </c>
      <c r="Q83" s="1" t="s">
        <v>606</v>
      </c>
      <c r="R83" s="2">
        <v>45658.0</v>
      </c>
      <c r="S83" s="2">
        <v>46022.0</v>
      </c>
      <c r="U83" s="3">
        <v>44.0</v>
      </c>
      <c r="V83" s="2">
        <v>42914.0</v>
      </c>
      <c r="W83" s="1" t="s">
        <v>607</v>
      </c>
      <c r="X83" s="1" t="s">
        <v>77</v>
      </c>
    </row>
    <row r="84" ht="15.75" customHeight="1">
      <c r="A84" s="1" t="s">
        <v>78</v>
      </c>
      <c r="B84" s="1" t="s">
        <v>317</v>
      </c>
      <c r="C84" s="1" t="s">
        <v>26</v>
      </c>
      <c r="D84" s="1" t="s">
        <v>601</v>
      </c>
      <c r="E84" s="1" t="s">
        <v>602</v>
      </c>
      <c r="F84" s="1" t="s">
        <v>603</v>
      </c>
      <c r="G84" s="1" t="s">
        <v>604</v>
      </c>
      <c r="H84" s="2">
        <v>28555.0</v>
      </c>
      <c r="I84" s="3">
        <v>47.0</v>
      </c>
      <c r="J84" s="1" t="s">
        <v>31</v>
      </c>
      <c r="K84" s="1" t="s">
        <v>32</v>
      </c>
      <c r="L84" s="1" t="s">
        <v>605</v>
      </c>
      <c r="M84" s="1" t="s">
        <v>34</v>
      </c>
      <c r="N84" s="2">
        <v>44845.0</v>
      </c>
      <c r="O84" s="2">
        <v>38961.0</v>
      </c>
      <c r="P84" s="1" t="s">
        <v>265</v>
      </c>
      <c r="Q84" s="1" t="s">
        <v>606</v>
      </c>
      <c r="R84" s="2">
        <v>44866.0</v>
      </c>
      <c r="S84" s="2">
        <v>73050.0</v>
      </c>
      <c r="T84" s="1" t="s">
        <v>608</v>
      </c>
      <c r="U84" s="3">
        <v>22.0</v>
      </c>
      <c r="V84" s="2">
        <v>42914.0</v>
      </c>
      <c r="W84" s="1" t="s">
        <v>607</v>
      </c>
      <c r="X84" s="1" t="s">
        <v>77</v>
      </c>
    </row>
    <row r="85" ht="15.75" customHeight="1">
      <c r="A85" s="1" t="s">
        <v>39</v>
      </c>
      <c r="B85" s="1" t="s">
        <v>317</v>
      </c>
      <c r="C85" s="1" t="s">
        <v>26</v>
      </c>
      <c r="D85" s="1" t="s">
        <v>609</v>
      </c>
      <c r="E85" s="1" t="s">
        <v>610</v>
      </c>
      <c r="F85" s="1" t="s">
        <v>611</v>
      </c>
      <c r="G85" s="1" t="s">
        <v>612</v>
      </c>
      <c r="H85" s="2">
        <v>22654.0</v>
      </c>
      <c r="I85" s="3">
        <v>64.0</v>
      </c>
      <c r="J85" s="1" t="s">
        <v>66</v>
      </c>
      <c r="K85" s="1" t="s">
        <v>32</v>
      </c>
      <c r="L85" s="1" t="s">
        <v>613</v>
      </c>
      <c r="M85" s="1" t="s">
        <v>375</v>
      </c>
      <c r="N85" s="2">
        <v>38957.0</v>
      </c>
      <c r="O85" s="2">
        <v>38961.0</v>
      </c>
      <c r="P85" s="1" t="s">
        <v>35</v>
      </c>
      <c r="Q85" s="1" t="s">
        <v>614</v>
      </c>
      <c r="R85" s="2">
        <v>45658.0</v>
      </c>
      <c r="S85" s="2">
        <v>46022.0</v>
      </c>
      <c r="T85" s="1" t="s">
        <v>615</v>
      </c>
      <c r="U85" s="3">
        <v>12.0</v>
      </c>
      <c r="V85" s="2">
        <v>38929.0</v>
      </c>
      <c r="W85" s="1" t="s">
        <v>58</v>
      </c>
      <c r="X85" s="1" t="s">
        <v>59</v>
      </c>
    </row>
    <row r="86" ht="15.75" customHeight="1">
      <c r="A86" s="1" t="s">
        <v>24</v>
      </c>
      <c r="B86" s="1" t="s">
        <v>25</v>
      </c>
      <c r="C86" s="1" t="s">
        <v>26</v>
      </c>
      <c r="D86" s="1" t="s">
        <v>616</v>
      </c>
      <c r="E86" s="1" t="s">
        <v>617</v>
      </c>
      <c r="F86" s="1" t="s">
        <v>618</v>
      </c>
      <c r="G86" s="1" t="s">
        <v>619</v>
      </c>
      <c r="H86" s="2">
        <v>22841.0</v>
      </c>
      <c r="I86" s="3">
        <v>63.0</v>
      </c>
      <c r="J86" s="1" t="s">
        <v>31</v>
      </c>
      <c r="K86" s="1" t="s">
        <v>32</v>
      </c>
      <c r="L86" s="1" t="s">
        <v>620</v>
      </c>
      <c r="M86" s="1" t="s">
        <v>34</v>
      </c>
      <c r="N86" s="2">
        <v>40647.0</v>
      </c>
      <c r="O86" s="2">
        <v>39083.0</v>
      </c>
      <c r="P86" s="1" t="s">
        <v>35</v>
      </c>
      <c r="Q86" s="1" t="s">
        <v>621</v>
      </c>
      <c r="R86" s="2">
        <v>45047.0</v>
      </c>
      <c r="S86" s="2">
        <v>73050.0</v>
      </c>
      <c r="T86" s="1" t="s">
        <v>622</v>
      </c>
      <c r="U86" s="3">
        <v>44.0</v>
      </c>
      <c r="V86" s="2">
        <v>37243.0</v>
      </c>
      <c r="W86" s="1" t="s">
        <v>623</v>
      </c>
      <c r="X86" s="1" t="s">
        <v>624</v>
      </c>
    </row>
    <row r="87" ht="15.75" customHeight="1">
      <c r="A87" s="1" t="s">
        <v>78</v>
      </c>
      <c r="B87" s="1" t="s">
        <v>99</v>
      </c>
      <c r="C87" s="1" t="s">
        <v>26</v>
      </c>
      <c r="D87" s="1" t="s">
        <v>625</v>
      </c>
      <c r="E87" s="1" t="s">
        <v>626</v>
      </c>
      <c r="F87" s="1" t="s">
        <v>627</v>
      </c>
      <c r="G87" s="1" t="s">
        <v>628</v>
      </c>
      <c r="H87" s="2">
        <v>26865.0</v>
      </c>
      <c r="I87" s="3">
        <v>52.0</v>
      </c>
      <c r="J87" s="1" t="s">
        <v>31</v>
      </c>
      <c r="K87" s="1" t="s">
        <v>32</v>
      </c>
      <c r="L87" s="1" t="s">
        <v>629</v>
      </c>
      <c r="M87" s="1" t="s">
        <v>630</v>
      </c>
      <c r="N87" s="2">
        <v>44139.0</v>
      </c>
      <c r="O87" s="2">
        <v>39234.0</v>
      </c>
      <c r="P87" s="1" t="s">
        <v>35</v>
      </c>
      <c r="Q87" s="1" t="s">
        <v>631</v>
      </c>
      <c r="R87" s="2">
        <v>45047.0</v>
      </c>
      <c r="S87" s="2">
        <v>73050.0</v>
      </c>
      <c r="U87" s="3">
        <v>44.0</v>
      </c>
      <c r="V87" s="2">
        <v>36809.0</v>
      </c>
      <c r="W87" s="1" t="s">
        <v>632</v>
      </c>
      <c r="X87" s="1" t="s">
        <v>38</v>
      </c>
    </row>
    <row r="88" ht="15.75" customHeight="1">
      <c r="A88" s="1" t="s">
        <v>60</v>
      </c>
      <c r="B88" s="1" t="s">
        <v>99</v>
      </c>
      <c r="C88" s="1" t="s">
        <v>80</v>
      </c>
      <c r="D88" s="1" t="s">
        <v>633</v>
      </c>
      <c r="E88" s="1" t="s">
        <v>634</v>
      </c>
      <c r="F88" s="1" t="s">
        <v>635</v>
      </c>
      <c r="G88" s="1" t="s">
        <v>636</v>
      </c>
      <c r="H88" s="2">
        <v>27202.0</v>
      </c>
      <c r="I88" s="3">
        <v>51.0</v>
      </c>
      <c r="J88" s="1" t="s">
        <v>31</v>
      </c>
      <c r="K88" s="1" t="s">
        <v>32</v>
      </c>
      <c r="L88" s="1" t="s">
        <v>637</v>
      </c>
      <c r="M88" s="1" t="s">
        <v>34</v>
      </c>
      <c r="N88" s="2">
        <v>43551.0</v>
      </c>
      <c r="O88" s="2">
        <v>39234.0</v>
      </c>
      <c r="P88" s="1" t="s">
        <v>35</v>
      </c>
      <c r="Q88" s="1" t="s">
        <v>638</v>
      </c>
      <c r="R88" s="2">
        <v>45047.0</v>
      </c>
      <c r="S88" s="2">
        <v>73050.0</v>
      </c>
      <c r="U88" s="3">
        <v>44.0</v>
      </c>
      <c r="V88" s="2">
        <v>40015.0</v>
      </c>
      <c r="W88" s="1" t="s">
        <v>639</v>
      </c>
      <c r="X88" s="1" t="s">
        <v>89</v>
      </c>
    </row>
    <row r="89" ht="15.75" customHeight="1">
      <c r="A89" s="1" t="s">
        <v>78</v>
      </c>
      <c r="B89" s="1" t="s">
        <v>109</v>
      </c>
      <c r="C89" s="1" t="s">
        <v>26</v>
      </c>
      <c r="D89" s="1" t="s">
        <v>640</v>
      </c>
      <c r="E89" s="1" t="s">
        <v>641</v>
      </c>
      <c r="F89" s="1" t="s">
        <v>642</v>
      </c>
      <c r="G89" s="1" t="s">
        <v>643</v>
      </c>
      <c r="H89" s="2">
        <v>25490.0</v>
      </c>
      <c r="I89" s="3">
        <v>56.0</v>
      </c>
      <c r="J89" s="1" t="s">
        <v>66</v>
      </c>
      <c r="K89" s="1" t="s">
        <v>32</v>
      </c>
      <c r="L89" s="1" t="s">
        <v>644</v>
      </c>
      <c r="M89" s="1" t="s">
        <v>359</v>
      </c>
      <c r="N89" s="2">
        <v>39268.0</v>
      </c>
      <c r="O89" s="2">
        <v>39234.0</v>
      </c>
      <c r="P89" s="1" t="s">
        <v>35</v>
      </c>
      <c r="Q89" s="1" t="s">
        <v>645</v>
      </c>
      <c r="R89" s="2">
        <v>45658.0</v>
      </c>
      <c r="S89" s="2">
        <v>46022.0</v>
      </c>
      <c r="T89" s="1" t="s">
        <v>646</v>
      </c>
      <c r="U89" s="3">
        <v>22.0</v>
      </c>
      <c r="V89" s="2">
        <v>36161.0</v>
      </c>
      <c r="W89" s="1" t="s">
        <v>647</v>
      </c>
      <c r="X89" s="1" t="s">
        <v>38</v>
      </c>
    </row>
    <row r="90" ht="15.75" customHeight="1">
      <c r="A90" s="1" t="s">
        <v>78</v>
      </c>
      <c r="B90" s="1" t="s">
        <v>109</v>
      </c>
      <c r="C90" s="1" t="s">
        <v>26</v>
      </c>
      <c r="D90" s="1" t="s">
        <v>640</v>
      </c>
      <c r="E90" s="1" t="s">
        <v>641</v>
      </c>
      <c r="F90" s="1" t="s">
        <v>642</v>
      </c>
      <c r="G90" s="1" t="s">
        <v>643</v>
      </c>
      <c r="H90" s="2">
        <v>25490.0</v>
      </c>
      <c r="I90" s="3">
        <v>56.0</v>
      </c>
      <c r="J90" s="1" t="s">
        <v>66</v>
      </c>
      <c r="K90" s="1" t="s">
        <v>32</v>
      </c>
      <c r="L90" s="1" t="s">
        <v>644</v>
      </c>
      <c r="M90" s="1" t="s">
        <v>359</v>
      </c>
      <c r="N90" s="2">
        <v>39268.0</v>
      </c>
      <c r="O90" s="2">
        <v>39234.0</v>
      </c>
      <c r="P90" s="1" t="s">
        <v>35</v>
      </c>
      <c r="Q90" s="1" t="s">
        <v>645</v>
      </c>
      <c r="R90" s="2">
        <v>45658.0</v>
      </c>
      <c r="S90" s="2">
        <v>46022.0</v>
      </c>
      <c r="T90" s="1" t="s">
        <v>540</v>
      </c>
      <c r="U90" s="3">
        <v>22.0</v>
      </c>
      <c r="V90" s="2">
        <v>36161.0</v>
      </c>
      <c r="W90" s="1" t="s">
        <v>647</v>
      </c>
      <c r="X90" s="1" t="s">
        <v>38</v>
      </c>
    </row>
    <row r="91" ht="15.75" customHeight="1">
      <c r="A91" s="1" t="s">
        <v>78</v>
      </c>
      <c r="B91" s="1" t="s">
        <v>99</v>
      </c>
      <c r="C91" s="1" t="s">
        <v>26</v>
      </c>
      <c r="D91" s="1" t="s">
        <v>648</v>
      </c>
      <c r="E91" s="1" t="s">
        <v>649</v>
      </c>
      <c r="F91" s="1" t="s">
        <v>650</v>
      </c>
      <c r="G91" s="1" t="s">
        <v>651</v>
      </c>
      <c r="H91" s="2">
        <v>28811.0</v>
      </c>
      <c r="I91" s="3">
        <v>47.0</v>
      </c>
      <c r="J91" s="1" t="s">
        <v>31</v>
      </c>
      <c r="K91" s="1" t="s">
        <v>32</v>
      </c>
      <c r="L91" s="1" t="s">
        <v>652</v>
      </c>
      <c r="M91" s="1" t="s">
        <v>34</v>
      </c>
      <c r="N91" s="2">
        <v>43971.0</v>
      </c>
      <c r="O91" s="2">
        <v>39295.0</v>
      </c>
      <c r="P91" s="1" t="s">
        <v>35</v>
      </c>
      <c r="Q91" s="1" t="s">
        <v>653</v>
      </c>
      <c r="R91" s="2">
        <v>44986.0</v>
      </c>
      <c r="S91" s="2">
        <v>73050.0</v>
      </c>
      <c r="U91" s="3">
        <v>22.0</v>
      </c>
      <c r="V91" s="2">
        <v>42551.0</v>
      </c>
      <c r="W91" s="1" t="s">
        <v>654</v>
      </c>
      <c r="X91" s="1" t="s">
        <v>98</v>
      </c>
    </row>
    <row r="92" ht="15.75" customHeight="1">
      <c r="A92" s="1" t="s">
        <v>337</v>
      </c>
      <c r="B92" s="1" t="s">
        <v>99</v>
      </c>
      <c r="C92" s="1" t="s">
        <v>26</v>
      </c>
      <c r="D92" s="1" t="s">
        <v>648</v>
      </c>
      <c r="E92" s="1" t="s">
        <v>649</v>
      </c>
      <c r="F92" s="1" t="s">
        <v>650</v>
      </c>
      <c r="G92" s="1" t="s">
        <v>651</v>
      </c>
      <c r="H92" s="2">
        <v>28811.0</v>
      </c>
      <c r="I92" s="3">
        <v>47.0</v>
      </c>
      <c r="J92" s="1" t="s">
        <v>31</v>
      </c>
      <c r="K92" s="1" t="s">
        <v>32</v>
      </c>
      <c r="L92" s="1" t="s">
        <v>652</v>
      </c>
      <c r="M92" s="1" t="s">
        <v>34</v>
      </c>
      <c r="N92" s="2">
        <v>43971.0</v>
      </c>
      <c r="O92" s="2">
        <v>39295.0</v>
      </c>
      <c r="P92" s="1" t="s">
        <v>35</v>
      </c>
      <c r="Q92" s="1" t="s">
        <v>653</v>
      </c>
      <c r="R92" s="2">
        <v>45413.0</v>
      </c>
      <c r="S92" s="2">
        <v>73050.0</v>
      </c>
      <c r="U92" s="3">
        <v>22.0</v>
      </c>
      <c r="V92" s="2">
        <v>42551.0</v>
      </c>
      <c r="W92" s="1" t="s">
        <v>654</v>
      </c>
      <c r="X92" s="1" t="s">
        <v>98</v>
      </c>
    </row>
    <row r="93" ht="15.75" customHeight="1">
      <c r="A93" s="1" t="s">
        <v>60</v>
      </c>
      <c r="B93" s="1" t="s">
        <v>109</v>
      </c>
      <c r="C93" s="1" t="s">
        <v>26</v>
      </c>
      <c r="D93" s="1" t="s">
        <v>655</v>
      </c>
      <c r="E93" s="1" t="s">
        <v>656</v>
      </c>
      <c r="F93" s="1" t="s">
        <v>657</v>
      </c>
      <c r="G93" s="1" t="s">
        <v>658</v>
      </c>
      <c r="H93" s="2">
        <v>29012.0</v>
      </c>
      <c r="I93" s="3">
        <v>46.0</v>
      </c>
      <c r="J93" s="1" t="s">
        <v>66</v>
      </c>
      <c r="K93" s="1" t="s">
        <v>32</v>
      </c>
      <c r="L93" s="1" t="s">
        <v>659</v>
      </c>
      <c r="M93" s="1" t="s">
        <v>34</v>
      </c>
      <c r="N93" s="2">
        <v>45371.0</v>
      </c>
      <c r="O93" s="2">
        <v>39295.0</v>
      </c>
      <c r="P93" s="1" t="s">
        <v>35</v>
      </c>
      <c r="Q93" s="1" t="s">
        <v>660</v>
      </c>
      <c r="R93" s="2">
        <v>45658.0</v>
      </c>
      <c r="S93" s="2">
        <v>46022.0</v>
      </c>
      <c r="U93" s="3">
        <v>12.0</v>
      </c>
      <c r="V93" s="2">
        <v>45215.0</v>
      </c>
      <c r="W93" s="1" t="s">
        <v>661</v>
      </c>
      <c r="X93" s="1" t="s">
        <v>59</v>
      </c>
    </row>
    <row r="94" ht="15.75" customHeight="1">
      <c r="A94" s="1" t="s">
        <v>60</v>
      </c>
      <c r="B94" s="1" t="s">
        <v>317</v>
      </c>
      <c r="C94" s="1" t="s">
        <v>80</v>
      </c>
      <c r="D94" s="1" t="s">
        <v>310</v>
      </c>
      <c r="E94" s="1" t="s">
        <v>662</v>
      </c>
      <c r="F94" s="1" t="s">
        <v>663</v>
      </c>
      <c r="G94" s="1" t="s">
        <v>664</v>
      </c>
      <c r="H94" s="2">
        <v>28008.0</v>
      </c>
      <c r="I94" s="3">
        <v>49.0</v>
      </c>
      <c r="J94" s="1" t="s">
        <v>66</v>
      </c>
      <c r="K94" s="1" t="s">
        <v>32</v>
      </c>
      <c r="L94" s="1" t="s">
        <v>665</v>
      </c>
      <c r="M94" s="1" t="s">
        <v>34</v>
      </c>
      <c r="N94" s="2">
        <v>44378.0</v>
      </c>
      <c r="O94" s="2">
        <v>39295.0</v>
      </c>
      <c r="P94" s="1" t="s">
        <v>35</v>
      </c>
      <c r="Q94" s="1" t="s">
        <v>666</v>
      </c>
      <c r="R94" s="2">
        <v>45658.0</v>
      </c>
      <c r="S94" s="2">
        <v>46022.0</v>
      </c>
      <c r="U94" s="3">
        <v>44.0</v>
      </c>
      <c r="V94" s="2">
        <v>43893.0</v>
      </c>
      <c r="W94" s="1" t="s">
        <v>667</v>
      </c>
      <c r="X94" s="1" t="s">
        <v>89</v>
      </c>
    </row>
    <row r="95" ht="15.75" customHeight="1">
      <c r="A95" s="1" t="s">
        <v>39</v>
      </c>
      <c r="B95" s="1" t="s">
        <v>317</v>
      </c>
      <c r="C95" s="1" t="s">
        <v>26</v>
      </c>
      <c r="D95" s="1" t="s">
        <v>219</v>
      </c>
      <c r="E95" s="1" t="s">
        <v>668</v>
      </c>
      <c r="F95" s="1" t="s">
        <v>669</v>
      </c>
      <c r="G95" s="1" t="s">
        <v>670</v>
      </c>
      <c r="H95" s="2">
        <v>24045.0</v>
      </c>
      <c r="I95" s="3">
        <v>60.0</v>
      </c>
      <c r="J95" s="1" t="s">
        <v>66</v>
      </c>
      <c r="K95" s="1" t="s">
        <v>32</v>
      </c>
      <c r="L95" s="1" t="s">
        <v>671</v>
      </c>
      <c r="M95" s="1" t="s">
        <v>359</v>
      </c>
      <c r="N95" s="2">
        <v>42138.0</v>
      </c>
      <c r="O95" s="2">
        <v>39326.0</v>
      </c>
      <c r="P95" s="1" t="s">
        <v>35</v>
      </c>
      <c r="Q95" s="1" t="s">
        <v>672</v>
      </c>
      <c r="R95" s="2">
        <v>45658.0</v>
      </c>
      <c r="S95" s="2">
        <v>46022.0</v>
      </c>
      <c r="T95" s="1" t="s">
        <v>673</v>
      </c>
      <c r="U95" s="3">
        <v>12.0</v>
      </c>
      <c r="V95" s="2">
        <v>44407.0</v>
      </c>
      <c r="W95" s="1" t="s">
        <v>383</v>
      </c>
      <c r="X95" s="1" t="s">
        <v>59</v>
      </c>
    </row>
    <row r="96" ht="15.75" customHeight="1">
      <c r="A96" s="1" t="s">
        <v>60</v>
      </c>
      <c r="B96" s="1" t="s">
        <v>317</v>
      </c>
      <c r="C96" s="1" t="s">
        <v>26</v>
      </c>
      <c r="D96" s="1" t="s">
        <v>219</v>
      </c>
      <c r="E96" s="1" t="s">
        <v>668</v>
      </c>
      <c r="F96" s="1" t="s">
        <v>669</v>
      </c>
      <c r="G96" s="1" t="s">
        <v>670</v>
      </c>
      <c r="H96" s="2">
        <v>24045.0</v>
      </c>
      <c r="I96" s="3">
        <v>60.0</v>
      </c>
      <c r="J96" s="1" t="s">
        <v>66</v>
      </c>
      <c r="K96" s="1" t="s">
        <v>32</v>
      </c>
      <c r="L96" s="1" t="s">
        <v>671</v>
      </c>
      <c r="M96" s="1" t="s">
        <v>359</v>
      </c>
      <c r="N96" s="2">
        <v>42138.0</v>
      </c>
      <c r="O96" s="2">
        <v>39326.0</v>
      </c>
      <c r="P96" s="1" t="s">
        <v>35</v>
      </c>
      <c r="Q96" s="1" t="s">
        <v>672</v>
      </c>
      <c r="R96" s="2">
        <v>45658.0</v>
      </c>
      <c r="S96" s="2">
        <v>46022.0</v>
      </c>
      <c r="T96" s="1" t="s">
        <v>674</v>
      </c>
      <c r="U96" s="3">
        <v>12.0</v>
      </c>
      <c r="V96" s="2">
        <v>44407.0</v>
      </c>
      <c r="W96" s="1" t="s">
        <v>383</v>
      </c>
      <c r="X96" s="1" t="s">
        <v>59</v>
      </c>
    </row>
    <row r="97" ht="15.75" customHeight="1">
      <c r="A97" s="1" t="s">
        <v>39</v>
      </c>
      <c r="B97" s="1" t="s">
        <v>317</v>
      </c>
      <c r="C97" s="1" t="s">
        <v>26</v>
      </c>
      <c r="D97" s="1" t="s">
        <v>310</v>
      </c>
      <c r="E97" s="1" t="s">
        <v>498</v>
      </c>
      <c r="F97" s="1" t="s">
        <v>675</v>
      </c>
      <c r="G97" s="1" t="s">
        <v>676</v>
      </c>
      <c r="H97" s="2">
        <v>28078.0</v>
      </c>
      <c r="I97" s="3">
        <v>49.0</v>
      </c>
      <c r="J97" s="1" t="s">
        <v>66</v>
      </c>
      <c r="K97" s="1" t="s">
        <v>32</v>
      </c>
      <c r="L97" s="1" t="s">
        <v>677</v>
      </c>
      <c r="M97" s="1" t="s">
        <v>34</v>
      </c>
      <c r="N97" s="2">
        <v>44700.0</v>
      </c>
      <c r="O97" s="2">
        <v>39356.0</v>
      </c>
      <c r="P97" s="1" t="s">
        <v>35</v>
      </c>
      <c r="Q97" s="1" t="s">
        <v>678</v>
      </c>
      <c r="R97" s="2">
        <v>45658.0</v>
      </c>
      <c r="S97" s="2">
        <v>46022.0</v>
      </c>
      <c r="T97" s="1" t="s">
        <v>679</v>
      </c>
      <c r="U97" s="3">
        <v>12.0</v>
      </c>
      <c r="V97" s="2">
        <v>42706.0</v>
      </c>
      <c r="W97" s="1" t="s">
        <v>58</v>
      </c>
      <c r="X97" s="1" t="s">
        <v>59</v>
      </c>
    </row>
    <row r="98" ht="15.75" customHeight="1">
      <c r="A98" s="1" t="s">
        <v>60</v>
      </c>
      <c r="B98" s="1" t="s">
        <v>317</v>
      </c>
      <c r="C98" s="1" t="s">
        <v>26</v>
      </c>
      <c r="D98" s="1" t="s">
        <v>310</v>
      </c>
      <c r="E98" s="1" t="s">
        <v>498</v>
      </c>
      <c r="F98" s="1" t="s">
        <v>675</v>
      </c>
      <c r="G98" s="1" t="s">
        <v>676</v>
      </c>
      <c r="H98" s="2">
        <v>28078.0</v>
      </c>
      <c r="I98" s="3">
        <v>49.0</v>
      </c>
      <c r="J98" s="1" t="s">
        <v>66</v>
      </c>
      <c r="K98" s="1" t="s">
        <v>32</v>
      </c>
      <c r="L98" s="1" t="s">
        <v>677</v>
      </c>
      <c r="M98" s="1" t="s">
        <v>34</v>
      </c>
      <c r="N98" s="2">
        <v>44700.0</v>
      </c>
      <c r="O98" s="2">
        <v>39356.0</v>
      </c>
      <c r="P98" s="1" t="s">
        <v>35</v>
      </c>
      <c r="Q98" s="1" t="s">
        <v>678</v>
      </c>
      <c r="R98" s="2">
        <v>45658.0</v>
      </c>
      <c r="S98" s="2">
        <v>46022.0</v>
      </c>
      <c r="U98" s="3">
        <v>22.0</v>
      </c>
      <c r="V98" s="2">
        <v>42706.0</v>
      </c>
      <c r="W98" s="1" t="s">
        <v>58</v>
      </c>
      <c r="X98" s="1" t="s">
        <v>59</v>
      </c>
    </row>
    <row r="99" ht="15.75" customHeight="1">
      <c r="A99" s="1" t="s">
        <v>60</v>
      </c>
      <c r="B99" s="1" t="s">
        <v>109</v>
      </c>
      <c r="C99" s="1" t="s">
        <v>80</v>
      </c>
      <c r="D99" s="1" t="s">
        <v>680</v>
      </c>
      <c r="E99" s="1" t="s">
        <v>680</v>
      </c>
      <c r="F99" s="1" t="s">
        <v>681</v>
      </c>
      <c r="G99" s="1" t="s">
        <v>682</v>
      </c>
      <c r="H99" s="2">
        <v>28626.0</v>
      </c>
      <c r="I99" s="3">
        <v>47.0</v>
      </c>
      <c r="J99" s="1" t="s">
        <v>66</v>
      </c>
      <c r="K99" s="1" t="s">
        <v>32</v>
      </c>
      <c r="L99" s="1" t="s">
        <v>683</v>
      </c>
      <c r="M99" s="1" t="s">
        <v>34</v>
      </c>
      <c r="N99" s="2">
        <v>41666.0</v>
      </c>
      <c r="O99" s="2">
        <v>39356.0</v>
      </c>
      <c r="P99" s="1" t="s">
        <v>35</v>
      </c>
      <c r="Q99" s="1" t="s">
        <v>684</v>
      </c>
      <c r="R99" s="2">
        <v>45658.0</v>
      </c>
      <c r="S99" s="2">
        <v>46022.0</v>
      </c>
      <c r="T99" s="1" t="s">
        <v>685</v>
      </c>
      <c r="U99" s="3">
        <v>44.0</v>
      </c>
      <c r="V99" s="2">
        <v>41115.0</v>
      </c>
      <c r="W99" s="1" t="s">
        <v>686</v>
      </c>
      <c r="X99" s="1" t="s">
        <v>89</v>
      </c>
    </row>
    <row r="100" ht="15.75" customHeight="1">
      <c r="A100" s="1" t="s">
        <v>39</v>
      </c>
      <c r="B100" s="1" t="s">
        <v>61</v>
      </c>
      <c r="C100" s="1" t="s">
        <v>26</v>
      </c>
      <c r="D100" s="1" t="s">
        <v>528</v>
      </c>
      <c r="E100" s="1" t="s">
        <v>528</v>
      </c>
      <c r="F100" s="1" t="s">
        <v>687</v>
      </c>
      <c r="G100" s="1" t="s">
        <v>688</v>
      </c>
      <c r="H100" s="2">
        <v>26088.0</v>
      </c>
      <c r="I100" s="3">
        <v>54.0</v>
      </c>
      <c r="J100" s="1" t="s">
        <v>66</v>
      </c>
      <c r="K100" s="1" t="s">
        <v>32</v>
      </c>
      <c r="L100" s="1" t="s">
        <v>689</v>
      </c>
      <c r="M100" s="1" t="s">
        <v>375</v>
      </c>
      <c r="N100" s="2">
        <v>44048.0</v>
      </c>
      <c r="O100" s="2">
        <v>39417.0</v>
      </c>
      <c r="P100" s="1" t="s">
        <v>35</v>
      </c>
      <c r="Q100" s="1" t="s">
        <v>690</v>
      </c>
      <c r="R100" s="2">
        <v>45658.0</v>
      </c>
      <c r="S100" s="2">
        <v>46022.0</v>
      </c>
      <c r="U100" s="3">
        <v>21.0</v>
      </c>
      <c r="V100" s="2">
        <v>39083.0</v>
      </c>
      <c r="W100" s="1" t="s">
        <v>58</v>
      </c>
      <c r="X100" s="1" t="s">
        <v>59</v>
      </c>
    </row>
    <row r="101" ht="15.75" customHeight="1">
      <c r="A101" s="1" t="s">
        <v>39</v>
      </c>
      <c r="B101" s="1" t="s">
        <v>61</v>
      </c>
      <c r="C101" s="1" t="s">
        <v>26</v>
      </c>
      <c r="D101" s="1" t="s">
        <v>528</v>
      </c>
      <c r="E101" s="1" t="s">
        <v>528</v>
      </c>
      <c r="F101" s="1" t="s">
        <v>687</v>
      </c>
      <c r="G101" s="1" t="s">
        <v>688</v>
      </c>
      <c r="H101" s="2">
        <v>26088.0</v>
      </c>
      <c r="I101" s="3">
        <v>54.0</v>
      </c>
      <c r="J101" s="1" t="s">
        <v>66</v>
      </c>
      <c r="K101" s="1" t="s">
        <v>32</v>
      </c>
      <c r="L101" s="1" t="s">
        <v>689</v>
      </c>
      <c r="M101" s="1" t="s">
        <v>375</v>
      </c>
      <c r="N101" s="2">
        <v>44048.0</v>
      </c>
      <c r="O101" s="2">
        <v>39417.0</v>
      </c>
      <c r="P101" s="1" t="s">
        <v>35</v>
      </c>
      <c r="Q101" s="1" t="s">
        <v>690</v>
      </c>
      <c r="R101" s="2">
        <v>45658.0</v>
      </c>
      <c r="S101" s="2">
        <v>46022.0</v>
      </c>
      <c r="T101" s="1" t="s">
        <v>691</v>
      </c>
      <c r="U101" s="3">
        <v>21.0</v>
      </c>
      <c r="V101" s="2">
        <v>39083.0</v>
      </c>
      <c r="W101" s="1" t="s">
        <v>58</v>
      </c>
      <c r="X101" s="1" t="s">
        <v>59</v>
      </c>
    </row>
    <row r="102" ht="15.75" customHeight="1">
      <c r="A102" s="1" t="s">
        <v>60</v>
      </c>
      <c r="B102" s="1" t="s">
        <v>317</v>
      </c>
      <c r="C102" s="1" t="s">
        <v>80</v>
      </c>
      <c r="D102" s="1" t="s">
        <v>692</v>
      </c>
      <c r="E102" s="1" t="s">
        <v>693</v>
      </c>
      <c r="F102" s="1" t="s">
        <v>694</v>
      </c>
      <c r="G102" s="1" t="s">
        <v>695</v>
      </c>
      <c r="H102" s="2">
        <v>28422.0</v>
      </c>
      <c r="I102" s="3">
        <v>48.0</v>
      </c>
      <c r="J102" s="1" t="s">
        <v>66</v>
      </c>
      <c r="K102" s="1" t="s">
        <v>32</v>
      </c>
      <c r="L102" s="1" t="s">
        <v>696</v>
      </c>
      <c r="M102" s="1" t="s">
        <v>34</v>
      </c>
      <c r="N102" s="2">
        <v>44700.0</v>
      </c>
      <c r="O102" s="2">
        <v>39630.0</v>
      </c>
      <c r="P102" s="1" t="s">
        <v>35</v>
      </c>
      <c r="Q102" s="1" t="s">
        <v>697</v>
      </c>
      <c r="R102" s="2">
        <v>45658.0</v>
      </c>
      <c r="S102" s="2">
        <v>46022.0</v>
      </c>
      <c r="T102" s="1" t="s">
        <v>698</v>
      </c>
      <c r="U102" s="3">
        <v>21.0</v>
      </c>
      <c r="V102" s="2">
        <v>42552.0</v>
      </c>
      <c r="W102" s="1" t="s">
        <v>699</v>
      </c>
      <c r="X102" s="1" t="s">
        <v>700</v>
      </c>
    </row>
    <row r="103" ht="15.75" customHeight="1">
      <c r="A103" s="1" t="s">
        <v>78</v>
      </c>
      <c r="B103" s="1" t="s">
        <v>61</v>
      </c>
      <c r="C103" s="1" t="s">
        <v>26</v>
      </c>
      <c r="D103" s="1" t="s">
        <v>701</v>
      </c>
      <c r="E103" s="1" t="s">
        <v>702</v>
      </c>
      <c r="F103" s="1" t="s">
        <v>703</v>
      </c>
      <c r="G103" s="1" t="s">
        <v>704</v>
      </c>
      <c r="H103" s="2">
        <v>21517.0</v>
      </c>
      <c r="I103" s="3">
        <v>67.0</v>
      </c>
      <c r="J103" s="1" t="s">
        <v>66</v>
      </c>
      <c r="K103" s="1" t="s">
        <v>32</v>
      </c>
      <c r="L103" s="1" t="s">
        <v>705</v>
      </c>
      <c r="M103" s="1" t="s">
        <v>34</v>
      </c>
      <c r="N103" s="2">
        <v>41717.0</v>
      </c>
      <c r="O103" s="2">
        <v>39661.0</v>
      </c>
      <c r="P103" s="1" t="s">
        <v>35</v>
      </c>
      <c r="Q103" s="1" t="s">
        <v>706</v>
      </c>
      <c r="R103" s="2">
        <v>45658.0</v>
      </c>
      <c r="S103" s="2">
        <v>46022.0</v>
      </c>
      <c r="T103" s="1" t="s">
        <v>707</v>
      </c>
      <c r="U103" s="3">
        <v>22.0</v>
      </c>
      <c r="V103" s="2">
        <v>43255.0</v>
      </c>
      <c r="W103" s="1" t="s">
        <v>708</v>
      </c>
      <c r="X103" s="1" t="s">
        <v>709</v>
      </c>
    </row>
    <row r="104" ht="15.75" customHeight="1">
      <c r="A104" s="1" t="s">
        <v>78</v>
      </c>
      <c r="B104" s="1" t="s">
        <v>61</v>
      </c>
      <c r="C104" s="1" t="s">
        <v>26</v>
      </c>
      <c r="D104" s="1" t="s">
        <v>701</v>
      </c>
      <c r="E104" s="1" t="s">
        <v>702</v>
      </c>
      <c r="F104" s="1" t="s">
        <v>703</v>
      </c>
      <c r="G104" s="1" t="s">
        <v>704</v>
      </c>
      <c r="H104" s="2">
        <v>21517.0</v>
      </c>
      <c r="I104" s="3">
        <v>67.0</v>
      </c>
      <c r="J104" s="1" t="s">
        <v>31</v>
      </c>
      <c r="K104" s="1" t="s">
        <v>32</v>
      </c>
      <c r="L104" s="1" t="s">
        <v>705</v>
      </c>
      <c r="M104" s="1" t="s">
        <v>34</v>
      </c>
      <c r="N104" s="2">
        <v>41717.0</v>
      </c>
      <c r="O104" s="2">
        <v>39661.0</v>
      </c>
      <c r="P104" s="1" t="s">
        <v>35</v>
      </c>
      <c r="Q104" s="1" t="s">
        <v>706</v>
      </c>
      <c r="R104" s="2">
        <v>43556.0</v>
      </c>
      <c r="S104" s="2">
        <v>73050.0</v>
      </c>
      <c r="T104" s="1" t="s">
        <v>710</v>
      </c>
      <c r="U104" s="3">
        <v>22.0</v>
      </c>
      <c r="V104" s="2">
        <v>43255.0</v>
      </c>
      <c r="W104" s="1" t="s">
        <v>708</v>
      </c>
      <c r="X104" s="1" t="s">
        <v>709</v>
      </c>
    </row>
    <row r="105" ht="15.75" customHeight="1">
      <c r="A105" s="1" t="s">
        <v>60</v>
      </c>
      <c r="B105" s="1" t="s">
        <v>61</v>
      </c>
      <c r="C105" s="1" t="s">
        <v>26</v>
      </c>
      <c r="D105" s="1" t="s">
        <v>711</v>
      </c>
      <c r="E105" s="1" t="s">
        <v>712</v>
      </c>
      <c r="F105" s="1" t="s">
        <v>713</v>
      </c>
      <c r="G105" s="1" t="s">
        <v>714</v>
      </c>
      <c r="H105" s="2">
        <v>20614.0</v>
      </c>
      <c r="I105" s="3">
        <v>69.0</v>
      </c>
      <c r="J105" s="1" t="s">
        <v>66</v>
      </c>
      <c r="K105" s="1" t="s">
        <v>32</v>
      </c>
      <c r="L105" s="1" t="s">
        <v>715</v>
      </c>
      <c r="M105" s="1" t="s">
        <v>34</v>
      </c>
      <c r="N105" s="2">
        <v>45105.0</v>
      </c>
      <c r="O105" s="2">
        <v>39692.0</v>
      </c>
      <c r="P105" s="1" t="s">
        <v>35</v>
      </c>
      <c r="Q105" s="1" t="s">
        <v>716</v>
      </c>
      <c r="R105" s="2">
        <v>45658.0</v>
      </c>
      <c r="S105" s="2">
        <v>46022.0</v>
      </c>
      <c r="U105" s="3">
        <v>44.0</v>
      </c>
      <c r="V105" s="2">
        <v>39600.0</v>
      </c>
      <c r="W105" s="1" t="s">
        <v>58</v>
      </c>
      <c r="X105" s="1" t="s">
        <v>59</v>
      </c>
    </row>
    <row r="106" ht="15.75" customHeight="1">
      <c r="A106" s="1" t="s">
        <v>24</v>
      </c>
      <c r="B106" s="1" t="s">
        <v>317</v>
      </c>
      <c r="C106" s="1" t="s">
        <v>80</v>
      </c>
      <c r="D106" s="1" t="s">
        <v>717</v>
      </c>
      <c r="E106" s="1" t="s">
        <v>281</v>
      </c>
      <c r="F106" s="1" t="s">
        <v>718</v>
      </c>
      <c r="G106" s="1" t="s">
        <v>719</v>
      </c>
      <c r="H106" s="2">
        <v>15637.0</v>
      </c>
      <c r="I106" s="3">
        <v>83.0</v>
      </c>
      <c r="J106" s="1" t="s">
        <v>66</v>
      </c>
      <c r="K106" s="1" t="s">
        <v>32</v>
      </c>
      <c r="L106" s="1" t="s">
        <v>720</v>
      </c>
      <c r="M106" s="1" t="s">
        <v>55</v>
      </c>
      <c r="N106" s="2">
        <v>39646.0</v>
      </c>
      <c r="O106" s="2">
        <v>39722.0</v>
      </c>
      <c r="P106" s="1" t="s">
        <v>35</v>
      </c>
      <c r="Q106" s="1" t="s">
        <v>721</v>
      </c>
      <c r="R106" s="2">
        <v>45658.0</v>
      </c>
      <c r="S106" s="2">
        <v>46022.0</v>
      </c>
      <c r="T106" s="1" t="s">
        <v>722</v>
      </c>
      <c r="U106" s="3">
        <v>6.0</v>
      </c>
      <c r="V106" s="2">
        <v>25995.0</v>
      </c>
      <c r="W106" s="1" t="s">
        <v>58</v>
      </c>
      <c r="X106" s="1" t="s">
        <v>59</v>
      </c>
    </row>
    <row r="107" ht="15.75" customHeight="1">
      <c r="A107" s="1" t="s">
        <v>337</v>
      </c>
      <c r="B107" s="1" t="s">
        <v>25</v>
      </c>
      <c r="C107" s="1" t="s">
        <v>80</v>
      </c>
      <c r="D107" s="1" t="s">
        <v>723</v>
      </c>
      <c r="E107" s="1" t="s">
        <v>301</v>
      </c>
      <c r="F107" s="1" t="s">
        <v>724</v>
      </c>
      <c r="G107" s="1" t="s">
        <v>725</v>
      </c>
      <c r="H107" s="2">
        <v>29517.0</v>
      </c>
      <c r="I107" s="3">
        <v>45.0</v>
      </c>
      <c r="J107" s="1" t="s">
        <v>66</v>
      </c>
      <c r="K107" s="1" t="s">
        <v>32</v>
      </c>
      <c r="L107" s="1" t="s">
        <v>726</v>
      </c>
      <c r="M107" s="1" t="s">
        <v>34</v>
      </c>
      <c r="N107" s="2">
        <v>45035.0</v>
      </c>
      <c r="O107" s="2">
        <v>39722.0</v>
      </c>
      <c r="P107" s="1" t="s">
        <v>35</v>
      </c>
      <c r="Q107" s="1" t="s">
        <v>727</v>
      </c>
      <c r="R107" s="2">
        <v>45658.0</v>
      </c>
      <c r="S107" s="2">
        <v>46022.0</v>
      </c>
      <c r="T107" s="1" t="s">
        <v>728</v>
      </c>
      <c r="U107" s="3">
        <v>6.0</v>
      </c>
      <c r="V107" s="2">
        <v>42551.0</v>
      </c>
      <c r="W107" s="1" t="s">
        <v>729</v>
      </c>
      <c r="X107" s="1" t="s">
        <v>98</v>
      </c>
    </row>
    <row r="108" ht="15.75" customHeight="1">
      <c r="A108" s="1" t="s">
        <v>78</v>
      </c>
      <c r="B108" s="1" t="s">
        <v>25</v>
      </c>
      <c r="C108" s="1" t="s">
        <v>80</v>
      </c>
      <c r="D108" s="1" t="s">
        <v>723</v>
      </c>
      <c r="E108" s="1" t="s">
        <v>301</v>
      </c>
      <c r="F108" s="1" t="s">
        <v>724</v>
      </c>
      <c r="G108" s="1" t="s">
        <v>725</v>
      </c>
      <c r="H108" s="2">
        <v>29517.0</v>
      </c>
      <c r="I108" s="3">
        <v>45.0</v>
      </c>
      <c r="J108" s="1" t="s">
        <v>66</v>
      </c>
      <c r="K108" s="1" t="s">
        <v>32</v>
      </c>
      <c r="L108" s="1" t="s">
        <v>726</v>
      </c>
      <c r="M108" s="1" t="s">
        <v>34</v>
      </c>
      <c r="N108" s="2">
        <v>45035.0</v>
      </c>
      <c r="O108" s="2">
        <v>39722.0</v>
      </c>
      <c r="P108" s="1" t="s">
        <v>35</v>
      </c>
      <c r="Q108" s="1" t="s">
        <v>727</v>
      </c>
      <c r="R108" s="2">
        <v>45658.0</v>
      </c>
      <c r="S108" s="2">
        <v>46022.0</v>
      </c>
      <c r="U108" s="3">
        <v>6.0</v>
      </c>
      <c r="V108" s="2">
        <v>42551.0</v>
      </c>
      <c r="W108" s="1" t="s">
        <v>729</v>
      </c>
      <c r="X108" s="1" t="s">
        <v>98</v>
      </c>
    </row>
    <row r="109" ht="15.75" customHeight="1">
      <c r="A109" s="1" t="s">
        <v>78</v>
      </c>
      <c r="B109" s="1" t="s">
        <v>99</v>
      </c>
      <c r="C109" s="1" t="s">
        <v>80</v>
      </c>
      <c r="D109" s="1" t="s">
        <v>723</v>
      </c>
      <c r="E109" s="1" t="s">
        <v>301</v>
      </c>
      <c r="F109" s="1" t="s">
        <v>724</v>
      </c>
      <c r="G109" s="1" t="s">
        <v>725</v>
      </c>
      <c r="H109" s="2">
        <v>29517.0</v>
      </c>
      <c r="I109" s="3">
        <v>45.0</v>
      </c>
      <c r="J109" s="1" t="s">
        <v>31</v>
      </c>
      <c r="K109" s="1" t="s">
        <v>32</v>
      </c>
      <c r="L109" s="1" t="s">
        <v>726</v>
      </c>
      <c r="M109" s="1" t="s">
        <v>34</v>
      </c>
      <c r="N109" s="2">
        <v>43698.0</v>
      </c>
      <c r="O109" s="2">
        <v>39722.0</v>
      </c>
      <c r="P109" s="1" t="s">
        <v>265</v>
      </c>
      <c r="Q109" s="1" t="s">
        <v>727</v>
      </c>
      <c r="R109" s="2">
        <v>44774.0</v>
      </c>
      <c r="S109" s="2">
        <v>73050.0</v>
      </c>
      <c r="U109" s="3">
        <v>22.0</v>
      </c>
      <c r="V109" s="2">
        <v>42551.0</v>
      </c>
      <c r="W109" s="1" t="s">
        <v>729</v>
      </c>
      <c r="X109" s="1" t="s">
        <v>98</v>
      </c>
    </row>
    <row r="110" ht="15.75" customHeight="1">
      <c r="A110" s="1" t="s">
        <v>337</v>
      </c>
      <c r="B110" s="1" t="s">
        <v>99</v>
      </c>
      <c r="C110" s="1" t="s">
        <v>80</v>
      </c>
      <c r="D110" s="1" t="s">
        <v>723</v>
      </c>
      <c r="E110" s="1" t="s">
        <v>301</v>
      </c>
      <c r="F110" s="1" t="s">
        <v>724</v>
      </c>
      <c r="G110" s="1" t="s">
        <v>725</v>
      </c>
      <c r="H110" s="2">
        <v>29517.0</v>
      </c>
      <c r="I110" s="3">
        <v>45.0</v>
      </c>
      <c r="J110" s="1" t="s">
        <v>31</v>
      </c>
      <c r="K110" s="1" t="s">
        <v>32</v>
      </c>
      <c r="L110" s="1" t="s">
        <v>726</v>
      </c>
      <c r="M110" s="1" t="s">
        <v>34</v>
      </c>
      <c r="N110" s="2">
        <v>43698.0</v>
      </c>
      <c r="O110" s="2">
        <v>39722.0</v>
      </c>
      <c r="P110" s="1" t="s">
        <v>265</v>
      </c>
      <c r="Q110" s="1" t="s">
        <v>727</v>
      </c>
      <c r="R110" s="2">
        <v>44774.0</v>
      </c>
      <c r="S110" s="2">
        <v>73050.0</v>
      </c>
      <c r="U110" s="3">
        <v>22.0</v>
      </c>
      <c r="V110" s="2">
        <v>42551.0</v>
      </c>
      <c r="W110" s="1" t="s">
        <v>729</v>
      </c>
      <c r="X110" s="1" t="s">
        <v>98</v>
      </c>
    </row>
    <row r="111" ht="15.75" customHeight="1">
      <c r="A111" s="1" t="s">
        <v>39</v>
      </c>
      <c r="B111" s="1" t="s">
        <v>61</v>
      </c>
      <c r="C111" s="1" t="s">
        <v>80</v>
      </c>
      <c r="D111" s="1" t="s">
        <v>730</v>
      </c>
      <c r="E111" s="1" t="s">
        <v>731</v>
      </c>
      <c r="F111" s="1" t="s">
        <v>732</v>
      </c>
      <c r="G111" s="1" t="s">
        <v>733</v>
      </c>
      <c r="H111" s="2">
        <v>23551.0</v>
      </c>
      <c r="I111" s="3">
        <v>61.0</v>
      </c>
      <c r="J111" s="1" t="s">
        <v>31</v>
      </c>
      <c r="K111" s="1" t="s">
        <v>32</v>
      </c>
      <c r="L111" s="1" t="s">
        <v>734</v>
      </c>
      <c r="M111" s="1" t="s">
        <v>34</v>
      </c>
      <c r="N111" s="2">
        <v>44587.0</v>
      </c>
      <c r="O111" s="2">
        <v>39765.0</v>
      </c>
      <c r="P111" s="1" t="s">
        <v>35</v>
      </c>
      <c r="Q111" s="1" t="s">
        <v>735</v>
      </c>
      <c r="R111" s="2">
        <v>44927.0</v>
      </c>
      <c r="S111" s="2">
        <v>73050.0</v>
      </c>
      <c r="U111" s="3">
        <v>44.0</v>
      </c>
      <c r="V111" s="2">
        <v>42480.0</v>
      </c>
      <c r="W111" s="1" t="s">
        <v>736</v>
      </c>
      <c r="X111" s="1" t="s">
        <v>89</v>
      </c>
    </row>
    <row r="112" ht="15.75" customHeight="1">
      <c r="A112" s="1" t="s">
        <v>60</v>
      </c>
      <c r="B112" s="1" t="s">
        <v>61</v>
      </c>
      <c r="C112" s="1" t="s">
        <v>26</v>
      </c>
      <c r="D112" s="1" t="s">
        <v>737</v>
      </c>
      <c r="E112" s="1" t="s">
        <v>528</v>
      </c>
      <c r="F112" s="1" t="s">
        <v>738</v>
      </c>
      <c r="G112" s="1" t="s">
        <v>739</v>
      </c>
      <c r="H112" s="2">
        <v>28051.0</v>
      </c>
      <c r="I112" s="3">
        <v>49.0</v>
      </c>
      <c r="J112" s="1" t="s">
        <v>31</v>
      </c>
      <c r="K112" s="1" t="s">
        <v>32</v>
      </c>
      <c r="L112" s="1" t="s">
        <v>740</v>
      </c>
      <c r="M112" s="1" t="s">
        <v>34</v>
      </c>
      <c r="N112" s="2">
        <v>44629.0</v>
      </c>
      <c r="O112" s="2">
        <v>39873.0</v>
      </c>
      <c r="P112" s="1" t="s">
        <v>35</v>
      </c>
      <c r="Q112" s="1" t="s">
        <v>741</v>
      </c>
      <c r="R112" s="2">
        <v>44927.0</v>
      </c>
      <c r="S112" s="2">
        <v>73050.0</v>
      </c>
      <c r="U112" s="3">
        <v>44.0</v>
      </c>
      <c r="V112" s="2">
        <v>42496.0</v>
      </c>
      <c r="W112" s="1" t="s">
        <v>58</v>
      </c>
      <c r="X112" s="1" t="s">
        <v>59</v>
      </c>
    </row>
    <row r="113" ht="15.75" customHeight="1">
      <c r="A113" s="1" t="s">
        <v>60</v>
      </c>
      <c r="B113" s="1" t="s">
        <v>99</v>
      </c>
      <c r="C113" s="1" t="s">
        <v>80</v>
      </c>
      <c r="D113" s="1" t="s">
        <v>742</v>
      </c>
      <c r="E113" s="1" t="s">
        <v>491</v>
      </c>
      <c r="F113" s="1" t="s">
        <v>743</v>
      </c>
      <c r="G113" s="1" t="s">
        <v>744</v>
      </c>
      <c r="H113" s="2">
        <v>28862.0</v>
      </c>
      <c r="I113" s="3">
        <v>47.0</v>
      </c>
      <c r="J113" s="1" t="s">
        <v>31</v>
      </c>
      <c r="K113" s="1" t="s">
        <v>32</v>
      </c>
      <c r="L113" s="1" t="s">
        <v>745</v>
      </c>
      <c r="M113" s="1" t="s">
        <v>34</v>
      </c>
      <c r="N113" s="2">
        <v>43481.0</v>
      </c>
      <c r="O113" s="2">
        <v>39873.0</v>
      </c>
      <c r="P113" s="1" t="s">
        <v>35</v>
      </c>
      <c r="Q113" s="1" t="s">
        <v>746</v>
      </c>
      <c r="R113" s="2">
        <v>45047.0</v>
      </c>
      <c r="S113" s="2">
        <v>73050.0</v>
      </c>
      <c r="U113" s="3">
        <v>44.0</v>
      </c>
      <c r="V113" s="2">
        <v>39443.0</v>
      </c>
      <c r="W113" s="1" t="s">
        <v>58</v>
      </c>
      <c r="X113" s="1" t="s">
        <v>59</v>
      </c>
    </row>
    <row r="114" ht="15.75" customHeight="1">
      <c r="A114" s="1" t="s">
        <v>78</v>
      </c>
      <c r="B114" s="1" t="s">
        <v>61</v>
      </c>
      <c r="C114" s="1" t="s">
        <v>80</v>
      </c>
      <c r="D114" s="1" t="s">
        <v>747</v>
      </c>
      <c r="E114" s="1" t="s">
        <v>748</v>
      </c>
      <c r="F114" s="1" t="s">
        <v>749</v>
      </c>
      <c r="G114" s="1" t="s">
        <v>750</v>
      </c>
      <c r="H114" s="2">
        <v>28937.0</v>
      </c>
      <c r="I114" s="3">
        <v>46.0</v>
      </c>
      <c r="J114" s="1" t="s">
        <v>31</v>
      </c>
      <c r="K114" s="1" t="s">
        <v>32</v>
      </c>
      <c r="L114" s="1" t="s">
        <v>751</v>
      </c>
      <c r="M114" s="1" t="s">
        <v>34</v>
      </c>
      <c r="N114" s="2">
        <v>45217.0</v>
      </c>
      <c r="O114" s="2">
        <v>39965.0</v>
      </c>
      <c r="P114" s="1" t="s">
        <v>35</v>
      </c>
      <c r="Q114" s="1" t="s">
        <v>752</v>
      </c>
      <c r="R114" s="2">
        <v>45383.0</v>
      </c>
      <c r="S114" s="2">
        <v>73050.0</v>
      </c>
      <c r="U114" s="3">
        <v>22.0</v>
      </c>
      <c r="V114" s="2">
        <v>43301.0</v>
      </c>
      <c r="W114" s="1" t="s">
        <v>58</v>
      </c>
      <c r="X114" s="1" t="s">
        <v>59</v>
      </c>
    </row>
    <row r="115" ht="15.75" customHeight="1">
      <c r="A115" s="1" t="s">
        <v>337</v>
      </c>
      <c r="B115" s="1" t="s">
        <v>109</v>
      </c>
      <c r="C115" s="1" t="s">
        <v>26</v>
      </c>
      <c r="D115" s="1" t="s">
        <v>753</v>
      </c>
      <c r="E115" s="1" t="s">
        <v>754</v>
      </c>
      <c r="F115" s="1" t="s">
        <v>755</v>
      </c>
      <c r="G115" s="1" t="s">
        <v>756</v>
      </c>
      <c r="H115" s="2">
        <v>28981.0</v>
      </c>
      <c r="I115" s="3">
        <v>46.0</v>
      </c>
      <c r="J115" s="1" t="s">
        <v>66</v>
      </c>
      <c r="K115" s="1" t="s">
        <v>32</v>
      </c>
      <c r="L115" s="1" t="s">
        <v>757</v>
      </c>
      <c r="M115" s="1" t="s">
        <v>34</v>
      </c>
      <c r="N115" s="2">
        <v>44700.0</v>
      </c>
      <c r="O115" s="2">
        <v>39983.0</v>
      </c>
      <c r="P115" s="1" t="s">
        <v>35</v>
      </c>
      <c r="Q115" s="1" t="s">
        <v>758</v>
      </c>
      <c r="R115" s="2">
        <v>45658.0</v>
      </c>
      <c r="S115" s="2">
        <v>46022.0</v>
      </c>
      <c r="U115" s="3">
        <v>44.0</v>
      </c>
      <c r="V115" s="2">
        <v>44389.0</v>
      </c>
      <c r="W115" s="1" t="s">
        <v>323</v>
      </c>
      <c r="X115" s="1" t="s">
        <v>59</v>
      </c>
    </row>
    <row r="116" ht="15.75" customHeight="1">
      <c r="A116" s="1" t="s">
        <v>60</v>
      </c>
      <c r="B116" s="1" t="s">
        <v>99</v>
      </c>
      <c r="C116" s="1" t="s">
        <v>26</v>
      </c>
      <c r="D116" s="1" t="s">
        <v>759</v>
      </c>
      <c r="E116" s="1" t="s">
        <v>760</v>
      </c>
      <c r="F116" s="1" t="s">
        <v>761</v>
      </c>
      <c r="G116" s="1" t="s">
        <v>762</v>
      </c>
      <c r="H116" s="2">
        <v>26570.0</v>
      </c>
      <c r="I116" s="3">
        <v>53.0</v>
      </c>
      <c r="J116" s="1" t="s">
        <v>66</v>
      </c>
      <c r="K116" s="1" t="s">
        <v>32</v>
      </c>
      <c r="L116" s="1" t="s">
        <v>763</v>
      </c>
      <c r="M116" s="1" t="s">
        <v>34</v>
      </c>
      <c r="N116" s="2">
        <v>45504.0</v>
      </c>
      <c r="O116" s="2">
        <v>39995.0</v>
      </c>
      <c r="P116" s="1" t="s">
        <v>35</v>
      </c>
      <c r="Q116" s="1" t="s">
        <v>764</v>
      </c>
      <c r="R116" s="2">
        <v>45658.0</v>
      </c>
      <c r="S116" s="2">
        <v>46022.0</v>
      </c>
      <c r="U116" s="3">
        <v>44.0</v>
      </c>
      <c r="V116" s="2">
        <v>41284.0</v>
      </c>
      <c r="W116" s="1" t="s">
        <v>438</v>
      </c>
      <c r="X116" s="1" t="s">
        <v>59</v>
      </c>
    </row>
    <row r="117" ht="15.75" customHeight="1">
      <c r="A117" s="1" t="s">
        <v>24</v>
      </c>
      <c r="B117" s="1" t="s">
        <v>25</v>
      </c>
      <c r="C117" s="1" t="s">
        <v>80</v>
      </c>
      <c r="D117" s="1" t="s">
        <v>765</v>
      </c>
      <c r="E117" s="1" t="s">
        <v>28</v>
      </c>
      <c r="F117" s="1" t="s">
        <v>766</v>
      </c>
      <c r="G117" s="1" t="s">
        <v>767</v>
      </c>
      <c r="H117" s="2">
        <v>18150.0</v>
      </c>
      <c r="I117" s="3">
        <v>76.0</v>
      </c>
      <c r="J117" s="1" t="s">
        <v>31</v>
      </c>
      <c r="K117" s="1" t="s">
        <v>32</v>
      </c>
      <c r="L117" s="1" t="s">
        <v>768</v>
      </c>
      <c r="M117" s="1" t="s">
        <v>34</v>
      </c>
      <c r="N117" s="2">
        <v>44048.0</v>
      </c>
      <c r="O117" s="2">
        <v>39995.0</v>
      </c>
      <c r="P117" s="1" t="s">
        <v>35</v>
      </c>
      <c r="Q117" s="1" t="s">
        <v>769</v>
      </c>
      <c r="R117" s="2">
        <v>44105.0</v>
      </c>
      <c r="S117" s="2">
        <v>73050.0</v>
      </c>
      <c r="U117" s="3">
        <v>44.0</v>
      </c>
      <c r="V117" s="2">
        <v>38621.0</v>
      </c>
      <c r="W117" s="1" t="s">
        <v>770</v>
      </c>
      <c r="X117" s="1" t="s">
        <v>38</v>
      </c>
    </row>
    <row r="118" ht="15.75" customHeight="1">
      <c r="A118" s="1" t="s">
        <v>24</v>
      </c>
      <c r="B118" s="1" t="s">
        <v>99</v>
      </c>
      <c r="C118" s="1" t="s">
        <v>80</v>
      </c>
      <c r="D118" s="1" t="s">
        <v>771</v>
      </c>
      <c r="E118" s="1" t="s">
        <v>772</v>
      </c>
      <c r="F118" s="1" t="s">
        <v>773</v>
      </c>
      <c r="G118" s="1" t="s">
        <v>774</v>
      </c>
      <c r="H118" s="2">
        <v>27173.0</v>
      </c>
      <c r="I118" s="3">
        <v>51.0</v>
      </c>
      <c r="J118" s="1" t="s">
        <v>66</v>
      </c>
      <c r="K118" s="1" t="s">
        <v>32</v>
      </c>
      <c r="L118" s="1" t="s">
        <v>775</v>
      </c>
      <c r="M118" s="1" t="s">
        <v>34</v>
      </c>
      <c r="N118" s="2">
        <v>42606.0</v>
      </c>
      <c r="O118" s="2">
        <v>39995.0</v>
      </c>
      <c r="P118" s="1" t="s">
        <v>35</v>
      </c>
      <c r="Q118" s="1" t="s">
        <v>776</v>
      </c>
      <c r="R118" s="2">
        <v>45658.0</v>
      </c>
      <c r="S118" s="2">
        <v>46022.0</v>
      </c>
      <c r="T118" s="1" t="s">
        <v>777</v>
      </c>
      <c r="U118" s="3">
        <v>44.0</v>
      </c>
      <c r="V118" s="2">
        <v>39780.0</v>
      </c>
      <c r="W118" s="1" t="s">
        <v>778</v>
      </c>
      <c r="X118" s="1" t="s">
        <v>38</v>
      </c>
    </row>
    <row r="119" ht="15.75" customHeight="1">
      <c r="A119" s="1" t="s">
        <v>60</v>
      </c>
      <c r="B119" s="1" t="s">
        <v>99</v>
      </c>
      <c r="C119" s="1" t="s">
        <v>80</v>
      </c>
      <c r="D119" s="1" t="s">
        <v>779</v>
      </c>
      <c r="E119" s="1" t="s">
        <v>780</v>
      </c>
      <c r="F119" s="1" t="s">
        <v>781</v>
      </c>
      <c r="G119" s="1" t="s">
        <v>782</v>
      </c>
      <c r="H119" s="2">
        <v>26341.0</v>
      </c>
      <c r="I119" s="3">
        <v>53.0</v>
      </c>
      <c r="J119" s="1" t="s">
        <v>31</v>
      </c>
      <c r="K119" s="1" t="s">
        <v>32</v>
      </c>
      <c r="L119" s="1" t="s">
        <v>783</v>
      </c>
      <c r="M119" s="1" t="s">
        <v>34</v>
      </c>
      <c r="N119" s="2">
        <v>43243.0</v>
      </c>
      <c r="O119" s="2">
        <v>40118.0</v>
      </c>
      <c r="P119" s="1" t="s">
        <v>35</v>
      </c>
      <c r="Q119" s="1" t="s">
        <v>784</v>
      </c>
      <c r="R119" s="2">
        <v>45047.0</v>
      </c>
      <c r="S119" s="2">
        <v>73050.0</v>
      </c>
      <c r="U119" s="3">
        <v>44.0</v>
      </c>
      <c r="V119" s="2">
        <v>40664.0</v>
      </c>
      <c r="W119" s="1" t="s">
        <v>438</v>
      </c>
      <c r="X119" s="1" t="s">
        <v>59</v>
      </c>
    </row>
    <row r="120" ht="15.75" customHeight="1">
      <c r="A120" s="1" t="s">
        <v>60</v>
      </c>
      <c r="B120" s="1" t="s">
        <v>99</v>
      </c>
      <c r="C120" s="1" t="s">
        <v>80</v>
      </c>
      <c r="D120" s="1" t="s">
        <v>785</v>
      </c>
      <c r="E120" s="1" t="s">
        <v>295</v>
      </c>
      <c r="F120" s="1" t="s">
        <v>786</v>
      </c>
      <c r="G120" s="1" t="s">
        <v>787</v>
      </c>
      <c r="H120" s="2">
        <v>22063.0</v>
      </c>
      <c r="I120" s="3">
        <v>65.0</v>
      </c>
      <c r="J120" s="1" t="s">
        <v>31</v>
      </c>
      <c r="K120" s="1" t="s">
        <v>32</v>
      </c>
      <c r="L120" s="1" t="s">
        <v>788</v>
      </c>
      <c r="M120" s="1" t="s">
        <v>34</v>
      </c>
      <c r="N120" s="2">
        <v>44587.0</v>
      </c>
      <c r="O120" s="2">
        <v>40148.0</v>
      </c>
      <c r="P120" s="1" t="s">
        <v>35</v>
      </c>
      <c r="Q120" s="1" t="s">
        <v>789</v>
      </c>
      <c r="R120" s="2">
        <v>45047.0</v>
      </c>
      <c r="S120" s="2">
        <v>73050.0</v>
      </c>
      <c r="U120" s="3">
        <v>44.0</v>
      </c>
      <c r="V120" s="2">
        <v>39387.0</v>
      </c>
      <c r="W120" s="1" t="s">
        <v>790</v>
      </c>
      <c r="X120" s="1" t="s">
        <v>791</v>
      </c>
    </row>
    <row r="121" ht="15.75" customHeight="1">
      <c r="A121" s="1" t="s">
        <v>60</v>
      </c>
      <c r="B121" s="1" t="s">
        <v>317</v>
      </c>
      <c r="C121" s="1" t="s">
        <v>80</v>
      </c>
      <c r="D121" s="1" t="s">
        <v>41</v>
      </c>
      <c r="E121" s="1" t="s">
        <v>717</v>
      </c>
      <c r="F121" s="1" t="s">
        <v>792</v>
      </c>
      <c r="G121" s="1" t="s">
        <v>793</v>
      </c>
      <c r="H121" s="2">
        <v>27009.0</v>
      </c>
      <c r="I121" s="3">
        <v>52.0</v>
      </c>
      <c r="J121" s="1" t="s">
        <v>66</v>
      </c>
      <c r="K121" s="1" t="s">
        <v>32</v>
      </c>
      <c r="L121" s="1" t="s">
        <v>794</v>
      </c>
      <c r="M121" s="1" t="s">
        <v>55</v>
      </c>
      <c r="N121" s="2">
        <v>41212.0</v>
      </c>
      <c r="O121" s="2">
        <v>40179.0</v>
      </c>
      <c r="P121" s="1" t="s">
        <v>35</v>
      </c>
      <c r="Q121" s="1" t="s">
        <v>795</v>
      </c>
      <c r="R121" s="2">
        <v>45658.0</v>
      </c>
      <c r="S121" s="2">
        <v>46022.0</v>
      </c>
      <c r="T121" s="1" t="s">
        <v>796</v>
      </c>
      <c r="U121" s="3">
        <v>21.0</v>
      </c>
      <c r="V121" s="2">
        <v>35928.0</v>
      </c>
      <c r="W121" s="1" t="s">
        <v>797</v>
      </c>
      <c r="X121" s="1" t="s">
        <v>59</v>
      </c>
    </row>
    <row r="122" ht="15.75" customHeight="1">
      <c r="A122" s="1" t="s">
        <v>24</v>
      </c>
      <c r="B122" s="1" t="s">
        <v>99</v>
      </c>
      <c r="C122" s="1" t="s">
        <v>26</v>
      </c>
      <c r="D122" s="1" t="s">
        <v>798</v>
      </c>
      <c r="E122" s="1" t="s">
        <v>759</v>
      </c>
      <c r="F122" s="1" t="s">
        <v>799</v>
      </c>
      <c r="G122" s="1" t="s">
        <v>800</v>
      </c>
      <c r="H122" s="2">
        <v>24368.0</v>
      </c>
      <c r="I122" s="3">
        <v>59.0</v>
      </c>
      <c r="J122" s="1" t="s">
        <v>66</v>
      </c>
      <c r="K122" s="1" t="s">
        <v>32</v>
      </c>
      <c r="L122" s="1" t="s">
        <v>801</v>
      </c>
      <c r="M122" s="1" t="s">
        <v>34</v>
      </c>
      <c r="N122" s="2">
        <v>44587.0</v>
      </c>
      <c r="O122" s="2">
        <v>40179.0</v>
      </c>
      <c r="P122" s="1" t="s">
        <v>35</v>
      </c>
      <c r="Q122" s="1" t="s">
        <v>802</v>
      </c>
      <c r="R122" s="2">
        <v>45658.0</v>
      </c>
      <c r="S122" s="2">
        <v>46022.0</v>
      </c>
      <c r="U122" s="3">
        <v>44.0</v>
      </c>
      <c r="V122" s="2">
        <v>38904.0</v>
      </c>
      <c r="W122" s="1" t="s">
        <v>803</v>
      </c>
      <c r="X122" s="1" t="s">
        <v>38</v>
      </c>
    </row>
    <row r="123" ht="15.75" customHeight="1">
      <c r="A123" s="1" t="s">
        <v>60</v>
      </c>
      <c r="B123" s="1" t="s">
        <v>109</v>
      </c>
      <c r="C123" s="1" t="s">
        <v>80</v>
      </c>
      <c r="D123" s="1" t="s">
        <v>804</v>
      </c>
      <c r="E123" s="1" t="s">
        <v>805</v>
      </c>
      <c r="F123" s="1" t="s">
        <v>806</v>
      </c>
      <c r="G123" s="1" t="s">
        <v>807</v>
      </c>
      <c r="H123" s="2">
        <v>28289.0</v>
      </c>
      <c r="I123" s="3">
        <v>48.0</v>
      </c>
      <c r="J123" s="1" t="s">
        <v>66</v>
      </c>
      <c r="K123" s="1" t="s">
        <v>32</v>
      </c>
      <c r="L123" s="1" t="s">
        <v>808</v>
      </c>
      <c r="M123" s="1" t="s">
        <v>34</v>
      </c>
      <c r="N123" s="2">
        <v>41305.0</v>
      </c>
      <c r="O123" s="2">
        <v>40269.0</v>
      </c>
      <c r="P123" s="1" t="s">
        <v>35</v>
      </c>
      <c r="Q123" s="1" t="s">
        <v>809</v>
      </c>
      <c r="R123" s="2">
        <v>45658.0</v>
      </c>
      <c r="S123" s="2">
        <v>46022.0</v>
      </c>
      <c r="T123" s="1" t="s">
        <v>810</v>
      </c>
      <c r="U123" s="3">
        <v>44.0</v>
      </c>
      <c r="V123" s="2">
        <v>41156.0</v>
      </c>
      <c r="W123" s="1" t="s">
        <v>58</v>
      </c>
      <c r="X123" s="1" t="s">
        <v>59</v>
      </c>
    </row>
    <row r="124" ht="15.75" customHeight="1">
      <c r="A124" s="1" t="s">
        <v>78</v>
      </c>
      <c r="B124" s="1" t="s">
        <v>317</v>
      </c>
      <c r="C124" s="1" t="s">
        <v>80</v>
      </c>
      <c r="D124" s="1" t="s">
        <v>811</v>
      </c>
      <c r="E124" s="1" t="s">
        <v>252</v>
      </c>
      <c r="F124" s="1" t="s">
        <v>812</v>
      </c>
      <c r="G124" s="1" t="s">
        <v>813</v>
      </c>
      <c r="H124" s="2">
        <v>29854.0</v>
      </c>
      <c r="I124" s="3">
        <v>44.0</v>
      </c>
      <c r="J124" s="1" t="s">
        <v>66</v>
      </c>
      <c r="K124" s="1" t="s">
        <v>32</v>
      </c>
      <c r="L124" s="1" t="s">
        <v>814</v>
      </c>
      <c r="M124" s="1" t="s">
        <v>34</v>
      </c>
      <c r="N124" s="2">
        <v>41242.0</v>
      </c>
      <c r="O124" s="2">
        <v>40269.0</v>
      </c>
      <c r="P124" s="1" t="s">
        <v>35</v>
      </c>
      <c r="Q124" s="1" t="s">
        <v>815</v>
      </c>
      <c r="R124" s="2">
        <v>45658.0</v>
      </c>
      <c r="S124" s="2">
        <v>46022.0</v>
      </c>
      <c r="U124" s="3">
        <v>22.0</v>
      </c>
      <c r="V124" s="2">
        <v>42908.0</v>
      </c>
      <c r="W124" s="1" t="s">
        <v>816</v>
      </c>
      <c r="X124" s="1" t="s">
        <v>497</v>
      </c>
    </row>
    <row r="125" ht="15.75" customHeight="1">
      <c r="A125" s="1" t="s">
        <v>60</v>
      </c>
      <c r="B125" s="1" t="s">
        <v>317</v>
      </c>
      <c r="C125" s="1" t="s">
        <v>80</v>
      </c>
      <c r="D125" s="1" t="s">
        <v>817</v>
      </c>
      <c r="E125" s="1" t="s">
        <v>818</v>
      </c>
      <c r="F125" s="1" t="s">
        <v>819</v>
      </c>
      <c r="G125" s="1" t="s">
        <v>820</v>
      </c>
      <c r="H125" s="2">
        <v>26385.0</v>
      </c>
      <c r="I125" s="3">
        <v>53.0</v>
      </c>
      <c r="J125" s="1" t="s">
        <v>66</v>
      </c>
      <c r="K125" s="1" t="s">
        <v>32</v>
      </c>
      <c r="L125" s="1" t="s">
        <v>821</v>
      </c>
      <c r="M125" s="1" t="s">
        <v>359</v>
      </c>
      <c r="N125" s="2">
        <v>40199.0</v>
      </c>
      <c r="O125" s="2">
        <v>40299.0</v>
      </c>
      <c r="P125" s="1" t="s">
        <v>35</v>
      </c>
      <c r="Q125" s="1" t="s">
        <v>822</v>
      </c>
      <c r="R125" s="2">
        <v>45658.0</v>
      </c>
      <c r="S125" s="2">
        <v>46022.0</v>
      </c>
      <c r="T125" s="1" t="s">
        <v>361</v>
      </c>
      <c r="U125" s="3">
        <v>12.0</v>
      </c>
      <c r="V125" s="2">
        <v>40141.0</v>
      </c>
      <c r="W125" s="1" t="s">
        <v>58</v>
      </c>
      <c r="X125" s="1" t="s">
        <v>59</v>
      </c>
    </row>
    <row r="126" ht="15.75" customHeight="1">
      <c r="A126" s="1" t="s">
        <v>337</v>
      </c>
      <c r="B126" s="1" t="s">
        <v>109</v>
      </c>
      <c r="C126" s="1" t="s">
        <v>80</v>
      </c>
      <c r="D126" s="1" t="s">
        <v>823</v>
      </c>
      <c r="E126" s="1" t="s">
        <v>824</v>
      </c>
      <c r="F126" s="1" t="s">
        <v>825</v>
      </c>
      <c r="G126" s="1" t="s">
        <v>826</v>
      </c>
      <c r="H126" s="2">
        <v>27455.0</v>
      </c>
      <c r="I126" s="3">
        <v>50.0</v>
      </c>
      <c r="J126" s="1" t="s">
        <v>66</v>
      </c>
      <c r="K126" s="1" t="s">
        <v>32</v>
      </c>
      <c r="L126" s="1" t="s">
        <v>827</v>
      </c>
      <c r="M126" s="1" t="s">
        <v>359</v>
      </c>
      <c r="N126" s="2">
        <v>44462.0</v>
      </c>
      <c r="O126" s="2">
        <v>40391.0</v>
      </c>
      <c r="P126" s="1" t="s">
        <v>35</v>
      </c>
      <c r="Q126" s="1" t="s">
        <v>828</v>
      </c>
      <c r="R126" s="2">
        <v>45658.0</v>
      </c>
      <c r="S126" s="2">
        <v>46022.0</v>
      </c>
      <c r="U126" s="3">
        <v>44.0</v>
      </c>
      <c r="V126" s="2">
        <v>39969.0</v>
      </c>
      <c r="W126" s="1" t="s">
        <v>323</v>
      </c>
      <c r="X126" s="1" t="s">
        <v>59</v>
      </c>
    </row>
    <row r="127" ht="15.75" customHeight="1">
      <c r="A127" s="1" t="s">
        <v>60</v>
      </c>
      <c r="B127" s="1" t="s">
        <v>317</v>
      </c>
      <c r="C127" s="1" t="s">
        <v>26</v>
      </c>
      <c r="D127" s="1" t="s">
        <v>425</v>
      </c>
      <c r="E127" s="1" t="s">
        <v>829</v>
      </c>
      <c r="F127" s="1" t="s">
        <v>830</v>
      </c>
      <c r="G127" s="1" t="s">
        <v>831</v>
      </c>
      <c r="H127" s="2">
        <v>27211.0</v>
      </c>
      <c r="I127" s="3">
        <v>51.0</v>
      </c>
      <c r="J127" s="1" t="s">
        <v>66</v>
      </c>
      <c r="K127" s="1" t="s">
        <v>32</v>
      </c>
      <c r="L127" s="1" t="s">
        <v>832</v>
      </c>
      <c r="M127" s="1" t="s">
        <v>34</v>
      </c>
      <c r="N127" s="2">
        <v>41088.0</v>
      </c>
      <c r="O127" s="2">
        <v>40544.0</v>
      </c>
      <c r="P127" s="1" t="s">
        <v>35</v>
      </c>
      <c r="Q127" s="1" t="s">
        <v>833</v>
      </c>
      <c r="R127" s="2">
        <v>45658.0</v>
      </c>
      <c r="S127" s="2">
        <v>46022.0</v>
      </c>
      <c r="T127" s="1" t="s">
        <v>834</v>
      </c>
      <c r="U127" s="3">
        <v>21.0</v>
      </c>
      <c r="V127" s="2">
        <v>43301.0</v>
      </c>
      <c r="W127" s="1" t="s">
        <v>58</v>
      </c>
      <c r="X127" s="1" t="s">
        <v>59</v>
      </c>
    </row>
    <row r="128" ht="15.75" customHeight="1">
      <c r="A128" s="1" t="s">
        <v>60</v>
      </c>
      <c r="B128" s="1" t="s">
        <v>61</v>
      </c>
      <c r="C128" s="1" t="s">
        <v>26</v>
      </c>
      <c r="D128" s="1" t="s">
        <v>498</v>
      </c>
      <c r="E128" s="1" t="s">
        <v>835</v>
      </c>
      <c r="F128" s="1" t="s">
        <v>836</v>
      </c>
      <c r="G128" s="1" t="s">
        <v>837</v>
      </c>
      <c r="H128" s="2">
        <v>26746.0</v>
      </c>
      <c r="I128" s="3">
        <v>52.0</v>
      </c>
      <c r="J128" s="1" t="s">
        <v>31</v>
      </c>
      <c r="K128" s="1" t="s">
        <v>32</v>
      </c>
      <c r="L128" s="1" t="s">
        <v>838</v>
      </c>
      <c r="M128" s="1" t="s">
        <v>34</v>
      </c>
      <c r="N128" s="2">
        <v>44139.0</v>
      </c>
      <c r="O128" s="2">
        <v>40756.0</v>
      </c>
      <c r="P128" s="1" t="s">
        <v>35</v>
      </c>
      <c r="Q128" s="1" t="s">
        <v>839</v>
      </c>
      <c r="R128" s="2">
        <v>45078.0</v>
      </c>
      <c r="S128" s="2">
        <v>73050.0</v>
      </c>
      <c r="U128" s="3">
        <v>44.0</v>
      </c>
      <c r="V128" s="2">
        <v>40543.0</v>
      </c>
      <c r="W128" s="1" t="s">
        <v>840</v>
      </c>
      <c r="X128" s="1" t="s">
        <v>89</v>
      </c>
    </row>
    <row r="129" ht="15.75" customHeight="1">
      <c r="A129" s="1" t="s">
        <v>841</v>
      </c>
      <c r="B129" s="1" t="s">
        <v>99</v>
      </c>
      <c r="C129" s="1" t="s">
        <v>26</v>
      </c>
      <c r="D129" s="1" t="s">
        <v>842</v>
      </c>
      <c r="E129" s="1" t="s">
        <v>843</v>
      </c>
      <c r="F129" s="1" t="s">
        <v>844</v>
      </c>
      <c r="G129" s="1" t="s">
        <v>845</v>
      </c>
      <c r="H129" s="2">
        <v>26024.0</v>
      </c>
      <c r="I129" s="3">
        <v>54.0</v>
      </c>
      <c r="J129" s="1" t="s">
        <v>104</v>
      </c>
      <c r="K129" s="1" t="s">
        <v>32</v>
      </c>
      <c r="L129" s="1" t="s">
        <v>846</v>
      </c>
      <c r="M129" s="1" t="s">
        <v>34</v>
      </c>
      <c r="N129" s="2">
        <v>43922.0</v>
      </c>
      <c r="O129" s="2">
        <v>40787.0</v>
      </c>
      <c r="P129" s="1" t="s">
        <v>35</v>
      </c>
      <c r="Q129" s="1" t="s">
        <v>847</v>
      </c>
      <c r="R129" s="2">
        <v>45658.0</v>
      </c>
      <c r="S129" s="2">
        <v>46022.0</v>
      </c>
      <c r="U129" s="3">
        <v>6.0</v>
      </c>
      <c r="V129" s="2">
        <v>40179.0</v>
      </c>
      <c r="W129" s="1" t="s">
        <v>848</v>
      </c>
      <c r="X129" s="1" t="s">
        <v>227</v>
      </c>
    </row>
    <row r="130" ht="15.75" customHeight="1">
      <c r="A130" s="1" t="s">
        <v>78</v>
      </c>
      <c r="B130" s="1" t="s">
        <v>99</v>
      </c>
      <c r="C130" s="1" t="s">
        <v>26</v>
      </c>
      <c r="D130" s="1" t="s">
        <v>849</v>
      </c>
      <c r="E130" s="1" t="s">
        <v>41</v>
      </c>
      <c r="F130" s="1" t="s">
        <v>850</v>
      </c>
      <c r="G130" s="1" t="s">
        <v>851</v>
      </c>
      <c r="H130" s="2">
        <v>24184.0</v>
      </c>
      <c r="I130" s="3">
        <v>59.0</v>
      </c>
      <c r="J130" s="1" t="s">
        <v>66</v>
      </c>
      <c r="K130" s="1" t="s">
        <v>32</v>
      </c>
      <c r="L130" s="1" t="s">
        <v>852</v>
      </c>
      <c r="M130" s="1" t="s">
        <v>34</v>
      </c>
      <c r="N130" s="2">
        <v>40688.0</v>
      </c>
      <c r="O130" s="2">
        <v>41030.0</v>
      </c>
      <c r="P130" s="1" t="s">
        <v>35</v>
      </c>
      <c r="Q130" s="1" t="s">
        <v>853</v>
      </c>
      <c r="R130" s="2">
        <v>45658.0</v>
      </c>
      <c r="S130" s="2">
        <v>46022.0</v>
      </c>
      <c r="T130" s="1" t="s">
        <v>854</v>
      </c>
      <c r="U130" s="3">
        <v>6.0</v>
      </c>
      <c r="V130" s="2">
        <v>37761.0</v>
      </c>
      <c r="W130" s="1" t="s">
        <v>58</v>
      </c>
      <c r="X130" s="1" t="s">
        <v>59</v>
      </c>
    </row>
    <row r="131" ht="15.75" customHeight="1">
      <c r="A131" s="1" t="s">
        <v>60</v>
      </c>
      <c r="B131" s="1" t="s">
        <v>317</v>
      </c>
      <c r="C131" s="1" t="s">
        <v>26</v>
      </c>
      <c r="D131" s="1" t="s">
        <v>855</v>
      </c>
      <c r="E131" s="1" t="s">
        <v>711</v>
      </c>
      <c r="F131" s="1" t="s">
        <v>856</v>
      </c>
      <c r="G131" s="1" t="s">
        <v>857</v>
      </c>
      <c r="H131" s="2">
        <v>25900.0</v>
      </c>
      <c r="I131" s="3">
        <v>55.0</v>
      </c>
      <c r="J131" s="1" t="s">
        <v>66</v>
      </c>
      <c r="K131" s="1" t="s">
        <v>32</v>
      </c>
      <c r="L131" s="1" t="s">
        <v>858</v>
      </c>
      <c r="M131" s="1" t="s">
        <v>34</v>
      </c>
      <c r="N131" s="2">
        <v>42236.0</v>
      </c>
      <c r="O131" s="2">
        <v>41091.0</v>
      </c>
      <c r="P131" s="1" t="s">
        <v>35</v>
      </c>
      <c r="Q131" s="1" t="s">
        <v>859</v>
      </c>
      <c r="R131" s="2">
        <v>45658.0</v>
      </c>
      <c r="S131" s="2">
        <v>46022.0</v>
      </c>
      <c r="T131" s="1" t="s">
        <v>860</v>
      </c>
      <c r="U131" s="3">
        <v>44.0</v>
      </c>
      <c r="V131" s="2">
        <v>42005.0</v>
      </c>
      <c r="W131" s="1" t="s">
        <v>58</v>
      </c>
      <c r="X131" s="1" t="s">
        <v>59</v>
      </c>
    </row>
    <row r="132" ht="15.75" customHeight="1">
      <c r="A132" s="1" t="s">
        <v>39</v>
      </c>
      <c r="B132" s="1" t="s">
        <v>25</v>
      </c>
      <c r="C132" s="1" t="s">
        <v>26</v>
      </c>
      <c r="D132" s="1" t="s">
        <v>680</v>
      </c>
      <c r="E132" s="1" t="s">
        <v>861</v>
      </c>
      <c r="F132" s="1" t="s">
        <v>862</v>
      </c>
      <c r="G132" s="1" t="s">
        <v>863</v>
      </c>
      <c r="H132" s="2">
        <v>26382.0</v>
      </c>
      <c r="I132" s="3">
        <v>53.0</v>
      </c>
      <c r="J132" s="1" t="s">
        <v>104</v>
      </c>
      <c r="K132" s="1" t="s">
        <v>32</v>
      </c>
      <c r="L132" s="1" t="s">
        <v>864</v>
      </c>
      <c r="M132" s="1" t="s">
        <v>34</v>
      </c>
      <c r="N132" s="2">
        <v>44629.0</v>
      </c>
      <c r="O132" s="2">
        <v>41122.0</v>
      </c>
      <c r="P132" s="1" t="s">
        <v>35</v>
      </c>
      <c r="Q132" s="1" t="s">
        <v>865</v>
      </c>
      <c r="R132" s="2">
        <v>45658.0</v>
      </c>
      <c r="S132" s="2">
        <v>46022.0</v>
      </c>
      <c r="U132" s="3">
        <v>6.0</v>
      </c>
      <c r="V132" s="2">
        <v>38124.0</v>
      </c>
      <c r="W132" s="1" t="s">
        <v>438</v>
      </c>
      <c r="X132" s="1" t="s">
        <v>59</v>
      </c>
    </row>
    <row r="133" ht="15.75" customHeight="1">
      <c r="A133" s="1" t="s">
        <v>39</v>
      </c>
      <c r="B133" s="1" t="s">
        <v>25</v>
      </c>
      <c r="C133" s="1" t="s">
        <v>26</v>
      </c>
      <c r="D133" s="1" t="s">
        <v>680</v>
      </c>
      <c r="E133" s="1" t="s">
        <v>861</v>
      </c>
      <c r="F133" s="1" t="s">
        <v>862</v>
      </c>
      <c r="G133" s="1" t="s">
        <v>863</v>
      </c>
      <c r="H133" s="2">
        <v>26382.0</v>
      </c>
      <c r="I133" s="3">
        <v>53.0</v>
      </c>
      <c r="J133" s="1" t="s">
        <v>66</v>
      </c>
      <c r="K133" s="1" t="s">
        <v>32</v>
      </c>
      <c r="L133" s="1" t="s">
        <v>864</v>
      </c>
      <c r="M133" s="1" t="s">
        <v>34</v>
      </c>
      <c r="N133" s="2">
        <v>44629.0</v>
      </c>
      <c r="O133" s="2">
        <v>41122.0</v>
      </c>
      <c r="P133" s="1" t="s">
        <v>35</v>
      </c>
      <c r="Q133" s="1" t="s">
        <v>865</v>
      </c>
      <c r="R133" s="2">
        <v>45658.0</v>
      </c>
      <c r="S133" s="2">
        <v>46022.0</v>
      </c>
      <c r="U133" s="3">
        <v>6.0</v>
      </c>
      <c r="V133" s="2">
        <v>38124.0</v>
      </c>
      <c r="W133" s="1" t="s">
        <v>438</v>
      </c>
      <c r="X133" s="1" t="s">
        <v>59</v>
      </c>
    </row>
    <row r="134" ht="15.75" customHeight="1">
      <c r="A134" s="1" t="s">
        <v>39</v>
      </c>
      <c r="B134" s="1" t="s">
        <v>25</v>
      </c>
      <c r="C134" s="1" t="s">
        <v>26</v>
      </c>
      <c r="D134" s="1" t="s">
        <v>680</v>
      </c>
      <c r="E134" s="1" t="s">
        <v>861</v>
      </c>
      <c r="F134" s="1" t="s">
        <v>862</v>
      </c>
      <c r="G134" s="1" t="s">
        <v>863</v>
      </c>
      <c r="H134" s="2">
        <v>26382.0</v>
      </c>
      <c r="I134" s="3">
        <v>53.0</v>
      </c>
      <c r="J134" s="1" t="s">
        <v>31</v>
      </c>
      <c r="K134" s="1" t="s">
        <v>32</v>
      </c>
      <c r="L134" s="1" t="s">
        <v>864</v>
      </c>
      <c r="M134" s="1" t="s">
        <v>34</v>
      </c>
      <c r="N134" s="2">
        <v>44629.0</v>
      </c>
      <c r="O134" s="2">
        <v>41122.0</v>
      </c>
      <c r="P134" s="1" t="s">
        <v>265</v>
      </c>
      <c r="Q134" s="1" t="s">
        <v>865</v>
      </c>
      <c r="R134" s="2">
        <v>44743.0</v>
      </c>
      <c r="S134" s="2">
        <v>73050.0</v>
      </c>
      <c r="U134" s="3">
        <v>44.0</v>
      </c>
      <c r="V134" s="2">
        <v>38124.0</v>
      </c>
      <c r="W134" s="1" t="s">
        <v>438</v>
      </c>
      <c r="X134" s="1" t="s">
        <v>59</v>
      </c>
    </row>
    <row r="135" ht="15.75" customHeight="1">
      <c r="A135" s="1" t="s">
        <v>78</v>
      </c>
      <c r="B135" s="1" t="s">
        <v>99</v>
      </c>
      <c r="C135" s="1" t="s">
        <v>26</v>
      </c>
      <c r="D135" s="1" t="s">
        <v>866</v>
      </c>
      <c r="E135" s="1" t="s">
        <v>867</v>
      </c>
      <c r="F135" s="1" t="s">
        <v>868</v>
      </c>
      <c r="G135" s="1" t="s">
        <v>869</v>
      </c>
      <c r="H135" s="2">
        <v>26570.0</v>
      </c>
      <c r="I135" s="3">
        <v>53.0</v>
      </c>
      <c r="J135" s="1" t="s">
        <v>66</v>
      </c>
      <c r="K135" s="1" t="s">
        <v>32</v>
      </c>
      <c r="L135" s="1" t="s">
        <v>870</v>
      </c>
      <c r="M135" s="1" t="s">
        <v>34</v>
      </c>
      <c r="N135" s="2">
        <v>45504.0</v>
      </c>
      <c r="O135" s="2">
        <v>41275.0</v>
      </c>
      <c r="P135" s="1" t="s">
        <v>35</v>
      </c>
      <c r="Q135" s="1" t="s">
        <v>871</v>
      </c>
      <c r="R135" s="2">
        <v>45658.0</v>
      </c>
      <c r="S135" s="2">
        <v>46022.0</v>
      </c>
      <c r="U135" s="3">
        <v>44.0</v>
      </c>
      <c r="V135" s="2">
        <v>40129.0</v>
      </c>
      <c r="W135" s="1" t="s">
        <v>872</v>
      </c>
      <c r="X135" s="1" t="s">
        <v>548</v>
      </c>
    </row>
    <row r="136" ht="15.75" customHeight="1">
      <c r="A136" s="1" t="s">
        <v>60</v>
      </c>
      <c r="B136" s="1" t="s">
        <v>109</v>
      </c>
      <c r="C136" s="1" t="s">
        <v>80</v>
      </c>
      <c r="D136" s="1" t="s">
        <v>873</v>
      </c>
      <c r="E136" s="1" t="s">
        <v>874</v>
      </c>
      <c r="F136" s="1" t="s">
        <v>875</v>
      </c>
      <c r="G136" s="1" t="s">
        <v>876</v>
      </c>
      <c r="H136" s="2">
        <v>27667.0</v>
      </c>
      <c r="I136" s="3">
        <v>50.0</v>
      </c>
      <c r="J136" s="1" t="s">
        <v>66</v>
      </c>
      <c r="K136" s="1" t="s">
        <v>32</v>
      </c>
      <c r="L136" s="1" t="s">
        <v>877</v>
      </c>
      <c r="M136" s="1" t="s">
        <v>34</v>
      </c>
      <c r="N136" s="2">
        <v>43635.0</v>
      </c>
      <c r="O136" s="2">
        <v>41426.0</v>
      </c>
      <c r="P136" s="1" t="s">
        <v>35</v>
      </c>
      <c r="Q136" s="1" t="s">
        <v>878</v>
      </c>
      <c r="R136" s="2">
        <v>45658.0</v>
      </c>
      <c r="S136" s="2">
        <v>46022.0</v>
      </c>
      <c r="U136" s="3">
        <v>22.0</v>
      </c>
      <c r="V136" s="2">
        <v>43593.0</v>
      </c>
      <c r="W136" s="1" t="s">
        <v>438</v>
      </c>
      <c r="X136" s="1" t="s">
        <v>59</v>
      </c>
    </row>
    <row r="137" ht="15.75" customHeight="1">
      <c r="A137" s="1" t="s">
        <v>39</v>
      </c>
      <c r="B137" s="1" t="s">
        <v>109</v>
      </c>
      <c r="C137" s="1" t="s">
        <v>26</v>
      </c>
      <c r="D137" s="1" t="s">
        <v>579</v>
      </c>
      <c r="E137" s="1" t="s">
        <v>879</v>
      </c>
      <c r="F137" s="1" t="s">
        <v>880</v>
      </c>
      <c r="G137" s="1" t="s">
        <v>881</v>
      </c>
      <c r="H137" s="2">
        <v>25168.0</v>
      </c>
      <c r="I137" s="3">
        <v>57.0</v>
      </c>
      <c r="J137" s="1" t="s">
        <v>66</v>
      </c>
      <c r="K137" s="1" t="s">
        <v>32</v>
      </c>
      <c r="L137" s="1" t="s">
        <v>882</v>
      </c>
      <c r="M137" s="1" t="s">
        <v>179</v>
      </c>
      <c r="N137" s="2">
        <v>41491.0</v>
      </c>
      <c r="O137" s="2">
        <v>41791.0</v>
      </c>
      <c r="P137" s="1" t="s">
        <v>35</v>
      </c>
      <c r="Q137" s="1" t="s">
        <v>883</v>
      </c>
      <c r="R137" s="2">
        <v>45658.0</v>
      </c>
      <c r="S137" s="2">
        <v>46022.0</v>
      </c>
      <c r="T137" s="1" t="s">
        <v>884</v>
      </c>
      <c r="U137" s="3">
        <v>44.0</v>
      </c>
      <c r="V137" s="2">
        <v>38342.0</v>
      </c>
      <c r="W137" s="1" t="s">
        <v>58</v>
      </c>
      <c r="X137" s="1" t="s">
        <v>59</v>
      </c>
    </row>
    <row r="138" ht="15.75" customHeight="1">
      <c r="A138" s="1" t="s">
        <v>337</v>
      </c>
      <c r="B138" s="1" t="s">
        <v>99</v>
      </c>
      <c r="C138" s="1" t="s">
        <v>80</v>
      </c>
      <c r="D138" s="1" t="s">
        <v>885</v>
      </c>
      <c r="E138" s="1" t="s">
        <v>70</v>
      </c>
      <c r="F138" s="1" t="s">
        <v>886</v>
      </c>
      <c r="G138" s="1" t="s">
        <v>887</v>
      </c>
      <c r="H138" s="2">
        <v>25979.0</v>
      </c>
      <c r="I138" s="3">
        <v>54.0</v>
      </c>
      <c r="J138" s="1" t="s">
        <v>31</v>
      </c>
      <c r="K138" s="1" t="s">
        <v>32</v>
      </c>
      <c r="L138" s="1" t="s">
        <v>888</v>
      </c>
      <c r="M138" s="1" t="s">
        <v>34</v>
      </c>
      <c r="N138" s="2">
        <v>44139.0</v>
      </c>
      <c r="O138" s="2">
        <v>41791.0</v>
      </c>
      <c r="P138" s="1" t="s">
        <v>35</v>
      </c>
      <c r="Q138" s="1" t="s">
        <v>889</v>
      </c>
      <c r="R138" s="2">
        <v>45047.0</v>
      </c>
      <c r="S138" s="2">
        <v>73050.0</v>
      </c>
      <c r="U138" s="3">
        <v>44.0</v>
      </c>
      <c r="V138" s="2">
        <v>41485.0</v>
      </c>
      <c r="W138" s="1" t="s">
        <v>890</v>
      </c>
      <c r="X138" s="1" t="s">
        <v>497</v>
      </c>
    </row>
    <row r="139" ht="15.75" customHeight="1">
      <c r="A139" s="1" t="s">
        <v>337</v>
      </c>
      <c r="B139" s="1" t="s">
        <v>99</v>
      </c>
      <c r="C139" s="1" t="s">
        <v>80</v>
      </c>
      <c r="D139" s="1" t="s">
        <v>891</v>
      </c>
      <c r="E139" s="1" t="s">
        <v>252</v>
      </c>
      <c r="F139" s="1" t="s">
        <v>892</v>
      </c>
      <c r="G139" s="1" t="s">
        <v>893</v>
      </c>
      <c r="H139" s="2">
        <v>27240.0</v>
      </c>
      <c r="I139" s="3">
        <v>51.0</v>
      </c>
      <c r="J139" s="1" t="s">
        <v>31</v>
      </c>
      <c r="K139" s="1" t="s">
        <v>32</v>
      </c>
      <c r="L139" s="1" t="s">
        <v>894</v>
      </c>
      <c r="M139" s="1" t="s">
        <v>34</v>
      </c>
      <c r="N139" s="2">
        <v>43733.0</v>
      </c>
      <c r="O139" s="2">
        <v>41821.0</v>
      </c>
      <c r="P139" s="1" t="s">
        <v>35</v>
      </c>
      <c r="Q139" s="1" t="s">
        <v>895</v>
      </c>
      <c r="R139" s="2">
        <v>44713.0</v>
      </c>
      <c r="S139" s="2">
        <v>73050.0</v>
      </c>
      <c r="U139" s="3">
        <v>44.0</v>
      </c>
      <c r="V139" s="2">
        <v>40333.0</v>
      </c>
      <c r="W139" s="1" t="s">
        <v>896</v>
      </c>
      <c r="X139" s="1" t="s">
        <v>89</v>
      </c>
    </row>
    <row r="140" ht="15.75" customHeight="1">
      <c r="A140" s="1" t="s">
        <v>337</v>
      </c>
      <c r="B140" s="1" t="s">
        <v>99</v>
      </c>
      <c r="C140" s="1" t="s">
        <v>80</v>
      </c>
      <c r="D140" s="1" t="s">
        <v>897</v>
      </c>
      <c r="E140" s="1" t="s">
        <v>898</v>
      </c>
      <c r="F140" s="1" t="s">
        <v>899</v>
      </c>
      <c r="G140" s="1" t="s">
        <v>900</v>
      </c>
      <c r="H140" s="2">
        <v>27520.0</v>
      </c>
      <c r="I140" s="3">
        <v>50.0</v>
      </c>
      <c r="J140" s="1" t="s">
        <v>31</v>
      </c>
      <c r="K140" s="1" t="s">
        <v>32</v>
      </c>
      <c r="L140" s="1" t="s">
        <v>901</v>
      </c>
      <c r="M140" s="1" t="s">
        <v>34</v>
      </c>
      <c r="N140" s="2">
        <v>43411.0</v>
      </c>
      <c r="O140" s="2">
        <v>41862.0</v>
      </c>
      <c r="P140" s="1" t="s">
        <v>35</v>
      </c>
      <c r="Q140" s="1" t="s">
        <v>902</v>
      </c>
      <c r="R140" s="2">
        <v>44683.0</v>
      </c>
      <c r="S140" s="2">
        <v>73050.0</v>
      </c>
      <c r="U140" s="3">
        <v>44.0</v>
      </c>
      <c r="V140" s="2">
        <v>27520.0</v>
      </c>
      <c r="W140" s="1" t="s">
        <v>903</v>
      </c>
      <c r="X140" s="1" t="s">
        <v>89</v>
      </c>
    </row>
    <row r="141" ht="15.75" customHeight="1">
      <c r="A141" s="1" t="s">
        <v>78</v>
      </c>
      <c r="B141" s="1" t="s">
        <v>109</v>
      </c>
      <c r="C141" s="1" t="s">
        <v>80</v>
      </c>
      <c r="D141" s="1" t="s">
        <v>904</v>
      </c>
      <c r="E141" s="1" t="s">
        <v>905</v>
      </c>
      <c r="F141" s="1" t="s">
        <v>906</v>
      </c>
      <c r="G141" s="1" t="s">
        <v>907</v>
      </c>
      <c r="H141" s="2">
        <v>28823.0</v>
      </c>
      <c r="I141" s="3">
        <v>47.0</v>
      </c>
      <c r="J141" s="1" t="s">
        <v>66</v>
      </c>
      <c r="K141" s="1" t="s">
        <v>32</v>
      </c>
      <c r="L141" s="1" t="s">
        <v>908</v>
      </c>
      <c r="M141" s="1" t="s">
        <v>34</v>
      </c>
      <c r="N141" s="2">
        <v>41941.0</v>
      </c>
      <c r="O141" s="2">
        <v>42005.0</v>
      </c>
      <c r="P141" s="1" t="s">
        <v>35</v>
      </c>
      <c r="Q141" s="1" t="s">
        <v>909</v>
      </c>
      <c r="R141" s="2">
        <v>45658.0</v>
      </c>
      <c r="S141" s="2">
        <v>46022.0</v>
      </c>
      <c r="T141" s="1" t="s">
        <v>910</v>
      </c>
      <c r="U141" s="3">
        <v>22.0</v>
      </c>
      <c r="V141" s="2">
        <v>41519.0</v>
      </c>
      <c r="W141" s="1" t="s">
        <v>58</v>
      </c>
      <c r="X141" s="1" t="s">
        <v>59</v>
      </c>
    </row>
    <row r="142" ht="15.75" customHeight="1">
      <c r="A142" s="1" t="s">
        <v>60</v>
      </c>
      <c r="B142" s="1" t="s">
        <v>99</v>
      </c>
      <c r="C142" s="1" t="s">
        <v>26</v>
      </c>
      <c r="D142" s="1" t="s">
        <v>911</v>
      </c>
      <c r="E142" s="1" t="s">
        <v>912</v>
      </c>
      <c r="F142" s="1" t="s">
        <v>913</v>
      </c>
      <c r="G142" s="1" t="s">
        <v>914</v>
      </c>
      <c r="H142" s="2">
        <v>29859.0</v>
      </c>
      <c r="I142" s="3">
        <v>44.0</v>
      </c>
      <c r="J142" s="1" t="s">
        <v>66</v>
      </c>
      <c r="K142" s="1" t="s">
        <v>32</v>
      </c>
      <c r="L142" s="1" t="s">
        <v>915</v>
      </c>
      <c r="M142" s="1" t="s">
        <v>34</v>
      </c>
      <c r="N142" s="2">
        <v>45392.0</v>
      </c>
      <c r="O142" s="2">
        <v>42186.0</v>
      </c>
      <c r="P142" s="1" t="s">
        <v>35</v>
      </c>
      <c r="Q142" s="1" t="s">
        <v>916</v>
      </c>
      <c r="R142" s="2">
        <v>45658.0</v>
      </c>
      <c r="S142" s="2">
        <v>46022.0</v>
      </c>
      <c r="U142" s="3">
        <v>44.0</v>
      </c>
      <c r="V142" s="2">
        <v>40314.0</v>
      </c>
      <c r="W142" s="1" t="s">
        <v>917</v>
      </c>
      <c r="X142" s="1" t="s">
        <v>227</v>
      </c>
    </row>
    <row r="143" ht="15.75" customHeight="1">
      <c r="A143" s="1" t="s">
        <v>60</v>
      </c>
      <c r="B143" s="1" t="s">
        <v>40</v>
      </c>
      <c r="C143" s="1" t="s">
        <v>26</v>
      </c>
      <c r="D143" s="1" t="s">
        <v>918</v>
      </c>
      <c r="E143" s="1" t="s">
        <v>919</v>
      </c>
      <c r="F143" s="1" t="s">
        <v>920</v>
      </c>
      <c r="G143" s="1" t="s">
        <v>921</v>
      </c>
      <c r="H143" s="2">
        <v>15216.0</v>
      </c>
      <c r="I143" s="3">
        <v>84.0</v>
      </c>
      <c r="J143" s="1" t="s">
        <v>66</v>
      </c>
      <c r="K143" s="1" t="s">
        <v>32</v>
      </c>
      <c r="L143" s="1" t="s">
        <v>922</v>
      </c>
      <c r="N143" s="2">
        <v>42194.0</v>
      </c>
      <c r="O143" s="2">
        <v>42217.0</v>
      </c>
      <c r="P143" s="1" t="s">
        <v>35</v>
      </c>
      <c r="Q143" s="1" t="s">
        <v>923</v>
      </c>
      <c r="R143" s="2">
        <v>45658.0</v>
      </c>
      <c r="S143" s="2">
        <v>46022.0</v>
      </c>
      <c r="T143" s="1" t="s">
        <v>924</v>
      </c>
      <c r="U143" s="3">
        <v>12.0</v>
      </c>
    </row>
    <row r="144" ht="15.75" customHeight="1">
      <c r="A144" s="1" t="s">
        <v>78</v>
      </c>
      <c r="B144" s="1" t="s">
        <v>109</v>
      </c>
      <c r="C144" s="1" t="s">
        <v>80</v>
      </c>
      <c r="D144" s="1" t="s">
        <v>925</v>
      </c>
      <c r="E144" s="1" t="s">
        <v>926</v>
      </c>
      <c r="F144" s="1" t="s">
        <v>927</v>
      </c>
      <c r="G144" s="1" t="s">
        <v>928</v>
      </c>
      <c r="H144" s="2">
        <v>26859.0</v>
      </c>
      <c r="I144" s="3">
        <v>52.0</v>
      </c>
      <c r="J144" s="1" t="s">
        <v>66</v>
      </c>
      <c r="K144" s="1" t="s">
        <v>32</v>
      </c>
      <c r="L144" s="1" t="s">
        <v>929</v>
      </c>
      <c r="M144" s="1" t="s">
        <v>34</v>
      </c>
      <c r="N144" s="2">
        <v>43425.0</v>
      </c>
      <c r="O144" s="2">
        <v>42217.0</v>
      </c>
      <c r="P144" s="1" t="s">
        <v>35</v>
      </c>
      <c r="Q144" s="1" t="s">
        <v>930</v>
      </c>
      <c r="R144" s="2">
        <v>45658.0</v>
      </c>
      <c r="S144" s="2">
        <v>46022.0</v>
      </c>
      <c r="T144" s="1" t="s">
        <v>931</v>
      </c>
      <c r="U144" s="3">
        <v>22.0</v>
      </c>
      <c r="V144" s="2">
        <v>43241.0</v>
      </c>
      <c r="W144" s="1" t="s">
        <v>932</v>
      </c>
      <c r="X144" s="1" t="s">
        <v>709</v>
      </c>
    </row>
    <row r="145" ht="15.75" customHeight="1">
      <c r="A145" s="1" t="s">
        <v>39</v>
      </c>
      <c r="B145" s="1" t="s">
        <v>99</v>
      </c>
      <c r="C145" s="1" t="s">
        <v>80</v>
      </c>
      <c r="D145" s="1" t="s">
        <v>933</v>
      </c>
      <c r="E145" s="1" t="s">
        <v>759</v>
      </c>
      <c r="F145" s="1" t="s">
        <v>934</v>
      </c>
      <c r="G145" s="1" t="s">
        <v>935</v>
      </c>
      <c r="H145" s="2">
        <v>26615.0</v>
      </c>
      <c r="I145" s="3">
        <v>53.0</v>
      </c>
      <c r="J145" s="1" t="s">
        <v>31</v>
      </c>
      <c r="K145" s="1" t="s">
        <v>32</v>
      </c>
      <c r="L145" s="1" t="s">
        <v>936</v>
      </c>
      <c r="M145" s="1" t="s">
        <v>34</v>
      </c>
      <c r="N145" s="2">
        <v>42291.0</v>
      </c>
      <c r="O145" s="2">
        <v>42217.0</v>
      </c>
      <c r="P145" s="1" t="s">
        <v>35</v>
      </c>
      <c r="Q145" s="1" t="s">
        <v>937</v>
      </c>
      <c r="R145" s="2">
        <v>45261.0</v>
      </c>
      <c r="S145" s="2">
        <v>73050.0</v>
      </c>
      <c r="U145" s="3">
        <v>44.0</v>
      </c>
      <c r="V145" s="2">
        <v>37796.0</v>
      </c>
      <c r="W145" s="1" t="s">
        <v>188</v>
      </c>
      <c r="X145" s="1" t="s">
        <v>89</v>
      </c>
    </row>
    <row r="146" ht="15.75" customHeight="1">
      <c r="A146" s="1" t="s">
        <v>60</v>
      </c>
      <c r="B146" s="1" t="s">
        <v>109</v>
      </c>
      <c r="C146" s="1" t="s">
        <v>26</v>
      </c>
      <c r="D146" s="1" t="s">
        <v>933</v>
      </c>
      <c r="E146" s="1" t="s">
        <v>467</v>
      </c>
      <c r="F146" s="1" t="s">
        <v>938</v>
      </c>
      <c r="G146" s="1" t="s">
        <v>939</v>
      </c>
      <c r="H146" s="2">
        <v>29234.0</v>
      </c>
      <c r="I146" s="3">
        <v>45.0</v>
      </c>
      <c r="J146" s="1" t="s">
        <v>66</v>
      </c>
      <c r="K146" s="1" t="s">
        <v>32</v>
      </c>
      <c r="L146" s="1" t="s">
        <v>940</v>
      </c>
      <c r="M146" s="1" t="s">
        <v>34</v>
      </c>
      <c r="N146" s="2">
        <v>42194.0</v>
      </c>
      <c r="O146" s="2">
        <v>42217.0</v>
      </c>
      <c r="P146" s="1" t="s">
        <v>35</v>
      </c>
      <c r="Q146" s="1" t="s">
        <v>941</v>
      </c>
      <c r="R146" s="2">
        <v>45658.0</v>
      </c>
      <c r="S146" s="2">
        <v>46022.0</v>
      </c>
      <c r="T146" s="1" t="s">
        <v>942</v>
      </c>
      <c r="U146" s="3">
        <v>22.0</v>
      </c>
      <c r="V146" s="2">
        <v>41369.0</v>
      </c>
      <c r="W146" s="1" t="s">
        <v>438</v>
      </c>
      <c r="X146" s="1" t="s">
        <v>59</v>
      </c>
    </row>
    <row r="147" ht="15.75" customHeight="1">
      <c r="A147" s="1" t="s">
        <v>39</v>
      </c>
      <c r="B147" s="1" t="s">
        <v>109</v>
      </c>
      <c r="C147" s="1" t="s">
        <v>80</v>
      </c>
      <c r="D147" s="1" t="s">
        <v>295</v>
      </c>
      <c r="E147" s="1" t="s">
        <v>943</v>
      </c>
      <c r="F147" s="1" t="s">
        <v>944</v>
      </c>
      <c r="G147" s="1" t="s">
        <v>945</v>
      </c>
      <c r="H147" s="2">
        <v>24274.0</v>
      </c>
      <c r="I147" s="3">
        <v>59.0</v>
      </c>
      <c r="J147" s="1" t="s">
        <v>66</v>
      </c>
      <c r="K147" s="1" t="s">
        <v>32</v>
      </c>
      <c r="L147" s="1" t="s">
        <v>946</v>
      </c>
      <c r="M147" s="1" t="s">
        <v>359</v>
      </c>
      <c r="N147" s="2">
        <v>44431.0</v>
      </c>
      <c r="O147" s="2">
        <v>42248.0</v>
      </c>
      <c r="P147" s="1" t="s">
        <v>35</v>
      </c>
      <c r="Q147" s="1" t="s">
        <v>947</v>
      </c>
      <c r="R147" s="2">
        <v>45658.0</v>
      </c>
      <c r="S147" s="2">
        <v>46022.0</v>
      </c>
      <c r="U147" s="3">
        <v>21.0</v>
      </c>
      <c r="V147" s="2">
        <v>42209.0</v>
      </c>
      <c r="W147" s="1" t="s">
        <v>58</v>
      </c>
      <c r="X147" s="1" t="s">
        <v>59</v>
      </c>
    </row>
    <row r="148" ht="15.75" customHeight="1">
      <c r="A148" s="1" t="s">
        <v>60</v>
      </c>
      <c r="B148" s="1" t="s">
        <v>109</v>
      </c>
      <c r="C148" s="1" t="s">
        <v>26</v>
      </c>
      <c r="D148" s="1" t="s">
        <v>280</v>
      </c>
      <c r="E148" s="1" t="s">
        <v>948</v>
      </c>
      <c r="F148" s="1" t="s">
        <v>949</v>
      </c>
      <c r="G148" s="1" t="s">
        <v>950</v>
      </c>
      <c r="H148" s="2">
        <v>30306.0</v>
      </c>
      <c r="I148" s="3">
        <v>43.0</v>
      </c>
      <c r="J148" s="1" t="s">
        <v>66</v>
      </c>
      <c r="K148" s="1" t="s">
        <v>32</v>
      </c>
      <c r="L148" s="1" t="s">
        <v>951</v>
      </c>
      <c r="M148" s="1" t="s">
        <v>34</v>
      </c>
      <c r="N148" s="2">
        <v>45294.0</v>
      </c>
      <c r="O148" s="2">
        <v>42248.0</v>
      </c>
      <c r="P148" s="1" t="s">
        <v>35</v>
      </c>
      <c r="Q148" s="1" t="s">
        <v>952</v>
      </c>
      <c r="R148" s="2">
        <v>45658.0</v>
      </c>
      <c r="S148" s="2">
        <v>46022.0</v>
      </c>
      <c r="U148" s="3">
        <v>21.0</v>
      </c>
      <c r="V148" s="2">
        <v>45251.0</v>
      </c>
      <c r="W148" s="1" t="s">
        <v>58</v>
      </c>
      <c r="X148" s="1" t="s">
        <v>59</v>
      </c>
    </row>
    <row r="149" ht="15.75" customHeight="1">
      <c r="A149" s="1" t="s">
        <v>60</v>
      </c>
      <c r="B149" s="1" t="s">
        <v>109</v>
      </c>
      <c r="C149" s="1" t="s">
        <v>80</v>
      </c>
      <c r="D149" s="1" t="s">
        <v>953</v>
      </c>
      <c r="E149" s="1" t="s">
        <v>954</v>
      </c>
      <c r="F149" s="1" t="s">
        <v>955</v>
      </c>
      <c r="G149" s="1" t="s">
        <v>956</v>
      </c>
      <c r="H149" s="2">
        <v>28914.0</v>
      </c>
      <c r="I149" s="3">
        <v>46.0</v>
      </c>
      <c r="J149" s="1" t="s">
        <v>66</v>
      </c>
      <c r="K149" s="1" t="s">
        <v>32</v>
      </c>
      <c r="L149" s="1" t="s">
        <v>957</v>
      </c>
      <c r="M149" s="1" t="s">
        <v>34</v>
      </c>
      <c r="N149" s="2">
        <v>44312.0</v>
      </c>
      <c r="O149" s="2">
        <v>42309.0</v>
      </c>
      <c r="P149" s="1" t="s">
        <v>35</v>
      </c>
      <c r="Q149" s="1" t="s">
        <v>958</v>
      </c>
      <c r="R149" s="2">
        <v>45658.0</v>
      </c>
      <c r="S149" s="2">
        <v>46022.0</v>
      </c>
      <c r="U149" s="3">
        <v>12.0</v>
      </c>
      <c r="V149" s="2">
        <v>43007.0</v>
      </c>
      <c r="W149" s="1" t="s">
        <v>58</v>
      </c>
      <c r="X149" s="1" t="s">
        <v>59</v>
      </c>
    </row>
    <row r="150" ht="15.75" customHeight="1">
      <c r="A150" s="1" t="s">
        <v>60</v>
      </c>
      <c r="B150" s="1" t="s">
        <v>109</v>
      </c>
      <c r="C150" s="1" t="s">
        <v>80</v>
      </c>
      <c r="D150" s="1" t="s">
        <v>959</v>
      </c>
      <c r="E150" s="1" t="s">
        <v>960</v>
      </c>
      <c r="F150" s="1" t="s">
        <v>961</v>
      </c>
      <c r="G150" s="1" t="s">
        <v>962</v>
      </c>
      <c r="H150" s="2">
        <v>27376.0</v>
      </c>
      <c r="I150" s="3">
        <v>51.0</v>
      </c>
      <c r="J150" s="1" t="s">
        <v>66</v>
      </c>
      <c r="K150" s="1" t="s">
        <v>32</v>
      </c>
      <c r="L150" s="1" t="s">
        <v>963</v>
      </c>
      <c r="M150" s="1" t="s">
        <v>34</v>
      </c>
      <c r="N150" s="2">
        <v>42208.0</v>
      </c>
      <c r="O150" s="2">
        <v>42309.0</v>
      </c>
      <c r="P150" s="1" t="s">
        <v>35</v>
      </c>
      <c r="Q150" s="1" t="s">
        <v>964</v>
      </c>
      <c r="R150" s="2">
        <v>45658.0</v>
      </c>
      <c r="S150" s="2">
        <v>46022.0</v>
      </c>
      <c r="T150" s="1" t="s">
        <v>965</v>
      </c>
      <c r="U150" s="3">
        <v>44.0</v>
      </c>
      <c r="V150" s="2">
        <v>42164.0</v>
      </c>
      <c r="W150" s="1" t="s">
        <v>58</v>
      </c>
      <c r="X150" s="1" t="s">
        <v>59</v>
      </c>
    </row>
    <row r="151" ht="15.75" customHeight="1">
      <c r="A151" s="1" t="s">
        <v>24</v>
      </c>
      <c r="B151" s="1" t="s">
        <v>109</v>
      </c>
      <c r="C151" s="1" t="s">
        <v>26</v>
      </c>
      <c r="D151" s="1" t="s">
        <v>966</v>
      </c>
      <c r="E151" s="1" t="s">
        <v>967</v>
      </c>
      <c r="F151" s="1" t="s">
        <v>968</v>
      </c>
      <c r="G151" s="1" t="s">
        <v>969</v>
      </c>
      <c r="H151" s="2">
        <v>30002.0</v>
      </c>
      <c r="I151" s="3">
        <v>43.0</v>
      </c>
      <c r="J151" s="1" t="s">
        <v>66</v>
      </c>
      <c r="K151" s="1" t="s">
        <v>32</v>
      </c>
      <c r="L151" s="1" t="s">
        <v>970</v>
      </c>
      <c r="M151" s="1" t="s">
        <v>359</v>
      </c>
      <c r="N151" s="2">
        <v>42320.0</v>
      </c>
      <c r="O151" s="2">
        <v>42370.0</v>
      </c>
      <c r="P151" s="1" t="s">
        <v>35</v>
      </c>
      <c r="Q151" s="1" t="s">
        <v>971</v>
      </c>
      <c r="R151" s="2">
        <v>45658.0</v>
      </c>
      <c r="S151" s="2">
        <v>46022.0</v>
      </c>
      <c r="T151" s="1" t="s">
        <v>972</v>
      </c>
      <c r="U151" s="3">
        <v>6.0</v>
      </c>
      <c r="V151" s="2">
        <v>42272.0</v>
      </c>
      <c r="W151" s="1" t="s">
        <v>58</v>
      </c>
      <c r="X151" s="1" t="s">
        <v>59</v>
      </c>
    </row>
    <row r="152" ht="15.75" customHeight="1">
      <c r="A152" s="1" t="s">
        <v>60</v>
      </c>
      <c r="B152" s="1" t="s">
        <v>109</v>
      </c>
      <c r="C152" s="1" t="s">
        <v>80</v>
      </c>
      <c r="D152" s="1" t="s">
        <v>973</v>
      </c>
      <c r="E152" s="1" t="s">
        <v>933</v>
      </c>
      <c r="F152" s="1" t="s">
        <v>974</v>
      </c>
      <c r="G152" s="1" t="s">
        <v>975</v>
      </c>
      <c r="H152" s="2">
        <v>30096.0</v>
      </c>
      <c r="I152" s="3">
        <v>43.0</v>
      </c>
      <c r="J152" s="1" t="s">
        <v>66</v>
      </c>
      <c r="K152" s="1" t="s">
        <v>32</v>
      </c>
      <c r="L152" s="1" t="s">
        <v>976</v>
      </c>
      <c r="M152" s="1" t="s">
        <v>34</v>
      </c>
      <c r="N152" s="2">
        <v>42228.0</v>
      </c>
      <c r="O152" s="2">
        <v>42370.0</v>
      </c>
      <c r="P152" s="1" t="s">
        <v>35</v>
      </c>
      <c r="Q152" s="1" t="s">
        <v>977</v>
      </c>
      <c r="R152" s="2">
        <v>45658.0</v>
      </c>
      <c r="S152" s="2">
        <v>46022.0</v>
      </c>
      <c r="T152" s="1" t="s">
        <v>978</v>
      </c>
      <c r="U152" s="3">
        <v>44.0</v>
      </c>
      <c r="V152" s="2">
        <v>41887.0</v>
      </c>
      <c r="W152" s="1" t="s">
        <v>979</v>
      </c>
      <c r="X152" s="1" t="s">
        <v>624</v>
      </c>
    </row>
    <row r="153" ht="15.75" customHeight="1">
      <c r="A153" s="1" t="s">
        <v>39</v>
      </c>
      <c r="B153" s="1" t="s">
        <v>40</v>
      </c>
      <c r="C153" s="1" t="s">
        <v>80</v>
      </c>
      <c r="D153" s="1" t="s">
        <v>980</v>
      </c>
      <c r="E153" s="1" t="s">
        <v>981</v>
      </c>
      <c r="F153" s="1" t="s">
        <v>982</v>
      </c>
      <c r="G153" s="1" t="s">
        <v>983</v>
      </c>
      <c r="H153" s="2">
        <v>25291.0</v>
      </c>
      <c r="I153" s="3">
        <v>56.0</v>
      </c>
      <c r="J153" s="1" t="s">
        <v>66</v>
      </c>
      <c r="K153" s="1" t="s">
        <v>32</v>
      </c>
      <c r="L153" s="1" t="s">
        <v>984</v>
      </c>
      <c r="N153" s="2">
        <v>44462.0</v>
      </c>
      <c r="O153" s="2">
        <v>42461.0</v>
      </c>
      <c r="P153" s="1" t="s">
        <v>35</v>
      </c>
      <c r="Q153" s="1" t="s">
        <v>985</v>
      </c>
      <c r="R153" s="2">
        <v>45658.0</v>
      </c>
      <c r="S153" s="2">
        <v>46022.0</v>
      </c>
      <c r="U153" s="3">
        <v>21.0</v>
      </c>
    </row>
    <row r="154" ht="15.75" customHeight="1">
      <c r="A154" s="1" t="s">
        <v>78</v>
      </c>
      <c r="B154" s="1" t="s">
        <v>109</v>
      </c>
      <c r="C154" s="1" t="s">
        <v>26</v>
      </c>
      <c r="D154" s="1" t="s">
        <v>986</v>
      </c>
      <c r="E154" s="1" t="s">
        <v>987</v>
      </c>
      <c r="F154" s="1" t="s">
        <v>988</v>
      </c>
      <c r="G154" s="1" t="s">
        <v>989</v>
      </c>
      <c r="H154" s="2">
        <v>24285.0</v>
      </c>
      <c r="I154" s="3">
        <v>59.0</v>
      </c>
      <c r="J154" s="1" t="s">
        <v>66</v>
      </c>
      <c r="K154" s="1" t="s">
        <v>32</v>
      </c>
      <c r="L154" s="1" t="s">
        <v>990</v>
      </c>
      <c r="M154" s="1" t="s">
        <v>34</v>
      </c>
      <c r="N154" s="2">
        <v>42467.0</v>
      </c>
      <c r="O154" s="2">
        <v>42491.0</v>
      </c>
      <c r="P154" s="1" t="s">
        <v>35</v>
      </c>
      <c r="Q154" s="1" t="s">
        <v>991</v>
      </c>
      <c r="R154" s="2">
        <v>45658.0</v>
      </c>
      <c r="S154" s="2">
        <v>46022.0</v>
      </c>
      <c r="T154" s="1" t="s">
        <v>992</v>
      </c>
      <c r="U154" s="3">
        <v>22.0</v>
      </c>
      <c r="V154" s="2">
        <v>41040.0</v>
      </c>
      <c r="W154" s="1" t="s">
        <v>58</v>
      </c>
      <c r="X154" s="1" t="s">
        <v>59</v>
      </c>
    </row>
    <row r="155" ht="15.75" customHeight="1">
      <c r="A155" s="1" t="s">
        <v>39</v>
      </c>
      <c r="B155" s="1" t="s">
        <v>109</v>
      </c>
      <c r="C155" s="1" t="s">
        <v>80</v>
      </c>
      <c r="D155" s="1" t="s">
        <v>993</v>
      </c>
      <c r="E155" s="1" t="s">
        <v>994</v>
      </c>
      <c r="F155" s="1" t="s">
        <v>995</v>
      </c>
      <c r="G155" s="1" t="s">
        <v>996</v>
      </c>
      <c r="H155" s="2">
        <v>23414.0</v>
      </c>
      <c r="I155" s="3">
        <v>61.0</v>
      </c>
      <c r="J155" s="1" t="s">
        <v>66</v>
      </c>
      <c r="K155" s="1" t="s">
        <v>32</v>
      </c>
      <c r="L155" s="1" t="s">
        <v>997</v>
      </c>
      <c r="M155" s="1" t="s">
        <v>34</v>
      </c>
      <c r="N155" s="2">
        <v>42474.0</v>
      </c>
      <c r="O155" s="2">
        <v>42491.0</v>
      </c>
      <c r="P155" s="1" t="s">
        <v>35</v>
      </c>
      <c r="Q155" s="1" t="s">
        <v>998</v>
      </c>
      <c r="R155" s="2">
        <v>45658.0</v>
      </c>
      <c r="S155" s="2">
        <v>46022.0</v>
      </c>
      <c r="T155" s="1" t="s">
        <v>999</v>
      </c>
      <c r="U155" s="3">
        <v>44.0</v>
      </c>
      <c r="V155" s="2">
        <v>41894.0</v>
      </c>
      <c r="W155" s="1" t="s">
        <v>1000</v>
      </c>
      <c r="X155" s="1" t="s">
        <v>59</v>
      </c>
    </row>
    <row r="156" ht="15.75" customHeight="1">
      <c r="A156" s="1" t="s">
        <v>78</v>
      </c>
      <c r="B156" s="1" t="s">
        <v>317</v>
      </c>
      <c r="C156" s="1" t="s">
        <v>80</v>
      </c>
      <c r="D156" s="1" t="s">
        <v>579</v>
      </c>
      <c r="E156" s="1" t="s">
        <v>1001</v>
      </c>
      <c r="F156" s="1" t="s">
        <v>1002</v>
      </c>
      <c r="G156" s="1" t="s">
        <v>1003</v>
      </c>
      <c r="H156" s="2">
        <v>31453.0</v>
      </c>
      <c r="I156" s="3">
        <v>39.0</v>
      </c>
      <c r="J156" s="1" t="s">
        <v>66</v>
      </c>
      <c r="K156" s="1" t="s">
        <v>32</v>
      </c>
      <c r="L156" s="1" t="s">
        <v>1004</v>
      </c>
      <c r="M156" s="1" t="s">
        <v>359</v>
      </c>
      <c r="N156" s="2">
        <v>45201.0</v>
      </c>
      <c r="O156" s="2">
        <v>42736.0</v>
      </c>
      <c r="P156" s="1" t="s">
        <v>35</v>
      </c>
      <c r="Q156" s="1" t="s">
        <v>1005</v>
      </c>
      <c r="R156" s="2">
        <v>45658.0</v>
      </c>
      <c r="S156" s="2">
        <v>46022.0</v>
      </c>
      <c r="T156" s="1" t="s">
        <v>1006</v>
      </c>
      <c r="U156" s="3">
        <v>22.0</v>
      </c>
      <c r="V156" s="2">
        <v>42335.0</v>
      </c>
      <c r="W156" s="1" t="s">
        <v>1007</v>
      </c>
      <c r="X156" s="1" t="s">
        <v>59</v>
      </c>
    </row>
    <row r="157" ht="15.75" customHeight="1">
      <c r="A157" s="1" t="s">
        <v>39</v>
      </c>
      <c r="B157" s="1" t="s">
        <v>109</v>
      </c>
      <c r="C157" s="1" t="s">
        <v>26</v>
      </c>
      <c r="D157" s="1" t="s">
        <v>1008</v>
      </c>
      <c r="E157" s="1" t="s">
        <v>1009</v>
      </c>
      <c r="F157" s="1" t="s">
        <v>1010</v>
      </c>
      <c r="G157" s="1" t="s">
        <v>1011</v>
      </c>
      <c r="H157" s="2">
        <v>29411.0</v>
      </c>
      <c r="I157" s="3">
        <v>45.0</v>
      </c>
      <c r="J157" s="1" t="s">
        <v>66</v>
      </c>
      <c r="K157" s="1" t="s">
        <v>32</v>
      </c>
      <c r="L157" s="1" t="s">
        <v>1012</v>
      </c>
      <c r="M157" s="1" t="s">
        <v>34</v>
      </c>
      <c r="N157" s="2">
        <v>45315.0</v>
      </c>
      <c r="O157" s="2">
        <v>42795.0</v>
      </c>
      <c r="P157" s="1" t="s">
        <v>35</v>
      </c>
      <c r="Q157" s="1" t="s">
        <v>1013</v>
      </c>
      <c r="R157" s="2">
        <v>45658.0</v>
      </c>
      <c r="S157" s="2">
        <v>46022.0</v>
      </c>
      <c r="T157" s="1" t="s">
        <v>1014</v>
      </c>
      <c r="U157" s="3">
        <v>21.0</v>
      </c>
      <c r="V157" s="2">
        <v>45374.0</v>
      </c>
      <c r="W157" s="1" t="s">
        <v>58</v>
      </c>
      <c r="X157" s="1" t="s">
        <v>59</v>
      </c>
    </row>
    <row r="158" ht="15.75" customHeight="1">
      <c r="A158" s="1" t="s">
        <v>60</v>
      </c>
      <c r="B158" s="1" t="s">
        <v>109</v>
      </c>
      <c r="C158" s="1" t="s">
        <v>80</v>
      </c>
      <c r="D158" s="1" t="s">
        <v>879</v>
      </c>
      <c r="E158" s="1" t="s">
        <v>779</v>
      </c>
      <c r="F158" s="1" t="s">
        <v>1015</v>
      </c>
      <c r="G158" s="1" t="s">
        <v>1016</v>
      </c>
      <c r="H158" s="2">
        <v>29028.0</v>
      </c>
      <c r="I158" s="3">
        <v>46.0</v>
      </c>
      <c r="J158" s="1" t="s">
        <v>66</v>
      </c>
      <c r="K158" s="1" t="s">
        <v>32</v>
      </c>
      <c r="L158" s="1" t="s">
        <v>1017</v>
      </c>
      <c r="M158" s="1" t="s">
        <v>359</v>
      </c>
      <c r="N158" s="2">
        <v>42600.0</v>
      </c>
      <c r="O158" s="2">
        <v>42856.0</v>
      </c>
      <c r="P158" s="1" t="s">
        <v>35</v>
      </c>
      <c r="Q158" s="1" t="s">
        <v>1018</v>
      </c>
      <c r="R158" s="2">
        <v>45658.0</v>
      </c>
      <c r="S158" s="2">
        <v>46022.0</v>
      </c>
      <c r="T158" s="1" t="s">
        <v>1019</v>
      </c>
      <c r="U158" s="3">
        <v>21.0</v>
      </c>
      <c r="V158" s="2">
        <v>41142.0</v>
      </c>
      <c r="W158" s="1" t="s">
        <v>58</v>
      </c>
      <c r="X158" s="1" t="s">
        <v>59</v>
      </c>
    </row>
    <row r="159" ht="15.75" customHeight="1">
      <c r="A159" s="1" t="s">
        <v>24</v>
      </c>
      <c r="B159" s="1" t="s">
        <v>109</v>
      </c>
      <c r="C159" s="1" t="s">
        <v>26</v>
      </c>
      <c r="D159" s="1" t="s">
        <v>1020</v>
      </c>
      <c r="E159" s="1" t="s">
        <v>1021</v>
      </c>
      <c r="F159" s="1" t="s">
        <v>1022</v>
      </c>
      <c r="G159" s="1" t="s">
        <v>1023</v>
      </c>
      <c r="H159" s="2">
        <v>30830.0</v>
      </c>
      <c r="I159" s="3">
        <v>41.0</v>
      </c>
      <c r="J159" s="1" t="s">
        <v>66</v>
      </c>
      <c r="K159" s="1" t="s">
        <v>32</v>
      </c>
      <c r="L159" s="1" t="s">
        <v>1024</v>
      </c>
      <c r="M159" s="1" t="s">
        <v>34</v>
      </c>
      <c r="N159" s="2">
        <v>42873.0</v>
      </c>
      <c r="O159" s="2">
        <v>42887.0</v>
      </c>
      <c r="P159" s="1" t="s">
        <v>35</v>
      </c>
      <c r="Q159" s="1" t="s">
        <v>1025</v>
      </c>
      <c r="R159" s="2">
        <v>45658.0</v>
      </c>
      <c r="S159" s="2">
        <v>46022.0</v>
      </c>
      <c r="U159" s="3">
        <v>44.0</v>
      </c>
      <c r="V159" s="2">
        <v>42426.0</v>
      </c>
      <c r="W159" s="1" t="s">
        <v>1026</v>
      </c>
      <c r="X159" s="1" t="s">
        <v>38</v>
      </c>
    </row>
    <row r="160" ht="15.75" customHeight="1">
      <c r="A160" s="1" t="s">
        <v>24</v>
      </c>
      <c r="B160" s="1" t="s">
        <v>109</v>
      </c>
      <c r="C160" s="1" t="s">
        <v>26</v>
      </c>
      <c r="D160" s="1" t="s">
        <v>1027</v>
      </c>
      <c r="E160" s="1" t="s">
        <v>1028</v>
      </c>
      <c r="F160" s="1" t="s">
        <v>1029</v>
      </c>
      <c r="G160" s="1" t="s">
        <v>1030</v>
      </c>
      <c r="H160" s="2">
        <v>29417.0</v>
      </c>
      <c r="I160" s="3">
        <v>45.0</v>
      </c>
      <c r="J160" s="1" t="s">
        <v>66</v>
      </c>
      <c r="K160" s="1" t="s">
        <v>32</v>
      </c>
      <c r="L160" s="1" t="s">
        <v>1031</v>
      </c>
      <c r="M160" s="1" t="s">
        <v>34</v>
      </c>
      <c r="N160" s="2">
        <v>42866.0</v>
      </c>
      <c r="O160" s="2">
        <v>42887.0</v>
      </c>
      <c r="P160" s="1" t="s">
        <v>35</v>
      </c>
      <c r="Q160" s="1" t="s">
        <v>1032</v>
      </c>
      <c r="R160" s="2">
        <v>45658.0</v>
      </c>
      <c r="S160" s="2">
        <v>46022.0</v>
      </c>
      <c r="U160" s="3">
        <v>44.0</v>
      </c>
      <c r="V160" s="2">
        <v>41789.0</v>
      </c>
      <c r="W160" s="1" t="s">
        <v>1033</v>
      </c>
      <c r="X160" s="1" t="s">
        <v>98</v>
      </c>
    </row>
    <row r="161" ht="15.75" customHeight="1">
      <c r="A161" s="1" t="s">
        <v>24</v>
      </c>
      <c r="B161" s="1" t="s">
        <v>109</v>
      </c>
      <c r="C161" s="1" t="s">
        <v>80</v>
      </c>
      <c r="D161" s="1" t="s">
        <v>1034</v>
      </c>
      <c r="E161" s="1" t="s">
        <v>274</v>
      </c>
      <c r="F161" s="1" t="s">
        <v>1035</v>
      </c>
      <c r="G161" s="1" t="s">
        <v>1036</v>
      </c>
      <c r="H161" s="2">
        <v>29237.0</v>
      </c>
      <c r="I161" s="3">
        <v>45.0</v>
      </c>
      <c r="J161" s="1" t="s">
        <v>66</v>
      </c>
      <c r="K161" s="1" t="s">
        <v>32</v>
      </c>
      <c r="L161" s="1" t="s">
        <v>1037</v>
      </c>
      <c r="M161" s="1" t="s">
        <v>34</v>
      </c>
      <c r="N161" s="2">
        <v>42873.0</v>
      </c>
      <c r="O161" s="2">
        <v>42917.0</v>
      </c>
      <c r="P161" s="1" t="s">
        <v>35</v>
      </c>
      <c r="Q161" s="1" t="s">
        <v>1038</v>
      </c>
      <c r="R161" s="2">
        <v>45658.0</v>
      </c>
      <c r="S161" s="2">
        <v>46022.0</v>
      </c>
      <c r="T161" s="1" t="s">
        <v>685</v>
      </c>
      <c r="U161" s="3">
        <v>44.0</v>
      </c>
      <c r="V161" s="2">
        <v>42487.0</v>
      </c>
      <c r="W161" s="1" t="s">
        <v>188</v>
      </c>
      <c r="X161" s="1" t="s">
        <v>89</v>
      </c>
    </row>
    <row r="162" ht="15.75" customHeight="1">
      <c r="A162" s="1" t="s">
        <v>39</v>
      </c>
      <c r="B162" s="1" t="s">
        <v>99</v>
      </c>
      <c r="C162" s="1" t="s">
        <v>26</v>
      </c>
      <c r="D162" s="1" t="s">
        <v>1039</v>
      </c>
      <c r="E162" s="1" t="s">
        <v>1040</v>
      </c>
      <c r="F162" s="1" t="s">
        <v>1041</v>
      </c>
      <c r="G162" s="1" t="s">
        <v>1042</v>
      </c>
      <c r="H162" s="2">
        <v>25519.0</v>
      </c>
      <c r="I162" s="3">
        <v>56.0</v>
      </c>
      <c r="J162" s="1" t="s">
        <v>31</v>
      </c>
      <c r="K162" s="1" t="s">
        <v>32</v>
      </c>
      <c r="L162" s="1" t="s">
        <v>1043</v>
      </c>
      <c r="M162" s="1" t="s">
        <v>34</v>
      </c>
      <c r="N162" s="2">
        <v>44139.0</v>
      </c>
      <c r="O162" s="2">
        <v>42917.0</v>
      </c>
      <c r="P162" s="1" t="s">
        <v>35</v>
      </c>
      <c r="Q162" s="1" t="s">
        <v>1044</v>
      </c>
      <c r="R162" s="2">
        <v>44866.0</v>
      </c>
      <c r="S162" s="2">
        <v>73050.0</v>
      </c>
      <c r="U162" s="3">
        <v>44.0</v>
      </c>
      <c r="V162" s="2">
        <v>42713.0</v>
      </c>
      <c r="W162" s="1" t="s">
        <v>1045</v>
      </c>
      <c r="X162" s="1" t="s">
        <v>227</v>
      </c>
    </row>
    <row r="163" ht="15.75" customHeight="1">
      <c r="A163" s="1" t="s">
        <v>39</v>
      </c>
      <c r="B163" s="1" t="s">
        <v>61</v>
      </c>
      <c r="C163" s="1" t="s">
        <v>80</v>
      </c>
      <c r="D163" s="1" t="s">
        <v>1046</v>
      </c>
      <c r="E163" s="1" t="s">
        <v>1047</v>
      </c>
      <c r="F163" s="1" t="s">
        <v>1048</v>
      </c>
      <c r="G163" s="1" t="s">
        <v>1049</v>
      </c>
      <c r="H163" s="2">
        <v>21950.0</v>
      </c>
      <c r="I163" s="3">
        <v>65.0</v>
      </c>
      <c r="J163" s="1" t="s">
        <v>31</v>
      </c>
      <c r="K163" s="1" t="s">
        <v>32</v>
      </c>
      <c r="L163" s="1" t="s">
        <v>1050</v>
      </c>
      <c r="M163" s="1" t="s">
        <v>34</v>
      </c>
      <c r="N163" s="2">
        <v>45035.0</v>
      </c>
      <c r="O163" s="2">
        <v>42917.0</v>
      </c>
      <c r="P163" s="1" t="s">
        <v>35</v>
      </c>
      <c r="Q163" s="1" t="s">
        <v>1051</v>
      </c>
      <c r="R163" s="2">
        <v>45352.0</v>
      </c>
      <c r="S163" s="2">
        <v>73050.0</v>
      </c>
      <c r="U163" s="3">
        <v>44.0</v>
      </c>
      <c r="V163" s="2">
        <v>42677.0</v>
      </c>
      <c r="W163" s="1" t="s">
        <v>383</v>
      </c>
      <c r="X163" s="1" t="s">
        <v>59</v>
      </c>
    </row>
    <row r="164" ht="15.75" customHeight="1">
      <c r="A164" s="1" t="s">
        <v>78</v>
      </c>
      <c r="B164" s="1" t="s">
        <v>109</v>
      </c>
      <c r="C164" s="1" t="s">
        <v>26</v>
      </c>
      <c r="D164" s="1" t="s">
        <v>1052</v>
      </c>
      <c r="E164" s="1" t="s">
        <v>1053</v>
      </c>
      <c r="F164" s="1" t="s">
        <v>1054</v>
      </c>
      <c r="G164" s="1" t="s">
        <v>1055</v>
      </c>
      <c r="H164" s="2">
        <v>29075.0</v>
      </c>
      <c r="I164" s="3">
        <v>46.0</v>
      </c>
      <c r="J164" s="1" t="s">
        <v>66</v>
      </c>
      <c r="K164" s="1" t="s">
        <v>32</v>
      </c>
      <c r="L164" s="1" t="s">
        <v>1056</v>
      </c>
      <c r="M164" s="1" t="s">
        <v>34</v>
      </c>
      <c r="N164" s="2">
        <v>42894.0</v>
      </c>
      <c r="O164" s="2">
        <v>42917.0</v>
      </c>
      <c r="P164" s="1" t="s">
        <v>35</v>
      </c>
      <c r="Q164" s="1" t="s">
        <v>1057</v>
      </c>
      <c r="R164" s="2">
        <v>45658.0</v>
      </c>
      <c r="S164" s="2">
        <v>46022.0</v>
      </c>
      <c r="T164" s="1" t="s">
        <v>1058</v>
      </c>
      <c r="U164" s="3">
        <v>44.0</v>
      </c>
      <c r="V164" s="2">
        <v>42345.0</v>
      </c>
      <c r="W164" s="1" t="s">
        <v>1059</v>
      </c>
      <c r="X164" s="1" t="s">
        <v>38</v>
      </c>
    </row>
    <row r="165" ht="15.75" customHeight="1">
      <c r="A165" s="1" t="s">
        <v>78</v>
      </c>
      <c r="B165" s="1" t="s">
        <v>99</v>
      </c>
      <c r="C165" s="1" t="s">
        <v>26</v>
      </c>
      <c r="D165" s="1" t="s">
        <v>1060</v>
      </c>
      <c r="E165" s="1" t="s">
        <v>1061</v>
      </c>
      <c r="F165" s="1" t="s">
        <v>1062</v>
      </c>
      <c r="G165" s="1" t="s">
        <v>1063</v>
      </c>
      <c r="H165" s="2">
        <v>26928.0</v>
      </c>
      <c r="I165" s="3">
        <v>52.0</v>
      </c>
      <c r="J165" s="1" t="s">
        <v>31</v>
      </c>
      <c r="K165" s="1" t="s">
        <v>32</v>
      </c>
      <c r="L165" s="1" t="s">
        <v>1064</v>
      </c>
      <c r="M165" s="1" t="s">
        <v>34</v>
      </c>
      <c r="N165" s="2">
        <v>45105.0</v>
      </c>
      <c r="O165" s="2">
        <v>42948.0</v>
      </c>
      <c r="P165" s="1" t="s">
        <v>35</v>
      </c>
      <c r="Q165" s="1" t="s">
        <v>1065</v>
      </c>
      <c r="R165" s="2">
        <v>45413.0</v>
      </c>
      <c r="S165" s="2">
        <v>73050.0</v>
      </c>
      <c r="U165" s="3">
        <v>44.0</v>
      </c>
      <c r="V165" s="2">
        <v>42368.0</v>
      </c>
      <c r="W165" s="1" t="s">
        <v>1066</v>
      </c>
      <c r="X165" s="1" t="s">
        <v>59</v>
      </c>
    </row>
    <row r="166" ht="15.75" customHeight="1">
      <c r="A166" s="1" t="s">
        <v>60</v>
      </c>
      <c r="B166" s="1" t="s">
        <v>40</v>
      </c>
      <c r="C166" s="1" t="s">
        <v>26</v>
      </c>
      <c r="D166" s="1" t="s">
        <v>1067</v>
      </c>
      <c r="E166" s="1" t="s">
        <v>1068</v>
      </c>
      <c r="F166" s="1" t="s">
        <v>1069</v>
      </c>
      <c r="G166" s="1" t="s">
        <v>1070</v>
      </c>
      <c r="H166" s="2">
        <v>15550.0</v>
      </c>
      <c r="I166" s="3">
        <v>83.0</v>
      </c>
      <c r="J166" s="1" t="s">
        <v>104</v>
      </c>
      <c r="K166" s="1" t="s">
        <v>32</v>
      </c>
      <c r="L166" s="1" t="s">
        <v>1071</v>
      </c>
      <c r="M166" s="1" t="s">
        <v>359</v>
      </c>
      <c r="N166" s="2">
        <v>42838.0</v>
      </c>
      <c r="O166" s="2">
        <v>43040.0</v>
      </c>
      <c r="P166" s="1" t="s">
        <v>35</v>
      </c>
      <c r="Q166" s="1" t="s">
        <v>1072</v>
      </c>
      <c r="R166" s="2">
        <v>45658.0</v>
      </c>
      <c r="S166" s="2">
        <v>46022.0</v>
      </c>
      <c r="T166" s="1" t="s">
        <v>1073</v>
      </c>
      <c r="U166" s="3">
        <v>6.0</v>
      </c>
      <c r="V166" s="2">
        <v>32940.0</v>
      </c>
      <c r="W166" s="1" t="s">
        <v>1074</v>
      </c>
      <c r="X166" s="1" t="s">
        <v>1075</v>
      </c>
    </row>
    <row r="167" ht="15.75" customHeight="1">
      <c r="A167" s="1" t="s">
        <v>60</v>
      </c>
      <c r="B167" s="1" t="s">
        <v>317</v>
      </c>
      <c r="C167" s="1" t="s">
        <v>26</v>
      </c>
      <c r="D167" s="1" t="s">
        <v>1076</v>
      </c>
      <c r="E167" s="1" t="s">
        <v>633</v>
      </c>
      <c r="F167" s="1" t="s">
        <v>1077</v>
      </c>
      <c r="G167" s="1" t="s">
        <v>1078</v>
      </c>
      <c r="H167" s="2">
        <v>25964.0</v>
      </c>
      <c r="I167" s="3">
        <v>54.0</v>
      </c>
      <c r="J167" s="1" t="s">
        <v>66</v>
      </c>
      <c r="K167" s="1" t="s">
        <v>32</v>
      </c>
      <c r="L167" s="1" t="s">
        <v>1079</v>
      </c>
      <c r="M167" s="1" t="s">
        <v>34</v>
      </c>
      <c r="N167" s="2">
        <v>43201.0</v>
      </c>
      <c r="O167" s="2">
        <v>43191.0</v>
      </c>
      <c r="P167" s="1" t="s">
        <v>35</v>
      </c>
      <c r="Q167" s="1" t="s">
        <v>1080</v>
      </c>
      <c r="R167" s="2">
        <v>45658.0</v>
      </c>
      <c r="S167" s="2">
        <v>46022.0</v>
      </c>
      <c r="T167" s="1" t="s">
        <v>1081</v>
      </c>
      <c r="U167" s="3">
        <v>21.0</v>
      </c>
      <c r="V167" s="2">
        <v>44824.0</v>
      </c>
      <c r="W167" s="1" t="s">
        <v>58</v>
      </c>
      <c r="X167" s="1" t="s">
        <v>59</v>
      </c>
    </row>
    <row r="168" ht="15.75" customHeight="1">
      <c r="A168" s="1" t="s">
        <v>60</v>
      </c>
      <c r="B168" s="1" t="s">
        <v>109</v>
      </c>
      <c r="C168" s="1" t="s">
        <v>26</v>
      </c>
      <c r="D168" s="1" t="s">
        <v>633</v>
      </c>
      <c r="E168" s="1" t="s">
        <v>528</v>
      </c>
      <c r="F168" s="1" t="s">
        <v>830</v>
      </c>
      <c r="G168" s="1" t="s">
        <v>1082</v>
      </c>
      <c r="H168" s="2">
        <v>30180.0</v>
      </c>
      <c r="I168" s="3">
        <v>43.0</v>
      </c>
      <c r="J168" s="1" t="s">
        <v>66</v>
      </c>
      <c r="K168" s="1" t="s">
        <v>32</v>
      </c>
      <c r="L168" s="1" t="s">
        <v>1083</v>
      </c>
      <c r="M168" s="1" t="s">
        <v>34</v>
      </c>
      <c r="N168" s="2">
        <v>43125.0</v>
      </c>
      <c r="O168" s="2">
        <v>43191.0</v>
      </c>
      <c r="P168" s="1" t="s">
        <v>35</v>
      </c>
      <c r="Q168" s="1" t="s">
        <v>1084</v>
      </c>
      <c r="R168" s="2">
        <v>45658.0</v>
      </c>
      <c r="S168" s="2">
        <v>46022.0</v>
      </c>
      <c r="T168" s="1" t="s">
        <v>1085</v>
      </c>
      <c r="U168" s="3">
        <v>21.0</v>
      </c>
      <c r="V168" s="2">
        <v>42688.0</v>
      </c>
      <c r="W168" s="1" t="s">
        <v>1086</v>
      </c>
      <c r="X168" s="1" t="s">
        <v>38</v>
      </c>
    </row>
    <row r="169" ht="15.75" customHeight="1">
      <c r="A169" s="1" t="s">
        <v>337</v>
      </c>
      <c r="B169" s="1" t="s">
        <v>99</v>
      </c>
      <c r="C169" s="1" t="s">
        <v>80</v>
      </c>
      <c r="D169" s="1" t="s">
        <v>528</v>
      </c>
      <c r="E169" s="1" t="s">
        <v>1087</v>
      </c>
      <c r="F169" s="1" t="s">
        <v>1088</v>
      </c>
      <c r="G169" s="1" t="s">
        <v>1089</v>
      </c>
      <c r="H169" s="2">
        <v>29382.0</v>
      </c>
      <c r="I169" s="3">
        <v>45.0</v>
      </c>
      <c r="J169" s="1" t="s">
        <v>31</v>
      </c>
      <c r="K169" s="1" t="s">
        <v>32</v>
      </c>
      <c r="L169" s="1" t="s">
        <v>1090</v>
      </c>
      <c r="M169" s="1" t="s">
        <v>34</v>
      </c>
      <c r="N169" s="2">
        <v>44657.0</v>
      </c>
      <c r="O169" s="2">
        <v>43405.0</v>
      </c>
      <c r="P169" s="1" t="s">
        <v>35</v>
      </c>
      <c r="Q169" s="1" t="s">
        <v>1091</v>
      </c>
      <c r="R169" s="2">
        <v>44866.0</v>
      </c>
      <c r="S169" s="2">
        <v>73050.0</v>
      </c>
      <c r="U169" s="3">
        <v>44.0</v>
      </c>
      <c r="V169" s="2">
        <v>41760.0</v>
      </c>
      <c r="W169" s="1" t="s">
        <v>1092</v>
      </c>
      <c r="X169" s="1" t="s">
        <v>791</v>
      </c>
    </row>
    <row r="170" ht="15.75" customHeight="1">
      <c r="A170" s="1" t="s">
        <v>337</v>
      </c>
      <c r="B170" s="1" t="s">
        <v>99</v>
      </c>
      <c r="C170" s="1" t="s">
        <v>80</v>
      </c>
      <c r="D170" s="1" t="s">
        <v>593</v>
      </c>
      <c r="E170" s="1" t="s">
        <v>528</v>
      </c>
      <c r="F170" s="1" t="s">
        <v>1093</v>
      </c>
      <c r="G170" s="1" t="s">
        <v>1094</v>
      </c>
      <c r="H170" s="2">
        <v>28727.0</v>
      </c>
      <c r="I170" s="3">
        <v>47.0</v>
      </c>
      <c r="J170" s="1" t="s">
        <v>31</v>
      </c>
      <c r="K170" s="1" t="s">
        <v>32</v>
      </c>
      <c r="L170" s="1" t="s">
        <v>1095</v>
      </c>
      <c r="M170" s="1" t="s">
        <v>34</v>
      </c>
      <c r="N170" s="2">
        <v>45105.0</v>
      </c>
      <c r="O170" s="2">
        <v>43405.0</v>
      </c>
      <c r="P170" s="1" t="s">
        <v>35</v>
      </c>
      <c r="Q170" s="1" t="s">
        <v>1096</v>
      </c>
      <c r="R170" s="2">
        <v>45413.0</v>
      </c>
      <c r="S170" s="2">
        <v>73050.0</v>
      </c>
      <c r="U170" s="3">
        <v>44.0</v>
      </c>
      <c r="V170" s="2">
        <v>43379.0</v>
      </c>
      <c r="W170" s="1" t="s">
        <v>58</v>
      </c>
      <c r="X170" s="1" t="s">
        <v>59</v>
      </c>
    </row>
    <row r="171" ht="15.75" customHeight="1">
      <c r="A171" s="1" t="s">
        <v>60</v>
      </c>
      <c r="B171" s="1" t="s">
        <v>40</v>
      </c>
      <c r="C171" s="1" t="s">
        <v>26</v>
      </c>
      <c r="D171" s="1" t="s">
        <v>288</v>
      </c>
      <c r="E171" s="1" t="s">
        <v>823</v>
      </c>
      <c r="F171" s="1" t="s">
        <v>1097</v>
      </c>
      <c r="G171" s="1" t="s">
        <v>1098</v>
      </c>
      <c r="H171" s="2">
        <v>28209.0</v>
      </c>
      <c r="I171" s="3">
        <v>48.0</v>
      </c>
      <c r="J171" s="1" t="s">
        <v>66</v>
      </c>
      <c r="K171" s="1" t="s">
        <v>32</v>
      </c>
      <c r="L171" s="1" t="s">
        <v>1099</v>
      </c>
      <c r="N171" s="2">
        <v>44853.0</v>
      </c>
      <c r="O171" s="2">
        <v>43405.0</v>
      </c>
      <c r="P171" s="1" t="s">
        <v>35</v>
      </c>
      <c r="Q171" s="1" t="s">
        <v>1100</v>
      </c>
      <c r="R171" s="2">
        <v>45658.0</v>
      </c>
      <c r="S171" s="2">
        <v>46022.0</v>
      </c>
      <c r="U171" s="3">
        <v>12.0</v>
      </c>
    </row>
    <row r="172" ht="15.75" customHeight="1">
      <c r="A172" s="1" t="s">
        <v>337</v>
      </c>
      <c r="B172" s="1" t="s">
        <v>99</v>
      </c>
      <c r="C172" s="1" t="s">
        <v>80</v>
      </c>
      <c r="D172" s="1" t="s">
        <v>772</v>
      </c>
      <c r="E172" s="1" t="s">
        <v>1101</v>
      </c>
      <c r="F172" s="1" t="s">
        <v>1102</v>
      </c>
      <c r="G172" s="1" t="s">
        <v>1103</v>
      </c>
      <c r="H172" s="2">
        <v>29105.0</v>
      </c>
      <c r="I172" s="3">
        <v>46.0</v>
      </c>
      <c r="J172" s="1" t="s">
        <v>31</v>
      </c>
      <c r="K172" s="1" t="s">
        <v>32</v>
      </c>
      <c r="L172" s="1" t="s">
        <v>1104</v>
      </c>
      <c r="M172" s="1" t="s">
        <v>34</v>
      </c>
      <c r="N172" s="2">
        <v>44657.0</v>
      </c>
      <c r="O172" s="2">
        <v>43405.0</v>
      </c>
      <c r="P172" s="1" t="s">
        <v>35</v>
      </c>
      <c r="Q172" s="1" t="s">
        <v>1105</v>
      </c>
      <c r="R172" s="2">
        <v>44866.0</v>
      </c>
      <c r="S172" s="2">
        <v>73050.0</v>
      </c>
      <c r="U172" s="3">
        <v>44.0</v>
      </c>
      <c r="V172" s="2">
        <v>42178.0</v>
      </c>
      <c r="W172" s="1" t="s">
        <v>1106</v>
      </c>
      <c r="X172" s="1" t="s">
        <v>700</v>
      </c>
    </row>
    <row r="173" ht="15.75" customHeight="1">
      <c r="A173" s="1" t="s">
        <v>24</v>
      </c>
      <c r="B173" s="1" t="s">
        <v>99</v>
      </c>
      <c r="C173" s="1" t="s">
        <v>26</v>
      </c>
      <c r="D173" s="1" t="s">
        <v>1067</v>
      </c>
      <c r="E173" s="1" t="s">
        <v>1107</v>
      </c>
      <c r="F173" s="1" t="s">
        <v>1108</v>
      </c>
      <c r="G173" s="1" t="s">
        <v>1109</v>
      </c>
      <c r="H173" s="2">
        <v>28908.0</v>
      </c>
      <c r="I173" s="3">
        <v>46.0</v>
      </c>
      <c r="J173" s="1" t="s">
        <v>66</v>
      </c>
      <c r="K173" s="1" t="s">
        <v>32</v>
      </c>
      <c r="L173" s="1" t="s">
        <v>1110</v>
      </c>
      <c r="M173" s="1" t="s">
        <v>34</v>
      </c>
      <c r="N173" s="2">
        <v>45469.0</v>
      </c>
      <c r="O173" s="2">
        <v>43466.0</v>
      </c>
      <c r="P173" s="1" t="s">
        <v>35</v>
      </c>
      <c r="Q173" s="1" t="s">
        <v>1111</v>
      </c>
      <c r="R173" s="2">
        <v>45658.0</v>
      </c>
      <c r="S173" s="2">
        <v>46022.0</v>
      </c>
      <c r="U173" s="3">
        <v>44.0</v>
      </c>
      <c r="V173" s="2">
        <v>41970.0</v>
      </c>
      <c r="W173" s="1" t="s">
        <v>1112</v>
      </c>
      <c r="X173" s="1" t="s">
        <v>98</v>
      </c>
    </row>
    <row r="174" ht="15.75" customHeight="1">
      <c r="A174" s="1" t="s">
        <v>78</v>
      </c>
      <c r="B174" s="1" t="s">
        <v>109</v>
      </c>
      <c r="C174" s="1" t="s">
        <v>80</v>
      </c>
      <c r="D174" s="1" t="s">
        <v>1113</v>
      </c>
      <c r="E174" s="1" t="s">
        <v>1114</v>
      </c>
      <c r="F174" s="1" t="s">
        <v>1115</v>
      </c>
      <c r="G174" s="1" t="s">
        <v>1116</v>
      </c>
      <c r="H174" s="2">
        <v>28271.0</v>
      </c>
      <c r="I174" s="3">
        <v>48.0</v>
      </c>
      <c r="J174" s="1" t="s">
        <v>66</v>
      </c>
      <c r="K174" s="1" t="s">
        <v>32</v>
      </c>
      <c r="L174" s="1" t="s">
        <v>1117</v>
      </c>
      <c r="M174" s="1" t="s">
        <v>34</v>
      </c>
      <c r="N174" s="2">
        <v>43481.0</v>
      </c>
      <c r="O174" s="2">
        <v>43466.0</v>
      </c>
      <c r="P174" s="1" t="s">
        <v>35</v>
      </c>
      <c r="Q174" s="1" t="s">
        <v>1118</v>
      </c>
      <c r="R174" s="2">
        <v>45658.0</v>
      </c>
      <c r="S174" s="2">
        <v>46022.0</v>
      </c>
      <c r="U174" s="3">
        <v>44.0</v>
      </c>
      <c r="V174" s="2">
        <v>43021.0</v>
      </c>
      <c r="W174" s="1" t="s">
        <v>58</v>
      </c>
      <c r="X174" s="1" t="s">
        <v>59</v>
      </c>
    </row>
    <row r="175" ht="15.75" customHeight="1">
      <c r="A175" s="1" t="s">
        <v>24</v>
      </c>
      <c r="B175" s="1" t="s">
        <v>99</v>
      </c>
      <c r="C175" s="1" t="s">
        <v>26</v>
      </c>
      <c r="D175" s="1" t="s">
        <v>1119</v>
      </c>
      <c r="E175" s="1" t="s">
        <v>454</v>
      </c>
      <c r="F175" s="1" t="s">
        <v>1120</v>
      </c>
      <c r="G175" s="1" t="s">
        <v>1121</v>
      </c>
      <c r="H175" s="2">
        <v>26998.0</v>
      </c>
      <c r="I175" s="3">
        <v>52.0</v>
      </c>
      <c r="J175" s="1" t="s">
        <v>31</v>
      </c>
      <c r="K175" s="1" t="s">
        <v>32</v>
      </c>
      <c r="L175" s="1" t="s">
        <v>1122</v>
      </c>
      <c r="M175" s="1" t="s">
        <v>34</v>
      </c>
      <c r="N175" s="2">
        <v>43600.0</v>
      </c>
      <c r="O175" s="2">
        <v>43466.0</v>
      </c>
      <c r="P175" s="1" t="s">
        <v>35</v>
      </c>
      <c r="Q175" s="1" t="s">
        <v>1123</v>
      </c>
      <c r="R175" s="2">
        <v>44774.0</v>
      </c>
      <c r="S175" s="2">
        <v>73050.0</v>
      </c>
      <c r="U175" s="3">
        <v>44.0</v>
      </c>
      <c r="V175" s="2">
        <v>40211.0</v>
      </c>
      <c r="W175" s="1" t="s">
        <v>1124</v>
      </c>
      <c r="X175" s="1" t="s">
        <v>98</v>
      </c>
    </row>
    <row r="176" ht="15.75" customHeight="1">
      <c r="A176" s="1" t="s">
        <v>60</v>
      </c>
      <c r="B176" s="1" t="s">
        <v>25</v>
      </c>
      <c r="C176" s="1" t="s">
        <v>80</v>
      </c>
      <c r="D176" s="1" t="s">
        <v>1125</v>
      </c>
      <c r="E176" s="1" t="s">
        <v>1126</v>
      </c>
      <c r="F176" s="1" t="s">
        <v>1127</v>
      </c>
      <c r="G176" s="1" t="s">
        <v>1128</v>
      </c>
      <c r="H176" s="2">
        <v>12841.0</v>
      </c>
      <c r="I176" s="3">
        <v>90.0</v>
      </c>
      <c r="J176" s="1" t="s">
        <v>104</v>
      </c>
      <c r="K176" s="1" t="s">
        <v>32</v>
      </c>
      <c r="L176" s="1" t="s">
        <v>1129</v>
      </c>
      <c r="M176" s="1" t="s">
        <v>34</v>
      </c>
      <c r="N176" s="2">
        <v>43201.0</v>
      </c>
      <c r="O176" s="2">
        <v>43586.0</v>
      </c>
      <c r="P176" s="1" t="s">
        <v>35</v>
      </c>
      <c r="Q176" s="1" t="s">
        <v>1130</v>
      </c>
      <c r="R176" s="2">
        <v>45658.0</v>
      </c>
      <c r="S176" s="2">
        <v>46022.0</v>
      </c>
      <c r="T176" s="1" t="s">
        <v>1131</v>
      </c>
      <c r="U176" s="3">
        <v>6.0</v>
      </c>
      <c r="V176" s="2">
        <v>22341.0</v>
      </c>
      <c r="W176" s="1" t="s">
        <v>1132</v>
      </c>
      <c r="X176" s="1" t="s">
        <v>227</v>
      </c>
    </row>
    <row r="177" ht="15.75" customHeight="1">
      <c r="A177" s="1" t="s">
        <v>78</v>
      </c>
      <c r="B177" s="1" t="s">
        <v>109</v>
      </c>
      <c r="C177" s="1" t="s">
        <v>80</v>
      </c>
      <c r="D177" s="1" t="s">
        <v>1133</v>
      </c>
      <c r="E177" s="1" t="s">
        <v>1134</v>
      </c>
      <c r="F177" s="1" t="s">
        <v>1135</v>
      </c>
      <c r="G177" s="1" t="s">
        <v>1136</v>
      </c>
      <c r="H177" s="2">
        <v>28592.0</v>
      </c>
      <c r="I177" s="3">
        <v>47.0</v>
      </c>
      <c r="J177" s="1" t="s">
        <v>66</v>
      </c>
      <c r="K177" s="1" t="s">
        <v>32</v>
      </c>
      <c r="L177" s="1" t="s">
        <v>1137</v>
      </c>
      <c r="M177" s="1" t="s">
        <v>34</v>
      </c>
      <c r="N177" s="2">
        <v>43551.0</v>
      </c>
      <c r="O177" s="2">
        <v>43586.0</v>
      </c>
      <c r="P177" s="1" t="s">
        <v>35</v>
      </c>
      <c r="Q177" s="1" t="s">
        <v>1138</v>
      </c>
      <c r="R177" s="2">
        <v>45658.0</v>
      </c>
      <c r="S177" s="2">
        <v>46022.0</v>
      </c>
      <c r="U177" s="3">
        <v>44.0</v>
      </c>
      <c r="V177" s="2">
        <v>41964.0</v>
      </c>
      <c r="W177" s="1" t="s">
        <v>1139</v>
      </c>
      <c r="X177" s="1" t="s">
        <v>791</v>
      </c>
    </row>
    <row r="178" ht="15.75" customHeight="1">
      <c r="A178" s="1" t="s">
        <v>60</v>
      </c>
      <c r="B178" s="1" t="s">
        <v>317</v>
      </c>
      <c r="C178" s="1" t="s">
        <v>26</v>
      </c>
      <c r="D178" s="1" t="s">
        <v>1140</v>
      </c>
      <c r="E178" s="1" t="s">
        <v>1034</v>
      </c>
      <c r="F178" s="1" t="s">
        <v>1141</v>
      </c>
      <c r="G178" s="1" t="s">
        <v>1142</v>
      </c>
      <c r="H178" s="2">
        <v>27510.0</v>
      </c>
      <c r="I178" s="3">
        <v>50.0</v>
      </c>
      <c r="J178" s="1" t="s">
        <v>66</v>
      </c>
      <c r="K178" s="1" t="s">
        <v>32</v>
      </c>
      <c r="L178" s="1" t="s">
        <v>1143</v>
      </c>
      <c r="M178" s="1" t="s">
        <v>34</v>
      </c>
      <c r="N178" s="2">
        <v>43635.0</v>
      </c>
      <c r="O178" s="2">
        <v>43647.0</v>
      </c>
      <c r="P178" s="1" t="s">
        <v>35</v>
      </c>
      <c r="Q178" s="1" t="s">
        <v>1144</v>
      </c>
      <c r="R178" s="2">
        <v>45658.0</v>
      </c>
      <c r="S178" s="2">
        <v>46022.0</v>
      </c>
      <c r="U178" s="3">
        <v>12.0</v>
      </c>
      <c r="V178" s="2">
        <v>41289.0</v>
      </c>
      <c r="W178" s="1" t="s">
        <v>58</v>
      </c>
      <c r="X178" s="1" t="s">
        <v>59</v>
      </c>
    </row>
    <row r="179" ht="15.75" customHeight="1">
      <c r="A179" s="1" t="s">
        <v>337</v>
      </c>
      <c r="B179" s="1" t="s">
        <v>99</v>
      </c>
      <c r="C179" s="1" t="s">
        <v>80</v>
      </c>
      <c r="D179" s="1" t="s">
        <v>1145</v>
      </c>
      <c r="E179" s="1" t="s">
        <v>1146</v>
      </c>
      <c r="F179" s="1" t="s">
        <v>1147</v>
      </c>
      <c r="G179" s="1" t="s">
        <v>1148</v>
      </c>
      <c r="H179" s="2">
        <v>25148.0</v>
      </c>
      <c r="I179" s="3">
        <v>57.0</v>
      </c>
      <c r="J179" s="1" t="s">
        <v>31</v>
      </c>
      <c r="K179" s="1" t="s">
        <v>32</v>
      </c>
      <c r="L179" s="1" t="s">
        <v>1149</v>
      </c>
      <c r="M179" s="1" t="s">
        <v>34</v>
      </c>
      <c r="N179" s="2">
        <v>43600.0</v>
      </c>
      <c r="O179" s="2">
        <v>43709.0</v>
      </c>
      <c r="P179" s="1" t="s">
        <v>35</v>
      </c>
      <c r="Q179" s="1" t="s">
        <v>1150</v>
      </c>
      <c r="R179" s="2">
        <v>44866.0</v>
      </c>
      <c r="S179" s="2">
        <v>73050.0</v>
      </c>
      <c r="U179" s="3">
        <v>44.0</v>
      </c>
      <c r="V179" s="2">
        <v>36815.0</v>
      </c>
      <c r="W179" s="1" t="s">
        <v>1151</v>
      </c>
      <c r="X179" s="1" t="s">
        <v>548</v>
      </c>
    </row>
    <row r="180" ht="15.75" customHeight="1">
      <c r="A180" s="1" t="s">
        <v>337</v>
      </c>
      <c r="B180" s="1" t="s">
        <v>99</v>
      </c>
      <c r="C180" s="1" t="s">
        <v>80</v>
      </c>
      <c r="D180" s="1" t="s">
        <v>1152</v>
      </c>
      <c r="E180" s="1" t="s">
        <v>1153</v>
      </c>
      <c r="F180" s="1" t="s">
        <v>1154</v>
      </c>
      <c r="G180" s="1" t="s">
        <v>1155</v>
      </c>
      <c r="H180" s="2">
        <v>28764.0</v>
      </c>
      <c r="I180" s="3">
        <v>47.0</v>
      </c>
      <c r="J180" s="1" t="s">
        <v>31</v>
      </c>
      <c r="K180" s="1" t="s">
        <v>32</v>
      </c>
      <c r="L180" s="1" t="s">
        <v>1156</v>
      </c>
      <c r="M180" s="1" t="s">
        <v>34</v>
      </c>
      <c r="N180" s="2">
        <v>45469.0</v>
      </c>
      <c r="O180" s="2">
        <v>43709.0</v>
      </c>
      <c r="P180" s="1" t="s">
        <v>35</v>
      </c>
      <c r="Q180" s="1" t="s">
        <v>1157</v>
      </c>
      <c r="R180" s="2">
        <v>45627.0</v>
      </c>
      <c r="S180" s="2">
        <v>73050.0</v>
      </c>
      <c r="T180" s="1" t="s">
        <v>1158</v>
      </c>
      <c r="U180" s="3">
        <v>44.0</v>
      </c>
      <c r="V180" s="2">
        <v>42036.0</v>
      </c>
      <c r="W180" s="1" t="s">
        <v>1159</v>
      </c>
      <c r="X180" s="1" t="s">
        <v>227</v>
      </c>
    </row>
    <row r="181" ht="15.75" customHeight="1">
      <c r="A181" s="1" t="s">
        <v>337</v>
      </c>
      <c r="B181" s="1" t="s">
        <v>99</v>
      </c>
      <c r="C181" s="1" t="s">
        <v>80</v>
      </c>
      <c r="D181" s="1" t="s">
        <v>1152</v>
      </c>
      <c r="E181" s="1" t="s">
        <v>1153</v>
      </c>
      <c r="F181" s="1" t="s">
        <v>1154</v>
      </c>
      <c r="G181" s="1" t="s">
        <v>1155</v>
      </c>
      <c r="H181" s="2">
        <v>28764.0</v>
      </c>
      <c r="I181" s="3">
        <v>47.0</v>
      </c>
      <c r="J181" s="1" t="s">
        <v>66</v>
      </c>
      <c r="K181" s="1" t="s">
        <v>32</v>
      </c>
      <c r="L181" s="1" t="s">
        <v>1156</v>
      </c>
      <c r="M181" s="1" t="s">
        <v>34</v>
      </c>
      <c r="N181" s="2">
        <v>45469.0</v>
      </c>
      <c r="O181" s="2">
        <v>43709.0</v>
      </c>
      <c r="P181" s="1" t="s">
        <v>35</v>
      </c>
      <c r="Q181" s="1" t="s">
        <v>1157</v>
      </c>
      <c r="R181" s="2">
        <v>45658.0</v>
      </c>
      <c r="S181" s="2">
        <v>46022.0</v>
      </c>
      <c r="U181" s="3">
        <v>44.0</v>
      </c>
      <c r="V181" s="2">
        <v>42036.0</v>
      </c>
      <c r="W181" s="1" t="s">
        <v>1159</v>
      </c>
      <c r="X181" s="1" t="s">
        <v>227</v>
      </c>
    </row>
    <row r="182" ht="15.75" customHeight="1">
      <c r="A182" s="1" t="s">
        <v>24</v>
      </c>
      <c r="B182" s="1" t="s">
        <v>109</v>
      </c>
      <c r="C182" s="1" t="s">
        <v>80</v>
      </c>
      <c r="D182" s="1" t="s">
        <v>339</v>
      </c>
      <c r="E182" s="1" t="s">
        <v>1160</v>
      </c>
      <c r="F182" s="1" t="s">
        <v>1161</v>
      </c>
      <c r="G182" s="1" t="s">
        <v>1162</v>
      </c>
      <c r="H182" s="2">
        <v>29478.0</v>
      </c>
      <c r="I182" s="3">
        <v>45.0</v>
      </c>
      <c r="J182" s="1" t="s">
        <v>66</v>
      </c>
      <c r="K182" s="1" t="s">
        <v>32</v>
      </c>
      <c r="L182" s="1" t="s">
        <v>1163</v>
      </c>
      <c r="M182" s="1" t="s">
        <v>34</v>
      </c>
      <c r="N182" s="2">
        <v>43754.0</v>
      </c>
      <c r="O182" s="2">
        <v>43770.0</v>
      </c>
      <c r="P182" s="1" t="s">
        <v>35</v>
      </c>
      <c r="Q182" s="1" t="s">
        <v>1164</v>
      </c>
      <c r="R182" s="2">
        <v>45658.0</v>
      </c>
      <c r="S182" s="2">
        <v>46022.0</v>
      </c>
      <c r="T182" s="1" t="s">
        <v>1165</v>
      </c>
      <c r="U182" s="3">
        <v>44.0</v>
      </c>
      <c r="V182" s="2">
        <v>41815.0</v>
      </c>
      <c r="W182" s="1" t="s">
        <v>1166</v>
      </c>
      <c r="X182" s="1" t="s">
        <v>77</v>
      </c>
    </row>
    <row r="183" ht="15.75" customHeight="1">
      <c r="A183" s="1" t="s">
        <v>39</v>
      </c>
      <c r="B183" s="1" t="s">
        <v>109</v>
      </c>
      <c r="C183" s="1" t="s">
        <v>80</v>
      </c>
      <c r="D183" s="1" t="s">
        <v>1167</v>
      </c>
      <c r="E183" s="1" t="s">
        <v>1168</v>
      </c>
      <c r="F183" s="1" t="s">
        <v>1169</v>
      </c>
      <c r="G183" s="1" t="s">
        <v>1170</v>
      </c>
      <c r="H183" s="2">
        <v>30189.0</v>
      </c>
      <c r="I183" s="3">
        <v>43.0</v>
      </c>
      <c r="J183" s="1" t="s">
        <v>66</v>
      </c>
      <c r="K183" s="1" t="s">
        <v>32</v>
      </c>
      <c r="L183" s="1" t="s">
        <v>1171</v>
      </c>
      <c r="M183" s="1" t="s">
        <v>34</v>
      </c>
      <c r="N183" s="2">
        <v>43943.0</v>
      </c>
      <c r="O183" s="2">
        <v>43952.0</v>
      </c>
      <c r="P183" s="1" t="s">
        <v>35</v>
      </c>
      <c r="Q183" s="1" t="s">
        <v>1172</v>
      </c>
      <c r="R183" s="2">
        <v>45658.0</v>
      </c>
      <c r="S183" s="2">
        <v>46022.0</v>
      </c>
      <c r="U183" s="3">
        <v>44.0</v>
      </c>
      <c r="V183" s="2">
        <v>41954.0</v>
      </c>
      <c r="W183" s="1" t="s">
        <v>1106</v>
      </c>
      <c r="X183" s="1" t="s">
        <v>77</v>
      </c>
    </row>
    <row r="184" ht="15.75" customHeight="1">
      <c r="A184" s="1" t="s">
        <v>60</v>
      </c>
      <c r="B184" s="1" t="s">
        <v>317</v>
      </c>
      <c r="C184" s="1" t="s">
        <v>26</v>
      </c>
      <c r="D184" s="1" t="s">
        <v>391</v>
      </c>
      <c r="E184" s="1" t="s">
        <v>557</v>
      </c>
      <c r="F184" s="1" t="s">
        <v>1173</v>
      </c>
      <c r="G184" s="1" t="s">
        <v>1174</v>
      </c>
      <c r="H184" s="2">
        <v>31006.0</v>
      </c>
      <c r="I184" s="3">
        <v>41.0</v>
      </c>
      <c r="J184" s="1" t="s">
        <v>66</v>
      </c>
      <c r="K184" s="1" t="s">
        <v>32</v>
      </c>
      <c r="L184" s="1" t="s">
        <v>1175</v>
      </c>
      <c r="M184" s="1" t="s">
        <v>359</v>
      </c>
      <c r="N184" s="2">
        <v>43336.0</v>
      </c>
      <c r="O184" s="2">
        <v>44044.0</v>
      </c>
      <c r="P184" s="1" t="s">
        <v>35</v>
      </c>
      <c r="Q184" s="1" t="s">
        <v>1176</v>
      </c>
      <c r="R184" s="2">
        <v>45717.0</v>
      </c>
      <c r="S184" s="2">
        <v>46022.0</v>
      </c>
      <c r="T184" s="1" t="s">
        <v>1177</v>
      </c>
      <c r="U184" s="3">
        <v>6.0</v>
      </c>
      <c r="V184" s="2">
        <v>42886.0</v>
      </c>
      <c r="W184" s="1" t="s">
        <v>58</v>
      </c>
      <c r="X184" s="1" t="s">
        <v>59</v>
      </c>
    </row>
    <row r="185" ht="15.75" customHeight="1">
      <c r="A185" s="1" t="s">
        <v>60</v>
      </c>
      <c r="B185" s="1" t="s">
        <v>317</v>
      </c>
      <c r="C185" s="1" t="s">
        <v>26</v>
      </c>
      <c r="D185" s="1" t="s">
        <v>391</v>
      </c>
      <c r="E185" s="1" t="s">
        <v>557</v>
      </c>
      <c r="F185" s="1" t="s">
        <v>1173</v>
      </c>
      <c r="G185" s="1" t="s">
        <v>1174</v>
      </c>
      <c r="H185" s="2">
        <v>31006.0</v>
      </c>
      <c r="I185" s="3">
        <v>41.0</v>
      </c>
      <c r="J185" s="1" t="s">
        <v>66</v>
      </c>
      <c r="K185" s="1" t="s">
        <v>32</v>
      </c>
      <c r="L185" s="1" t="s">
        <v>1175</v>
      </c>
      <c r="M185" s="1" t="s">
        <v>359</v>
      </c>
      <c r="N185" s="2">
        <v>43336.0</v>
      </c>
      <c r="O185" s="2">
        <v>44044.0</v>
      </c>
      <c r="P185" s="1" t="s">
        <v>35</v>
      </c>
      <c r="Q185" s="1" t="s">
        <v>1176</v>
      </c>
      <c r="R185" s="2">
        <v>45658.0</v>
      </c>
      <c r="S185" s="2">
        <v>46022.0</v>
      </c>
      <c r="U185" s="3">
        <v>21.0</v>
      </c>
      <c r="V185" s="2">
        <v>42886.0</v>
      </c>
      <c r="W185" s="1" t="s">
        <v>58</v>
      </c>
      <c r="X185" s="1" t="s">
        <v>59</v>
      </c>
    </row>
    <row r="186" ht="15.75" customHeight="1">
      <c r="A186" s="1" t="s">
        <v>39</v>
      </c>
      <c r="B186" s="1" t="s">
        <v>25</v>
      </c>
      <c r="C186" s="1" t="s">
        <v>80</v>
      </c>
      <c r="D186" s="1" t="s">
        <v>280</v>
      </c>
      <c r="E186" s="1" t="s">
        <v>717</v>
      </c>
      <c r="F186" s="1" t="s">
        <v>1178</v>
      </c>
      <c r="G186" s="1" t="s">
        <v>1179</v>
      </c>
      <c r="H186" s="2">
        <v>26737.0</v>
      </c>
      <c r="I186" s="3">
        <v>52.0</v>
      </c>
      <c r="J186" s="1" t="s">
        <v>31</v>
      </c>
      <c r="K186" s="1" t="s">
        <v>32</v>
      </c>
      <c r="L186" s="1" t="s">
        <v>1180</v>
      </c>
      <c r="M186" s="1" t="s">
        <v>34</v>
      </c>
      <c r="N186" s="2">
        <v>44034.0</v>
      </c>
      <c r="O186" s="2">
        <v>44075.0</v>
      </c>
      <c r="P186" s="1" t="s">
        <v>35</v>
      </c>
      <c r="Q186" s="1" t="s">
        <v>1181</v>
      </c>
      <c r="R186" s="2">
        <v>45231.0</v>
      </c>
      <c r="S186" s="2">
        <v>73050.0</v>
      </c>
      <c r="U186" s="3">
        <v>44.0</v>
      </c>
      <c r="V186" s="2">
        <v>40554.0</v>
      </c>
      <c r="W186" s="1" t="s">
        <v>1182</v>
      </c>
      <c r="X186" s="1" t="s">
        <v>89</v>
      </c>
    </row>
    <row r="187" ht="15.75" customHeight="1">
      <c r="A187" s="1" t="s">
        <v>841</v>
      </c>
      <c r="B187" s="1" t="s">
        <v>40</v>
      </c>
      <c r="C187" s="1" t="s">
        <v>26</v>
      </c>
      <c r="D187" s="1" t="s">
        <v>347</v>
      </c>
      <c r="E187" s="1" t="s">
        <v>601</v>
      </c>
      <c r="F187" s="1" t="s">
        <v>1183</v>
      </c>
      <c r="G187" s="1" t="s">
        <v>1184</v>
      </c>
      <c r="H187" s="2">
        <v>30655.0</v>
      </c>
      <c r="I187" s="3">
        <v>42.0</v>
      </c>
      <c r="J187" s="1" t="s">
        <v>66</v>
      </c>
      <c r="K187" s="1" t="s">
        <v>32</v>
      </c>
      <c r="L187" s="1" t="s">
        <v>1185</v>
      </c>
      <c r="N187" s="2">
        <v>44328.0</v>
      </c>
      <c r="O187" s="2">
        <v>44348.0</v>
      </c>
      <c r="P187" s="1" t="s">
        <v>35</v>
      </c>
      <c r="Q187" s="1" t="s">
        <v>1186</v>
      </c>
      <c r="R187" s="2">
        <v>45658.0</v>
      </c>
      <c r="S187" s="2">
        <v>46022.0</v>
      </c>
      <c r="U187" s="3">
        <v>21.0</v>
      </c>
    </row>
    <row r="188" ht="15.75" customHeight="1">
      <c r="A188" s="1" t="s">
        <v>39</v>
      </c>
      <c r="B188" s="1" t="s">
        <v>40</v>
      </c>
      <c r="C188" s="1" t="s">
        <v>80</v>
      </c>
      <c r="D188" s="1" t="s">
        <v>1187</v>
      </c>
      <c r="E188" s="1" t="s">
        <v>1188</v>
      </c>
      <c r="F188" s="1" t="s">
        <v>1189</v>
      </c>
      <c r="G188" s="1" t="s">
        <v>1190</v>
      </c>
      <c r="H188" s="2">
        <v>24872.0</v>
      </c>
      <c r="I188" s="3">
        <v>57.0</v>
      </c>
      <c r="J188" s="1" t="s">
        <v>66</v>
      </c>
      <c r="K188" s="1" t="s">
        <v>32</v>
      </c>
      <c r="L188" s="1" t="s">
        <v>1191</v>
      </c>
      <c r="M188" s="1" t="s">
        <v>359</v>
      </c>
      <c r="N188" s="2">
        <v>44342.0</v>
      </c>
      <c r="O188" s="2">
        <v>44348.0</v>
      </c>
      <c r="P188" s="1" t="s">
        <v>35</v>
      </c>
      <c r="Q188" s="1" t="s">
        <v>1192</v>
      </c>
      <c r="R188" s="2">
        <v>45658.0</v>
      </c>
      <c r="S188" s="2">
        <v>46022.0</v>
      </c>
      <c r="U188" s="3">
        <v>21.0</v>
      </c>
      <c r="V188" s="2">
        <v>41971.0</v>
      </c>
      <c r="W188" s="1" t="s">
        <v>1193</v>
      </c>
      <c r="X188" s="1" t="s">
        <v>59</v>
      </c>
    </row>
    <row r="189" ht="15.75" customHeight="1">
      <c r="A189" s="1" t="s">
        <v>78</v>
      </c>
      <c r="B189" s="1" t="s">
        <v>109</v>
      </c>
      <c r="C189" s="1" t="s">
        <v>80</v>
      </c>
      <c r="D189" s="1" t="s">
        <v>1194</v>
      </c>
      <c r="E189" s="1" t="s">
        <v>1195</v>
      </c>
      <c r="F189" s="1" t="s">
        <v>1196</v>
      </c>
      <c r="G189" s="1" t="s">
        <v>1197</v>
      </c>
      <c r="H189" s="2">
        <v>26145.0</v>
      </c>
      <c r="I189" s="3">
        <v>54.0</v>
      </c>
      <c r="J189" s="1" t="s">
        <v>66</v>
      </c>
      <c r="K189" s="1" t="s">
        <v>32</v>
      </c>
      <c r="L189" s="1" t="s">
        <v>1198</v>
      </c>
      <c r="M189" s="1" t="s">
        <v>34</v>
      </c>
      <c r="N189" s="2">
        <v>44445.0</v>
      </c>
      <c r="O189" s="2">
        <v>44470.0</v>
      </c>
      <c r="P189" s="1" t="s">
        <v>35</v>
      </c>
      <c r="Q189" s="1" t="s">
        <v>1199</v>
      </c>
      <c r="R189" s="2">
        <v>45658.0</v>
      </c>
      <c r="S189" s="2">
        <v>46022.0</v>
      </c>
      <c r="T189" s="1" t="s">
        <v>1200</v>
      </c>
      <c r="U189" s="3">
        <v>44.0</v>
      </c>
      <c r="V189" s="2">
        <v>40889.0</v>
      </c>
      <c r="W189" s="1" t="s">
        <v>287</v>
      </c>
      <c r="X189" s="1" t="s">
        <v>59</v>
      </c>
    </row>
    <row r="190" ht="15.75" customHeight="1">
      <c r="A190" s="1" t="s">
        <v>78</v>
      </c>
      <c r="B190" s="1" t="s">
        <v>109</v>
      </c>
      <c r="C190" s="1" t="s">
        <v>80</v>
      </c>
      <c r="D190" s="1" t="s">
        <v>1201</v>
      </c>
      <c r="E190" s="1" t="s">
        <v>1202</v>
      </c>
      <c r="F190" s="1" t="s">
        <v>1203</v>
      </c>
      <c r="G190" s="1" t="s">
        <v>1204</v>
      </c>
      <c r="H190" s="2">
        <v>28073.0</v>
      </c>
      <c r="I190" s="3">
        <v>49.0</v>
      </c>
      <c r="J190" s="1" t="s">
        <v>66</v>
      </c>
      <c r="K190" s="1" t="s">
        <v>32</v>
      </c>
      <c r="L190" s="1" t="s">
        <v>1205</v>
      </c>
      <c r="M190" s="1" t="s">
        <v>34</v>
      </c>
      <c r="N190" s="2">
        <v>44551.0</v>
      </c>
      <c r="O190" s="2">
        <v>44562.0</v>
      </c>
      <c r="P190" s="1" t="s">
        <v>35</v>
      </c>
      <c r="Q190" s="1" t="s">
        <v>1206</v>
      </c>
      <c r="R190" s="2">
        <v>45658.0</v>
      </c>
      <c r="S190" s="2">
        <v>46022.0</v>
      </c>
      <c r="U190" s="3">
        <v>44.0</v>
      </c>
      <c r="V190" s="2">
        <v>41313.0</v>
      </c>
      <c r="W190" s="1" t="s">
        <v>1207</v>
      </c>
      <c r="X190" s="1" t="s">
        <v>1208</v>
      </c>
    </row>
    <row r="191" ht="15.75" customHeight="1">
      <c r="A191" s="1" t="s">
        <v>78</v>
      </c>
      <c r="B191" s="1" t="s">
        <v>109</v>
      </c>
      <c r="C191" s="1" t="s">
        <v>26</v>
      </c>
      <c r="D191" s="1" t="s">
        <v>1209</v>
      </c>
      <c r="E191" s="1" t="s">
        <v>41</v>
      </c>
      <c r="F191" s="1" t="s">
        <v>1210</v>
      </c>
      <c r="G191" s="1" t="s">
        <v>1211</v>
      </c>
      <c r="H191" s="2">
        <v>31517.0</v>
      </c>
      <c r="I191" s="3">
        <v>39.0</v>
      </c>
      <c r="J191" s="1" t="s">
        <v>66</v>
      </c>
      <c r="K191" s="1" t="s">
        <v>32</v>
      </c>
      <c r="L191" s="1" t="s">
        <v>1212</v>
      </c>
      <c r="M191" s="1" t="s">
        <v>34</v>
      </c>
      <c r="N191" s="2">
        <v>44462.0</v>
      </c>
      <c r="O191" s="2">
        <v>44562.0</v>
      </c>
      <c r="P191" s="1" t="s">
        <v>35</v>
      </c>
      <c r="Q191" s="1" t="s">
        <v>1213</v>
      </c>
      <c r="R191" s="2">
        <v>45658.0</v>
      </c>
      <c r="S191" s="2">
        <v>46022.0</v>
      </c>
      <c r="U191" s="3">
        <v>44.0</v>
      </c>
      <c r="V191" s="2">
        <v>43799.0</v>
      </c>
      <c r="W191" s="1" t="s">
        <v>686</v>
      </c>
      <c r="X191" s="1" t="s">
        <v>89</v>
      </c>
    </row>
    <row r="192" ht="15.75" customHeight="1">
      <c r="A192" s="1" t="s">
        <v>78</v>
      </c>
      <c r="B192" s="1" t="s">
        <v>25</v>
      </c>
      <c r="C192" s="1" t="s">
        <v>26</v>
      </c>
      <c r="D192" s="1" t="s">
        <v>1214</v>
      </c>
      <c r="E192" s="1" t="s">
        <v>1114</v>
      </c>
      <c r="F192" s="1" t="s">
        <v>1215</v>
      </c>
      <c r="G192" s="1" t="s">
        <v>1216</v>
      </c>
      <c r="H192" s="2">
        <v>26796.0</v>
      </c>
      <c r="I192" s="3">
        <v>52.0</v>
      </c>
      <c r="J192" s="1" t="s">
        <v>66</v>
      </c>
      <c r="K192" s="1" t="s">
        <v>32</v>
      </c>
      <c r="L192" s="1" t="s">
        <v>1217</v>
      </c>
      <c r="M192" s="1" t="s">
        <v>34</v>
      </c>
      <c r="N192" s="2">
        <v>44524.0</v>
      </c>
      <c r="O192" s="2">
        <v>44652.0</v>
      </c>
      <c r="P192" s="1" t="s">
        <v>35</v>
      </c>
      <c r="Q192" s="1" t="s">
        <v>1218</v>
      </c>
      <c r="R192" s="2">
        <v>45658.0</v>
      </c>
      <c r="S192" s="2">
        <v>46022.0</v>
      </c>
      <c r="U192" s="3">
        <v>44.0</v>
      </c>
      <c r="V192" s="2">
        <v>38077.0</v>
      </c>
      <c r="W192" s="1" t="s">
        <v>1219</v>
      </c>
      <c r="X192" s="1" t="s">
        <v>98</v>
      </c>
    </row>
    <row r="193" ht="15.75" customHeight="1">
      <c r="A193" s="1" t="s">
        <v>24</v>
      </c>
      <c r="B193" s="1" t="s">
        <v>109</v>
      </c>
      <c r="C193" s="1" t="s">
        <v>26</v>
      </c>
      <c r="D193" s="1" t="s">
        <v>528</v>
      </c>
      <c r="E193" s="1" t="s">
        <v>51</v>
      </c>
      <c r="F193" s="1" t="s">
        <v>1220</v>
      </c>
      <c r="G193" s="1" t="s">
        <v>1221</v>
      </c>
      <c r="H193" s="2">
        <v>30864.0</v>
      </c>
      <c r="I193" s="3">
        <v>41.0</v>
      </c>
      <c r="J193" s="1" t="s">
        <v>66</v>
      </c>
      <c r="K193" s="1" t="s">
        <v>32</v>
      </c>
      <c r="L193" s="1" t="s">
        <v>1222</v>
      </c>
      <c r="M193" s="1" t="s">
        <v>34</v>
      </c>
      <c r="N193" s="2">
        <v>44700.0</v>
      </c>
      <c r="O193" s="2">
        <v>44774.0</v>
      </c>
      <c r="P193" s="1" t="s">
        <v>35</v>
      </c>
      <c r="Q193" s="1" t="s">
        <v>1223</v>
      </c>
      <c r="R193" s="2">
        <v>45658.0</v>
      </c>
      <c r="S193" s="2">
        <v>46022.0</v>
      </c>
      <c r="T193" s="1" t="s">
        <v>1224</v>
      </c>
      <c r="U193" s="3">
        <v>44.0</v>
      </c>
      <c r="V193" s="2">
        <v>44728.0</v>
      </c>
      <c r="W193" s="1" t="s">
        <v>1225</v>
      </c>
      <c r="X193" s="1" t="s">
        <v>227</v>
      </c>
    </row>
    <row r="194" ht="15.75" customHeight="1">
      <c r="A194" s="1" t="s">
        <v>78</v>
      </c>
      <c r="B194" s="1" t="s">
        <v>109</v>
      </c>
      <c r="C194" s="1" t="s">
        <v>80</v>
      </c>
      <c r="D194" s="1" t="s">
        <v>1226</v>
      </c>
      <c r="E194" s="1" t="s">
        <v>1227</v>
      </c>
      <c r="F194" s="1" t="s">
        <v>1228</v>
      </c>
      <c r="G194" s="1" t="s">
        <v>1229</v>
      </c>
      <c r="H194" s="2">
        <v>25815.0</v>
      </c>
      <c r="I194" s="3">
        <v>55.0</v>
      </c>
      <c r="J194" s="1" t="s">
        <v>66</v>
      </c>
      <c r="K194" s="1" t="s">
        <v>32</v>
      </c>
      <c r="L194" s="1" t="s">
        <v>1230</v>
      </c>
      <c r="M194" s="1" t="s">
        <v>34</v>
      </c>
      <c r="N194" s="2">
        <v>40199.0</v>
      </c>
      <c r="O194" s="2">
        <v>44835.0</v>
      </c>
      <c r="P194" s="1" t="s">
        <v>35</v>
      </c>
      <c r="Q194" s="1" t="s">
        <v>1231</v>
      </c>
      <c r="R194" s="2">
        <v>45658.0</v>
      </c>
      <c r="S194" s="2">
        <v>46022.0</v>
      </c>
      <c r="T194" s="1" t="s">
        <v>1232</v>
      </c>
      <c r="U194" s="3">
        <v>12.0</v>
      </c>
      <c r="V194" s="2">
        <v>37622.0</v>
      </c>
      <c r="W194" s="1" t="s">
        <v>1233</v>
      </c>
      <c r="X194" s="1" t="s">
        <v>227</v>
      </c>
    </row>
    <row r="195" ht="15.75" customHeight="1">
      <c r="A195" s="1" t="s">
        <v>337</v>
      </c>
      <c r="B195" s="1" t="s">
        <v>109</v>
      </c>
      <c r="C195" s="1" t="s">
        <v>26</v>
      </c>
      <c r="D195" s="1" t="s">
        <v>1234</v>
      </c>
      <c r="E195" s="1" t="s">
        <v>1235</v>
      </c>
      <c r="F195" s="1" t="s">
        <v>1236</v>
      </c>
      <c r="G195" s="1" t="s">
        <v>1237</v>
      </c>
      <c r="H195" s="2">
        <v>30851.0</v>
      </c>
      <c r="I195" s="3">
        <v>41.0</v>
      </c>
      <c r="J195" s="1" t="s">
        <v>66</v>
      </c>
      <c r="K195" s="1" t="s">
        <v>32</v>
      </c>
      <c r="L195" s="1" t="s">
        <v>1238</v>
      </c>
      <c r="M195" s="1" t="s">
        <v>34</v>
      </c>
      <c r="N195" s="2">
        <v>44845.0</v>
      </c>
      <c r="O195" s="2">
        <v>44866.0</v>
      </c>
      <c r="P195" s="1" t="s">
        <v>35</v>
      </c>
      <c r="Q195" s="1" t="s">
        <v>1239</v>
      </c>
      <c r="R195" s="2">
        <v>45658.0</v>
      </c>
      <c r="S195" s="2">
        <v>46022.0</v>
      </c>
      <c r="T195" s="1" t="s">
        <v>1240</v>
      </c>
      <c r="U195" s="3">
        <v>44.0</v>
      </c>
      <c r="V195" s="2">
        <v>43874.0</v>
      </c>
      <c r="W195" s="1" t="s">
        <v>1241</v>
      </c>
      <c r="X195" s="1" t="s">
        <v>497</v>
      </c>
    </row>
    <row r="196" ht="15.75" customHeight="1">
      <c r="A196" s="1" t="s">
        <v>39</v>
      </c>
      <c r="B196" s="1" t="s">
        <v>40</v>
      </c>
      <c r="C196" s="1" t="s">
        <v>80</v>
      </c>
      <c r="D196" s="1" t="s">
        <v>1242</v>
      </c>
      <c r="E196" s="1" t="s">
        <v>406</v>
      </c>
      <c r="F196" s="1" t="s">
        <v>1243</v>
      </c>
      <c r="G196" s="1" t="s">
        <v>1244</v>
      </c>
      <c r="H196" s="2">
        <v>29340.0</v>
      </c>
      <c r="I196" s="3">
        <v>45.0</v>
      </c>
      <c r="J196" s="1" t="s">
        <v>66</v>
      </c>
      <c r="K196" s="1" t="s">
        <v>32</v>
      </c>
      <c r="L196" s="1" t="s">
        <v>1245</v>
      </c>
      <c r="M196" s="1" t="s">
        <v>34</v>
      </c>
      <c r="N196" s="2">
        <v>44845.0</v>
      </c>
      <c r="O196" s="2">
        <v>44866.0</v>
      </c>
      <c r="P196" s="1" t="s">
        <v>35</v>
      </c>
      <c r="Q196" s="1" t="s">
        <v>1246</v>
      </c>
      <c r="R196" s="2">
        <v>45658.0</v>
      </c>
      <c r="S196" s="2">
        <v>46022.0</v>
      </c>
      <c r="T196" s="1" t="s">
        <v>1247</v>
      </c>
      <c r="U196" s="3">
        <v>21.0</v>
      </c>
      <c r="V196" s="2">
        <v>44603.0</v>
      </c>
      <c r="W196" s="1" t="s">
        <v>1248</v>
      </c>
      <c r="X196" s="1" t="s">
        <v>89</v>
      </c>
    </row>
    <row r="197" ht="15.75" customHeight="1">
      <c r="A197" s="1" t="s">
        <v>39</v>
      </c>
      <c r="B197" s="1" t="s">
        <v>99</v>
      </c>
      <c r="C197" s="1" t="s">
        <v>80</v>
      </c>
      <c r="D197" s="1" t="s">
        <v>1249</v>
      </c>
      <c r="E197" s="1" t="s">
        <v>1250</v>
      </c>
      <c r="F197" s="1" t="s">
        <v>1251</v>
      </c>
      <c r="G197" s="1" t="s">
        <v>1252</v>
      </c>
      <c r="H197" s="2">
        <v>25663.0</v>
      </c>
      <c r="I197" s="3">
        <v>55.0</v>
      </c>
      <c r="J197" s="1" t="s">
        <v>66</v>
      </c>
      <c r="K197" s="1" t="s">
        <v>32</v>
      </c>
      <c r="L197" s="1" t="s">
        <v>1253</v>
      </c>
      <c r="M197" s="1" t="s">
        <v>34</v>
      </c>
      <c r="N197" s="2">
        <v>45070.0</v>
      </c>
      <c r="O197" s="2">
        <v>44986.0</v>
      </c>
      <c r="P197" s="1" t="s">
        <v>35</v>
      </c>
      <c r="Q197" s="1" t="s">
        <v>1254</v>
      </c>
      <c r="R197" s="2">
        <v>45658.0</v>
      </c>
      <c r="S197" s="2">
        <v>46022.0</v>
      </c>
      <c r="T197" s="1" t="s">
        <v>1255</v>
      </c>
      <c r="U197" s="3">
        <v>44.0</v>
      </c>
      <c r="V197" s="2">
        <v>41540.0</v>
      </c>
      <c r="W197" s="1" t="s">
        <v>1256</v>
      </c>
      <c r="X197" s="1" t="s">
        <v>1075</v>
      </c>
    </row>
    <row r="198" ht="15.75" customHeight="1">
      <c r="A198" s="1" t="s">
        <v>39</v>
      </c>
      <c r="B198" s="1" t="s">
        <v>317</v>
      </c>
      <c r="C198" s="1" t="s">
        <v>26</v>
      </c>
      <c r="D198" s="1" t="s">
        <v>1257</v>
      </c>
      <c r="E198" s="1" t="s">
        <v>1125</v>
      </c>
      <c r="F198" s="1" t="s">
        <v>1258</v>
      </c>
      <c r="G198" s="1" t="s">
        <v>1259</v>
      </c>
      <c r="H198" s="2">
        <v>25865.0</v>
      </c>
      <c r="I198" s="3">
        <v>55.0</v>
      </c>
      <c r="J198" s="1" t="s">
        <v>66</v>
      </c>
      <c r="K198" s="1" t="s">
        <v>32</v>
      </c>
      <c r="L198" s="1" t="s">
        <v>1260</v>
      </c>
      <c r="N198" s="2">
        <v>45017.0</v>
      </c>
      <c r="O198" s="2">
        <v>45017.0</v>
      </c>
      <c r="P198" s="1" t="s">
        <v>35</v>
      </c>
      <c r="Q198" s="1" t="s">
        <v>1261</v>
      </c>
      <c r="R198" s="2">
        <v>45658.0</v>
      </c>
      <c r="S198" s="2">
        <v>46022.0</v>
      </c>
      <c r="U198" s="3">
        <v>21.0</v>
      </c>
    </row>
    <row r="199" ht="15.75" customHeight="1">
      <c r="A199" s="1" t="s">
        <v>337</v>
      </c>
      <c r="B199" s="1" t="s">
        <v>109</v>
      </c>
      <c r="C199" s="1" t="s">
        <v>26</v>
      </c>
      <c r="D199" s="1" t="s">
        <v>1262</v>
      </c>
      <c r="E199" s="1" t="s">
        <v>280</v>
      </c>
      <c r="F199" s="1" t="s">
        <v>1263</v>
      </c>
      <c r="G199" s="1" t="s">
        <v>1264</v>
      </c>
      <c r="H199" s="2">
        <v>29055.0</v>
      </c>
      <c r="I199" s="3">
        <v>46.0</v>
      </c>
      <c r="J199" s="1" t="s">
        <v>66</v>
      </c>
      <c r="K199" s="1" t="s">
        <v>32</v>
      </c>
      <c r="L199" s="1" t="s">
        <v>1265</v>
      </c>
      <c r="M199" s="1" t="s">
        <v>34</v>
      </c>
      <c r="N199" s="2">
        <v>45017.0</v>
      </c>
      <c r="O199" s="2">
        <v>45017.0</v>
      </c>
      <c r="P199" s="1" t="s">
        <v>35</v>
      </c>
      <c r="Q199" s="1" t="s">
        <v>1266</v>
      </c>
      <c r="R199" s="2">
        <v>45658.0</v>
      </c>
      <c r="S199" s="2">
        <v>46022.0</v>
      </c>
      <c r="U199" s="3">
        <v>44.0</v>
      </c>
      <c r="V199" s="2">
        <v>44726.0</v>
      </c>
      <c r="W199" s="1" t="s">
        <v>1267</v>
      </c>
      <c r="X199" s="1" t="s">
        <v>98</v>
      </c>
    </row>
    <row r="200" ht="15.75" customHeight="1">
      <c r="A200" s="1" t="s">
        <v>39</v>
      </c>
      <c r="B200" s="1" t="s">
        <v>1268</v>
      </c>
      <c r="C200" s="1" t="s">
        <v>80</v>
      </c>
      <c r="D200" s="1" t="s">
        <v>1269</v>
      </c>
      <c r="E200" s="1" t="s">
        <v>1270</v>
      </c>
      <c r="F200" s="1" t="s">
        <v>1271</v>
      </c>
      <c r="G200" s="1" t="s">
        <v>1272</v>
      </c>
      <c r="H200" s="2">
        <v>28469.0</v>
      </c>
      <c r="I200" s="3">
        <v>48.0</v>
      </c>
      <c r="J200" s="1" t="s">
        <v>104</v>
      </c>
      <c r="K200" s="1" t="s">
        <v>32</v>
      </c>
      <c r="L200" s="1" t="s">
        <v>1273</v>
      </c>
      <c r="M200" s="1" t="s">
        <v>34</v>
      </c>
      <c r="N200" s="2">
        <v>45026.0</v>
      </c>
      <c r="O200" s="2">
        <v>45108.0</v>
      </c>
      <c r="P200" s="1" t="s">
        <v>35</v>
      </c>
      <c r="Q200" s="1" t="s">
        <v>1274</v>
      </c>
      <c r="R200" s="2">
        <v>45658.0</v>
      </c>
      <c r="S200" s="2">
        <v>46022.0</v>
      </c>
      <c r="T200" s="1" t="s">
        <v>1275</v>
      </c>
      <c r="U200" s="3">
        <v>44.0</v>
      </c>
      <c r="V200" s="2">
        <v>43900.0</v>
      </c>
      <c r="W200" s="1" t="s">
        <v>1276</v>
      </c>
      <c r="X200" s="1" t="s">
        <v>59</v>
      </c>
    </row>
    <row r="201" ht="15.75" customHeight="1">
      <c r="A201" s="1" t="s">
        <v>60</v>
      </c>
      <c r="B201" s="1" t="s">
        <v>1268</v>
      </c>
      <c r="C201" s="1" t="s">
        <v>80</v>
      </c>
      <c r="D201" s="1" t="s">
        <v>1277</v>
      </c>
      <c r="E201" s="1" t="s">
        <v>1039</v>
      </c>
      <c r="F201" s="1" t="s">
        <v>1278</v>
      </c>
      <c r="G201" s="1" t="s">
        <v>1279</v>
      </c>
      <c r="H201" s="2">
        <v>30740.0</v>
      </c>
      <c r="I201" s="3">
        <v>41.0</v>
      </c>
      <c r="J201" s="1" t="s">
        <v>104</v>
      </c>
      <c r="K201" s="1" t="s">
        <v>32</v>
      </c>
      <c r="L201" s="1" t="s">
        <v>1280</v>
      </c>
      <c r="N201" s="2">
        <v>45167.0</v>
      </c>
      <c r="O201" s="2">
        <v>45170.0</v>
      </c>
      <c r="P201" s="1" t="s">
        <v>35</v>
      </c>
      <c r="Q201" s="1" t="s">
        <v>1281</v>
      </c>
      <c r="R201" s="2">
        <v>45658.0</v>
      </c>
      <c r="S201" s="2">
        <v>46022.0</v>
      </c>
      <c r="T201" s="1" t="s">
        <v>1282</v>
      </c>
      <c r="U201" s="3">
        <v>44.0</v>
      </c>
    </row>
    <row r="202" ht="15.75" customHeight="1">
      <c r="A202" s="1" t="s">
        <v>337</v>
      </c>
      <c r="B202" s="1" t="s">
        <v>25</v>
      </c>
      <c r="C202" s="1" t="s">
        <v>80</v>
      </c>
      <c r="D202" s="1" t="s">
        <v>1283</v>
      </c>
      <c r="E202" s="1" t="s">
        <v>1284</v>
      </c>
      <c r="F202" s="1" t="s">
        <v>1285</v>
      </c>
      <c r="G202" s="1" t="s">
        <v>1286</v>
      </c>
      <c r="H202" s="2">
        <v>26401.0</v>
      </c>
      <c r="I202" s="3">
        <v>53.0</v>
      </c>
      <c r="J202" s="1" t="s">
        <v>66</v>
      </c>
      <c r="K202" s="1" t="s">
        <v>32</v>
      </c>
      <c r="L202" s="1" t="s">
        <v>1287</v>
      </c>
      <c r="M202" s="1" t="s">
        <v>34</v>
      </c>
      <c r="N202" s="2">
        <v>45469.0</v>
      </c>
      <c r="O202" s="2">
        <v>45231.0</v>
      </c>
      <c r="P202" s="1" t="s">
        <v>35</v>
      </c>
      <c r="Q202" s="1" t="s">
        <v>1288</v>
      </c>
      <c r="R202" s="2">
        <v>45658.0</v>
      </c>
      <c r="S202" s="2">
        <v>46022.0</v>
      </c>
      <c r="U202" s="3">
        <v>44.0</v>
      </c>
      <c r="V202" s="2">
        <v>43709.0</v>
      </c>
      <c r="W202" s="1" t="s">
        <v>1289</v>
      </c>
      <c r="X202" s="1" t="s">
        <v>227</v>
      </c>
    </row>
    <row r="203" ht="15.75" customHeight="1">
      <c r="A203" s="1" t="s">
        <v>78</v>
      </c>
      <c r="B203" s="1" t="s">
        <v>109</v>
      </c>
      <c r="C203" s="1" t="s">
        <v>26</v>
      </c>
      <c r="D203" s="1" t="s">
        <v>1290</v>
      </c>
      <c r="E203" s="1" t="s">
        <v>943</v>
      </c>
      <c r="F203" s="1" t="s">
        <v>191</v>
      </c>
      <c r="G203" s="1" t="s">
        <v>1291</v>
      </c>
      <c r="H203" s="2">
        <v>30172.0</v>
      </c>
      <c r="I203" s="3">
        <v>43.0</v>
      </c>
      <c r="J203" s="1" t="s">
        <v>66</v>
      </c>
      <c r="K203" s="1" t="s">
        <v>32</v>
      </c>
      <c r="L203" s="1" t="s">
        <v>1292</v>
      </c>
      <c r="M203" s="1" t="s">
        <v>34</v>
      </c>
      <c r="N203" s="2">
        <v>45237.0</v>
      </c>
      <c r="O203" s="2">
        <v>45261.0</v>
      </c>
      <c r="P203" s="1" t="s">
        <v>35</v>
      </c>
      <c r="Q203" s="1" t="s">
        <v>1293</v>
      </c>
      <c r="R203" s="2">
        <v>45658.0</v>
      </c>
      <c r="S203" s="2">
        <v>46022.0</v>
      </c>
      <c r="U203" s="3">
        <v>44.0</v>
      </c>
      <c r="V203" s="2">
        <v>44805.0</v>
      </c>
      <c r="W203" s="1" t="s">
        <v>1294</v>
      </c>
      <c r="X203" s="1" t="s">
        <v>89</v>
      </c>
    </row>
    <row r="204" ht="15.75" customHeight="1">
      <c r="A204" s="1" t="s">
        <v>60</v>
      </c>
      <c r="B204" s="1" t="s">
        <v>1268</v>
      </c>
      <c r="C204" s="1" t="s">
        <v>26</v>
      </c>
      <c r="D204" s="1" t="s">
        <v>1295</v>
      </c>
      <c r="E204" s="1" t="s">
        <v>1296</v>
      </c>
      <c r="F204" s="1" t="s">
        <v>1297</v>
      </c>
      <c r="G204" s="1" t="s">
        <v>1298</v>
      </c>
      <c r="H204" s="2">
        <v>31180.0</v>
      </c>
      <c r="I204" s="3">
        <v>40.0</v>
      </c>
      <c r="J204" s="1" t="s">
        <v>104</v>
      </c>
      <c r="K204" s="1" t="s">
        <v>32</v>
      </c>
      <c r="L204" s="1" t="s">
        <v>1299</v>
      </c>
      <c r="M204" s="1" t="s">
        <v>34</v>
      </c>
      <c r="N204" s="2">
        <v>45237.0</v>
      </c>
      <c r="O204" s="2">
        <v>45261.0</v>
      </c>
      <c r="P204" s="1" t="s">
        <v>35</v>
      </c>
      <c r="Q204" s="1" t="s">
        <v>1300</v>
      </c>
      <c r="R204" s="2">
        <v>45658.0</v>
      </c>
      <c r="S204" s="2">
        <v>46022.0</v>
      </c>
      <c r="T204" s="1" t="s">
        <v>1301</v>
      </c>
      <c r="U204" s="3">
        <v>44.0</v>
      </c>
      <c r="V204" s="2">
        <v>44161.0</v>
      </c>
      <c r="W204" s="1" t="s">
        <v>1302</v>
      </c>
      <c r="X204" s="1" t="s">
        <v>548</v>
      </c>
    </row>
    <row r="205" ht="15.75" customHeight="1">
      <c r="A205" s="1" t="s">
        <v>39</v>
      </c>
      <c r="B205" s="1" t="s">
        <v>109</v>
      </c>
      <c r="C205" s="1" t="s">
        <v>80</v>
      </c>
      <c r="D205" s="1" t="s">
        <v>1303</v>
      </c>
      <c r="E205" s="1" t="s">
        <v>1304</v>
      </c>
      <c r="F205" s="1" t="s">
        <v>1305</v>
      </c>
      <c r="G205" s="1" t="s">
        <v>1306</v>
      </c>
      <c r="H205" s="2">
        <v>26311.0</v>
      </c>
      <c r="I205" s="3">
        <v>54.0</v>
      </c>
      <c r="J205" s="1" t="s">
        <v>66</v>
      </c>
      <c r="K205" s="1" t="s">
        <v>32</v>
      </c>
      <c r="L205" s="1" t="s">
        <v>1307</v>
      </c>
      <c r="M205" s="1" t="s">
        <v>34</v>
      </c>
      <c r="N205" s="2">
        <v>45265.0</v>
      </c>
      <c r="O205" s="2">
        <v>45265.0</v>
      </c>
      <c r="P205" s="1" t="s">
        <v>35</v>
      </c>
      <c r="Q205" s="1" t="s">
        <v>1308</v>
      </c>
      <c r="R205" s="2">
        <v>45658.0</v>
      </c>
      <c r="S205" s="2">
        <v>46022.0</v>
      </c>
      <c r="U205" s="3">
        <v>44.0</v>
      </c>
      <c r="V205" s="2">
        <v>43518.0</v>
      </c>
      <c r="W205" s="1" t="s">
        <v>1309</v>
      </c>
      <c r="X205" s="1" t="s">
        <v>497</v>
      </c>
    </row>
    <row r="206" ht="15.75" customHeight="1">
      <c r="A206" s="1" t="s">
        <v>337</v>
      </c>
      <c r="B206" s="1" t="s">
        <v>109</v>
      </c>
      <c r="C206" s="1" t="s">
        <v>80</v>
      </c>
      <c r="D206" s="1" t="s">
        <v>1310</v>
      </c>
      <c r="E206" s="1" t="s">
        <v>1311</v>
      </c>
      <c r="F206" s="1" t="s">
        <v>1312</v>
      </c>
      <c r="G206" s="1" t="s">
        <v>1313</v>
      </c>
      <c r="H206" s="2">
        <v>29939.0</v>
      </c>
      <c r="I206" s="3">
        <v>44.0</v>
      </c>
      <c r="J206" s="1" t="s">
        <v>66</v>
      </c>
      <c r="K206" s="1" t="s">
        <v>32</v>
      </c>
      <c r="L206" s="1" t="s">
        <v>1314</v>
      </c>
      <c r="M206" s="1" t="s">
        <v>34</v>
      </c>
      <c r="N206" s="2">
        <v>45251.0</v>
      </c>
      <c r="O206" s="2">
        <v>45383.0</v>
      </c>
      <c r="P206" s="1" t="s">
        <v>35</v>
      </c>
      <c r="Q206" s="1" t="s">
        <v>1315</v>
      </c>
      <c r="R206" s="2">
        <v>45658.0</v>
      </c>
      <c r="S206" s="2">
        <v>46022.0</v>
      </c>
      <c r="T206" s="1" t="s">
        <v>1316</v>
      </c>
      <c r="U206" s="3">
        <v>44.0</v>
      </c>
      <c r="V206" s="2">
        <v>43343.0</v>
      </c>
      <c r="W206" s="1" t="s">
        <v>1317</v>
      </c>
      <c r="X206" s="1" t="s">
        <v>227</v>
      </c>
    </row>
    <row r="207" ht="15.75" customHeight="1">
      <c r="A207" s="1" t="s">
        <v>78</v>
      </c>
      <c r="B207" s="1" t="s">
        <v>1268</v>
      </c>
      <c r="C207" s="1" t="s">
        <v>80</v>
      </c>
      <c r="D207" s="1" t="s">
        <v>1318</v>
      </c>
      <c r="E207" s="1" t="s">
        <v>324</v>
      </c>
      <c r="F207" s="1" t="s">
        <v>1319</v>
      </c>
      <c r="G207" s="1" t="s">
        <v>1320</v>
      </c>
      <c r="H207" s="2">
        <v>32347.0</v>
      </c>
      <c r="I207" s="3">
        <v>37.0</v>
      </c>
      <c r="J207" s="1" t="s">
        <v>104</v>
      </c>
      <c r="K207" s="1" t="s">
        <v>32</v>
      </c>
      <c r="L207" s="1" t="s">
        <v>1321</v>
      </c>
      <c r="N207" s="2">
        <v>45420.0</v>
      </c>
      <c r="O207" s="2">
        <v>45444.0</v>
      </c>
      <c r="P207" s="1" t="s">
        <v>35</v>
      </c>
      <c r="Q207" s="1" t="s">
        <v>1322</v>
      </c>
      <c r="R207" s="2">
        <v>45658.0</v>
      </c>
      <c r="S207" s="2">
        <v>46022.0</v>
      </c>
      <c r="T207" s="1" t="s">
        <v>1323</v>
      </c>
      <c r="U207" s="3">
        <v>44.0</v>
      </c>
    </row>
    <row r="208" ht="15.75" customHeight="1">
      <c r="A208" s="1" t="s">
        <v>39</v>
      </c>
      <c r="B208" s="1" t="s">
        <v>1268</v>
      </c>
      <c r="C208" s="1" t="s">
        <v>80</v>
      </c>
      <c r="D208" s="1" t="s">
        <v>1324</v>
      </c>
      <c r="E208" s="1" t="s">
        <v>1325</v>
      </c>
      <c r="F208" s="1" t="s">
        <v>1326</v>
      </c>
      <c r="G208" s="1" t="s">
        <v>1327</v>
      </c>
      <c r="H208" s="2">
        <v>28599.0</v>
      </c>
      <c r="I208" s="3">
        <v>47.0</v>
      </c>
      <c r="J208" s="1" t="s">
        <v>104</v>
      </c>
      <c r="K208" s="1" t="s">
        <v>32</v>
      </c>
      <c r="L208" s="1" t="s">
        <v>1328</v>
      </c>
      <c r="N208" s="2">
        <v>45454.0</v>
      </c>
      <c r="O208" s="2">
        <v>45474.0</v>
      </c>
      <c r="P208" s="1" t="s">
        <v>35</v>
      </c>
      <c r="Q208" s="1" t="s">
        <v>1329</v>
      </c>
      <c r="R208" s="2">
        <v>45658.0</v>
      </c>
      <c r="S208" s="2">
        <v>46022.0</v>
      </c>
      <c r="T208" s="1" t="s">
        <v>1330</v>
      </c>
      <c r="U208" s="3">
        <v>44.0</v>
      </c>
    </row>
    <row r="209" ht="15.75" customHeight="1">
      <c r="A209" s="1" t="s">
        <v>337</v>
      </c>
      <c r="B209" s="1" t="s">
        <v>99</v>
      </c>
      <c r="C209" s="1" t="s">
        <v>80</v>
      </c>
      <c r="D209" s="1" t="s">
        <v>1331</v>
      </c>
      <c r="E209" s="1" t="s">
        <v>1114</v>
      </c>
      <c r="F209" s="1" t="s">
        <v>1332</v>
      </c>
      <c r="G209" s="1" t="s">
        <v>1333</v>
      </c>
      <c r="H209" s="2">
        <v>29614.0</v>
      </c>
      <c r="I209" s="3">
        <v>44.0</v>
      </c>
      <c r="J209" s="1" t="s">
        <v>66</v>
      </c>
      <c r="K209" s="1" t="s">
        <v>32</v>
      </c>
      <c r="L209" s="1" t="s">
        <v>1334</v>
      </c>
      <c r="M209" s="1" t="s">
        <v>1335</v>
      </c>
      <c r="N209" s="2">
        <v>45469.0</v>
      </c>
      <c r="O209" s="2">
        <v>45474.0</v>
      </c>
      <c r="P209" s="1" t="s">
        <v>35</v>
      </c>
      <c r="Q209" s="1" t="s">
        <v>1336</v>
      </c>
      <c r="R209" s="2">
        <v>45658.0</v>
      </c>
      <c r="S209" s="2">
        <v>46022.0</v>
      </c>
      <c r="T209" s="1" t="s">
        <v>1337</v>
      </c>
      <c r="U209" s="3">
        <v>44.0</v>
      </c>
      <c r="V209" s="2">
        <v>41138.0</v>
      </c>
      <c r="W209" s="1" t="s">
        <v>58</v>
      </c>
      <c r="X209" s="1" t="s">
        <v>59</v>
      </c>
    </row>
    <row r="210" ht="15.75" customHeight="1">
      <c r="A210" s="1" t="s">
        <v>39</v>
      </c>
      <c r="B210" s="1" t="s">
        <v>1268</v>
      </c>
      <c r="C210" s="1" t="s">
        <v>80</v>
      </c>
      <c r="D210" s="1" t="s">
        <v>1338</v>
      </c>
      <c r="E210" s="1" t="s">
        <v>1339</v>
      </c>
      <c r="F210" s="1" t="s">
        <v>1340</v>
      </c>
      <c r="G210" s="1" t="s">
        <v>1341</v>
      </c>
      <c r="H210" s="2">
        <v>30089.0</v>
      </c>
      <c r="I210" s="3">
        <v>43.0</v>
      </c>
      <c r="J210" s="1" t="s">
        <v>104</v>
      </c>
      <c r="K210" s="1" t="s">
        <v>32</v>
      </c>
      <c r="L210" s="1" t="s">
        <v>1342</v>
      </c>
      <c r="M210" s="1" t="s">
        <v>34</v>
      </c>
      <c r="N210" s="2">
        <v>45476.0</v>
      </c>
      <c r="O210" s="2">
        <v>45476.0</v>
      </c>
      <c r="P210" s="1" t="s">
        <v>35</v>
      </c>
      <c r="Q210" s="1" t="s">
        <v>1343</v>
      </c>
      <c r="R210" s="2">
        <v>45658.0</v>
      </c>
      <c r="S210" s="2">
        <v>46022.0</v>
      </c>
      <c r="U210" s="3">
        <v>44.0</v>
      </c>
      <c r="V210" s="2">
        <v>44004.0</v>
      </c>
      <c r="W210" s="1" t="s">
        <v>438</v>
      </c>
      <c r="X210" s="1" t="s">
        <v>59</v>
      </c>
    </row>
    <row r="211" ht="15.75" customHeight="1">
      <c r="A211" s="1" t="s">
        <v>78</v>
      </c>
      <c r="B211" s="1" t="s">
        <v>109</v>
      </c>
      <c r="C211" s="1" t="s">
        <v>80</v>
      </c>
      <c r="D211" s="1" t="s">
        <v>1344</v>
      </c>
      <c r="E211" s="1" t="s">
        <v>780</v>
      </c>
      <c r="F211" s="1" t="s">
        <v>1345</v>
      </c>
      <c r="G211" s="1" t="s">
        <v>1346</v>
      </c>
      <c r="H211" s="2">
        <v>31270.0</v>
      </c>
      <c r="I211" s="3">
        <v>40.0</v>
      </c>
      <c r="J211" s="1" t="s">
        <v>66</v>
      </c>
      <c r="K211" s="1" t="s">
        <v>32</v>
      </c>
      <c r="L211" s="1" t="s">
        <v>1347</v>
      </c>
      <c r="M211" s="1" t="s">
        <v>34</v>
      </c>
      <c r="N211" s="2">
        <v>45525.0</v>
      </c>
      <c r="O211" s="2">
        <v>45536.0</v>
      </c>
      <c r="P211" s="1" t="s">
        <v>35</v>
      </c>
      <c r="Q211" s="1" t="s">
        <v>1348</v>
      </c>
      <c r="R211" s="2">
        <v>45658.0</v>
      </c>
      <c r="S211" s="2">
        <v>46022.0</v>
      </c>
      <c r="U211" s="3">
        <v>44.0</v>
      </c>
      <c r="V211" s="2">
        <v>45037.0</v>
      </c>
      <c r="W211" s="1" t="s">
        <v>58</v>
      </c>
      <c r="X211" s="1" t="s">
        <v>59</v>
      </c>
    </row>
    <row r="212" ht="15.75" customHeight="1">
      <c r="A212" s="1" t="s">
        <v>78</v>
      </c>
      <c r="B212" s="1" t="s">
        <v>109</v>
      </c>
      <c r="C212" s="1" t="s">
        <v>80</v>
      </c>
      <c r="D212" s="1" t="s">
        <v>1349</v>
      </c>
      <c r="E212" s="1" t="s">
        <v>1350</v>
      </c>
      <c r="F212" s="1" t="s">
        <v>1351</v>
      </c>
      <c r="G212" s="1" t="s">
        <v>1352</v>
      </c>
      <c r="H212" s="2">
        <v>32527.0</v>
      </c>
      <c r="I212" s="3">
        <v>36.0</v>
      </c>
      <c r="J212" s="1" t="s">
        <v>66</v>
      </c>
      <c r="K212" s="1" t="s">
        <v>32</v>
      </c>
      <c r="L212" s="1" t="s">
        <v>1353</v>
      </c>
      <c r="M212" s="1" t="s">
        <v>34</v>
      </c>
      <c r="N212" s="2">
        <v>45509.0</v>
      </c>
      <c r="O212" s="2">
        <v>45536.0</v>
      </c>
      <c r="P212" s="1" t="s">
        <v>35</v>
      </c>
      <c r="Q212" s="1" t="s">
        <v>1354</v>
      </c>
      <c r="R212" s="2">
        <v>45658.0</v>
      </c>
      <c r="S212" s="2">
        <v>46022.0</v>
      </c>
      <c r="U212" s="3">
        <v>44.0</v>
      </c>
      <c r="V212" s="2">
        <v>45429.0</v>
      </c>
      <c r="W212" s="1" t="s">
        <v>58</v>
      </c>
      <c r="X212" s="1" t="s">
        <v>59</v>
      </c>
    </row>
    <row r="213" ht="15.75" customHeight="1">
      <c r="A213" s="1" t="s">
        <v>78</v>
      </c>
      <c r="B213" s="1" t="s">
        <v>317</v>
      </c>
      <c r="C213" s="1" t="s">
        <v>26</v>
      </c>
      <c r="D213" s="1" t="s">
        <v>1355</v>
      </c>
      <c r="E213" s="1" t="s">
        <v>779</v>
      </c>
      <c r="F213" s="1" t="s">
        <v>206</v>
      </c>
      <c r="G213" s="1" t="s">
        <v>1356</v>
      </c>
      <c r="H213" s="2">
        <v>30241.0</v>
      </c>
      <c r="I213" s="3">
        <v>43.0</v>
      </c>
      <c r="J213" s="1" t="s">
        <v>66</v>
      </c>
      <c r="K213" s="1" t="s">
        <v>32</v>
      </c>
      <c r="L213" s="1" t="s">
        <v>1357</v>
      </c>
      <c r="M213" s="1" t="s">
        <v>34</v>
      </c>
      <c r="N213" s="2">
        <v>45545.0</v>
      </c>
      <c r="O213" s="2">
        <v>45566.0</v>
      </c>
      <c r="P213" s="1" t="s">
        <v>35</v>
      </c>
      <c r="Q213" s="1" t="s">
        <v>1358</v>
      </c>
      <c r="R213" s="2">
        <v>45658.0</v>
      </c>
      <c r="S213" s="2">
        <v>46022.0</v>
      </c>
      <c r="U213" s="3">
        <v>44.0</v>
      </c>
      <c r="V213" s="2">
        <v>42011.0</v>
      </c>
      <c r="W213" s="1" t="s">
        <v>585</v>
      </c>
      <c r="X213" s="1" t="s">
        <v>497</v>
      </c>
    </row>
    <row r="214" ht="15.75" customHeight="1">
      <c r="A214" s="1" t="s">
        <v>60</v>
      </c>
      <c r="B214" s="1" t="s">
        <v>109</v>
      </c>
      <c r="C214" s="1" t="s">
        <v>26</v>
      </c>
      <c r="D214" s="1" t="s">
        <v>680</v>
      </c>
      <c r="E214" s="1" t="s">
        <v>1344</v>
      </c>
      <c r="F214" s="1" t="s">
        <v>1359</v>
      </c>
      <c r="G214" s="1" t="s">
        <v>1360</v>
      </c>
      <c r="H214" s="2">
        <v>30170.0</v>
      </c>
      <c r="I214" s="3">
        <v>43.0</v>
      </c>
      <c r="J214" s="1" t="s">
        <v>66</v>
      </c>
      <c r="K214" s="1" t="s">
        <v>32</v>
      </c>
      <c r="L214" s="1" t="s">
        <v>1361</v>
      </c>
      <c r="M214" s="1" t="s">
        <v>34</v>
      </c>
      <c r="N214" s="2">
        <v>45545.0</v>
      </c>
      <c r="O214" s="2">
        <v>45566.0</v>
      </c>
      <c r="P214" s="1" t="s">
        <v>35</v>
      </c>
      <c r="Q214" s="1" t="s">
        <v>1362</v>
      </c>
      <c r="R214" s="2">
        <v>45658.0</v>
      </c>
      <c r="S214" s="2">
        <v>46022.0</v>
      </c>
      <c r="U214" s="3">
        <v>44.0</v>
      </c>
      <c r="V214" s="2">
        <v>43199.0</v>
      </c>
      <c r="W214" s="1" t="s">
        <v>438</v>
      </c>
      <c r="X214" s="1" t="s">
        <v>59</v>
      </c>
    </row>
    <row r="215" ht="15.75" customHeight="1">
      <c r="A215" s="1" t="s">
        <v>337</v>
      </c>
      <c r="B215" s="1" t="s">
        <v>109</v>
      </c>
      <c r="C215" s="1" t="s">
        <v>80</v>
      </c>
      <c r="D215" s="1" t="s">
        <v>874</v>
      </c>
      <c r="E215" s="1" t="s">
        <v>1363</v>
      </c>
      <c r="F215" s="1" t="s">
        <v>1364</v>
      </c>
      <c r="G215" s="1" t="s">
        <v>1365</v>
      </c>
      <c r="H215" s="2">
        <v>30934.0</v>
      </c>
      <c r="I215" s="3">
        <v>41.0</v>
      </c>
      <c r="J215" s="1" t="s">
        <v>66</v>
      </c>
      <c r="K215" s="1" t="s">
        <v>32</v>
      </c>
      <c r="L215" s="1" t="s">
        <v>1366</v>
      </c>
      <c r="M215" s="1" t="s">
        <v>34</v>
      </c>
      <c r="N215" s="2">
        <v>45593.0</v>
      </c>
      <c r="O215" s="2">
        <v>45597.0</v>
      </c>
      <c r="P215" s="1" t="s">
        <v>35</v>
      </c>
      <c r="Q215" s="1" t="s">
        <v>1367</v>
      </c>
      <c r="R215" s="2">
        <v>45658.0</v>
      </c>
      <c r="S215" s="2">
        <v>46022.0</v>
      </c>
      <c r="U215" s="3">
        <v>44.0</v>
      </c>
      <c r="V215" s="2">
        <v>42550.0</v>
      </c>
      <c r="W215" s="1" t="s">
        <v>188</v>
      </c>
      <c r="X215" s="1" t="s">
        <v>89</v>
      </c>
    </row>
    <row r="216" ht="15.75" customHeight="1">
      <c r="A216" s="1" t="s">
        <v>337</v>
      </c>
      <c r="B216" s="1" t="s">
        <v>109</v>
      </c>
      <c r="C216" s="1" t="s">
        <v>26</v>
      </c>
      <c r="D216" s="1" t="s">
        <v>1368</v>
      </c>
      <c r="E216" s="1" t="s">
        <v>1369</v>
      </c>
      <c r="F216" s="1" t="s">
        <v>1370</v>
      </c>
      <c r="G216" s="1" t="s">
        <v>1371</v>
      </c>
      <c r="H216" s="2">
        <v>28580.0</v>
      </c>
      <c r="I216" s="3">
        <v>47.0</v>
      </c>
      <c r="J216" s="1" t="s">
        <v>66</v>
      </c>
      <c r="K216" s="1" t="s">
        <v>32</v>
      </c>
      <c r="L216" s="1" t="s">
        <v>1372</v>
      </c>
      <c r="M216" s="1" t="s">
        <v>34</v>
      </c>
      <c r="N216" s="2">
        <v>45611.0</v>
      </c>
      <c r="O216" s="2">
        <v>45627.0</v>
      </c>
      <c r="P216" s="1" t="s">
        <v>35</v>
      </c>
      <c r="Q216" s="1" t="s">
        <v>1373</v>
      </c>
      <c r="R216" s="2">
        <v>45658.0</v>
      </c>
      <c r="S216" s="2">
        <v>46022.0</v>
      </c>
      <c r="T216" s="1" t="s">
        <v>1374</v>
      </c>
      <c r="U216" s="3">
        <v>44.0</v>
      </c>
      <c r="V216" s="2">
        <v>43054.0</v>
      </c>
      <c r="W216" s="1" t="s">
        <v>1375</v>
      </c>
      <c r="X216" s="1" t="s">
        <v>77</v>
      </c>
    </row>
    <row r="217" ht="15.75" customHeight="1">
      <c r="A217" s="1" t="s">
        <v>39</v>
      </c>
      <c r="B217" s="1" t="s">
        <v>99</v>
      </c>
      <c r="C217" s="1" t="s">
        <v>26</v>
      </c>
      <c r="D217" s="1" t="s">
        <v>1376</v>
      </c>
      <c r="E217" s="1" t="s">
        <v>1377</v>
      </c>
      <c r="F217" s="1" t="s">
        <v>1378</v>
      </c>
      <c r="G217" s="1" t="s">
        <v>1379</v>
      </c>
      <c r="H217" s="2">
        <v>24509.0</v>
      </c>
      <c r="I217" s="3">
        <v>58.0</v>
      </c>
      <c r="J217" s="1" t="s">
        <v>66</v>
      </c>
      <c r="K217" s="1" t="s">
        <v>32</v>
      </c>
      <c r="L217" s="1" t="s">
        <v>1380</v>
      </c>
      <c r="M217" s="1" t="s">
        <v>34</v>
      </c>
      <c r="N217" s="2">
        <v>45616.0</v>
      </c>
      <c r="O217" s="2">
        <v>45627.0</v>
      </c>
      <c r="P217" s="1" t="s">
        <v>35</v>
      </c>
      <c r="Q217" s="1" t="s">
        <v>1381</v>
      </c>
      <c r="R217" s="2">
        <v>45658.0</v>
      </c>
      <c r="S217" s="2">
        <v>46022.0</v>
      </c>
      <c r="T217" s="1" t="s">
        <v>1382</v>
      </c>
      <c r="U217" s="3">
        <v>44.0</v>
      </c>
      <c r="V217" s="2">
        <v>38716.0</v>
      </c>
      <c r="W217" s="1" t="s">
        <v>438</v>
      </c>
      <c r="X217" s="1" t="s">
        <v>59</v>
      </c>
    </row>
    <row r="218" ht="15.75" customHeight="1">
      <c r="A218" s="1" t="s">
        <v>337</v>
      </c>
      <c r="B218" s="1" t="s">
        <v>109</v>
      </c>
      <c r="C218" s="1" t="s">
        <v>80</v>
      </c>
      <c r="D218" s="1" t="s">
        <v>1383</v>
      </c>
      <c r="E218" s="1" t="s">
        <v>1384</v>
      </c>
      <c r="F218" s="1" t="s">
        <v>1385</v>
      </c>
      <c r="G218" s="1" t="s">
        <v>1386</v>
      </c>
      <c r="H218" s="2">
        <v>30238.0</v>
      </c>
      <c r="I218" s="3">
        <v>43.0</v>
      </c>
      <c r="J218" s="1" t="s">
        <v>66</v>
      </c>
      <c r="K218" s="1" t="s">
        <v>32</v>
      </c>
      <c r="L218" s="1" t="s">
        <v>1387</v>
      </c>
      <c r="M218" s="1" t="s">
        <v>34</v>
      </c>
      <c r="N218" s="2">
        <v>45621.0</v>
      </c>
      <c r="O218" s="2">
        <v>45627.0</v>
      </c>
      <c r="P218" s="1" t="s">
        <v>35</v>
      </c>
      <c r="Q218" s="1" t="s">
        <v>1388</v>
      </c>
      <c r="R218" s="2">
        <v>45658.0</v>
      </c>
      <c r="S218" s="2">
        <v>46022.0</v>
      </c>
      <c r="T218" s="1" t="s">
        <v>1389</v>
      </c>
      <c r="U218" s="3">
        <v>44.0</v>
      </c>
      <c r="V218" s="2">
        <v>43231.0</v>
      </c>
      <c r="W218" s="1" t="s">
        <v>1390</v>
      </c>
      <c r="X218" s="1" t="s">
        <v>38</v>
      </c>
    </row>
    <row r="219" ht="15.75" customHeight="1">
      <c r="A219" s="1" t="s">
        <v>60</v>
      </c>
      <c r="B219" s="1" t="s">
        <v>109</v>
      </c>
      <c r="C219" s="1" t="s">
        <v>80</v>
      </c>
      <c r="D219" s="1" t="s">
        <v>1391</v>
      </c>
      <c r="E219" s="1" t="s">
        <v>1392</v>
      </c>
      <c r="F219" s="1" t="s">
        <v>1393</v>
      </c>
      <c r="G219" s="1" t="s">
        <v>1394</v>
      </c>
      <c r="H219" s="2">
        <v>32930.0</v>
      </c>
      <c r="I219" s="3">
        <v>35.0</v>
      </c>
      <c r="J219" s="1" t="s">
        <v>66</v>
      </c>
      <c r="K219" s="1" t="s">
        <v>32</v>
      </c>
      <c r="L219" s="1" t="s">
        <v>1395</v>
      </c>
      <c r="M219" s="1" t="s">
        <v>34</v>
      </c>
      <c r="N219" s="2">
        <v>45611.0</v>
      </c>
      <c r="O219" s="2">
        <v>45627.0</v>
      </c>
      <c r="P219" s="1" t="s">
        <v>35</v>
      </c>
      <c r="Q219" s="1" t="s">
        <v>1396</v>
      </c>
      <c r="R219" s="2">
        <v>45658.0</v>
      </c>
      <c r="S219" s="2">
        <v>46022.0</v>
      </c>
      <c r="U219" s="3">
        <v>44.0</v>
      </c>
      <c r="V219" s="2">
        <v>44496.0</v>
      </c>
      <c r="W219" s="1" t="s">
        <v>438</v>
      </c>
      <c r="X219" s="1" t="s">
        <v>59</v>
      </c>
    </row>
    <row r="220" ht="15.75" customHeight="1">
      <c r="A220" s="1" t="s">
        <v>337</v>
      </c>
      <c r="B220" s="1" t="s">
        <v>109</v>
      </c>
      <c r="C220" s="1" t="s">
        <v>26</v>
      </c>
      <c r="D220" s="1" t="s">
        <v>1397</v>
      </c>
      <c r="E220" s="1" t="s">
        <v>1398</v>
      </c>
      <c r="F220" s="1" t="s">
        <v>1399</v>
      </c>
      <c r="G220" s="1" t="s">
        <v>1400</v>
      </c>
      <c r="H220" s="2">
        <v>29133.0</v>
      </c>
      <c r="I220" s="3">
        <v>46.0</v>
      </c>
      <c r="J220" s="1" t="s">
        <v>66</v>
      </c>
      <c r="K220" s="1" t="s">
        <v>32</v>
      </c>
      <c r="L220" s="1" t="s">
        <v>1401</v>
      </c>
      <c r="M220" s="1" t="s">
        <v>34</v>
      </c>
      <c r="N220" s="2">
        <v>45315.0</v>
      </c>
      <c r="O220" s="2">
        <v>45627.0</v>
      </c>
      <c r="P220" s="1" t="s">
        <v>35</v>
      </c>
      <c r="Q220" s="1" t="s">
        <v>1402</v>
      </c>
      <c r="R220" s="2">
        <v>45658.0</v>
      </c>
      <c r="S220" s="2">
        <v>46022.0</v>
      </c>
      <c r="T220" s="1" t="s">
        <v>1403</v>
      </c>
      <c r="U220" s="3">
        <v>44.0</v>
      </c>
      <c r="V220" s="2">
        <v>43718.0</v>
      </c>
      <c r="W220" s="1" t="s">
        <v>1404</v>
      </c>
      <c r="X220" s="1" t="s">
        <v>709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>
    <sortState ref="A1:Z1000">
      <sortCondition ref="O1:O1000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39</v>
      </c>
      <c r="B1" s="4" t="s">
        <v>1405</v>
      </c>
      <c r="C1" s="4" t="s">
        <v>317</v>
      </c>
      <c r="D1" s="4" t="s">
        <v>1406</v>
      </c>
      <c r="E1" s="4" t="s">
        <v>26</v>
      </c>
      <c r="F1" s="4" t="s">
        <v>609</v>
      </c>
      <c r="G1" s="4" t="s">
        <v>610</v>
      </c>
      <c r="H1" s="4" t="s">
        <v>611</v>
      </c>
      <c r="I1" s="4" t="s">
        <v>612</v>
      </c>
      <c r="J1" s="5">
        <v>38961.0</v>
      </c>
      <c r="K1" s="5">
        <v>22654.0</v>
      </c>
      <c r="L1" s="4">
        <v>62.0</v>
      </c>
      <c r="M1" s="4" t="s">
        <v>1407</v>
      </c>
      <c r="O1" s="5">
        <v>44927.0</v>
      </c>
      <c r="P1" s="5">
        <v>45291.0</v>
      </c>
      <c r="Q1" s="4" t="s">
        <v>66</v>
      </c>
      <c r="R1" s="4" t="s">
        <v>32</v>
      </c>
      <c r="S1" s="6" t="s">
        <v>1408</v>
      </c>
      <c r="T1" s="4" t="str">
        <f t="array" ref="T1:T1000">IF(S1:S1000="", "", IF(LEN(S1:S1000)=8, "00"&amp;S1:S1000, IF(LEN(S1:S1000)=9, "0"&amp;S1:S1000, S1:S1000)))</f>
        <v>0091977796</v>
      </c>
      <c r="U1" s="4">
        <v>12.0</v>
      </c>
      <c r="V1" s="4" t="s">
        <v>375</v>
      </c>
      <c r="W1" s="4">
        <v>38929.0</v>
      </c>
      <c r="X1" s="4" t="s">
        <v>58</v>
      </c>
      <c r="Y1" s="4" t="s">
        <v>59</v>
      </c>
      <c r="Z1" s="4" t="s">
        <v>1409</v>
      </c>
      <c r="AA1" s="4">
        <v>1987.0</v>
      </c>
      <c r="AB1" s="4" t="s">
        <v>1410</v>
      </c>
      <c r="AC1" s="5">
        <v>32065.0</v>
      </c>
      <c r="AD1" s="4" t="s">
        <v>1411</v>
      </c>
      <c r="AE1" s="5">
        <v>38957.0</v>
      </c>
    </row>
    <row r="2">
      <c r="A2" s="4" t="s">
        <v>1412</v>
      </c>
      <c r="B2" s="4" t="s">
        <v>1413</v>
      </c>
      <c r="C2" s="4" t="s">
        <v>1414</v>
      </c>
      <c r="D2" s="4" t="s">
        <v>1415</v>
      </c>
      <c r="E2" s="4" t="s">
        <v>26</v>
      </c>
      <c r="F2" s="4" t="s">
        <v>609</v>
      </c>
      <c r="G2" s="4" t="s">
        <v>1416</v>
      </c>
      <c r="H2" s="4" t="s">
        <v>1417</v>
      </c>
      <c r="I2" s="4" t="s">
        <v>1418</v>
      </c>
      <c r="J2" s="5">
        <v>36130.0</v>
      </c>
      <c r="K2" s="5">
        <v>24461.0</v>
      </c>
      <c r="L2" s="4">
        <v>57.0</v>
      </c>
      <c r="M2" s="4" t="s">
        <v>1407</v>
      </c>
      <c r="N2" s="4" t="s">
        <v>1419</v>
      </c>
      <c r="O2" s="5">
        <v>37622.0</v>
      </c>
      <c r="P2" s="5">
        <v>37680.0</v>
      </c>
      <c r="Q2" s="4" t="s">
        <v>66</v>
      </c>
      <c r="R2" s="4" t="s">
        <v>32</v>
      </c>
      <c r="S2" s="6" t="s">
        <v>1420</v>
      </c>
      <c r="T2" s="4" t="s">
        <v>1421</v>
      </c>
      <c r="U2" s="4">
        <v>3.0</v>
      </c>
      <c r="Z2" s="4" t="s">
        <v>1422</v>
      </c>
      <c r="AA2" s="4">
        <v>1996.0</v>
      </c>
      <c r="AB2" s="4" t="s">
        <v>58</v>
      </c>
      <c r="AC2" s="5">
        <v>35156.0</v>
      </c>
      <c r="AD2" s="4" t="s">
        <v>1411</v>
      </c>
    </row>
    <row r="3">
      <c r="A3" s="4" t="s">
        <v>60</v>
      </c>
      <c r="B3" s="4" t="s">
        <v>1423</v>
      </c>
      <c r="C3" s="4" t="s">
        <v>109</v>
      </c>
      <c r="D3" s="4" t="s">
        <v>1424</v>
      </c>
      <c r="E3" s="4" t="s">
        <v>80</v>
      </c>
      <c r="F3" s="4" t="s">
        <v>873</v>
      </c>
      <c r="G3" s="4" t="s">
        <v>874</v>
      </c>
      <c r="H3" s="4" t="s">
        <v>875</v>
      </c>
      <c r="I3" s="4" t="s">
        <v>876</v>
      </c>
      <c r="J3" s="5">
        <v>41426.0</v>
      </c>
      <c r="K3" s="5">
        <v>27667.0</v>
      </c>
      <c r="L3" s="4">
        <v>48.0</v>
      </c>
      <c r="M3" s="4" t="s">
        <v>1425</v>
      </c>
      <c r="O3" s="5">
        <v>44927.0</v>
      </c>
      <c r="P3" s="5">
        <v>45291.0</v>
      </c>
      <c r="Q3" s="4" t="s">
        <v>66</v>
      </c>
      <c r="R3" s="4" t="s">
        <v>32</v>
      </c>
      <c r="S3" s="6" t="s">
        <v>1426</v>
      </c>
      <c r="T3" s="4" t="s">
        <v>877</v>
      </c>
      <c r="U3" s="4">
        <v>22.0</v>
      </c>
      <c r="V3" s="4" t="s">
        <v>34</v>
      </c>
      <c r="W3" s="4">
        <v>43593.0</v>
      </c>
      <c r="X3" s="4" t="s">
        <v>438</v>
      </c>
      <c r="Y3" s="4" t="s">
        <v>59</v>
      </c>
      <c r="Z3" s="4" t="s">
        <v>1427</v>
      </c>
      <c r="AA3" s="4">
        <v>2002.0</v>
      </c>
      <c r="AB3" s="4" t="s">
        <v>58</v>
      </c>
      <c r="AC3" s="5">
        <v>37439.0</v>
      </c>
      <c r="AD3" s="4" t="s">
        <v>1411</v>
      </c>
      <c r="AE3" s="5">
        <v>43635.0</v>
      </c>
    </row>
    <row r="4">
      <c r="A4" s="4" t="s">
        <v>60</v>
      </c>
      <c r="B4" s="4" t="s">
        <v>1428</v>
      </c>
      <c r="C4" s="4" t="s">
        <v>79</v>
      </c>
      <c r="D4" s="4" t="s">
        <v>1429</v>
      </c>
      <c r="E4" s="4" t="s">
        <v>26</v>
      </c>
      <c r="F4" s="4" t="s">
        <v>346</v>
      </c>
      <c r="G4" s="4" t="s">
        <v>347</v>
      </c>
      <c r="H4" s="4" t="s">
        <v>348</v>
      </c>
      <c r="I4" s="4" t="s">
        <v>349</v>
      </c>
      <c r="J4" s="5">
        <v>36647.0</v>
      </c>
      <c r="K4" s="5">
        <v>22349.0</v>
      </c>
      <c r="L4" s="4">
        <v>62.0</v>
      </c>
      <c r="M4" s="4" t="s">
        <v>1407</v>
      </c>
      <c r="N4" s="4" t="s">
        <v>1419</v>
      </c>
      <c r="O4" s="5">
        <v>42856.0</v>
      </c>
      <c r="P4" s="5">
        <v>73050.0</v>
      </c>
      <c r="Q4" s="4" t="s">
        <v>31</v>
      </c>
      <c r="R4" s="4" t="s">
        <v>32</v>
      </c>
      <c r="S4" s="6" t="s">
        <v>350</v>
      </c>
      <c r="T4" s="4" t="s">
        <v>350</v>
      </c>
      <c r="U4" s="4">
        <v>44.0</v>
      </c>
      <c r="V4" s="4" t="s">
        <v>34</v>
      </c>
      <c r="W4" s="4">
        <v>36891.0</v>
      </c>
      <c r="X4" s="4" t="s">
        <v>353</v>
      </c>
      <c r="Y4" s="4" t="s">
        <v>38</v>
      </c>
      <c r="Z4" s="4" t="s">
        <v>1427</v>
      </c>
      <c r="AA4" s="4">
        <v>1990.0</v>
      </c>
      <c r="AB4" s="4" t="s">
        <v>58</v>
      </c>
      <c r="AC4" s="5">
        <v>32955.0</v>
      </c>
      <c r="AD4" s="4" t="s">
        <v>1411</v>
      </c>
      <c r="AE4" s="5">
        <v>41738.0</v>
      </c>
    </row>
    <row r="5">
      <c r="A5" s="4" t="s">
        <v>78</v>
      </c>
      <c r="B5" s="4" t="s">
        <v>1430</v>
      </c>
      <c r="C5" s="4" t="s">
        <v>61</v>
      </c>
      <c r="D5" s="4" t="s">
        <v>1431</v>
      </c>
      <c r="E5" s="4" t="s">
        <v>80</v>
      </c>
      <c r="F5" s="4" t="s">
        <v>377</v>
      </c>
      <c r="G5" s="4" t="s">
        <v>378</v>
      </c>
      <c r="H5" s="4" t="s">
        <v>379</v>
      </c>
      <c r="I5" s="4" t="s">
        <v>380</v>
      </c>
      <c r="J5" s="5">
        <v>37316.0</v>
      </c>
      <c r="K5" s="5">
        <v>25490.0</v>
      </c>
      <c r="L5" s="4">
        <v>54.0</v>
      </c>
      <c r="M5" s="4" t="s">
        <v>1425</v>
      </c>
      <c r="N5" s="4" t="s">
        <v>1419</v>
      </c>
      <c r="O5" s="5">
        <v>44562.0</v>
      </c>
      <c r="P5" s="5">
        <v>73050.0</v>
      </c>
      <c r="Q5" s="4" t="s">
        <v>31</v>
      </c>
      <c r="R5" s="4" t="s">
        <v>32</v>
      </c>
      <c r="S5" s="6" t="s">
        <v>1432</v>
      </c>
      <c r="T5" s="4" t="s">
        <v>381</v>
      </c>
      <c r="U5" s="4">
        <v>22.0</v>
      </c>
      <c r="V5" s="4" t="s">
        <v>34</v>
      </c>
      <c r="W5" s="4">
        <v>38718.0</v>
      </c>
      <c r="X5" s="4" t="s">
        <v>383</v>
      </c>
      <c r="Y5" s="4" t="s">
        <v>59</v>
      </c>
      <c r="Z5" s="4" t="s">
        <v>1433</v>
      </c>
      <c r="AA5" s="4">
        <v>1995.0</v>
      </c>
      <c r="AB5" s="4" t="s">
        <v>58</v>
      </c>
      <c r="AC5" s="5">
        <v>34719.0</v>
      </c>
      <c r="AD5" s="4" t="s">
        <v>1411</v>
      </c>
      <c r="AE5" s="5">
        <v>44545.0</v>
      </c>
    </row>
    <row r="6">
      <c r="A6" s="4" t="s">
        <v>1434</v>
      </c>
      <c r="B6" s="4" t="s">
        <v>1413</v>
      </c>
      <c r="C6" s="4" t="s">
        <v>1414</v>
      </c>
      <c r="D6" s="4" t="s">
        <v>1415</v>
      </c>
      <c r="E6" s="4" t="s">
        <v>26</v>
      </c>
      <c r="F6" s="4" t="s">
        <v>1435</v>
      </c>
      <c r="G6" s="4" t="s">
        <v>717</v>
      </c>
      <c r="H6" s="4" t="s">
        <v>1436</v>
      </c>
      <c r="I6" s="4" t="s">
        <v>1437</v>
      </c>
      <c r="J6" s="5">
        <v>39326.0</v>
      </c>
      <c r="K6" s="5">
        <v>28048.0</v>
      </c>
      <c r="L6" s="4">
        <v>47.0</v>
      </c>
      <c r="M6" s="4" t="s">
        <v>1425</v>
      </c>
      <c r="O6" s="5">
        <v>40544.0</v>
      </c>
      <c r="P6" s="5">
        <v>40908.0</v>
      </c>
      <c r="Q6" s="4" t="s">
        <v>66</v>
      </c>
      <c r="R6" s="4" t="s">
        <v>32</v>
      </c>
      <c r="S6" s="6" t="s">
        <v>1438</v>
      </c>
      <c r="T6" s="4" t="s">
        <v>1439</v>
      </c>
      <c r="U6" s="4">
        <v>10.0</v>
      </c>
      <c r="V6" s="4" t="s">
        <v>55</v>
      </c>
      <c r="W6" s="4">
        <v>37622.0</v>
      </c>
      <c r="X6" s="4" t="s">
        <v>58</v>
      </c>
      <c r="Y6" s="4" t="s">
        <v>59</v>
      </c>
      <c r="Z6" s="4" t="s">
        <v>1433</v>
      </c>
      <c r="AA6" s="4">
        <v>2005.0</v>
      </c>
      <c r="AB6" s="4" t="s">
        <v>58</v>
      </c>
      <c r="AC6" s="5">
        <v>38597.0</v>
      </c>
      <c r="AD6" s="4" t="s">
        <v>1411</v>
      </c>
      <c r="AE6" s="5">
        <v>39212.0</v>
      </c>
    </row>
    <row r="7">
      <c r="A7" s="4" t="s">
        <v>1434</v>
      </c>
      <c r="B7" s="4" t="s">
        <v>1413</v>
      </c>
      <c r="C7" s="4" t="s">
        <v>1414</v>
      </c>
      <c r="D7" s="4" t="s">
        <v>1415</v>
      </c>
      <c r="E7" s="4" t="s">
        <v>26</v>
      </c>
      <c r="F7" s="4" t="s">
        <v>1435</v>
      </c>
      <c r="G7" s="4" t="s">
        <v>717</v>
      </c>
      <c r="H7" s="4" t="s">
        <v>1436</v>
      </c>
      <c r="I7" s="4" t="s">
        <v>1437</v>
      </c>
      <c r="J7" s="5">
        <v>39326.0</v>
      </c>
      <c r="K7" s="5">
        <v>28048.0</v>
      </c>
      <c r="L7" s="4">
        <v>47.0</v>
      </c>
      <c r="M7" s="4" t="s">
        <v>1425</v>
      </c>
      <c r="O7" s="5">
        <v>40544.0</v>
      </c>
      <c r="P7" s="5">
        <v>40908.0</v>
      </c>
      <c r="Q7" s="4" t="s">
        <v>66</v>
      </c>
      <c r="R7" s="4" t="s">
        <v>32</v>
      </c>
      <c r="S7" s="6" t="s">
        <v>1438</v>
      </c>
      <c r="T7" s="4" t="s">
        <v>1439</v>
      </c>
      <c r="U7" s="4">
        <v>12.0</v>
      </c>
      <c r="V7" s="4" t="s">
        <v>55</v>
      </c>
      <c r="W7" s="4">
        <v>37622.0</v>
      </c>
      <c r="X7" s="4" t="s">
        <v>58</v>
      </c>
      <c r="Y7" s="4" t="s">
        <v>59</v>
      </c>
      <c r="Z7" s="4" t="s">
        <v>1433</v>
      </c>
      <c r="AA7" s="4">
        <v>2005.0</v>
      </c>
      <c r="AB7" s="4" t="s">
        <v>58</v>
      </c>
      <c r="AC7" s="5">
        <v>38597.0</v>
      </c>
      <c r="AD7" s="4" t="s">
        <v>1411</v>
      </c>
      <c r="AE7" s="5">
        <v>39212.0</v>
      </c>
    </row>
    <row r="8">
      <c r="A8" s="4" t="s">
        <v>1440</v>
      </c>
      <c r="B8" s="4" t="s">
        <v>1423</v>
      </c>
      <c r="C8" s="4" t="s">
        <v>109</v>
      </c>
      <c r="D8" s="4" t="s">
        <v>1424</v>
      </c>
      <c r="E8" s="4" t="s">
        <v>26</v>
      </c>
      <c r="F8" s="4" t="s">
        <v>1441</v>
      </c>
      <c r="G8" s="4" t="s">
        <v>1442</v>
      </c>
      <c r="H8" s="4" t="s">
        <v>1443</v>
      </c>
      <c r="I8" s="4" t="s">
        <v>1444</v>
      </c>
      <c r="J8" s="5">
        <v>30956.0</v>
      </c>
      <c r="K8" s="5">
        <v>19886.0</v>
      </c>
      <c r="L8" s="4">
        <v>69.0</v>
      </c>
      <c r="M8" s="4" t="s">
        <v>1407</v>
      </c>
      <c r="N8" s="4" t="s">
        <v>1419</v>
      </c>
      <c r="O8" s="5">
        <v>33420.0</v>
      </c>
      <c r="P8" s="5">
        <v>38664.0</v>
      </c>
      <c r="Q8" s="4" t="s">
        <v>31</v>
      </c>
      <c r="R8" s="4" t="s">
        <v>32</v>
      </c>
      <c r="S8" s="6" t="s">
        <v>1445</v>
      </c>
      <c r="T8" s="4" t="s">
        <v>1446</v>
      </c>
      <c r="U8" s="4">
        <v>6.0</v>
      </c>
      <c r="V8" s="4" t="s">
        <v>106</v>
      </c>
      <c r="W8" s="4">
        <v>32598.0</v>
      </c>
      <c r="X8" s="4" t="s">
        <v>58</v>
      </c>
      <c r="Y8" s="4" t="s">
        <v>59</v>
      </c>
      <c r="Z8" s="4" t="s">
        <v>1422</v>
      </c>
      <c r="AA8" s="4">
        <v>1988.0</v>
      </c>
      <c r="AB8" s="4" t="s">
        <v>58</v>
      </c>
      <c r="AC8" s="5">
        <v>32427.0</v>
      </c>
      <c r="AD8" s="4" t="s">
        <v>1411</v>
      </c>
    </row>
    <row r="9">
      <c r="A9" s="4" t="s">
        <v>1412</v>
      </c>
      <c r="B9" s="4" t="s">
        <v>1447</v>
      </c>
      <c r="C9" s="4" t="s">
        <v>40</v>
      </c>
      <c r="D9" s="4" t="s">
        <v>1448</v>
      </c>
      <c r="E9" s="4" t="s">
        <v>26</v>
      </c>
      <c r="F9" s="4" t="s">
        <v>1449</v>
      </c>
      <c r="G9" s="4" t="s">
        <v>1450</v>
      </c>
      <c r="H9" s="4" t="s">
        <v>1451</v>
      </c>
      <c r="I9" s="4" t="s">
        <v>1452</v>
      </c>
      <c r="J9" s="5">
        <v>38078.0</v>
      </c>
      <c r="K9" s="5">
        <v>19869.0</v>
      </c>
      <c r="L9" s="4">
        <v>69.0</v>
      </c>
      <c r="M9" s="4" t="s">
        <v>1453</v>
      </c>
      <c r="N9" s="4" t="s">
        <v>1419</v>
      </c>
      <c r="O9" s="5">
        <v>38200.0</v>
      </c>
      <c r="P9" s="5">
        <v>38352.0</v>
      </c>
      <c r="Q9" s="4" t="s">
        <v>66</v>
      </c>
      <c r="R9" s="4" t="s">
        <v>32</v>
      </c>
      <c r="S9" s="6" t="s">
        <v>1454</v>
      </c>
      <c r="T9" s="4" t="s">
        <v>1455</v>
      </c>
      <c r="U9" s="4">
        <v>3.0</v>
      </c>
      <c r="Z9" s="4" t="s">
        <v>1427</v>
      </c>
      <c r="AA9" s="4">
        <v>1977.0</v>
      </c>
      <c r="AB9" s="4" t="s">
        <v>438</v>
      </c>
      <c r="AC9" s="5">
        <v>28307.0</v>
      </c>
      <c r="AD9" s="4" t="s">
        <v>1411</v>
      </c>
    </row>
    <row r="10">
      <c r="A10" s="4" t="s">
        <v>24</v>
      </c>
      <c r="B10" s="4" t="s">
        <v>1430</v>
      </c>
      <c r="C10" s="4" t="s">
        <v>61</v>
      </c>
      <c r="D10" s="4" t="s">
        <v>1431</v>
      </c>
      <c r="E10" s="4" t="s">
        <v>26</v>
      </c>
      <c r="F10" s="4" t="s">
        <v>324</v>
      </c>
      <c r="G10" s="4" t="s">
        <v>325</v>
      </c>
      <c r="H10" s="4" t="s">
        <v>326</v>
      </c>
      <c r="I10" s="4" t="s">
        <v>327</v>
      </c>
      <c r="J10" s="5">
        <v>36342.0</v>
      </c>
      <c r="K10" s="5">
        <v>24397.0</v>
      </c>
      <c r="L10" s="4">
        <v>57.0</v>
      </c>
      <c r="M10" s="4" t="s">
        <v>1407</v>
      </c>
      <c r="O10" s="5">
        <v>42736.0</v>
      </c>
      <c r="P10" s="5">
        <v>73050.0</v>
      </c>
      <c r="Q10" s="4" t="s">
        <v>31</v>
      </c>
      <c r="R10" s="4" t="s">
        <v>32</v>
      </c>
      <c r="S10" s="6" t="s">
        <v>1456</v>
      </c>
      <c r="T10" s="4" t="s">
        <v>328</v>
      </c>
      <c r="U10" s="4">
        <v>22.0</v>
      </c>
      <c r="V10" s="4" t="s">
        <v>34</v>
      </c>
      <c r="W10" s="4">
        <v>41794.0</v>
      </c>
      <c r="X10" s="4" t="s">
        <v>323</v>
      </c>
      <c r="Y10" s="4" t="s">
        <v>59</v>
      </c>
      <c r="Z10" s="4" t="s">
        <v>1422</v>
      </c>
      <c r="AA10" s="4">
        <v>1994.0</v>
      </c>
      <c r="AB10" s="4" t="s">
        <v>58</v>
      </c>
      <c r="AC10" s="5">
        <v>34681.0</v>
      </c>
      <c r="AD10" s="4" t="s">
        <v>1411</v>
      </c>
      <c r="AE10" s="5">
        <v>42704.0</v>
      </c>
    </row>
    <row r="11">
      <c r="A11" s="4" t="s">
        <v>1434</v>
      </c>
      <c r="B11" s="4" t="s">
        <v>1423</v>
      </c>
      <c r="C11" s="4" t="s">
        <v>109</v>
      </c>
      <c r="D11" s="4" t="s">
        <v>1424</v>
      </c>
      <c r="E11" s="4" t="s">
        <v>26</v>
      </c>
      <c r="F11" s="4" t="s">
        <v>1457</v>
      </c>
      <c r="G11" s="4" t="s">
        <v>1458</v>
      </c>
      <c r="H11" s="4" t="s">
        <v>1459</v>
      </c>
      <c r="I11" s="4" t="s">
        <v>1460</v>
      </c>
      <c r="J11" s="5">
        <v>26207.0</v>
      </c>
      <c r="K11" s="5">
        <v>18075.0</v>
      </c>
      <c r="L11" s="4">
        <v>74.0</v>
      </c>
      <c r="M11" s="4" t="s">
        <v>1425</v>
      </c>
      <c r="N11" s="4" t="s">
        <v>1461</v>
      </c>
      <c r="O11" s="5">
        <v>33909.0</v>
      </c>
      <c r="P11" s="5">
        <v>37680.0</v>
      </c>
      <c r="Q11" s="4" t="s">
        <v>31</v>
      </c>
      <c r="R11" s="4" t="s">
        <v>32</v>
      </c>
      <c r="S11" s="6" t="s">
        <v>1462</v>
      </c>
      <c r="T11" s="4" t="s">
        <v>1463</v>
      </c>
      <c r="U11" s="4">
        <v>44.0</v>
      </c>
      <c r="V11" s="4" t="s">
        <v>55</v>
      </c>
      <c r="W11" s="4">
        <v>1.0</v>
      </c>
      <c r="X11" s="4" t="s">
        <v>1464</v>
      </c>
      <c r="Y11" s="4" t="s">
        <v>59</v>
      </c>
      <c r="AD11" s="4" t="s">
        <v>1411</v>
      </c>
    </row>
    <row r="12">
      <c r="A12" s="4" t="s">
        <v>1465</v>
      </c>
      <c r="B12" s="4" t="s">
        <v>1466</v>
      </c>
      <c r="C12" s="4" t="s">
        <v>1467</v>
      </c>
      <c r="D12" s="4" t="s">
        <v>1468</v>
      </c>
      <c r="E12" s="4" t="s">
        <v>80</v>
      </c>
      <c r="F12" s="4" t="s">
        <v>143</v>
      </c>
      <c r="G12" s="4" t="s">
        <v>189</v>
      </c>
      <c r="H12" s="4" t="s">
        <v>1469</v>
      </c>
      <c r="I12" s="4" t="s">
        <v>1470</v>
      </c>
      <c r="J12" s="5">
        <v>36161.0</v>
      </c>
      <c r="K12" s="5">
        <v>17137.0</v>
      </c>
      <c r="L12" s="4">
        <v>77.0</v>
      </c>
      <c r="M12" s="4" t="s">
        <v>1407</v>
      </c>
      <c r="O12" s="5">
        <v>36526.0</v>
      </c>
      <c r="P12" s="5">
        <v>36584.0</v>
      </c>
      <c r="Q12" s="4" t="s">
        <v>66</v>
      </c>
      <c r="R12" s="4" t="s">
        <v>32</v>
      </c>
      <c r="S12" s="6" t="s">
        <v>1471</v>
      </c>
      <c r="T12" s="4" t="s">
        <v>1472</v>
      </c>
      <c r="U12" s="4">
        <v>12.0</v>
      </c>
      <c r="AD12" s="4" t="s">
        <v>1411</v>
      </c>
    </row>
    <row r="13">
      <c r="A13" s="4" t="s">
        <v>39</v>
      </c>
      <c r="B13" s="4" t="s">
        <v>1473</v>
      </c>
      <c r="C13" s="4" t="s">
        <v>25</v>
      </c>
      <c r="D13" s="4" t="s">
        <v>1474</v>
      </c>
      <c r="E13" s="4" t="s">
        <v>80</v>
      </c>
      <c r="F13" s="4" t="s">
        <v>610</v>
      </c>
      <c r="G13" s="4" t="s">
        <v>432</v>
      </c>
      <c r="H13" s="4" t="s">
        <v>1475</v>
      </c>
      <c r="I13" s="4" t="s">
        <v>1476</v>
      </c>
      <c r="J13" s="5">
        <v>22737.0</v>
      </c>
      <c r="K13" s="5">
        <v>11690.0</v>
      </c>
      <c r="L13" s="4">
        <v>92.0</v>
      </c>
      <c r="M13" s="4" t="s">
        <v>1407</v>
      </c>
      <c r="N13" s="4" t="s">
        <v>1419</v>
      </c>
      <c r="O13" s="5">
        <v>43101.0</v>
      </c>
      <c r="P13" s="5">
        <v>43453.0</v>
      </c>
      <c r="Q13" s="4" t="s">
        <v>66</v>
      </c>
      <c r="R13" s="4" t="s">
        <v>32</v>
      </c>
      <c r="S13" s="6" t="s">
        <v>1477</v>
      </c>
      <c r="T13" s="4" t="s">
        <v>1478</v>
      </c>
      <c r="U13" s="4">
        <v>12.0</v>
      </c>
      <c r="V13" s="4" t="s">
        <v>106</v>
      </c>
      <c r="W13" s="4">
        <v>32508.0</v>
      </c>
      <c r="X13" s="4" t="s">
        <v>58</v>
      </c>
      <c r="Y13" s="4" t="s">
        <v>59</v>
      </c>
      <c r="Z13" s="4" t="s">
        <v>1479</v>
      </c>
      <c r="AA13" s="4">
        <v>1960.0</v>
      </c>
      <c r="AB13" s="4" t="s">
        <v>58</v>
      </c>
      <c r="AC13" s="5">
        <v>22262.0</v>
      </c>
      <c r="AD13" s="4" t="s">
        <v>1411</v>
      </c>
      <c r="AE13" s="5">
        <v>31351.0</v>
      </c>
    </row>
    <row r="14">
      <c r="A14" s="4" t="s">
        <v>39</v>
      </c>
      <c r="B14" s="4" t="s">
        <v>1473</v>
      </c>
      <c r="C14" s="4" t="s">
        <v>25</v>
      </c>
      <c r="D14" s="4" t="s">
        <v>1474</v>
      </c>
      <c r="E14" s="4" t="s">
        <v>80</v>
      </c>
      <c r="F14" s="4" t="s">
        <v>610</v>
      </c>
      <c r="G14" s="4" t="s">
        <v>432</v>
      </c>
      <c r="H14" s="4" t="s">
        <v>1475</v>
      </c>
      <c r="I14" s="4" t="s">
        <v>1476</v>
      </c>
      <c r="J14" s="5">
        <v>22737.0</v>
      </c>
      <c r="K14" s="5">
        <v>11690.0</v>
      </c>
      <c r="L14" s="4">
        <v>92.0</v>
      </c>
      <c r="M14" s="4" t="s">
        <v>1407</v>
      </c>
      <c r="N14" s="4" t="s">
        <v>1419</v>
      </c>
      <c r="O14" s="5">
        <v>43466.0</v>
      </c>
      <c r="P14" s="5">
        <v>43453.0</v>
      </c>
      <c r="Q14" s="4" t="s">
        <v>66</v>
      </c>
      <c r="R14" s="4" t="s">
        <v>32</v>
      </c>
      <c r="S14" s="6" t="s">
        <v>1477</v>
      </c>
      <c r="T14" s="4" t="s">
        <v>1478</v>
      </c>
      <c r="U14" s="4">
        <v>12.0</v>
      </c>
      <c r="V14" s="4" t="s">
        <v>106</v>
      </c>
      <c r="W14" s="4">
        <v>32508.0</v>
      </c>
      <c r="X14" s="4" t="s">
        <v>58</v>
      </c>
      <c r="Y14" s="4" t="s">
        <v>59</v>
      </c>
      <c r="Z14" s="4" t="s">
        <v>1479</v>
      </c>
      <c r="AA14" s="4">
        <v>1960.0</v>
      </c>
      <c r="AB14" s="4" t="s">
        <v>58</v>
      </c>
      <c r="AC14" s="5">
        <v>22262.0</v>
      </c>
      <c r="AD14" s="4" t="s">
        <v>1411</v>
      </c>
      <c r="AE14" s="5">
        <v>31351.0</v>
      </c>
    </row>
    <row r="15">
      <c r="A15" s="4" t="s">
        <v>1465</v>
      </c>
      <c r="B15" s="4" t="s">
        <v>1447</v>
      </c>
      <c r="C15" s="4" t="s">
        <v>40</v>
      </c>
      <c r="D15" s="4" t="s">
        <v>1448</v>
      </c>
      <c r="E15" s="4" t="s">
        <v>26</v>
      </c>
      <c r="F15" s="4" t="s">
        <v>1480</v>
      </c>
      <c r="G15" s="4" t="s">
        <v>1481</v>
      </c>
      <c r="H15" s="4" t="s">
        <v>1482</v>
      </c>
      <c r="I15" s="4" t="s">
        <v>1483</v>
      </c>
      <c r="J15" s="5">
        <v>36039.0</v>
      </c>
      <c r="K15" s="5">
        <v>21527.0</v>
      </c>
      <c r="L15" s="4">
        <v>65.0</v>
      </c>
      <c r="M15" s="4" t="s">
        <v>1453</v>
      </c>
      <c r="O15" s="5">
        <v>36161.0</v>
      </c>
      <c r="P15" s="5">
        <v>36525.0</v>
      </c>
      <c r="Q15" s="4" t="s">
        <v>66</v>
      </c>
      <c r="R15" s="4" t="s">
        <v>32</v>
      </c>
      <c r="S15" s="6" t="s">
        <v>1484</v>
      </c>
      <c r="T15" s="4" t="s">
        <v>1485</v>
      </c>
      <c r="U15" s="4">
        <v>12.0</v>
      </c>
      <c r="AD15" s="4" t="s">
        <v>1411</v>
      </c>
    </row>
    <row r="16">
      <c r="A16" s="4" t="s">
        <v>1465</v>
      </c>
      <c r="B16" s="4" t="s">
        <v>1423</v>
      </c>
      <c r="C16" s="4" t="s">
        <v>109</v>
      </c>
      <c r="D16" s="4" t="s">
        <v>1424</v>
      </c>
      <c r="E16" s="4" t="s">
        <v>80</v>
      </c>
      <c r="F16" s="4" t="s">
        <v>1486</v>
      </c>
      <c r="G16" s="4" t="s">
        <v>1487</v>
      </c>
      <c r="H16" s="4" t="s">
        <v>1488</v>
      </c>
      <c r="I16" s="4" t="s">
        <v>1489</v>
      </c>
      <c r="J16" s="5">
        <v>37073.0</v>
      </c>
      <c r="K16" s="5">
        <v>14304.0</v>
      </c>
      <c r="L16" s="4">
        <v>84.0</v>
      </c>
      <c r="M16" s="4" t="s">
        <v>1407</v>
      </c>
      <c r="O16" s="5">
        <v>37257.0</v>
      </c>
      <c r="P16" s="5">
        <v>37409.0</v>
      </c>
      <c r="Q16" s="4" t="s">
        <v>66</v>
      </c>
      <c r="R16" s="4" t="s">
        <v>32</v>
      </c>
      <c r="S16" s="6" t="s">
        <v>1490</v>
      </c>
      <c r="T16" s="4" t="s">
        <v>1491</v>
      </c>
      <c r="U16" s="4">
        <v>22.0</v>
      </c>
      <c r="V16" s="4" t="s">
        <v>1492</v>
      </c>
      <c r="W16" s="4">
        <v>1.0</v>
      </c>
      <c r="X16" s="4" t="s">
        <v>1464</v>
      </c>
      <c r="Y16" s="4" t="s">
        <v>59</v>
      </c>
      <c r="AD16" s="4" t="s">
        <v>1411</v>
      </c>
    </row>
    <row r="17">
      <c r="A17" s="4" t="s">
        <v>1440</v>
      </c>
      <c r="B17" s="4" t="s">
        <v>1473</v>
      </c>
      <c r="C17" s="4" t="s">
        <v>25</v>
      </c>
      <c r="D17" s="4" t="s">
        <v>1474</v>
      </c>
      <c r="E17" s="4" t="s">
        <v>26</v>
      </c>
      <c r="F17" s="4" t="s">
        <v>1493</v>
      </c>
      <c r="G17" s="4" t="s">
        <v>1107</v>
      </c>
      <c r="H17" s="4" t="s">
        <v>1494</v>
      </c>
      <c r="I17" s="4" t="s">
        <v>1495</v>
      </c>
      <c r="J17" s="5">
        <v>17989.0</v>
      </c>
      <c r="K17" s="5">
        <v>8443.0</v>
      </c>
      <c r="L17" s="4">
        <v>100.0</v>
      </c>
      <c r="M17" s="4" t="s">
        <v>1407</v>
      </c>
      <c r="O17" s="5">
        <v>35555.0</v>
      </c>
      <c r="P17" s="5">
        <v>35667.0</v>
      </c>
      <c r="Q17" s="4" t="s">
        <v>31</v>
      </c>
      <c r="R17" s="4" t="s">
        <v>32</v>
      </c>
      <c r="S17" s="6" t="s">
        <v>1496</v>
      </c>
      <c r="T17" s="4" t="s">
        <v>1497</v>
      </c>
      <c r="U17" s="4">
        <v>22.0</v>
      </c>
      <c r="AD17" s="4" t="s">
        <v>1411</v>
      </c>
    </row>
    <row r="18">
      <c r="A18" s="4" t="s">
        <v>1440</v>
      </c>
      <c r="B18" s="4" t="s">
        <v>1473</v>
      </c>
      <c r="C18" s="4" t="s">
        <v>25</v>
      </c>
      <c r="D18" s="4" t="s">
        <v>1474</v>
      </c>
      <c r="E18" s="4" t="s">
        <v>26</v>
      </c>
      <c r="F18" s="4" t="s">
        <v>1493</v>
      </c>
      <c r="G18" s="4" t="s">
        <v>1107</v>
      </c>
      <c r="H18" s="4" t="s">
        <v>1494</v>
      </c>
      <c r="I18" s="4" t="s">
        <v>1495</v>
      </c>
      <c r="J18" s="5">
        <v>17989.0</v>
      </c>
      <c r="K18" s="5">
        <v>8443.0</v>
      </c>
      <c r="L18" s="4">
        <v>100.0</v>
      </c>
      <c r="M18" s="4" t="s">
        <v>1407</v>
      </c>
      <c r="O18" s="5">
        <v>35556.0</v>
      </c>
      <c r="P18" s="5">
        <v>35667.0</v>
      </c>
      <c r="Q18" s="4" t="s">
        <v>31</v>
      </c>
      <c r="R18" s="4" t="s">
        <v>32</v>
      </c>
      <c r="S18" s="6" t="s">
        <v>1496</v>
      </c>
      <c r="T18" s="4" t="s">
        <v>1497</v>
      </c>
      <c r="U18" s="4">
        <v>0.0</v>
      </c>
      <c r="AD18" s="4" t="s">
        <v>1411</v>
      </c>
    </row>
    <row r="19">
      <c r="A19" s="4" t="s">
        <v>60</v>
      </c>
      <c r="B19" s="4" t="s">
        <v>1430</v>
      </c>
      <c r="C19" s="4" t="s">
        <v>61</v>
      </c>
      <c r="D19" s="4" t="s">
        <v>1431</v>
      </c>
      <c r="E19" s="4" t="s">
        <v>26</v>
      </c>
      <c r="F19" s="4" t="s">
        <v>165</v>
      </c>
      <c r="G19" s="4" t="s">
        <v>166</v>
      </c>
      <c r="H19" s="4" t="s">
        <v>167</v>
      </c>
      <c r="I19" s="4" t="s">
        <v>168</v>
      </c>
      <c r="J19" s="5">
        <v>33878.0</v>
      </c>
      <c r="K19" s="5">
        <v>21155.0</v>
      </c>
      <c r="L19" s="4">
        <v>66.0</v>
      </c>
      <c r="M19" s="4" t="s">
        <v>1425</v>
      </c>
      <c r="N19" s="4" t="s">
        <v>1419</v>
      </c>
      <c r="O19" s="5">
        <v>42705.0</v>
      </c>
      <c r="P19" s="5">
        <v>73050.0</v>
      </c>
      <c r="Q19" s="4" t="s">
        <v>31</v>
      </c>
      <c r="R19" s="4" t="s">
        <v>32</v>
      </c>
      <c r="S19" s="6" t="s">
        <v>1498</v>
      </c>
      <c r="T19" s="4" t="s">
        <v>169</v>
      </c>
      <c r="U19" s="4">
        <v>12.0</v>
      </c>
      <c r="V19" s="4" t="s">
        <v>170</v>
      </c>
      <c r="W19" s="4">
        <v>39660.0</v>
      </c>
      <c r="X19" s="4" t="s">
        <v>173</v>
      </c>
      <c r="Y19" s="4" t="s">
        <v>59</v>
      </c>
      <c r="Z19" s="4" t="s">
        <v>1499</v>
      </c>
      <c r="AA19" s="4">
        <v>1984.0</v>
      </c>
      <c r="AB19" s="4" t="s">
        <v>58</v>
      </c>
      <c r="AC19" s="5">
        <v>31036.0</v>
      </c>
      <c r="AD19" s="4" t="s">
        <v>1411</v>
      </c>
      <c r="AE19" s="5">
        <v>42515.0</v>
      </c>
    </row>
    <row r="20">
      <c r="A20" s="4" t="s">
        <v>1412</v>
      </c>
      <c r="B20" s="4" t="s">
        <v>1413</v>
      </c>
      <c r="C20" s="4" t="s">
        <v>1414</v>
      </c>
      <c r="D20" s="4" t="s">
        <v>1415</v>
      </c>
      <c r="E20" s="4" t="s">
        <v>80</v>
      </c>
      <c r="F20" s="4" t="s">
        <v>165</v>
      </c>
      <c r="G20" s="4" t="s">
        <v>528</v>
      </c>
      <c r="H20" s="4" t="s">
        <v>1500</v>
      </c>
      <c r="I20" s="4" t="s">
        <v>1501</v>
      </c>
      <c r="J20" s="5">
        <v>25812.0</v>
      </c>
      <c r="K20" s="5">
        <v>16663.0</v>
      </c>
      <c r="L20" s="4">
        <v>78.0</v>
      </c>
      <c r="M20" s="4" t="s">
        <v>1453</v>
      </c>
      <c r="O20" s="5">
        <v>33756.0</v>
      </c>
      <c r="P20" s="5">
        <v>34911.0</v>
      </c>
      <c r="Q20" s="4" t="s">
        <v>31</v>
      </c>
      <c r="R20" s="4" t="s">
        <v>32</v>
      </c>
      <c r="S20" s="6" t="s">
        <v>1502</v>
      </c>
      <c r="T20" s="4" t="s">
        <v>1502</v>
      </c>
      <c r="U20" s="4">
        <v>6.0</v>
      </c>
      <c r="AD20" s="4" t="s">
        <v>1411</v>
      </c>
    </row>
    <row r="21">
      <c r="A21" s="4" t="s">
        <v>1412</v>
      </c>
      <c r="B21" s="4" t="s">
        <v>1423</v>
      </c>
      <c r="C21" s="4" t="s">
        <v>109</v>
      </c>
      <c r="D21" s="4" t="s">
        <v>1424</v>
      </c>
      <c r="E21" s="4" t="s">
        <v>80</v>
      </c>
      <c r="F21" s="4" t="s">
        <v>252</v>
      </c>
      <c r="G21" s="4" t="s">
        <v>143</v>
      </c>
      <c r="H21" s="4" t="s">
        <v>1503</v>
      </c>
      <c r="I21" s="4" t="s">
        <v>1504</v>
      </c>
      <c r="J21" s="5">
        <v>27089.0</v>
      </c>
      <c r="K21" s="5">
        <v>16988.0</v>
      </c>
      <c r="L21" s="4">
        <v>77.0</v>
      </c>
      <c r="M21" s="4" t="s">
        <v>1453</v>
      </c>
      <c r="O21" s="5">
        <v>34060.0</v>
      </c>
      <c r="P21" s="5">
        <v>38503.0</v>
      </c>
      <c r="Q21" s="4" t="s">
        <v>31</v>
      </c>
      <c r="R21" s="4" t="s">
        <v>32</v>
      </c>
      <c r="S21" s="6" t="s">
        <v>1505</v>
      </c>
      <c r="T21" s="4" t="s">
        <v>1505</v>
      </c>
      <c r="U21" s="4">
        <v>22.0</v>
      </c>
      <c r="V21" s="4" t="s">
        <v>1492</v>
      </c>
      <c r="W21" s="4">
        <v>26653.0</v>
      </c>
      <c r="X21" s="4" t="s">
        <v>58</v>
      </c>
      <c r="Y21" s="4" t="s">
        <v>59</v>
      </c>
      <c r="Z21" s="4" t="s">
        <v>1427</v>
      </c>
      <c r="AA21" s="4">
        <v>1900.0</v>
      </c>
      <c r="AB21" s="4" t="s">
        <v>58</v>
      </c>
      <c r="AC21" s="5">
        <v>1.0</v>
      </c>
      <c r="AD21" s="4" t="s">
        <v>1411</v>
      </c>
    </row>
    <row r="22">
      <c r="A22" s="4" t="s">
        <v>1434</v>
      </c>
      <c r="B22" s="4" t="s">
        <v>1413</v>
      </c>
      <c r="C22" s="4" t="s">
        <v>1414</v>
      </c>
      <c r="D22" s="4" t="s">
        <v>1415</v>
      </c>
      <c r="E22" s="4" t="s">
        <v>80</v>
      </c>
      <c r="F22" s="4" t="s">
        <v>252</v>
      </c>
      <c r="G22" s="4" t="s">
        <v>711</v>
      </c>
      <c r="H22" s="4" t="s">
        <v>1506</v>
      </c>
      <c r="I22" s="4" t="s">
        <v>1507</v>
      </c>
      <c r="J22" s="5">
        <v>42125.0</v>
      </c>
      <c r="K22" s="5">
        <v>24261.0</v>
      </c>
      <c r="L22" s="4">
        <v>57.0</v>
      </c>
      <c r="M22" s="4" t="s">
        <v>1407</v>
      </c>
      <c r="O22" s="5">
        <v>42125.0</v>
      </c>
      <c r="P22" s="5">
        <v>42369.0</v>
      </c>
      <c r="Q22" s="4" t="s">
        <v>104</v>
      </c>
      <c r="R22" s="4" t="s">
        <v>32</v>
      </c>
      <c r="S22" s="6" t="s">
        <v>1508</v>
      </c>
      <c r="T22" s="4" t="s">
        <v>1509</v>
      </c>
      <c r="U22" s="4">
        <v>6.0</v>
      </c>
      <c r="Z22" s="4" t="s">
        <v>1510</v>
      </c>
      <c r="AA22" s="4">
        <v>1994.0</v>
      </c>
      <c r="AB22" s="4" t="s">
        <v>1511</v>
      </c>
      <c r="AC22" s="5">
        <v>34346.0</v>
      </c>
      <c r="AD22" s="4" t="s">
        <v>1411</v>
      </c>
      <c r="AE22" s="5">
        <v>41935.0</v>
      </c>
    </row>
    <row r="23">
      <c r="A23" s="4" t="s">
        <v>1440</v>
      </c>
      <c r="B23" s="4" t="s">
        <v>1423</v>
      </c>
      <c r="C23" s="4" t="s">
        <v>109</v>
      </c>
      <c r="D23" s="4" t="s">
        <v>1424</v>
      </c>
      <c r="E23" s="4" t="s">
        <v>26</v>
      </c>
      <c r="F23" s="4" t="s">
        <v>1512</v>
      </c>
      <c r="G23" s="4" t="s">
        <v>861</v>
      </c>
      <c r="H23" s="4" t="s">
        <v>1513</v>
      </c>
      <c r="I23" s="4" t="s">
        <v>1514</v>
      </c>
      <c r="J23" s="5">
        <v>25781.0</v>
      </c>
      <c r="K23" s="5">
        <v>15213.0</v>
      </c>
      <c r="L23" s="4">
        <v>82.0</v>
      </c>
      <c r="M23" s="4" t="s">
        <v>1407</v>
      </c>
      <c r="O23" s="5">
        <v>34851.0</v>
      </c>
      <c r="P23" s="5">
        <v>38467.0</v>
      </c>
      <c r="Q23" s="4" t="s">
        <v>31</v>
      </c>
      <c r="R23" s="4" t="s">
        <v>32</v>
      </c>
      <c r="S23" s="6" t="s">
        <v>1515</v>
      </c>
      <c r="T23" s="4" t="s">
        <v>1516</v>
      </c>
      <c r="U23" s="4">
        <v>6.0</v>
      </c>
      <c r="V23" s="4" t="s">
        <v>106</v>
      </c>
      <c r="W23" s="4">
        <v>25917.0</v>
      </c>
      <c r="X23" s="4" t="s">
        <v>1517</v>
      </c>
      <c r="Y23" s="4" t="s">
        <v>59</v>
      </c>
      <c r="Z23" s="4" t="s">
        <v>1422</v>
      </c>
      <c r="AA23" s="4">
        <v>1970.0</v>
      </c>
      <c r="AB23" s="4" t="s">
        <v>58</v>
      </c>
      <c r="AC23" s="5">
        <v>25921.0</v>
      </c>
      <c r="AD23" s="4" t="s">
        <v>1411</v>
      </c>
    </row>
    <row r="24">
      <c r="A24" s="4" t="s">
        <v>24</v>
      </c>
      <c r="B24" s="4" t="s">
        <v>1473</v>
      </c>
      <c r="C24" s="4" t="s">
        <v>25</v>
      </c>
      <c r="D24" s="4" t="s">
        <v>1474</v>
      </c>
      <c r="E24" s="4" t="s">
        <v>26</v>
      </c>
      <c r="F24" s="4" t="s">
        <v>616</v>
      </c>
      <c r="G24" s="4" t="s">
        <v>617</v>
      </c>
      <c r="H24" s="4" t="s">
        <v>618</v>
      </c>
      <c r="I24" s="4" t="s">
        <v>619</v>
      </c>
      <c r="J24" s="5">
        <v>39083.0</v>
      </c>
      <c r="K24" s="5">
        <v>22841.0</v>
      </c>
      <c r="L24" s="4">
        <v>61.0</v>
      </c>
      <c r="M24" s="4" t="s">
        <v>1407</v>
      </c>
      <c r="N24" s="4" t="s">
        <v>1419</v>
      </c>
      <c r="O24" s="5">
        <v>42186.0</v>
      </c>
      <c r="P24" s="5">
        <v>73050.0</v>
      </c>
      <c r="Q24" s="4" t="s">
        <v>31</v>
      </c>
      <c r="R24" s="4" t="s">
        <v>32</v>
      </c>
      <c r="S24" s="6" t="s">
        <v>1518</v>
      </c>
      <c r="T24" s="4" t="s">
        <v>620</v>
      </c>
      <c r="U24" s="4">
        <v>44.0</v>
      </c>
      <c r="V24" s="4" t="s">
        <v>34</v>
      </c>
      <c r="W24" s="4">
        <v>37243.0</v>
      </c>
      <c r="X24" s="4" t="s">
        <v>623</v>
      </c>
      <c r="Y24" s="4" t="s">
        <v>624</v>
      </c>
      <c r="Z24" s="4" t="s">
        <v>1519</v>
      </c>
      <c r="AA24" s="4">
        <v>1997.0</v>
      </c>
      <c r="AB24" s="4" t="s">
        <v>58</v>
      </c>
      <c r="AC24" s="5">
        <v>35437.0</v>
      </c>
      <c r="AD24" s="4" t="s">
        <v>1411</v>
      </c>
      <c r="AE24" s="5">
        <v>40647.0</v>
      </c>
    </row>
    <row r="25">
      <c r="A25" s="4" t="s">
        <v>337</v>
      </c>
      <c r="B25" s="4" t="s">
        <v>1423</v>
      </c>
      <c r="C25" s="4" t="s">
        <v>109</v>
      </c>
      <c r="D25" s="4" t="s">
        <v>1424</v>
      </c>
      <c r="E25" s="4" t="s">
        <v>26</v>
      </c>
      <c r="F25" s="4" t="s">
        <v>753</v>
      </c>
      <c r="G25" s="4" t="s">
        <v>754</v>
      </c>
      <c r="H25" s="4" t="s">
        <v>755</v>
      </c>
      <c r="I25" s="4" t="s">
        <v>756</v>
      </c>
      <c r="J25" s="5">
        <v>39983.0</v>
      </c>
      <c r="K25" s="5">
        <v>28981.0</v>
      </c>
      <c r="L25" s="4">
        <v>44.0</v>
      </c>
      <c r="M25" s="4" t="s">
        <v>1407</v>
      </c>
      <c r="N25" s="4" t="s">
        <v>1419</v>
      </c>
      <c r="O25" s="5">
        <v>44927.0</v>
      </c>
      <c r="P25" s="5">
        <v>45291.0</v>
      </c>
      <c r="Q25" s="4" t="s">
        <v>66</v>
      </c>
      <c r="R25" s="4" t="s">
        <v>32</v>
      </c>
      <c r="S25" s="6" t="s">
        <v>1520</v>
      </c>
      <c r="T25" s="4" t="s">
        <v>757</v>
      </c>
      <c r="U25" s="4">
        <v>44.0</v>
      </c>
      <c r="V25" s="4" t="s">
        <v>34</v>
      </c>
      <c r="W25" s="4">
        <v>44389.0</v>
      </c>
      <c r="X25" s="4" t="s">
        <v>323</v>
      </c>
      <c r="Y25" s="4" t="s">
        <v>59</v>
      </c>
      <c r="Z25" s="4" t="s">
        <v>1521</v>
      </c>
      <c r="AA25" s="4">
        <v>2006.0</v>
      </c>
      <c r="AB25" s="4" t="s">
        <v>1522</v>
      </c>
      <c r="AC25" s="5">
        <v>38719.0</v>
      </c>
      <c r="AD25" s="4" t="s">
        <v>1411</v>
      </c>
      <c r="AE25" s="5">
        <v>44700.0</v>
      </c>
    </row>
    <row r="26">
      <c r="A26" s="4" t="s">
        <v>24</v>
      </c>
      <c r="B26" s="4" t="s">
        <v>1423</v>
      </c>
      <c r="C26" s="4" t="s">
        <v>109</v>
      </c>
      <c r="D26" s="4" t="s">
        <v>1424</v>
      </c>
      <c r="E26" s="4" t="s">
        <v>26</v>
      </c>
      <c r="F26" s="4" t="s">
        <v>1020</v>
      </c>
      <c r="G26" s="4" t="s">
        <v>1021</v>
      </c>
      <c r="H26" s="4" t="s">
        <v>1022</v>
      </c>
      <c r="I26" s="4" t="s">
        <v>1023</v>
      </c>
      <c r="J26" s="5">
        <v>42887.0</v>
      </c>
      <c r="K26" s="5">
        <v>30830.0</v>
      </c>
      <c r="L26" s="4">
        <v>39.0</v>
      </c>
      <c r="M26" s="4" t="s">
        <v>1425</v>
      </c>
      <c r="N26" s="4" t="s">
        <v>1419</v>
      </c>
      <c r="O26" s="5">
        <v>44927.0</v>
      </c>
      <c r="P26" s="5">
        <v>45291.0</v>
      </c>
      <c r="Q26" s="4" t="s">
        <v>66</v>
      </c>
      <c r="R26" s="4" t="s">
        <v>32</v>
      </c>
      <c r="S26" s="6" t="s">
        <v>1523</v>
      </c>
      <c r="T26" s="4" t="s">
        <v>1024</v>
      </c>
      <c r="U26" s="4">
        <v>22.0</v>
      </c>
      <c r="V26" s="4" t="s">
        <v>34</v>
      </c>
      <c r="W26" s="4">
        <v>42426.0</v>
      </c>
      <c r="X26" s="4" t="s">
        <v>1026</v>
      </c>
      <c r="Y26" s="4" t="s">
        <v>38</v>
      </c>
      <c r="Z26" s="4" t="s">
        <v>1422</v>
      </c>
      <c r="AA26" s="4">
        <v>2008.0</v>
      </c>
      <c r="AB26" s="4" t="s">
        <v>58</v>
      </c>
      <c r="AC26" s="5">
        <v>39742.0</v>
      </c>
      <c r="AD26" s="4" t="s">
        <v>1411</v>
      </c>
      <c r="AE26" s="5">
        <v>42873.0</v>
      </c>
    </row>
    <row r="27">
      <c r="A27" s="4" t="s">
        <v>78</v>
      </c>
      <c r="B27" s="4" t="s">
        <v>1423</v>
      </c>
      <c r="C27" s="4" t="s">
        <v>109</v>
      </c>
      <c r="D27" s="4" t="s">
        <v>1424</v>
      </c>
      <c r="E27" s="4" t="s">
        <v>80</v>
      </c>
      <c r="F27" s="4" t="s">
        <v>1113</v>
      </c>
      <c r="G27" s="4" t="s">
        <v>1114</v>
      </c>
      <c r="H27" s="4" t="s">
        <v>1115</v>
      </c>
      <c r="I27" s="4" t="s">
        <v>1116</v>
      </c>
      <c r="J27" s="5">
        <v>43466.0</v>
      </c>
      <c r="K27" s="5">
        <v>28271.0</v>
      </c>
      <c r="L27" s="4">
        <v>46.0</v>
      </c>
      <c r="M27" s="4" t="s">
        <v>1524</v>
      </c>
      <c r="N27" s="4" t="s">
        <v>1419</v>
      </c>
      <c r="O27" s="5">
        <v>44927.0</v>
      </c>
      <c r="P27" s="5">
        <v>45291.0</v>
      </c>
      <c r="Q27" s="4" t="s">
        <v>66</v>
      </c>
      <c r="R27" s="4" t="s">
        <v>32</v>
      </c>
      <c r="S27" s="6" t="s">
        <v>1525</v>
      </c>
      <c r="T27" s="4" t="s">
        <v>1117</v>
      </c>
      <c r="U27" s="4">
        <v>22.0</v>
      </c>
      <c r="V27" s="4" t="s">
        <v>34</v>
      </c>
      <c r="W27" s="4">
        <v>43021.0</v>
      </c>
      <c r="X27" s="4" t="s">
        <v>58</v>
      </c>
      <c r="Y27" s="4" t="s">
        <v>59</v>
      </c>
      <c r="Z27" s="4" t="s">
        <v>1433</v>
      </c>
      <c r="AA27" s="4">
        <v>2010.0</v>
      </c>
      <c r="AB27" s="4" t="s">
        <v>58</v>
      </c>
      <c r="AC27" s="5">
        <v>40288.0</v>
      </c>
      <c r="AD27" s="4" t="s">
        <v>1411</v>
      </c>
      <c r="AE27" s="5">
        <v>43481.0</v>
      </c>
    </row>
    <row r="28">
      <c r="A28" s="4" t="s">
        <v>60</v>
      </c>
      <c r="B28" s="4" t="s">
        <v>1405</v>
      </c>
      <c r="C28" s="4" t="s">
        <v>317</v>
      </c>
      <c r="D28" s="4" t="s">
        <v>1406</v>
      </c>
      <c r="E28" s="4" t="s">
        <v>26</v>
      </c>
      <c r="F28" s="4" t="s">
        <v>1526</v>
      </c>
      <c r="G28" s="4" t="s">
        <v>1527</v>
      </c>
      <c r="H28" s="4" t="s">
        <v>1528</v>
      </c>
      <c r="I28" s="4" t="s">
        <v>1529</v>
      </c>
      <c r="J28" s="5">
        <v>38108.0</v>
      </c>
      <c r="K28" s="5">
        <v>29324.0</v>
      </c>
      <c r="L28" s="4">
        <v>43.0</v>
      </c>
      <c r="M28" s="4" t="s">
        <v>1425</v>
      </c>
      <c r="N28" s="4" t="s">
        <v>1419</v>
      </c>
      <c r="O28" s="5">
        <v>43466.0</v>
      </c>
      <c r="P28" s="5">
        <v>43751.0</v>
      </c>
      <c r="Q28" s="4" t="s">
        <v>66</v>
      </c>
      <c r="R28" s="4" t="s">
        <v>32</v>
      </c>
      <c r="S28" s="6" t="s">
        <v>1530</v>
      </c>
      <c r="T28" s="4" t="s">
        <v>1531</v>
      </c>
      <c r="U28" s="4">
        <v>21.0</v>
      </c>
      <c r="V28" s="4" t="s">
        <v>359</v>
      </c>
      <c r="W28" s="4">
        <v>40203.0</v>
      </c>
      <c r="X28" s="4" t="s">
        <v>1532</v>
      </c>
      <c r="Y28" s="4" t="s">
        <v>89</v>
      </c>
      <c r="Z28" s="4" t="s">
        <v>1427</v>
      </c>
      <c r="AA28" s="4">
        <v>2004.0</v>
      </c>
      <c r="AB28" s="4" t="s">
        <v>58</v>
      </c>
      <c r="AC28" s="5">
        <v>38300.0</v>
      </c>
      <c r="AD28" s="4" t="s">
        <v>1411</v>
      </c>
      <c r="AE28" s="5">
        <v>41151.0</v>
      </c>
    </row>
    <row r="29">
      <c r="A29" s="4" t="s">
        <v>60</v>
      </c>
      <c r="B29" s="4" t="s">
        <v>1423</v>
      </c>
      <c r="C29" s="4" t="s">
        <v>109</v>
      </c>
      <c r="D29" s="4" t="s">
        <v>1424</v>
      </c>
      <c r="E29" s="4" t="s">
        <v>26</v>
      </c>
      <c r="F29" s="4" t="s">
        <v>354</v>
      </c>
      <c r="G29" s="4" t="s">
        <v>355</v>
      </c>
      <c r="H29" s="4" t="s">
        <v>356</v>
      </c>
      <c r="I29" s="4" t="s">
        <v>357</v>
      </c>
      <c r="J29" s="5">
        <v>36800.0</v>
      </c>
      <c r="K29" s="5">
        <v>25492.0</v>
      </c>
      <c r="L29" s="4">
        <v>54.0</v>
      </c>
      <c r="M29" s="4" t="s">
        <v>1407</v>
      </c>
      <c r="O29" s="5">
        <v>44927.0</v>
      </c>
      <c r="P29" s="5">
        <v>45291.0</v>
      </c>
      <c r="Q29" s="4" t="s">
        <v>66</v>
      </c>
      <c r="R29" s="4" t="s">
        <v>32</v>
      </c>
      <c r="S29" s="6" t="s">
        <v>1533</v>
      </c>
      <c r="T29" s="4" t="s">
        <v>358</v>
      </c>
      <c r="U29" s="4">
        <v>12.0</v>
      </c>
      <c r="V29" s="4" t="s">
        <v>359</v>
      </c>
      <c r="W29" s="4">
        <v>39276.0</v>
      </c>
      <c r="X29" s="4" t="s">
        <v>58</v>
      </c>
      <c r="Y29" s="4" t="s">
        <v>59</v>
      </c>
      <c r="Z29" s="4" t="s">
        <v>1510</v>
      </c>
      <c r="AA29" s="4">
        <v>2002.0</v>
      </c>
      <c r="AB29" s="4" t="s">
        <v>438</v>
      </c>
      <c r="AC29" s="5">
        <v>37284.0</v>
      </c>
      <c r="AD29" s="4" t="s">
        <v>1411</v>
      </c>
      <c r="AE29" s="5">
        <v>40129.0</v>
      </c>
    </row>
    <row r="30">
      <c r="A30" s="4" t="s">
        <v>60</v>
      </c>
      <c r="B30" s="4" t="s">
        <v>1413</v>
      </c>
      <c r="C30" s="4" t="s">
        <v>1414</v>
      </c>
      <c r="D30" s="4" t="s">
        <v>1415</v>
      </c>
      <c r="E30" s="4" t="s">
        <v>26</v>
      </c>
      <c r="F30" s="4" t="s">
        <v>1534</v>
      </c>
      <c r="G30" s="4" t="s">
        <v>1535</v>
      </c>
      <c r="H30" s="4" t="s">
        <v>1120</v>
      </c>
      <c r="I30" s="4" t="s">
        <v>1536</v>
      </c>
      <c r="J30" s="5">
        <v>43405.0</v>
      </c>
      <c r="K30" s="5">
        <v>30617.0</v>
      </c>
      <c r="L30" s="4">
        <v>40.0</v>
      </c>
      <c r="M30" s="4" t="s">
        <v>1425</v>
      </c>
      <c r="N30" s="4" t="s">
        <v>1419</v>
      </c>
      <c r="O30" s="5">
        <v>43831.0</v>
      </c>
      <c r="P30" s="5">
        <v>43921.0</v>
      </c>
      <c r="Q30" s="4" t="s">
        <v>104</v>
      </c>
      <c r="R30" s="4" t="s">
        <v>32</v>
      </c>
      <c r="S30" s="6" t="s">
        <v>1537</v>
      </c>
      <c r="T30" s="4" t="s">
        <v>1538</v>
      </c>
      <c r="U30" s="4">
        <v>6.0</v>
      </c>
      <c r="Z30" s="4" t="s">
        <v>1427</v>
      </c>
      <c r="AA30" s="4">
        <v>2008.0</v>
      </c>
      <c r="AB30" s="4" t="s">
        <v>1539</v>
      </c>
      <c r="AC30" s="5">
        <v>39653.0</v>
      </c>
      <c r="AD30" s="4">
        <v>0.0</v>
      </c>
      <c r="AE30" s="5">
        <v>42978.0</v>
      </c>
    </row>
    <row r="31">
      <c r="A31" s="4" t="s">
        <v>60</v>
      </c>
      <c r="B31" s="4" t="s">
        <v>1540</v>
      </c>
      <c r="C31" s="4" t="s">
        <v>99</v>
      </c>
      <c r="D31" s="4" t="s">
        <v>1541</v>
      </c>
      <c r="E31" s="4" t="s">
        <v>80</v>
      </c>
      <c r="F31" s="4" t="s">
        <v>565</v>
      </c>
      <c r="G31" s="4" t="s">
        <v>566</v>
      </c>
      <c r="H31" s="4" t="s">
        <v>567</v>
      </c>
      <c r="I31" s="4" t="s">
        <v>568</v>
      </c>
      <c r="J31" s="5">
        <v>38869.0</v>
      </c>
      <c r="K31" s="5">
        <v>26540.0</v>
      </c>
      <c r="L31" s="4">
        <v>51.0</v>
      </c>
      <c r="M31" s="4" t="s">
        <v>1524</v>
      </c>
      <c r="N31" s="4" t="s">
        <v>1419</v>
      </c>
      <c r="O31" s="5">
        <v>44256.0</v>
      </c>
      <c r="P31" s="5">
        <v>73050.0</v>
      </c>
      <c r="Q31" s="4" t="s">
        <v>31</v>
      </c>
      <c r="R31" s="4" t="s">
        <v>32</v>
      </c>
      <c r="S31" s="6" t="s">
        <v>1542</v>
      </c>
      <c r="T31" s="4" t="s">
        <v>569</v>
      </c>
      <c r="U31" s="4">
        <v>6.0</v>
      </c>
      <c r="V31" s="4" t="s">
        <v>570</v>
      </c>
      <c r="W31" s="4">
        <v>37271.0</v>
      </c>
      <c r="X31" s="4" t="s">
        <v>572</v>
      </c>
      <c r="Y31" s="4" t="s">
        <v>89</v>
      </c>
      <c r="Z31" s="4" t="s">
        <v>1427</v>
      </c>
      <c r="AA31" s="4">
        <v>1997.0</v>
      </c>
      <c r="AB31" s="4" t="s">
        <v>1511</v>
      </c>
      <c r="AC31" s="5">
        <v>35660.0</v>
      </c>
      <c r="AD31" s="4" t="s">
        <v>1411</v>
      </c>
      <c r="AE31" s="5">
        <v>44048.0</v>
      </c>
    </row>
    <row r="32">
      <c r="A32" s="4" t="s">
        <v>78</v>
      </c>
      <c r="B32" s="4" t="s">
        <v>1473</v>
      </c>
      <c r="C32" s="4" t="s">
        <v>25</v>
      </c>
      <c r="D32" s="4" t="s">
        <v>1474</v>
      </c>
      <c r="E32" s="4" t="s">
        <v>26</v>
      </c>
      <c r="F32" s="4" t="s">
        <v>90</v>
      </c>
      <c r="G32" s="4" t="s">
        <v>91</v>
      </c>
      <c r="H32" s="4" t="s">
        <v>92</v>
      </c>
      <c r="I32" s="4" t="s">
        <v>93</v>
      </c>
      <c r="J32" s="5">
        <v>28126.0</v>
      </c>
      <c r="K32" s="5">
        <v>19712.0</v>
      </c>
      <c r="L32" s="4">
        <v>70.0</v>
      </c>
      <c r="M32" s="4" t="s">
        <v>1407</v>
      </c>
      <c r="N32" s="4" t="s">
        <v>1419</v>
      </c>
      <c r="O32" s="5">
        <v>42186.0</v>
      </c>
      <c r="P32" s="5">
        <v>73050.0</v>
      </c>
      <c r="Q32" s="4" t="s">
        <v>31</v>
      </c>
      <c r="R32" s="4" t="s">
        <v>32</v>
      </c>
      <c r="S32" s="6" t="s">
        <v>1543</v>
      </c>
      <c r="T32" s="4" t="s">
        <v>94</v>
      </c>
      <c r="U32" s="4">
        <v>44.0</v>
      </c>
      <c r="V32" s="4" t="s">
        <v>34</v>
      </c>
      <c r="W32" s="4">
        <v>32142.0</v>
      </c>
      <c r="X32" s="4" t="s">
        <v>97</v>
      </c>
      <c r="Y32" s="4" t="s">
        <v>98</v>
      </c>
      <c r="Z32" s="4" t="s">
        <v>1544</v>
      </c>
      <c r="AA32" s="4">
        <v>1978.0</v>
      </c>
      <c r="AB32" s="4" t="s">
        <v>58</v>
      </c>
      <c r="AC32" s="5">
        <v>28601.0</v>
      </c>
      <c r="AD32" s="4" t="s">
        <v>1411</v>
      </c>
      <c r="AE32" s="5">
        <v>38231.0</v>
      </c>
    </row>
    <row r="33">
      <c r="A33" s="4" t="s">
        <v>39</v>
      </c>
      <c r="B33" s="4" t="s">
        <v>1423</v>
      </c>
      <c r="C33" s="4" t="s">
        <v>109</v>
      </c>
      <c r="D33" s="4" t="s">
        <v>1424</v>
      </c>
      <c r="E33" s="4" t="s">
        <v>80</v>
      </c>
      <c r="F33" s="4" t="s">
        <v>993</v>
      </c>
      <c r="G33" s="4" t="s">
        <v>994</v>
      </c>
      <c r="H33" s="4" t="s">
        <v>995</v>
      </c>
      <c r="I33" s="4" t="s">
        <v>996</v>
      </c>
      <c r="J33" s="5">
        <v>42491.0</v>
      </c>
      <c r="K33" s="5">
        <v>23414.0</v>
      </c>
      <c r="L33" s="4">
        <v>59.0</v>
      </c>
      <c r="M33" s="4" t="s">
        <v>1524</v>
      </c>
      <c r="O33" s="5">
        <v>44927.0</v>
      </c>
      <c r="P33" s="5">
        <v>45291.0</v>
      </c>
      <c r="Q33" s="4" t="s">
        <v>66</v>
      </c>
      <c r="R33" s="4" t="s">
        <v>32</v>
      </c>
      <c r="S33" s="6" t="s">
        <v>1545</v>
      </c>
      <c r="T33" s="4" t="s">
        <v>997</v>
      </c>
      <c r="U33" s="4">
        <v>44.0</v>
      </c>
      <c r="V33" s="4" t="s">
        <v>34</v>
      </c>
      <c r="W33" s="4">
        <v>41894.0</v>
      </c>
      <c r="X33" s="4" t="s">
        <v>1000</v>
      </c>
      <c r="Y33" s="4" t="s">
        <v>59</v>
      </c>
      <c r="Z33" s="4" t="s">
        <v>1479</v>
      </c>
      <c r="AA33" s="4">
        <v>1987.0</v>
      </c>
      <c r="AB33" s="4" t="s">
        <v>1546</v>
      </c>
      <c r="AC33" s="5">
        <v>32044.0</v>
      </c>
      <c r="AD33" s="4" t="s">
        <v>1411</v>
      </c>
      <c r="AE33" s="5">
        <v>42474.0</v>
      </c>
    </row>
    <row r="34">
      <c r="A34" s="4" t="s">
        <v>1440</v>
      </c>
      <c r="B34" s="4" t="s">
        <v>1423</v>
      </c>
      <c r="C34" s="4" t="s">
        <v>109</v>
      </c>
      <c r="D34" s="4" t="s">
        <v>1424</v>
      </c>
      <c r="E34" s="4" t="s">
        <v>26</v>
      </c>
      <c r="F34" s="4" t="s">
        <v>1547</v>
      </c>
      <c r="G34" s="4" t="s">
        <v>1548</v>
      </c>
      <c r="H34" s="4" t="s">
        <v>1549</v>
      </c>
      <c r="I34" s="4" t="s">
        <v>1550</v>
      </c>
      <c r="J34" s="5">
        <v>29129.0</v>
      </c>
      <c r="K34" s="5">
        <v>15312.0</v>
      </c>
      <c r="L34" s="4">
        <v>82.0</v>
      </c>
      <c r="M34" s="4" t="s">
        <v>1407</v>
      </c>
      <c r="O34" s="5">
        <v>38200.0</v>
      </c>
      <c r="P34" s="5">
        <v>38321.0</v>
      </c>
      <c r="Q34" s="4" t="s">
        <v>66</v>
      </c>
      <c r="R34" s="4" t="s">
        <v>32</v>
      </c>
      <c r="S34" s="6" t="s">
        <v>1551</v>
      </c>
      <c r="T34" s="4" t="s">
        <v>1552</v>
      </c>
      <c r="U34" s="4">
        <v>22.0</v>
      </c>
      <c r="V34" s="4" t="s">
        <v>34</v>
      </c>
      <c r="W34" s="4">
        <v>26436.0</v>
      </c>
      <c r="X34" s="4" t="s">
        <v>1553</v>
      </c>
      <c r="Y34" s="4" t="s">
        <v>227</v>
      </c>
      <c r="AD34" s="4" t="s">
        <v>1411</v>
      </c>
    </row>
    <row r="35">
      <c r="A35" s="4" t="s">
        <v>1440</v>
      </c>
      <c r="B35" s="4" t="s">
        <v>1554</v>
      </c>
      <c r="C35" s="4" t="s">
        <v>61</v>
      </c>
      <c r="D35" s="4" t="s">
        <v>1431</v>
      </c>
      <c r="E35" s="4" t="s">
        <v>26</v>
      </c>
      <c r="F35" s="4" t="s">
        <v>1555</v>
      </c>
      <c r="G35" s="4" t="s">
        <v>1556</v>
      </c>
      <c r="H35" s="4" t="s">
        <v>1557</v>
      </c>
      <c r="I35" s="4" t="s">
        <v>1558</v>
      </c>
      <c r="J35" s="5">
        <v>39517.0</v>
      </c>
      <c r="K35" s="5">
        <v>23311.0</v>
      </c>
      <c r="L35" s="4">
        <v>60.0</v>
      </c>
      <c r="M35" s="4" t="s">
        <v>1407</v>
      </c>
      <c r="N35" s="4" t="s">
        <v>1419</v>
      </c>
      <c r="O35" s="5">
        <v>39517.0</v>
      </c>
      <c r="P35" s="5">
        <v>41333.0</v>
      </c>
      <c r="Q35" s="4" t="s">
        <v>31</v>
      </c>
      <c r="R35" s="4" t="s">
        <v>32</v>
      </c>
      <c r="S35" s="6" t="s">
        <v>1559</v>
      </c>
      <c r="T35" s="4" t="s">
        <v>1559</v>
      </c>
      <c r="U35" s="4">
        <v>22.0</v>
      </c>
      <c r="V35" s="4" t="s">
        <v>34</v>
      </c>
      <c r="W35" s="4">
        <v>41540.0</v>
      </c>
      <c r="X35" s="4" t="s">
        <v>1560</v>
      </c>
      <c r="Y35" s="4" t="s">
        <v>1075</v>
      </c>
      <c r="Z35" s="4" t="s">
        <v>1422</v>
      </c>
      <c r="AA35" s="4">
        <v>1991.0</v>
      </c>
      <c r="AB35" s="4" t="s">
        <v>58</v>
      </c>
      <c r="AC35" s="5">
        <v>33347.0</v>
      </c>
      <c r="AD35" s="4" t="s">
        <v>1411</v>
      </c>
      <c r="AE35" s="5">
        <v>39386.0</v>
      </c>
    </row>
    <row r="36">
      <c r="A36" s="4" t="s">
        <v>24</v>
      </c>
      <c r="B36" s="4" t="s">
        <v>1540</v>
      </c>
      <c r="C36" s="4" t="s">
        <v>99</v>
      </c>
      <c r="D36" s="4" t="s">
        <v>1541</v>
      </c>
      <c r="E36" s="4" t="s">
        <v>80</v>
      </c>
      <c r="F36" s="4" t="s">
        <v>541</v>
      </c>
      <c r="G36" s="4" t="s">
        <v>143</v>
      </c>
      <c r="H36" s="4" t="s">
        <v>542</v>
      </c>
      <c r="I36" s="4" t="s">
        <v>543</v>
      </c>
      <c r="J36" s="5">
        <v>38838.0</v>
      </c>
      <c r="K36" s="5">
        <v>25279.0</v>
      </c>
      <c r="L36" s="4">
        <v>54.0</v>
      </c>
      <c r="M36" s="4" t="s">
        <v>1524</v>
      </c>
      <c r="O36" s="5">
        <v>42186.0</v>
      </c>
      <c r="P36" s="5">
        <v>73050.0</v>
      </c>
      <c r="Q36" s="4" t="s">
        <v>31</v>
      </c>
      <c r="R36" s="4" t="s">
        <v>32</v>
      </c>
      <c r="S36" s="6" t="s">
        <v>1561</v>
      </c>
      <c r="T36" s="4" t="s">
        <v>544</v>
      </c>
      <c r="U36" s="4">
        <v>44.0</v>
      </c>
      <c r="V36" s="4" t="s">
        <v>34</v>
      </c>
      <c r="W36" s="4">
        <v>39422.0</v>
      </c>
      <c r="X36" s="4" t="s">
        <v>547</v>
      </c>
      <c r="Y36" s="4" t="s">
        <v>1562</v>
      </c>
      <c r="Z36" s="4" t="s">
        <v>1563</v>
      </c>
      <c r="AA36" s="4">
        <v>1995.0</v>
      </c>
      <c r="AB36" s="4" t="s">
        <v>1564</v>
      </c>
      <c r="AC36" s="5">
        <v>34709.0</v>
      </c>
      <c r="AD36" s="4" t="s">
        <v>1411</v>
      </c>
      <c r="AE36" s="5">
        <v>41892.0</v>
      </c>
    </row>
    <row r="37">
      <c r="A37" s="4" t="s">
        <v>78</v>
      </c>
      <c r="B37" s="4" t="s">
        <v>1540</v>
      </c>
      <c r="C37" s="4" t="s">
        <v>99</v>
      </c>
      <c r="D37" s="4" t="s">
        <v>1541</v>
      </c>
      <c r="E37" s="4" t="s">
        <v>26</v>
      </c>
      <c r="F37" s="4" t="s">
        <v>1565</v>
      </c>
      <c r="G37" s="4" t="s">
        <v>1566</v>
      </c>
      <c r="H37" s="4" t="s">
        <v>1567</v>
      </c>
      <c r="I37" s="4" t="s">
        <v>1568</v>
      </c>
      <c r="J37" s="5">
        <v>30164.0</v>
      </c>
      <c r="K37" s="5">
        <v>19768.0</v>
      </c>
      <c r="L37" s="4">
        <v>69.0</v>
      </c>
      <c r="M37" s="4" t="s">
        <v>1407</v>
      </c>
      <c r="O37" s="5">
        <v>44029.0</v>
      </c>
      <c r="P37" s="5">
        <v>44063.0</v>
      </c>
      <c r="Q37" s="4" t="s">
        <v>66</v>
      </c>
      <c r="R37" s="4" t="s">
        <v>32</v>
      </c>
      <c r="S37" s="6" t="s">
        <v>1569</v>
      </c>
      <c r="T37" s="4" t="s">
        <v>1570</v>
      </c>
      <c r="U37" s="4">
        <v>44.0</v>
      </c>
      <c r="Z37" s="4" t="s">
        <v>1571</v>
      </c>
      <c r="AA37" s="4">
        <v>1981.0</v>
      </c>
      <c r="AB37" s="4" t="s">
        <v>58</v>
      </c>
      <c r="AC37" s="5">
        <v>29896.0</v>
      </c>
      <c r="AD37" s="4" t="s">
        <v>1411</v>
      </c>
      <c r="AE37" s="5">
        <v>36015.0</v>
      </c>
    </row>
    <row r="38">
      <c r="A38" s="4" t="s">
        <v>60</v>
      </c>
      <c r="B38" s="4" t="s">
        <v>1428</v>
      </c>
      <c r="C38" s="4" t="s">
        <v>79</v>
      </c>
      <c r="D38" s="4" t="s">
        <v>1429</v>
      </c>
      <c r="E38" s="4" t="s">
        <v>80</v>
      </c>
      <c r="F38" s="4" t="s">
        <v>1572</v>
      </c>
      <c r="G38" s="4" t="s">
        <v>1573</v>
      </c>
      <c r="H38" s="4" t="s">
        <v>1574</v>
      </c>
      <c r="I38" s="4" t="s">
        <v>1575</v>
      </c>
      <c r="J38" s="5">
        <v>34912.0</v>
      </c>
      <c r="K38" s="5">
        <v>21242.0</v>
      </c>
      <c r="L38" s="4">
        <v>65.0</v>
      </c>
      <c r="M38" s="4" t="s">
        <v>1407</v>
      </c>
      <c r="N38" s="4" t="s">
        <v>1419</v>
      </c>
      <c r="O38" s="5">
        <v>43647.0</v>
      </c>
      <c r="P38" s="5">
        <v>73050.0</v>
      </c>
      <c r="Q38" s="4" t="s">
        <v>31</v>
      </c>
      <c r="R38" s="4" t="s">
        <v>32</v>
      </c>
      <c r="S38" s="6" t="s">
        <v>1576</v>
      </c>
      <c r="T38" s="4" t="s">
        <v>1577</v>
      </c>
      <c r="U38" s="4">
        <v>44.0</v>
      </c>
      <c r="Z38" s="4" t="s">
        <v>1427</v>
      </c>
      <c r="AA38" s="4">
        <v>1981.0</v>
      </c>
      <c r="AB38" s="4" t="s">
        <v>58</v>
      </c>
      <c r="AC38" s="5">
        <v>29781.0</v>
      </c>
      <c r="AD38" s="4" t="s">
        <v>1411</v>
      </c>
      <c r="AE38" s="5">
        <v>43621.0</v>
      </c>
    </row>
    <row r="39">
      <c r="A39" s="4" t="s">
        <v>24</v>
      </c>
      <c r="B39" s="4" t="s">
        <v>1540</v>
      </c>
      <c r="C39" s="4" t="s">
        <v>99</v>
      </c>
      <c r="D39" s="4" t="s">
        <v>1541</v>
      </c>
      <c r="E39" s="4" t="s">
        <v>26</v>
      </c>
      <c r="F39" s="4" t="s">
        <v>521</v>
      </c>
      <c r="G39" s="4" t="s">
        <v>522</v>
      </c>
      <c r="H39" s="4" t="s">
        <v>523</v>
      </c>
      <c r="I39" s="4" t="s">
        <v>524</v>
      </c>
      <c r="J39" s="5">
        <v>38838.0</v>
      </c>
      <c r="K39" s="5">
        <v>25295.0</v>
      </c>
      <c r="L39" s="4">
        <v>54.0</v>
      </c>
      <c r="M39" s="4" t="s">
        <v>1425</v>
      </c>
      <c r="O39" s="5">
        <v>43252.0</v>
      </c>
      <c r="P39" s="5">
        <v>73050.0</v>
      </c>
      <c r="Q39" s="4" t="s">
        <v>31</v>
      </c>
      <c r="R39" s="4" t="s">
        <v>32</v>
      </c>
      <c r="S39" s="6" t="s">
        <v>1578</v>
      </c>
      <c r="T39" s="4" t="s">
        <v>525</v>
      </c>
      <c r="U39" s="4">
        <v>44.0</v>
      </c>
      <c r="V39" s="4" t="s">
        <v>34</v>
      </c>
      <c r="W39" s="4">
        <v>42387.0</v>
      </c>
      <c r="X39" s="4" t="s">
        <v>527</v>
      </c>
      <c r="Y39" s="4" t="s">
        <v>89</v>
      </c>
      <c r="Z39" s="4" t="s">
        <v>1422</v>
      </c>
      <c r="AA39" s="4">
        <v>2001.0</v>
      </c>
      <c r="AB39" s="4" t="s">
        <v>58</v>
      </c>
      <c r="AC39" s="5">
        <v>37078.0</v>
      </c>
      <c r="AD39" s="4" t="s">
        <v>1411</v>
      </c>
      <c r="AE39" s="5">
        <v>43243.0</v>
      </c>
    </row>
    <row r="40">
      <c r="A40" s="4" t="s">
        <v>24</v>
      </c>
      <c r="B40" s="4" t="s">
        <v>1428</v>
      </c>
      <c r="C40" s="4" t="s">
        <v>79</v>
      </c>
      <c r="D40" s="4" t="s">
        <v>1429</v>
      </c>
      <c r="E40" s="4" t="s">
        <v>26</v>
      </c>
      <c r="F40" s="4" t="s">
        <v>1579</v>
      </c>
      <c r="G40" s="4" t="s">
        <v>1580</v>
      </c>
      <c r="H40" s="4" t="s">
        <v>1581</v>
      </c>
      <c r="I40" s="4" t="s">
        <v>1582</v>
      </c>
      <c r="J40" s="5">
        <v>33329.0</v>
      </c>
      <c r="K40" s="5">
        <v>15184.0</v>
      </c>
      <c r="L40" s="4">
        <v>82.0</v>
      </c>
      <c r="M40" s="4" t="s">
        <v>1407</v>
      </c>
      <c r="O40" s="5">
        <v>44805.0</v>
      </c>
      <c r="P40" s="5">
        <v>73050.0</v>
      </c>
      <c r="Q40" s="4" t="s">
        <v>31</v>
      </c>
      <c r="R40" s="4" t="s">
        <v>32</v>
      </c>
      <c r="S40" s="6" t="s">
        <v>1583</v>
      </c>
      <c r="T40" s="4" t="s">
        <v>1584</v>
      </c>
      <c r="U40" s="4">
        <v>44.0</v>
      </c>
      <c r="V40" s="4" t="s">
        <v>55</v>
      </c>
      <c r="W40" s="4">
        <v>24473.0</v>
      </c>
      <c r="X40" s="4" t="s">
        <v>438</v>
      </c>
      <c r="Y40" s="4" t="s">
        <v>59</v>
      </c>
      <c r="Z40" s="4" t="s">
        <v>1422</v>
      </c>
      <c r="AA40" s="4">
        <v>1967.0</v>
      </c>
      <c r="AB40" s="4" t="s">
        <v>438</v>
      </c>
      <c r="AC40" s="5">
        <v>24743.0</v>
      </c>
      <c r="AD40" s="4" t="s">
        <v>1411</v>
      </c>
      <c r="AE40" s="5">
        <v>44524.0</v>
      </c>
    </row>
    <row r="41">
      <c r="A41" s="4" t="s">
        <v>60</v>
      </c>
      <c r="B41" s="4" t="s">
        <v>1473</v>
      </c>
      <c r="C41" s="4" t="s">
        <v>25</v>
      </c>
      <c r="D41" s="4" t="s">
        <v>1474</v>
      </c>
      <c r="E41" s="4" t="s">
        <v>80</v>
      </c>
      <c r="F41" s="4" t="s">
        <v>1125</v>
      </c>
      <c r="G41" s="4" t="s">
        <v>1126</v>
      </c>
      <c r="H41" s="4" t="s">
        <v>1127</v>
      </c>
      <c r="I41" s="4" t="s">
        <v>1128</v>
      </c>
      <c r="J41" s="5">
        <v>43586.0</v>
      </c>
      <c r="K41" s="5">
        <v>12841.0</v>
      </c>
      <c r="L41" s="4">
        <v>88.0</v>
      </c>
      <c r="M41" s="4" t="s">
        <v>1585</v>
      </c>
      <c r="N41" s="4" t="s">
        <v>1419</v>
      </c>
      <c r="O41" s="5">
        <v>44927.0</v>
      </c>
      <c r="P41" s="5">
        <v>45291.0</v>
      </c>
      <c r="Q41" s="4" t="s">
        <v>104</v>
      </c>
      <c r="R41" s="4" t="s">
        <v>32</v>
      </c>
      <c r="S41" s="6" t="s">
        <v>1586</v>
      </c>
      <c r="T41" s="4" t="s">
        <v>1129</v>
      </c>
      <c r="U41" s="4">
        <v>6.0</v>
      </c>
      <c r="V41" s="4" t="s">
        <v>34</v>
      </c>
      <c r="W41" s="4">
        <v>22341.0</v>
      </c>
      <c r="X41" s="4" t="s">
        <v>1132</v>
      </c>
      <c r="Y41" s="4" t="s">
        <v>227</v>
      </c>
      <c r="Z41" s="4" t="s">
        <v>1587</v>
      </c>
      <c r="AA41" s="4">
        <v>2008.0</v>
      </c>
      <c r="AB41" s="4" t="s">
        <v>661</v>
      </c>
      <c r="AC41" s="5">
        <v>39688.0</v>
      </c>
      <c r="AD41" s="4" t="s">
        <v>1411</v>
      </c>
      <c r="AE41" s="5">
        <v>43201.0</v>
      </c>
    </row>
    <row r="42">
      <c r="A42" s="4" t="s">
        <v>24</v>
      </c>
      <c r="B42" s="4" t="s">
        <v>1540</v>
      </c>
      <c r="C42" s="4" t="s">
        <v>99</v>
      </c>
      <c r="D42" s="4" t="s">
        <v>1541</v>
      </c>
      <c r="E42" s="4" t="s">
        <v>26</v>
      </c>
      <c r="F42" s="4" t="s">
        <v>474</v>
      </c>
      <c r="G42" s="4" t="s">
        <v>475</v>
      </c>
      <c r="H42" s="4" t="s">
        <v>476</v>
      </c>
      <c r="I42" s="4" t="s">
        <v>477</v>
      </c>
      <c r="J42" s="5">
        <v>38322.0</v>
      </c>
      <c r="K42" s="5">
        <v>26298.0</v>
      </c>
      <c r="L42" s="4">
        <v>52.0</v>
      </c>
      <c r="M42" s="4" t="s">
        <v>1425</v>
      </c>
      <c r="N42" s="4" t="s">
        <v>1419</v>
      </c>
      <c r="O42" s="5">
        <v>44440.0</v>
      </c>
      <c r="P42" s="5">
        <v>73050.0</v>
      </c>
      <c r="Q42" s="4" t="s">
        <v>31</v>
      </c>
      <c r="R42" s="4" t="s">
        <v>32</v>
      </c>
      <c r="S42" s="6" t="s">
        <v>1588</v>
      </c>
      <c r="T42" s="4" t="s">
        <v>478</v>
      </c>
      <c r="U42" s="4">
        <v>44.0</v>
      </c>
      <c r="V42" s="4" t="s">
        <v>34</v>
      </c>
      <c r="W42" s="4">
        <v>38623.0</v>
      </c>
      <c r="X42" s="4" t="s">
        <v>480</v>
      </c>
      <c r="Y42" s="4" t="s">
        <v>481</v>
      </c>
      <c r="Z42" s="4" t="s">
        <v>1422</v>
      </c>
      <c r="AA42" s="4">
        <v>2000.0</v>
      </c>
      <c r="AB42" s="4" t="s">
        <v>58</v>
      </c>
      <c r="AC42" s="5">
        <v>36812.0</v>
      </c>
      <c r="AD42" s="4" t="s">
        <v>1411</v>
      </c>
      <c r="AE42" s="5">
        <v>43285.0</v>
      </c>
    </row>
    <row r="43">
      <c r="A43" s="4" t="s">
        <v>78</v>
      </c>
      <c r="B43" s="4" t="s">
        <v>1423</v>
      </c>
      <c r="C43" s="4" t="s">
        <v>109</v>
      </c>
      <c r="D43" s="4" t="s">
        <v>1424</v>
      </c>
      <c r="E43" s="4" t="s">
        <v>80</v>
      </c>
      <c r="F43" s="4" t="s">
        <v>1194</v>
      </c>
      <c r="G43" s="4" t="s">
        <v>1195</v>
      </c>
      <c r="H43" s="4" t="s">
        <v>1196</v>
      </c>
      <c r="I43" s="4" t="s">
        <v>1197</v>
      </c>
      <c r="J43" s="5">
        <v>44470.0</v>
      </c>
      <c r="K43" s="5">
        <v>26145.0</v>
      </c>
      <c r="L43" s="4">
        <v>52.0</v>
      </c>
      <c r="M43" s="4" t="s">
        <v>1585</v>
      </c>
      <c r="O43" s="5">
        <v>44927.0</v>
      </c>
      <c r="P43" s="5">
        <v>45291.0</v>
      </c>
      <c r="Q43" s="4" t="s">
        <v>66</v>
      </c>
      <c r="R43" s="4" t="s">
        <v>32</v>
      </c>
      <c r="S43" s="6" t="s">
        <v>1589</v>
      </c>
      <c r="T43" s="4" t="s">
        <v>1198</v>
      </c>
      <c r="U43" s="4">
        <v>44.0</v>
      </c>
      <c r="V43" s="4" t="s">
        <v>34</v>
      </c>
      <c r="W43" s="4">
        <v>40889.0</v>
      </c>
      <c r="X43" s="4" t="s">
        <v>287</v>
      </c>
      <c r="Y43" s="4" t="s">
        <v>59</v>
      </c>
      <c r="Z43" s="4" t="s">
        <v>1590</v>
      </c>
      <c r="AA43" s="4">
        <v>2000.0</v>
      </c>
      <c r="AB43" s="4" t="s">
        <v>58</v>
      </c>
      <c r="AC43" s="5">
        <v>36784.0</v>
      </c>
      <c r="AD43" s="4" t="s">
        <v>1591</v>
      </c>
      <c r="AE43" s="5">
        <v>44445.0</v>
      </c>
    </row>
    <row r="44">
      <c r="A44" s="4" t="s">
        <v>1440</v>
      </c>
      <c r="B44" s="4" t="s">
        <v>1447</v>
      </c>
      <c r="C44" s="4" t="s">
        <v>40</v>
      </c>
      <c r="D44" s="4" t="s">
        <v>1448</v>
      </c>
      <c r="E44" s="4" t="s">
        <v>26</v>
      </c>
      <c r="F44" s="4" t="s">
        <v>1592</v>
      </c>
      <c r="G44" s="4" t="s">
        <v>1593</v>
      </c>
      <c r="H44" s="4" t="s">
        <v>1594</v>
      </c>
      <c r="I44" s="4" t="s">
        <v>1595</v>
      </c>
      <c r="J44" s="5">
        <v>25781.0</v>
      </c>
      <c r="K44" s="5">
        <v>15146.0</v>
      </c>
      <c r="L44" s="4">
        <v>82.0</v>
      </c>
      <c r="M44" s="4" t="s">
        <v>1585</v>
      </c>
      <c r="N44" s="4" t="s">
        <v>1419</v>
      </c>
      <c r="O44" s="5">
        <v>38718.0</v>
      </c>
      <c r="P44" s="5">
        <v>38807.0</v>
      </c>
      <c r="Q44" s="4" t="s">
        <v>66</v>
      </c>
      <c r="R44" s="4" t="s">
        <v>32</v>
      </c>
      <c r="S44" s="6" t="s">
        <v>1596</v>
      </c>
      <c r="T44" s="4" t="s">
        <v>1596</v>
      </c>
      <c r="U44" s="4">
        <v>12.0</v>
      </c>
      <c r="V44" s="4" t="s">
        <v>55</v>
      </c>
      <c r="W44" s="4">
        <v>25302.0</v>
      </c>
      <c r="X44" s="4" t="s">
        <v>58</v>
      </c>
      <c r="Y44" s="4" t="s">
        <v>59</v>
      </c>
      <c r="Z44" s="4" t="s">
        <v>1597</v>
      </c>
      <c r="AA44" s="4">
        <v>1969.0</v>
      </c>
      <c r="AB44" s="4" t="s">
        <v>58</v>
      </c>
      <c r="AC44" s="5">
        <v>25302.0</v>
      </c>
      <c r="AD44" s="4" t="s">
        <v>1411</v>
      </c>
    </row>
    <row r="45">
      <c r="A45" s="4" t="s">
        <v>337</v>
      </c>
      <c r="B45" s="4" t="s">
        <v>1423</v>
      </c>
      <c r="C45" s="4" t="s">
        <v>109</v>
      </c>
      <c r="D45" s="4" t="s">
        <v>1424</v>
      </c>
      <c r="E45" s="4" t="s">
        <v>80</v>
      </c>
      <c r="F45" s="4" t="s">
        <v>823</v>
      </c>
      <c r="G45" s="4" t="s">
        <v>824</v>
      </c>
      <c r="H45" s="4" t="s">
        <v>825</v>
      </c>
      <c r="I45" s="4" t="s">
        <v>826</v>
      </c>
      <c r="J45" s="5">
        <v>40391.0</v>
      </c>
      <c r="K45" s="5">
        <v>27455.0</v>
      </c>
      <c r="L45" s="4">
        <v>48.0</v>
      </c>
      <c r="M45" s="4" t="s">
        <v>1407</v>
      </c>
      <c r="O45" s="5">
        <v>44927.0</v>
      </c>
      <c r="P45" s="5">
        <v>45291.0</v>
      </c>
      <c r="Q45" s="4" t="s">
        <v>66</v>
      </c>
      <c r="R45" s="4" t="s">
        <v>32</v>
      </c>
      <c r="S45" s="6" t="s">
        <v>1598</v>
      </c>
      <c r="T45" s="4" t="s">
        <v>827</v>
      </c>
      <c r="U45" s="4">
        <v>44.0</v>
      </c>
      <c r="V45" s="4" t="s">
        <v>359</v>
      </c>
      <c r="W45" s="4">
        <v>39969.0</v>
      </c>
      <c r="X45" s="4" t="s">
        <v>323</v>
      </c>
      <c r="Y45" s="4" t="s">
        <v>59</v>
      </c>
      <c r="AD45" s="4" t="s">
        <v>1411</v>
      </c>
      <c r="AE45" s="5">
        <v>44462.0</v>
      </c>
    </row>
    <row r="46">
      <c r="A46" s="4" t="s">
        <v>39</v>
      </c>
      <c r="B46" s="4" t="s">
        <v>1430</v>
      </c>
      <c r="C46" s="4" t="s">
        <v>61</v>
      </c>
      <c r="D46" s="4" t="s">
        <v>1431</v>
      </c>
      <c r="E46" s="4" t="s">
        <v>80</v>
      </c>
      <c r="F46" s="4" t="s">
        <v>266</v>
      </c>
      <c r="G46" s="4" t="s">
        <v>267</v>
      </c>
      <c r="H46" s="4" t="s">
        <v>268</v>
      </c>
      <c r="I46" s="4" t="s">
        <v>269</v>
      </c>
      <c r="J46" s="5">
        <v>35704.0</v>
      </c>
      <c r="K46" s="5">
        <v>23131.0</v>
      </c>
      <c r="L46" s="4">
        <v>60.0</v>
      </c>
      <c r="M46" s="4" t="s">
        <v>1425</v>
      </c>
      <c r="N46" s="4" t="s">
        <v>1461</v>
      </c>
      <c r="O46" s="5">
        <v>44927.0</v>
      </c>
      <c r="P46" s="5">
        <v>45291.0</v>
      </c>
      <c r="Q46" s="4" t="s">
        <v>66</v>
      </c>
      <c r="R46" s="4" t="s">
        <v>32</v>
      </c>
      <c r="S46" s="6" t="s">
        <v>1599</v>
      </c>
      <c r="T46" s="4" t="s">
        <v>270</v>
      </c>
      <c r="U46" s="4">
        <v>6.0</v>
      </c>
      <c r="V46" s="4" t="s">
        <v>34</v>
      </c>
      <c r="W46" s="4">
        <v>41002.0</v>
      </c>
      <c r="X46" s="4" t="s">
        <v>58</v>
      </c>
      <c r="Y46" s="4" t="s">
        <v>59</v>
      </c>
      <c r="Z46" s="4" t="s">
        <v>1600</v>
      </c>
      <c r="AA46" s="4">
        <v>1998.0</v>
      </c>
      <c r="AB46" s="4" t="s">
        <v>58</v>
      </c>
      <c r="AC46" s="5">
        <v>35898.0</v>
      </c>
      <c r="AD46" s="4" t="s">
        <v>1411</v>
      </c>
      <c r="AE46" s="5">
        <v>43411.0</v>
      </c>
    </row>
    <row r="47">
      <c r="A47" s="4" t="s">
        <v>24</v>
      </c>
      <c r="B47" s="4" t="s">
        <v>1473</v>
      </c>
      <c r="C47" s="4" t="s">
        <v>25</v>
      </c>
      <c r="D47" s="4" t="s">
        <v>1474</v>
      </c>
      <c r="E47" s="4" t="s">
        <v>26</v>
      </c>
      <c r="F47" s="4" t="s">
        <v>50</v>
      </c>
      <c r="G47" s="4" t="s">
        <v>51</v>
      </c>
      <c r="H47" s="4" t="s">
        <v>52</v>
      </c>
      <c r="I47" s="4" t="s">
        <v>53</v>
      </c>
      <c r="J47" s="5">
        <v>24777.0</v>
      </c>
      <c r="K47" s="5">
        <v>14874.0</v>
      </c>
      <c r="L47" s="4">
        <v>83.0</v>
      </c>
      <c r="M47" s="4" t="s">
        <v>1585</v>
      </c>
      <c r="O47" s="5">
        <v>42186.0</v>
      </c>
      <c r="P47" s="5">
        <v>73050.0</v>
      </c>
      <c r="Q47" s="4" t="s">
        <v>31</v>
      </c>
      <c r="R47" s="4" t="s">
        <v>32</v>
      </c>
      <c r="S47" s="6" t="s">
        <v>1601</v>
      </c>
      <c r="T47" s="4" t="s">
        <v>54</v>
      </c>
      <c r="U47" s="4">
        <v>44.0</v>
      </c>
      <c r="V47" s="4" t="s">
        <v>55</v>
      </c>
      <c r="W47" s="4">
        <v>24054.0</v>
      </c>
      <c r="X47" s="4" t="s">
        <v>58</v>
      </c>
      <c r="Y47" s="4" t="s">
        <v>59</v>
      </c>
      <c r="Z47" s="4" t="s">
        <v>1602</v>
      </c>
      <c r="AA47" s="4">
        <v>1965.0</v>
      </c>
      <c r="AB47" s="4" t="s">
        <v>58</v>
      </c>
      <c r="AC47" s="5">
        <v>24054.0</v>
      </c>
      <c r="AD47" s="4" t="s">
        <v>1411</v>
      </c>
      <c r="AE47" s="5">
        <v>41185.0</v>
      </c>
    </row>
    <row r="48">
      <c r="A48" s="4" t="s">
        <v>60</v>
      </c>
      <c r="B48" s="4" t="s">
        <v>1413</v>
      </c>
      <c r="C48" s="4" t="s">
        <v>1414</v>
      </c>
      <c r="D48" s="4" t="s">
        <v>1415</v>
      </c>
      <c r="E48" s="4" t="s">
        <v>80</v>
      </c>
      <c r="F48" s="4" t="s">
        <v>1603</v>
      </c>
      <c r="G48" s="4" t="s">
        <v>310</v>
      </c>
      <c r="H48" s="4" t="s">
        <v>1604</v>
      </c>
      <c r="I48" s="4" t="s">
        <v>1605</v>
      </c>
      <c r="J48" s="5">
        <v>42583.0</v>
      </c>
      <c r="K48" s="5">
        <v>27093.0</v>
      </c>
      <c r="L48" s="4">
        <v>49.0</v>
      </c>
      <c r="M48" s="4" t="s">
        <v>1425</v>
      </c>
      <c r="O48" s="5">
        <v>42736.0</v>
      </c>
      <c r="P48" s="5">
        <v>42855.0</v>
      </c>
      <c r="Q48" s="4" t="s">
        <v>66</v>
      </c>
      <c r="R48" s="4" t="s">
        <v>32</v>
      </c>
      <c r="S48" s="6" t="s">
        <v>1606</v>
      </c>
      <c r="T48" s="4" t="s">
        <v>1607</v>
      </c>
      <c r="U48" s="4">
        <v>21.0</v>
      </c>
      <c r="Z48" s="4" t="s">
        <v>1427</v>
      </c>
      <c r="AA48" s="4">
        <v>2002.0</v>
      </c>
      <c r="AB48" s="4" t="s">
        <v>58</v>
      </c>
      <c r="AC48" s="5">
        <v>37477.0</v>
      </c>
      <c r="AD48" s="4" t="s">
        <v>1411</v>
      </c>
      <c r="AE48" s="5">
        <v>42446.0</v>
      </c>
    </row>
    <row r="49">
      <c r="A49" s="4" t="s">
        <v>24</v>
      </c>
      <c r="B49" s="4" t="s">
        <v>1473</v>
      </c>
      <c r="C49" s="4" t="s">
        <v>25</v>
      </c>
      <c r="D49" s="4" t="s">
        <v>1474</v>
      </c>
      <c r="E49" s="4" t="s">
        <v>80</v>
      </c>
      <c r="F49" s="4" t="s">
        <v>411</v>
      </c>
      <c r="G49" s="4" t="s">
        <v>1114</v>
      </c>
      <c r="H49" s="4" t="s">
        <v>412</v>
      </c>
      <c r="I49" s="4" t="s">
        <v>1608</v>
      </c>
      <c r="J49" s="5">
        <v>37987.0</v>
      </c>
      <c r="K49" s="5">
        <v>26487.0</v>
      </c>
      <c r="L49" s="4">
        <v>51.0</v>
      </c>
      <c r="M49" s="4" t="s">
        <v>1425</v>
      </c>
      <c r="O49" s="5">
        <v>43252.0</v>
      </c>
      <c r="P49" s="5">
        <v>73050.0</v>
      </c>
      <c r="Q49" s="4" t="s">
        <v>31</v>
      </c>
      <c r="R49" s="4" t="s">
        <v>32</v>
      </c>
      <c r="S49" s="6" t="s">
        <v>1609</v>
      </c>
      <c r="T49" s="4" t="s">
        <v>414</v>
      </c>
      <c r="U49" s="4">
        <v>44.0</v>
      </c>
      <c r="V49" s="4" t="s">
        <v>34</v>
      </c>
      <c r="W49" s="4">
        <v>37427.0</v>
      </c>
      <c r="X49" s="4" t="s">
        <v>417</v>
      </c>
      <c r="Y49" s="4" t="s">
        <v>38</v>
      </c>
      <c r="Z49" s="4" t="s">
        <v>1422</v>
      </c>
      <c r="AA49" s="4">
        <v>2003.0</v>
      </c>
      <c r="AB49" s="4" t="s">
        <v>1610</v>
      </c>
      <c r="AC49" s="5">
        <v>37820.0</v>
      </c>
      <c r="AD49" s="4" t="s">
        <v>1411</v>
      </c>
      <c r="AE49" s="5">
        <v>43243.0</v>
      </c>
    </row>
    <row r="50">
      <c r="A50" s="4" t="s">
        <v>1412</v>
      </c>
      <c r="B50" s="4" t="s">
        <v>1423</v>
      </c>
      <c r="C50" s="4" t="s">
        <v>109</v>
      </c>
      <c r="D50" s="4" t="s">
        <v>1424</v>
      </c>
      <c r="E50" s="4" t="s">
        <v>26</v>
      </c>
      <c r="F50" s="4" t="s">
        <v>1611</v>
      </c>
      <c r="G50" s="4" t="s">
        <v>1612</v>
      </c>
      <c r="H50" s="4" t="s">
        <v>1613</v>
      </c>
      <c r="I50" s="4" t="s">
        <v>1614</v>
      </c>
      <c r="J50" s="5">
        <v>30225.0</v>
      </c>
      <c r="K50" s="5">
        <v>18938.0</v>
      </c>
      <c r="L50" s="4">
        <v>72.0</v>
      </c>
      <c r="M50" s="4" t="s">
        <v>1407</v>
      </c>
      <c r="O50" s="5">
        <v>38718.0</v>
      </c>
      <c r="P50" s="5">
        <v>38807.0</v>
      </c>
      <c r="Q50" s="4" t="s">
        <v>66</v>
      </c>
      <c r="R50" s="4" t="s">
        <v>32</v>
      </c>
      <c r="S50" s="6" t="s">
        <v>1615</v>
      </c>
      <c r="T50" s="4" t="s">
        <v>1616</v>
      </c>
      <c r="U50" s="4">
        <v>6.0</v>
      </c>
      <c r="V50" s="4" t="s">
        <v>106</v>
      </c>
      <c r="W50" s="4">
        <v>28146.0</v>
      </c>
      <c r="X50" s="4" t="s">
        <v>58</v>
      </c>
      <c r="Y50" s="4" t="s">
        <v>59</v>
      </c>
      <c r="Z50" s="4" t="s">
        <v>1499</v>
      </c>
      <c r="AA50" s="4">
        <v>1977.0</v>
      </c>
      <c r="AB50" s="4" t="s">
        <v>58</v>
      </c>
      <c r="AC50" s="5">
        <v>28146.0</v>
      </c>
      <c r="AD50" s="4" t="s">
        <v>1411</v>
      </c>
    </row>
    <row r="51">
      <c r="A51" s="4" t="s">
        <v>1412</v>
      </c>
      <c r="B51" s="4" t="s">
        <v>1413</v>
      </c>
      <c r="C51" s="4" t="s">
        <v>1414</v>
      </c>
      <c r="D51" s="4" t="s">
        <v>1415</v>
      </c>
      <c r="E51" s="4" t="s">
        <v>80</v>
      </c>
      <c r="F51" s="4" t="s">
        <v>1617</v>
      </c>
      <c r="G51" s="4" t="s">
        <v>1618</v>
      </c>
      <c r="H51" s="4" t="s">
        <v>1619</v>
      </c>
      <c r="I51" s="4" t="s">
        <v>1620</v>
      </c>
      <c r="J51" s="5">
        <v>39326.0</v>
      </c>
      <c r="K51" s="5">
        <v>30424.0</v>
      </c>
      <c r="L51" s="4">
        <v>40.0</v>
      </c>
      <c r="M51" s="4" t="s">
        <v>1425</v>
      </c>
      <c r="O51" s="5">
        <v>41275.0</v>
      </c>
      <c r="P51" s="5">
        <v>41639.0</v>
      </c>
      <c r="Q51" s="4" t="s">
        <v>66</v>
      </c>
      <c r="R51" s="4" t="s">
        <v>32</v>
      </c>
      <c r="S51" s="6" t="s">
        <v>1621</v>
      </c>
      <c r="T51" s="4" t="s">
        <v>1622</v>
      </c>
      <c r="U51" s="4">
        <v>2.0</v>
      </c>
      <c r="V51" s="4" t="s">
        <v>55</v>
      </c>
      <c r="W51" s="4">
        <v>38874.0</v>
      </c>
      <c r="X51" s="4" t="s">
        <v>58</v>
      </c>
      <c r="Y51" s="4" t="s">
        <v>59</v>
      </c>
      <c r="AD51" s="4" t="s">
        <v>1411</v>
      </c>
      <c r="AE51" s="5">
        <v>39289.0</v>
      </c>
    </row>
    <row r="52">
      <c r="A52" s="4" t="s">
        <v>1623</v>
      </c>
      <c r="B52" s="4" t="s">
        <v>1423</v>
      </c>
      <c r="C52" s="4" t="s">
        <v>109</v>
      </c>
      <c r="D52" s="4" t="s">
        <v>1424</v>
      </c>
      <c r="E52" s="4" t="s">
        <v>26</v>
      </c>
      <c r="F52" s="4" t="s">
        <v>1624</v>
      </c>
      <c r="G52" s="4" t="s">
        <v>63</v>
      </c>
      <c r="H52" s="4" t="s">
        <v>1625</v>
      </c>
      <c r="I52" s="4" t="s">
        <v>1626</v>
      </c>
      <c r="J52" s="5">
        <v>31990.0</v>
      </c>
      <c r="K52" s="5">
        <v>22017.0</v>
      </c>
      <c r="L52" s="4">
        <v>63.0</v>
      </c>
      <c r="M52" s="4" t="s">
        <v>1425</v>
      </c>
      <c r="O52" s="5">
        <v>36039.0</v>
      </c>
      <c r="P52" s="5">
        <v>38498.0</v>
      </c>
      <c r="Q52" s="4" t="s">
        <v>31</v>
      </c>
      <c r="R52" s="4" t="s">
        <v>32</v>
      </c>
      <c r="S52" s="6" t="s">
        <v>1627</v>
      </c>
      <c r="T52" s="4" t="s">
        <v>1628</v>
      </c>
      <c r="U52" s="4">
        <v>22.0</v>
      </c>
      <c r="V52" s="4" t="s">
        <v>1492</v>
      </c>
      <c r="W52" s="4">
        <v>31583.0</v>
      </c>
      <c r="X52" s="4" t="s">
        <v>58</v>
      </c>
      <c r="Y52" s="4" t="s">
        <v>59</v>
      </c>
      <c r="AD52" s="4" t="s">
        <v>1411</v>
      </c>
    </row>
    <row r="53">
      <c r="A53" s="4" t="s">
        <v>841</v>
      </c>
      <c r="B53" s="4" t="s">
        <v>1540</v>
      </c>
      <c r="C53" s="4" t="s">
        <v>99</v>
      </c>
      <c r="D53" s="4" t="s">
        <v>1541</v>
      </c>
      <c r="E53" s="4" t="s">
        <v>26</v>
      </c>
      <c r="F53" s="4" t="s">
        <v>842</v>
      </c>
      <c r="G53" s="4" t="s">
        <v>843</v>
      </c>
      <c r="H53" s="4" t="s">
        <v>844</v>
      </c>
      <c r="I53" s="4" t="s">
        <v>845</v>
      </c>
      <c r="J53" s="5">
        <v>40787.0</v>
      </c>
      <c r="K53" s="5">
        <v>26024.0</v>
      </c>
      <c r="L53" s="4">
        <v>52.0</v>
      </c>
      <c r="M53" s="4" t="s">
        <v>1407</v>
      </c>
      <c r="N53" s="4" t="s">
        <v>1419</v>
      </c>
      <c r="O53" s="5">
        <v>44927.0</v>
      </c>
      <c r="P53" s="5">
        <v>45291.0</v>
      </c>
      <c r="Q53" s="4" t="s">
        <v>104</v>
      </c>
      <c r="R53" s="4" t="s">
        <v>32</v>
      </c>
      <c r="S53" s="6" t="s">
        <v>1629</v>
      </c>
      <c r="T53" s="4" t="s">
        <v>846</v>
      </c>
      <c r="U53" s="4">
        <v>6.0</v>
      </c>
      <c r="V53" s="4" t="s">
        <v>34</v>
      </c>
      <c r="W53" s="4">
        <v>40179.0</v>
      </c>
      <c r="X53" s="4" t="s">
        <v>848</v>
      </c>
      <c r="Y53" s="4" t="s">
        <v>227</v>
      </c>
      <c r="Z53" s="4" t="s">
        <v>1422</v>
      </c>
      <c r="AA53" s="4">
        <v>1995.0</v>
      </c>
      <c r="AB53" s="4" t="s">
        <v>58</v>
      </c>
      <c r="AC53" s="5">
        <v>34705.0</v>
      </c>
      <c r="AD53" s="4" t="s">
        <v>1411</v>
      </c>
      <c r="AE53" s="5">
        <v>43922.0</v>
      </c>
    </row>
    <row r="54">
      <c r="A54" s="4" t="s">
        <v>78</v>
      </c>
      <c r="B54" s="4" t="s">
        <v>1423</v>
      </c>
      <c r="C54" s="4" t="s">
        <v>109</v>
      </c>
      <c r="D54" s="4" t="s">
        <v>1424</v>
      </c>
      <c r="E54" s="4" t="s">
        <v>80</v>
      </c>
      <c r="F54" s="4" t="s">
        <v>925</v>
      </c>
      <c r="G54" s="4" t="s">
        <v>926</v>
      </c>
      <c r="H54" s="4" t="s">
        <v>927</v>
      </c>
      <c r="I54" s="4" t="s">
        <v>928</v>
      </c>
      <c r="J54" s="5">
        <v>42217.0</v>
      </c>
      <c r="K54" s="5">
        <v>26859.0</v>
      </c>
      <c r="L54" s="4">
        <v>50.0</v>
      </c>
      <c r="M54" s="4" t="s">
        <v>1425</v>
      </c>
      <c r="O54" s="5">
        <v>44927.0</v>
      </c>
      <c r="P54" s="5">
        <v>45291.0</v>
      </c>
      <c r="Q54" s="4" t="s">
        <v>66</v>
      </c>
      <c r="R54" s="4" t="s">
        <v>32</v>
      </c>
      <c r="S54" s="6" t="s">
        <v>1630</v>
      </c>
      <c r="T54" s="4" t="s">
        <v>929</v>
      </c>
      <c r="U54" s="4">
        <v>22.0</v>
      </c>
      <c r="V54" s="4" t="s">
        <v>34</v>
      </c>
      <c r="W54" s="4">
        <v>43241.0</v>
      </c>
      <c r="X54" s="4" t="s">
        <v>932</v>
      </c>
      <c r="Y54" s="4" t="s">
        <v>709</v>
      </c>
      <c r="Z54" s="4" t="s">
        <v>1590</v>
      </c>
      <c r="AA54" s="4">
        <v>2015.0</v>
      </c>
      <c r="AB54" s="4" t="s">
        <v>58</v>
      </c>
      <c r="AC54" s="5">
        <v>42195.0</v>
      </c>
      <c r="AD54" s="4" t="s">
        <v>1411</v>
      </c>
      <c r="AE54" s="5">
        <v>43425.0</v>
      </c>
    </row>
    <row r="55">
      <c r="A55" s="4" t="s">
        <v>60</v>
      </c>
      <c r="B55" s="4" t="s">
        <v>1423</v>
      </c>
      <c r="C55" s="4" t="s">
        <v>109</v>
      </c>
      <c r="D55" s="4" t="s">
        <v>1424</v>
      </c>
      <c r="E55" s="4" t="s">
        <v>26</v>
      </c>
      <c r="F55" s="4" t="s">
        <v>447</v>
      </c>
      <c r="G55" s="4" t="s">
        <v>448</v>
      </c>
      <c r="H55" s="4" t="s">
        <v>449</v>
      </c>
      <c r="I55" s="4" t="s">
        <v>450</v>
      </c>
      <c r="J55" s="5">
        <v>38261.0</v>
      </c>
      <c r="K55" s="5">
        <v>21251.0</v>
      </c>
      <c r="L55" s="4">
        <v>65.0</v>
      </c>
      <c r="M55" s="4" t="s">
        <v>1407</v>
      </c>
      <c r="O55" s="5">
        <v>44927.0</v>
      </c>
      <c r="P55" s="5">
        <v>45291.0</v>
      </c>
      <c r="Q55" s="4" t="s">
        <v>66</v>
      </c>
      <c r="R55" s="4" t="s">
        <v>32</v>
      </c>
      <c r="S55" s="6" t="s">
        <v>1631</v>
      </c>
      <c r="T55" s="4" t="s">
        <v>451</v>
      </c>
      <c r="U55" s="4">
        <v>12.0</v>
      </c>
      <c r="V55" s="4" t="s">
        <v>359</v>
      </c>
      <c r="W55" s="4">
        <v>33631.0</v>
      </c>
      <c r="X55" s="4" t="s">
        <v>58</v>
      </c>
      <c r="Y55" s="4" t="s">
        <v>59</v>
      </c>
      <c r="Z55" s="4" t="s">
        <v>1571</v>
      </c>
      <c r="AA55" s="4">
        <v>1984.0</v>
      </c>
      <c r="AB55" s="4" t="s">
        <v>58</v>
      </c>
      <c r="AC55" s="5">
        <v>30768.0</v>
      </c>
      <c r="AD55" s="4" t="s">
        <v>1411</v>
      </c>
      <c r="AE55" s="5">
        <v>38250.0</v>
      </c>
    </row>
    <row r="56">
      <c r="A56" s="4" t="s">
        <v>78</v>
      </c>
      <c r="B56" s="4" t="s">
        <v>1428</v>
      </c>
      <c r="C56" s="4" t="s">
        <v>79</v>
      </c>
      <c r="D56" s="4" t="s">
        <v>1429</v>
      </c>
      <c r="E56" s="4" t="s">
        <v>80</v>
      </c>
      <c r="F56" s="4" t="s">
        <v>81</v>
      </c>
      <c r="G56" s="4" t="s">
        <v>82</v>
      </c>
      <c r="H56" s="4" t="s">
        <v>83</v>
      </c>
      <c r="I56" s="4" t="s">
        <v>84</v>
      </c>
      <c r="J56" s="5">
        <v>28126.0</v>
      </c>
      <c r="K56" s="5">
        <v>19035.0</v>
      </c>
      <c r="L56" s="4">
        <v>71.0</v>
      </c>
      <c r="M56" s="4" t="s">
        <v>1425</v>
      </c>
      <c r="O56" s="5">
        <v>42186.0</v>
      </c>
      <c r="P56" s="5">
        <v>73050.0</v>
      </c>
      <c r="Q56" s="4" t="s">
        <v>31</v>
      </c>
      <c r="R56" s="4" t="s">
        <v>32</v>
      </c>
      <c r="S56" s="6" t="s">
        <v>1632</v>
      </c>
      <c r="T56" s="4" t="s">
        <v>85</v>
      </c>
      <c r="U56" s="4">
        <v>22.0</v>
      </c>
      <c r="V56" s="4" t="s">
        <v>34</v>
      </c>
      <c r="W56" s="4">
        <v>36234.0</v>
      </c>
      <c r="X56" s="4" t="s">
        <v>88</v>
      </c>
      <c r="Y56" s="4" t="s">
        <v>89</v>
      </c>
      <c r="Z56" s="4" t="s">
        <v>1633</v>
      </c>
      <c r="AA56" s="4">
        <v>1981.0</v>
      </c>
      <c r="AB56" s="4" t="s">
        <v>58</v>
      </c>
      <c r="AC56" s="5">
        <v>29802.0</v>
      </c>
      <c r="AD56" s="4" t="s">
        <v>1411</v>
      </c>
      <c r="AE56" s="5">
        <v>40198.0</v>
      </c>
    </row>
    <row r="57">
      <c r="A57" s="4" t="s">
        <v>1412</v>
      </c>
      <c r="B57" s="4" t="s">
        <v>1423</v>
      </c>
      <c r="C57" s="4" t="s">
        <v>109</v>
      </c>
      <c r="D57" s="4" t="s">
        <v>1424</v>
      </c>
      <c r="E57" s="4" t="s">
        <v>26</v>
      </c>
      <c r="F57" s="4" t="s">
        <v>1634</v>
      </c>
      <c r="G57" s="4" t="s">
        <v>1635</v>
      </c>
      <c r="H57" s="4" t="s">
        <v>1636</v>
      </c>
      <c r="I57" s="4" t="s">
        <v>1637</v>
      </c>
      <c r="J57" s="5">
        <v>26390.0</v>
      </c>
      <c r="K57" s="5">
        <v>15017.0</v>
      </c>
      <c r="L57" s="4">
        <v>82.0</v>
      </c>
      <c r="M57" s="4" t="s">
        <v>1407</v>
      </c>
      <c r="O57" s="5">
        <v>33909.0</v>
      </c>
      <c r="P57" s="5">
        <v>34819.0</v>
      </c>
      <c r="Q57" s="4" t="s">
        <v>31</v>
      </c>
      <c r="R57" s="4" t="s">
        <v>32</v>
      </c>
      <c r="S57" s="6" t="s">
        <v>1638</v>
      </c>
      <c r="T57" s="4" t="s">
        <v>1639</v>
      </c>
      <c r="U57" s="4">
        <v>12.0</v>
      </c>
      <c r="AD57" s="4" t="s">
        <v>1411</v>
      </c>
    </row>
    <row r="58">
      <c r="A58" s="4" t="s">
        <v>1623</v>
      </c>
      <c r="B58" s="4" t="s">
        <v>1423</v>
      </c>
      <c r="C58" s="4" t="s">
        <v>109</v>
      </c>
      <c r="D58" s="4" t="s">
        <v>1424</v>
      </c>
      <c r="E58" s="4" t="s">
        <v>80</v>
      </c>
      <c r="F58" s="4" t="s">
        <v>1640</v>
      </c>
      <c r="G58" s="4" t="s">
        <v>1641</v>
      </c>
      <c r="H58" s="4" t="s">
        <v>1642</v>
      </c>
      <c r="I58" s="4" t="s">
        <v>1643</v>
      </c>
      <c r="J58" s="5">
        <v>34090.0</v>
      </c>
      <c r="K58" s="5">
        <v>17999.0</v>
      </c>
      <c r="L58" s="4">
        <v>74.0</v>
      </c>
      <c r="M58" s="4" t="s">
        <v>1425</v>
      </c>
      <c r="O58" s="5">
        <v>34151.0</v>
      </c>
      <c r="P58" s="5">
        <v>38664.0</v>
      </c>
      <c r="Q58" s="4" t="s">
        <v>31</v>
      </c>
      <c r="R58" s="4" t="s">
        <v>32</v>
      </c>
      <c r="S58" s="6" t="s">
        <v>1644</v>
      </c>
      <c r="T58" s="4" t="s">
        <v>1645</v>
      </c>
      <c r="U58" s="4">
        <v>22.0</v>
      </c>
      <c r="V58" s="4" t="s">
        <v>106</v>
      </c>
      <c r="W58" s="4">
        <v>31412.0</v>
      </c>
      <c r="X58" s="4" t="s">
        <v>1646</v>
      </c>
      <c r="Y58" s="4" t="s">
        <v>1208</v>
      </c>
      <c r="Z58" s="4" t="s">
        <v>1647</v>
      </c>
      <c r="AA58" s="4">
        <v>1972.0</v>
      </c>
      <c r="AB58" s="4" t="s">
        <v>58</v>
      </c>
      <c r="AC58" s="5">
        <v>26541.0</v>
      </c>
      <c r="AD58" s="4" t="s">
        <v>1411</v>
      </c>
    </row>
    <row r="59">
      <c r="A59" s="4" t="s">
        <v>1434</v>
      </c>
      <c r="B59" s="4" t="s">
        <v>1423</v>
      </c>
      <c r="C59" s="4" t="s">
        <v>109</v>
      </c>
      <c r="D59" s="4" t="s">
        <v>1424</v>
      </c>
      <c r="E59" s="4" t="s">
        <v>26</v>
      </c>
      <c r="F59" s="4" t="s">
        <v>1648</v>
      </c>
      <c r="G59" s="4" t="s">
        <v>274</v>
      </c>
      <c r="H59" s="4" t="s">
        <v>1649</v>
      </c>
      <c r="I59" s="4" t="s">
        <v>1650</v>
      </c>
      <c r="J59" s="5">
        <v>26573.0</v>
      </c>
      <c r="K59" s="5">
        <v>16840.0</v>
      </c>
      <c r="L59" s="4">
        <v>77.0</v>
      </c>
      <c r="M59" s="4" t="s">
        <v>1407</v>
      </c>
      <c r="O59" s="5">
        <v>34425.0</v>
      </c>
      <c r="P59" s="5">
        <v>36799.0</v>
      </c>
      <c r="Q59" s="4" t="s">
        <v>31</v>
      </c>
      <c r="R59" s="4" t="s">
        <v>32</v>
      </c>
      <c r="S59" s="6" t="s">
        <v>1651</v>
      </c>
      <c r="T59" s="4" t="s">
        <v>1652</v>
      </c>
      <c r="U59" s="4">
        <v>12.0</v>
      </c>
      <c r="AD59" s="4" t="s">
        <v>1411</v>
      </c>
    </row>
    <row r="60">
      <c r="A60" s="4" t="s">
        <v>1465</v>
      </c>
      <c r="B60" s="4" t="s">
        <v>1423</v>
      </c>
      <c r="C60" s="4" t="s">
        <v>109</v>
      </c>
      <c r="D60" s="4" t="s">
        <v>1424</v>
      </c>
      <c r="E60" s="4" t="s">
        <v>26</v>
      </c>
      <c r="F60" s="4" t="s">
        <v>1653</v>
      </c>
      <c r="G60" s="4" t="s">
        <v>1654</v>
      </c>
      <c r="H60" s="4" t="s">
        <v>1655</v>
      </c>
      <c r="I60" s="4" t="s">
        <v>1656</v>
      </c>
      <c r="J60" s="5">
        <v>34060.0</v>
      </c>
      <c r="K60" s="5">
        <v>15913.0</v>
      </c>
      <c r="L60" s="4">
        <v>80.0</v>
      </c>
      <c r="M60" s="4" t="s">
        <v>1407</v>
      </c>
      <c r="O60" s="5">
        <v>34394.0</v>
      </c>
      <c r="P60" s="5">
        <v>34969.0</v>
      </c>
      <c r="Q60" s="4" t="s">
        <v>31</v>
      </c>
      <c r="R60" s="4" t="s">
        <v>32</v>
      </c>
      <c r="S60" s="6" t="s">
        <v>1657</v>
      </c>
      <c r="T60" s="4" t="s">
        <v>1658</v>
      </c>
      <c r="U60" s="4">
        <v>22.0</v>
      </c>
      <c r="AD60" s="4" t="s">
        <v>1411</v>
      </c>
    </row>
    <row r="61">
      <c r="A61" s="4" t="s">
        <v>1412</v>
      </c>
      <c r="B61" s="4" t="s">
        <v>1430</v>
      </c>
      <c r="C61" s="4" t="s">
        <v>61</v>
      </c>
      <c r="D61" s="4" t="s">
        <v>1431</v>
      </c>
      <c r="E61" s="4" t="s">
        <v>26</v>
      </c>
      <c r="F61" s="4" t="s">
        <v>1303</v>
      </c>
      <c r="G61" s="4" t="s">
        <v>1659</v>
      </c>
      <c r="H61" s="4" t="s">
        <v>1660</v>
      </c>
      <c r="I61" s="4" t="s">
        <v>1661</v>
      </c>
      <c r="J61" s="5">
        <v>35855.0</v>
      </c>
      <c r="K61" s="5">
        <v>19241.0</v>
      </c>
      <c r="L61" s="4">
        <v>71.0</v>
      </c>
      <c r="M61" s="4" t="s">
        <v>1407</v>
      </c>
      <c r="O61" s="5">
        <v>41091.0</v>
      </c>
      <c r="P61" s="5">
        <v>41952.0</v>
      </c>
      <c r="Q61" s="4" t="s">
        <v>31</v>
      </c>
      <c r="R61" s="4" t="s">
        <v>32</v>
      </c>
      <c r="S61" s="6" t="s">
        <v>1662</v>
      </c>
      <c r="T61" s="4" t="s">
        <v>1663</v>
      </c>
      <c r="U61" s="4">
        <v>22.0</v>
      </c>
      <c r="V61" s="4" t="s">
        <v>34</v>
      </c>
      <c r="W61" s="4">
        <v>37741.0</v>
      </c>
      <c r="X61" s="4" t="s">
        <v>58</v>
      </c>
      <c r="Y61" s="4" t="s">
        <v>59</v>
      </c>
      <c r="Z61" s="4" t="s">
        <v>1427</v>
      </c>
      <c r="AA61" s="4">
        <v>1979.0</v>
      </c>
      <c r="AB61" s="4" t="s">
        <v>58</v>
      </c>
      <c r="AC61" s="5">
        <v>29144.0</v>
      </c>
      <c r="AD61" s="4" t="s">
        <v>1411</v>
      </c>
      <c r="AE61" s="5">
        <v>40647.0</v>
      </c>
    </row>
    <row r="62">
      <c r="A62" s="4" t="s">
        <v>1465</v>
      </c>
      <c r="B62" s="4" t="s">
        <v>1664</v>
      </c>
      <c r="C62" s="4" t="s">
        <v>109</v>
      </c>
      <c r="D62" s="4" t="s">
        <v>1424</v>
      </c>
      <c r="E62" s="4" t="s">
        <v>26</v>
      </c>
      <c r="F62" s="4" t="s">
        <v>1665</v>
      </c>
      <c r="G62" s="4" t="s">
        <v>522</v>
      </c>
      <c r="H62" s="4" t="s">
        <v>1666</v>
      </c>
      <c r="I62" s="4" t="s">
        <v>1667</v>
      </c>
      <c r="J62" s="5">
        <v>37622.0</v>
      </c>
      <c r="K62" s="5">
        <v>23802.0</v>
      </c>
      <c r="L62" s="4">
        <v>58.0</v>
      </c>
      <c r="M62" s="4" t="s">
        <v>1407</v>
      </c>
      <c r="O62" s="5">
        <v>37803.0</v>
      </c>
      <c r="P62" s="5">
        <v>37833.0</v>
      </c>
      <c r="Q62" s="4" t="s">
        <v>66</v>
      </c>
      <c r="R62" s="4" t="s">
        <v>32</v>
      </c>
      <c r="S62" s="6" t="s">
        <v>1668</v>
      </c>
      <c r="T62" s="4" t="s">
        <v>1669</v>
      </c>
      <c r="U62" s="4">
        <v>12.0</v>
      </c>
      <c r="V62" s="4" t="s">
        <v>106</v>
      </c>
      <c r="W62" s="4">
        <v>31778.0</v>
      </c>
      <c r="X62" s="4" t="s">
        <v>58</v>
      </c>
      <c r="Y62" s="4" t="s">
        <v>59</v>
      </c>
      <c r="Z62" s="4" t="s">
        <v>1670</v>
      </c>
      <c r="AA62" s="4">
        <v>2002.0</v>
      </c>
      <c r="AB62" s="4" t="s">
        <v>58</v>
      </c>
      <c r="AC62" s="5">
        <v>37547.0</v>
      </c>
      <c r="AD62" s="4" t="s">
        <v>1411</v>
      </c>
    </row>
    <row r="63">
      <c r="A63" s="4" t="s">
        <v>1465</v>
      </c>
      <c r="B63" s="4" t="s">
        <v>1423</v>
      </c>
      <c r="C63" s="4" t="s">
        <v>109</v>
      </c>
      <c r="D63" s="4" t="s">
        <v>1424</v>
      </c>
      <c r="E63" s="4" t="s">
        <v>80</v>
      </c>
      <c r="F63" s="4" t="s">
        <v>1671</v>
      </c>
      <c r="G63" s="4" t="s">
        <v>1672</v>
      </c>
      <c r="H63" s="4" t="s">
        <v>1673</v>
      </c>
      <c r="I63" s="4" t="s">
        <v>1674</v>
      </c>
      <c r="J63" s="5">
        <v>36039.0</v>
      </c>
      <c r="K63" s="5">
        <v>13917.0</v>
      </c>
      <c r="L63" s="4">
        <v>85.0</v>
      </c>
      <c r="M63" s="4" t="s">
        <v>1453</v>
      </c>
      <c r="O63" s="5">
        <v>37803.0</v>
      </c>
      <c r="P63" s="5">
        <v>37833.0</v>
      </c>
      <c r="Q63" s="4" t="s">
        <v>66</v>
      </c>
      <c r="R63" s="4" t="s">
        <v>32</v>
      </c>
      <c r="S63" s="6" t="s">
        <v>1675</v>
      </c>
      <c r="T63" s="4" t="s">
        <v>1675</v>
      </c>
      <c r="U63" s="4">
        <v>12.0</v>
      </c>
      <c r="V63" s="4" t="s">
        <v>1492</v>
      </c>
      <c r="W63" s="4">
        <v>25568.0</v>
      </c>
      <c r="X63" s="4" t="s">
        <v>58</v>
      </c>
      <c r="Y63" s="4" t="s">
        <v>59</v>
      </c>
      <c r="Z63" s="4" t="s">
        <v>1519</v>
      </c>
      <c r="AA63" s="4">
        <v>1969.0</v>
      </c>
      <c r="AB63" s="4" t="s">
        <v>58</v>
      </c>
      <c r="AC63" s="5">
        <v>25366.0</v>
      </c>
      <c r="AD63" s="4" t="s">
        <v>1411</v>
      </c>
    </row>
    <row r="64">
      <c r="A64" s="4" t="s">
        <v>24</v>
      </c>
      <c r="B64" s="4" t="s">
        <v>1423</v>
      </c>
      <c r="C64" s="4" t="s">
        <v>109</v>
      </c>
      <c r="D64" s="4" t="s">
        <v>1424</v>
      </c>
      <c r="E64" s="4" t="s">
        <v>26</v>
      </c>
      <c r="F64" s="4" t="s">
        <v>966</v>
      </c>
      <c r="G64" s="4" t="s">
        <v>967</v>
      </c>
      <c r="H64" s="4" t="s">
        <v>968</v>
      </c>
      <c r="I64" s="4" t="s">
        <v>969</v>
      </c>
      <c r="J64" s="5">
        <v>42370.0</v>
      </c>
      <c r="K64" s="5">
        <v>30002.0</v>
      </c>
      <c r="L64" s="4">
        <v>41.0</v>
      </c>
      <c r="M64" s="4" t="s">
        <v>1425</v>
      </c>
      <c r="O64" s="5">
        <v>44927.0</v>
      </c>
      <c r="P64" s="5">
        <v>45291.0</v>
      </c>
      <c r="Q64" s="4" t="s">
        <v>66</v>
      </c>
      <c r="R64" s="4" t="s">
        <v>32</v>
      </c>
      <c r="S64" s="6" t="s">
        <v>1676</v>
      </c>
      <c r="T64" s="4" t="s">
        <v>970</v>
      </c>
      <c r="U64" s="4">
        <v>6.0</v>
      </c>
      <c r="V64" s="4" t="s">
        <v>359</v>
      </c>
      <c r="W64" s="4">
        <v>42272.0</v>
      </c>
      <c r="X64" s="4" t="s">
        <v>58</v>
      </c>
      <c r="Y64" s="4" t="s">
        <v>59</v>
      </c>
      <c r="Z64" s="4" t="s">
        <v>1422</v>
      </c>
      <c r="AA64" s="4">
        <v>2014.0</v>
      </c>
      <c r="AB64" s="4" t="s">
        <v>58</v>
      </c>
      <c r="AC64" s="5">
        <v>41961.0</v>
      </c>
      <c r="AD64" s="4" t="s">
        <v>1411</v>
      </c>
      <c r="AE64" s="5">
        <v>42320.0</v>
      </c>
    </row>
    <row r="65">
      <c r="A65" s="4" t="s">
        <v>60</v>
      </c>
      <c r="B65" s="4" t="s">
        <v>1423</v>
      </c>
      <c r="C65" s="4" t="s">
        <v>109</v>
      </c>
      <c r="D65" s="4" t="s">
        <v>1424</v>
      </c>
      <c r="E65" s="4" t="s">
        <v>80</v>
      </c>
      <c r="F65" s="4" t="s">
        <v>1677</v>
      </c>
      <c r="G65" s="4" t="s">
        <v>759</v>
      </c>
      <c r="H65" s="4" t="s">
        <v>1678</v>
      </c>
      <c r="I65" s="4" t="s">
        <v>1679</v>
      </c>
      <c r="J65" s="5">
        <v>42217.0</v>
      </c>
      <c r="K65" s="5">
        <v>27062.0</v>
      </c>
      <c r="L65" s="4">
        <v>49.0</v>
      </c>
      <c r="M65" s="4" t="s">
        <v>1407</v>
      </c>
      <c r="N65" s="4" t="s">
        <v>1419</v>
      </c>
      <c r="O65" s="5">
        <v>42736.0</v>
      </c>
      <c r="P65" s="5">
        <v>42855.0</v>
      </c>
      <c r="Q65" s="4" t="s">
        <v>66</v>
      </c>
      <c r="R65" s="4" t="s">
        <v>32</v>
      </c>
      <c r="S65" s="6" t="s">
        <v>1680</v>
      </c>
      <c r="T65" s="4" t="s">
        <v>1681</v>
      </c>
      <c r="U65" s="4">
        <v>22.0</v>
      </c>
      <c r="V65" s="4" t="s">
        <v>34</v>
      </c>
      <c r="W65" s="4">
        <v>41002.0</v>
      </c>
      <c r="X65" s="4" t="s">
        <v>1682</v>
      </c>
      <c r="Y65" s="4" t="s">
        <v>624</v>
      </c>
      <c r="Z65" s="4" t="s">
        <v>1510</v>
      </c>
      <c r="AA65" s="4">
        <v>1997.0</v>
      </c>
      <c r="AB65" s="4" t="s">
        <v>438</v>
      </c>
      <c r="AC65" s="5">
        <v>35545.0</v>
      </c>
      <c r="AD65" s="4" t="s">
        <v>1411</v>
      </c>
      <c r="AE65" s="5">
        <v>42166.0</v>
      </c>
    </row>
    <row r="66">
      <c r="A66" s="4" t="s">
        <v>60</v>
      </c>
      <c r="B66" s="4" t="s">
        <v>1423</v>
      </c>
      <c r="C66" s="4" t="s">
        <v>109</v>
      </c>
      <c r="D66" s="4" t="s">
        <v>1424</v>
      </c>
      <c r="E66" s="4" t="s">
        <v>80</v>
      </c>
      <c r="F66" s="4" t="s">
        <v>953</v>
      </c>
      <c r="G66" s="4" t="s">
        <v>954</v>
      </c>
      <c r="H66" s="4" t="s">
        <v>955</v>
      </c>
      <c r="I66" s="4" t="s">
        <v>956</v>
      </c>
      <c r="J66" s="5">
        <v>42309.0</v>
      </c>
      <c r="K66" s="5">
        <v>28914.0</v>
      </c>
      <c r="L66" s="4">
        <v>44.0</v>
      </c>
      <c r="M66" s="4" t="s">
        <v>1425</v>
      </c>
      <c r="O66" s="5">
        <v>44927.0</v>
      </c>
      <c r="P66" s="5">
        <v>45291.0</v>
      </c>
      <c r="Q66" s="4" t="s">
        <v>66</v>
      </c>
      <c r="R66" s="4" t="s">
        <v>32</v>
      </c>
      <c r="S66" s="6" t="s">
        <v>1683</v>
      </c>
      <c r="T66" s="4" t="s">
        <v>957</v>
      </c>
      <c r="U66" s="4">
        <v>12.0</v>
      </c>
      <c r="V66" s="4" t="s">
        <v>55</v>
      </c>
      <c r="W66" s="4">
        <v>37939.0</v>
      </c>
      <c r="X66" s="4" t="s">
        <v>58</v>
      </c>
      <c r="Y66" s="4" t="s">
        <v>59</v>
      </c>
      <c r="Z66" s="4" t="s">
        <v>1510</v>
      </c>
      <c r="AA66" s="4">
        <v>2012.0</v>
      </c>
      <c r="AB66" s="4" t="s">
        <v>58</v>
      </c>
      <c r="AC66" s="5">
        <v>41000.0</v>
      </c>
      <c r="AD66" s="4" t="s">
        <v>1411</v>
      </c>
      <c r="AE66" s="5">
        <v>44312.0</v>
      </c>
    </row>
    <row r="67">
      <c r="A67" s="4" t="s">
        <v>1684</v>
      </c>
      <c r="B67" s="4" t="s">
        <v>1447</v>
      </c>
      <c r="C67" s="4" t="s">
        <v>40</v>
      </c>
      <c r="D67" s="4" t="s">
        <v>1448</v>
      </c>
      <c r="E67" s="4" t="s">
        <v>80</v>
      </c>
      <c r="F67" s="4" t="s">
        <v>1235</v>
      </c>
      <c r="G67" s="4" t="s">
        <v>1685</v>
      </c>
      <c r="H67" s="4" t="s">
        <v>1686</v>
      </c>
      <c r="I67" s="4" t="s">
        <v>1687</v>
      </c>
      <c r="J67" s="5">
        <v>40269.0</v>
      </c>
      <c r="K67" s="5">
        <v>14646.0</v>
      </c>
      <c r="L67" s="4">
        <v>83.0</v>
      </c>
      <c r="M67" s="4" t="s">
        <v>1407</v>
      </c>
      <c r="O67" s="5">
        <v>41091.0</v>
      </c>
      <c r="P67" s="5">
        <v>41274.0</v>
      </c>
      <c r="Q67" s="4" t="s">
        <v>66</v>
      </c>
      <c r="R67" s="4" t="s">
        <v>32</v>
      </c>
      <c r="S67" s="6" t="s">
        <v>1688</v>
      </c>
      <c r="T67" s="4" t="s">
        <v>1689</v>
      </c>
      <c r="U67" s="4">
        <v>6.0</v>
      </c>
      <c r="V67" s="4" t="s">
        <v>34</v>
      </c>
      <c r="W67" s="4">
        <v>26597.0</v>
      </c>
      <c r="X67" s="4" t="s">
        <v>1690</v>
      </c>
      <c r="Y67" s="4" t="s">
        <v>38</v>
      </c>
      <c r="Z67" s="4" t="s">
        <v>1571</v>
      </c>
      <c r="AA67" s="4">
        <v>1963.0</v>
      </c>
      <c r="AB67" s="4" t="s">
        <v>58</v>
      </c>
      <c r="AC67" s="5">
        <v>23368.0</v>
      </c>
      <c r="AD67" s="4" t="s">
        <v>1411</v>
      </c>
      <c r="AE67" s="5">
        <v>40087.0</v>
      </c>
    </row>
    <row r="68">
      <c r="A68" s="4" t="s">
        <v>1440</v>
      </c>
      <c r="B68" s="4" t="s">
        <v>1447</v>
      </c>
      <c r="C68" s="4" t="s">
        <v>40</v>
      </c>
      <c r="D68" s="4" t="s">
        <v>1448</v>
      </c>
      <c r="E68" s="4" t="s">
        <v>26</v>
      </c>
      <c r="F68" s="4" t="s">
        <v>1691</v>
      </c>
      <c r="G68" s="4" t="s">
        <v>1435</v>
      </c>
      <c r="H68" s="4" t="s">
        <v>1692</v>
      </c>
      <c r="I68" s="4" t="s">
        <v>1693</v>
      </c>
      <c r="J68" s="5">
        <v>19511.0</v>
      </c>
      <c r="K68" s="5">
        <v>7847.0</v>
      </c>
      <c r="L68" s="4">
        <v>102.0</v>
      </c>
      <c r="M68" s="4" t="s">
        <v>1407</v>
      </c>
      <c r="O68" s="5">
        <v>34912.0</v>
      </c>
      <c r="P68" s="5">
        <v>37955.0</v>
      </c>
      <c r="Q68" s="4" t="s">
        <v>1694</v>
      </c>
      <c r="R68" s="4" t="s">
        <v>32</v>
      </c>
      <c r="S68" s="6" t="s">
        <v>1695</v>
      </c>
      <c r="T68" s="4" t="s">
        <v>1696</v>
      </c>
      <c r="U68" s="4">
        <v>6.0</v>
      </c>
      <c r="V68" s="4" t="s">
        <v>1492</v>
      </c>
      <c r="W68" s="4">
        <v>20454.0</v>
      </c>
      <c r="X68" s="4" t="s">
        <v>58</v>
      </c>
      <c r="Y68" s="4" t="s">
        <v>59</v>
      </c>
      <c r="AD68" s="4" t="s">
        <v>1411</v>
      </c>
    </row>
    <row r="69">
      <c r="A69" s="4" t="s">
        <v>1684</v>
      </c>
      <c r="B69" s="4" t="s">
        <v>1697</v>
      </c>
      <c r="C69" s="4" t="s">
        <v>317</v>
      </c>
      <c r="D69" s="4" t="s">
        <v>1406</v>
      </c>
      <c r="E69" s="4" t="s">
        <v>80</v>
      </c>
      <c r="F69" s="4" t="s">
        <v>1691</v>
      </c>
      <c r="G69" s="4" t="s">
        <v>252</v>
      </c>
      <c r="H69" s="4" t="s">
        <v>1698</v>
      </c>
      <c r="I69" s="4" t="s">
        <v>1699</v>
      </c>
      <c r="J69" s="5">
        <v>39569.0</v>
      </c>
      <c r="K69" s="5">
        <v>21192.0</v>
      </c>
      <c r="L69" s="4">
        <v>66.0</v>
      </c>
      <c r="M69" s="4" t="s">
        <v>1453</v>
      </c>
      <c r="O69" s="5">
        <v>39814.0</v>
      </c>
      <c r="P69" s="5">
        <v>39874.0</v>
      </c>
      <c r="Q69" s="4" t="s">
        <v>66</v>
      </c>
      <c r="R69" s="4" t="s">
        <v>32</v>
      </c>
      <c r="S69" s="6" t="s">
        <v>1700</v>
      </c>
      <c r="T69" s="4" t="s">
        <v>1701</v>
      </c>
      <c r="U69" s="4">
        <v>12.0</v>
      </c>
      <c r="V69" s="4" t="s">
        <v>375</v>
      </c>
      <c r="W69" s="4">
        <v>34842.0</v>
      </c>
      <c r="X69" s="4" t="s">
        <v>58</v>
      </c>
      <c r="Y69" s="4" t="s">
        <v>59</v>
      </c>
      <c r="Z69" s="4" t="s">
        <v>1479</v>
      </c>
      <c r="AA69" s="4">
        <v>1979.0</v>
      </c>
      <c r="AB69" s="4" t="s">
        <v>58</v>
      </c>
      <c r="AC69" s="5">
        <v>29158.0</v>
      </c>
      <c r="AD69" s="4" t="s">
        <v>1411</v>
      </c>
      <c r="AE69" s="5">
        <v>39555.0</v>
      </c>
    </row>
    <row r="70">
      <c r="A70" s="4" t="s">
        <v>1434</v>
      </c>
      <c r="B70" s="4" t="s">
        <v>1473</v>
      </c>
      <c r="C70" s="4" t="s">
        <v>25</v>
      </c>
      <c r="D70" s="4" t="s">
        <v>1474</v>
      </c>
      <c r="E70" s="4" t="s">
        <v>80</v>
      </c>
      <c r="F70" s="4" t="s">
        <v>1702</v>
      </c>
      <c r="G70" s="4" t="s">
        <v>1703</v>
      </c>
      <c r="H70" s="4" t="s">
        <v>1704</v>
      </c>
      <c r="I70" s="4" t="s">
        <v>1705</v>
      </c>
      <c r="J70" s="5">
        <v>19085.0</v>
      </c>
      <c r="K70" s="5">
        <v>11592.0</v>
      </c>
      <c r="L70" s="4">
        <v>92.0</v>
      </c>
      <c r="M70" s="4" t="s">
        <v>1425</v>
      </c>
      <c r="O70" s="5">
        <v>34759.0</v>
      </c>
      <c r="P70" s="5">
        <v>38657.0</v>
      </c>
      <c r="Q70" s="4" t="s">
        <v>31</v>
      </c>
      <c r="R70" s="4" t="s">
        <v>32</v>
      </c>
      <c r="S70" s="6" t="s">
        <v>1706</v>
      </c>
      <c r="T70" s="4" t="s">
        <v>1707</v>
      </c>
      <c r="U70" s="4">
        <v>22.0</v>
      </c>
      <c r="V70" s="4" t="s">
        <v>34</v>
      </c>
      <c r="W70" s="4">
        <v>25203.0</v>
      </c>
      <c r="X70" s="4" t="s">
        <v>226</v>
      </c>
      <c r="Y70" s="4" t="s">
        <v>227</v>
      </c>
      <c r="Z70" s="4" t="s">
        <v>1433</v>
      </c>
      <c r="AA70" s="4">
        <v>1960.0</v>
      </c>
      <c r="AB70" s="4" t="s">
        <v>58</v>
      </c>
      <c r="AC70" s="5">
        <v>21916.0</v>
      </c>
      <c r="AD70" s="4" t="s">
        <v>1411</v>
      </c>
    </row>
    <row r="71">
      <c r="A71" s="4" t="s">
        <v>1434</v>
      </c>
      <c r="B71" s="4" t="s">
        <v>1423</v>
      </c>
      <c r="C71" s="4" t="s">
        <v>109</v>
      </c>
      <c r="D71" s="4" t="s">
        <v>1424</v>
      </c>
      <c r="E71" s="4" t="s">
        <v>26</v>
      </c>
      <c r="F71" s="4" t="s">
        <v>1708</v>
      </c>
      <c r="G71" s="4" t="s">
        <v>1709</v>
      </c>
      <c r="H71" s="4" t="s">
        <v>1710</v>
      </c>
      <c r="I71" s="4" t="s">
        <v>1711</v>
      </c>
      <c r="J71" s="5">
        <v>32721.0</v>
      </c>
      <c r="K71" s="5">
        <v>21270.0</v>
      </c>
      <c r="L71" s="4">
        <v>65.0</v>
      </c>
      <c r="M71" s="4" t="s">
        <v>1425</v>
      </c>
      <c r="N71" s="4" t="s">
        <v>1419</v>
      </c>
      <c r="O71" s="5">
        <v>34394.0</v>
      </c>
      <c r="P71" s="5">
        <v>34607.0</v>
      </c>
      <c r="Q71" s="4" t="s">
        <v>66</v>
      </c>
      <c r="R71" s="4" t="s">
        <v>32</v>
      </c>
      <c r="S71" s="6" t="s">
        <v>1712</v>
      </c>
      <c r="T71" s="4" t="s">
        <v>1713</v>
      </c>
      <c r="U71" s="4">
        <v>6.0</v>
      </c>
      <c r="AD71" s="4" t="s">
        <v>1411</v>
      </c>
    </row>
    <row r="72">
      <c r="A72" s="4" t="s">
        <v>24</v>
      </c>
      <c r="B72" s="4" t="s">
        <v>1423</v>
      </c>
      <c r="C72" s="4" t="s">
        <v>109</v>
      </c>
      <c r="D72" s="4" t="s">
        <v>1424</v>
      </c>
      <c r="E72" s="4" t="s">
        <v>26</v>
      </c>
      <c r="F72" s="4" t="s">
        <v>1714</v>
      </c>
      <c r="G72" s="4" t="s">
        <v>1715</v>
      </c>
      <c r="H72" s="4" t="s">
        <v>1141</v>
      </c>
      <c r="I72" s="4" t="s">
        <v>1716</v>
      </c>
      <c r="J72" s="5">
        <v>42856.0</v>
      </c>
      <c r="K72" s="5">
        <v>32176.0</v>
      </c>
      <c r="L72" s="4">
        <v>35.0</v>
      </c>
      <c r="M72" s="4" t="s">
        <v>1425</v>
      </c>
      <c r="N72" s="4" t="s">
        <v>1419</v>
      </c>
      <c r="O72" s="5">
        <v>43466.0</v>
      </c>
      <c r="P72" s="5">
        <v>43524.0</v>
      </c>
      <c r="Q72" s="4" t="s">
        <v>66</v>
      </c>
      <c r="R72" s="4" t="s">
        <v>32</v>
      </c>
      <c r="S72" s="6" t="s">
        <v>1717</v>
      </c>
      <c r="T72" s="4" t="s">
        <v>1717</v>
      </c>
      <c r="U72" s="4">
        <v>22.0</v>
      </c>
      <c r="V72" s="4" t="s">
        <v>34</v>
      </c>
      <c r="W72" s="4">
        <v>42306.0</v>
      </c>
      <c r="X72" s="4" t="s">
        <v>1718</v>
      </c>
      <c r="Y72" s="4" t="s">
        <v>1719</v>
      </c>
      <c r="Z72" s="4" t="s">
        <v>1422</v>
      </c>
      <c r="AA72" s="4">
        <v>2011.0</v>
      </c>
      <c r="AB72" s="4" t="s">
        <v>323</v>
      </c>
      <c r="AC72" s="5">
        <v>40570.0</v>
      </c>
      <c r="AD72" s="4">
        <v>0.0</v>
      </c>
      <c r="AE72" s="5">
        <v>42824.0</v>
      </c>
    </row>
    <row r="73">
      <c r="A73" s="4" t="s">
        <v>60</v>
      </c>
      <c r="B73" s="4" t="s">
        <v>1430</v>
      </c>
      <c r="C73" s="4" t="s">
        <v>61</v>
      </c>
      <c r="D73" s="4" t="s">
        <v>1431</v>
      </c>
      <c r="E73" s="4" t="s">
        <v>26</v>
      </c>
      <c r="F73" s="4" t="s">
        <v>737</v>
      </c>
      <c r="G73" s="4" t="s">
        <v>528</v>
      </c>
      <c r="H73" s="4" t="s">
        <v>738</v>
      </c>
      <c r="I73" s="4" t="s">
        <v>739</v>
      </c>
      <c r="J73" s="5">
        <v>39873.0</v>
      </c>
      <c r="K73" s="5">
        <v>28051.0</v>
      </c>
      <c r="L73" s="4">
        <v>47.0</v>
      </c>
      <c r="M73" s="4" t="s">
        <v>1425</v>
      </c>
      <c r="N73" s="4" t="s">
        <v>1419</v>
      </c>
      <c r="O73" s="5">
        <v>44927.0</v>
      </c>
      <c r="P73" s="5">
        <v>45291.0</v>
      </c>
      <c r="Q73" s="4" t="s">
        <v>66</v>
      </c>
      <c r="R73" s="4" t="s">
        <v>32</v>
      </c>
      <c r="S73" s="6" t="s">
        <v>1720</v>
      </c>
      <c r="T73" s="4" t="s">
        <v>740</v>
      </c>
      <c r="U73" s="4">
        <v>44.0</v>
      </c>
      <c r="V73" s="4" t="s">
        <v>34</v>
      </c>
      <c r="W73" s="4">
        <v>42496.0</v>
      </c>
      <c r="X73" s="4" t="s">
        <v>58</v>
      </c>
      <c r="Y73" s="4" t="s">
        <v>59</v>
      </c>
      <c r="Z73" s="4" t="s">
        <v>1427</v>
      </c>
      <c r="AA73" s="4">
        <v>2005.0</v>
      </c>
      <c r="AB73" s="4" t="s">
        <v>1721</v>
      </c>
      <c r="AC73" s="5">
        <v>38597.0</v>
      </c>
      <c r="AD73" s="4" t="s">
        <v>1411</v>
      </c>
      <c r="AE73" s="5">
        <v>44629.0</v>
      </c>
    </row>
    <row r="74">
      <c r="A74" s="4" t="s">
        <v>337</v>
      </c>
      <c r="B74" s="4" t="s">
        <v>1540</v>
      </c>
      <c r="C74" s="4" t="s">
        <v>99</v>
      </c>
      <c r="D74" s="4" t="s">
        <v>1541</v>
      </c>
      <c r="E74" s="4" t="s">
        <v>26</v>
      </c>
      <c r="F74" s="4" t="s">
        <v>648</v>
      </c>
      <c r="G74" s="4" t="s">
        <v>649</v>
      </c>
      <c r="H74" s="4" t="s">
        <v>650</v>
      </c>
      <c r="I74" s="4" t="s">
        <v>651</v>
      </c>
      <c r="J74" s="5">
        <v>39295.0</v>
      </c>
      <c r="K74" s="5">
        <v>28811.0</v>
      </c>
      <c r="L74" s="4">
        <v>45.0</v>
      </c>
      <c r="M74" s="4" t="s">
        <v>1407</v>
      </c>
      <c r="O74" s="5">
        <v>44927.0</v>
      </c>
      <c r="P74" s="5">
        <v>45291.0</v>
      </c>
      <c r="Q74" s="4" t="s">
        <v>66</v>
      </c>
      <c r="R74" s="4" t="s">
        <v>32</v>
      </c>
      <c r="S74" s="6" t="s">
        <v>1722</v>
      </c>
      <c r="T74" s="4" t="s">
        <v>652</v>
      </c>
      <c r="U74" s="4">
        <v>22.0</v>
      </c>
      <c r="V74" s="4" t="s">
        <v>34</v>
      </c>
      <c r="W74" s="4">
        <v>42551.0</v>
      </c>
      <c r="X74" s="4" t="s">
        <v>654</v>
      </c>
      <c r="Y74" s="4" t="s">
        <v>98</v>
      </c>
      <c r="Z74" s="4" t="s">
        <v>1433</v>
      </c>
      <c r="AA74" s="4">
        <v>2009.0</v>
      </c>
      <c r="AB74" s="4" t="s">
        <v>58</v>
      </c>
      <c r="AC74" s="5">
        <v>40176.0</v>
      </c>
      <c r="AD74" s="4" t="s">
        <v>1411</v>
      </c>
      <c r="AE74" s="5">
        <v>43971.0</v>
      </c>
    </row>
    <row r="75">
      <c r="A75" s="4" t="s">
        <v>78</v>
      </c>
      <c r="B75" s="4" t="s">
        <v>1540</v>
      </c>
      <c r="C75" s="4" t="s">
        <v>99</v>
      </c>
      <c r="D75" s="4" t="s">
        <v>1541</v>
      </c>
      <c r="E75" s="4" t="s">
        <v>26</v>
      </c>
      <c r="F75" s="4" t="s">
        <v>648</v>
      </c>
      <c r="G75" s="4" t="s">
        <v>649</v>
      </c>
      <c r="H75" s="4" t="s">
        <v>650</v>
      </c>
      <c r="I75" s="4" t="s">
        <v>651</v>
      </c>
      <c r="J75" s="5">
        <v>39295.0</v>
      </c>
      <c r="K75" s="5">
        <v>28811.0</v>
      </c>
      <c r="L75" s="4">
        <v>45.0</v>
      </c>
      <c r="M75" s="4" t="s">
        <v>1407</v>
      </c>
      <c r="O75" s="5">
        <v>44927.0</v>
      </c>
      <c r="P75" s="5">
        <v>45291.0</v>
      </c>
      <c r="Q75" s="4" t="s">
        <v>66</v>
      </c>
      <c r="R75" s="4" t="s">
        <v>32</v>
      </c>
      <c r="S75" s="6" t="s">
        <v>1722</v>
      </c>
      <c r="T75" s="4" t="s">
        <v>652</v>
      </c>
      <c r="U75" s="4">
        <v>22.0</v>
      </c>
      <c r="V75" s="4" t="s">
        <v>34</v>
      </c>
      <c r="W75" s="4">
        <v>42551.0</v>
      </c>
      <c r="X75" s="4" t="s">
        <v>654</v>
      </c>
      <c r="Y75" s="4" t="s">
        <v>98</v>
      </c>
      <c r="Z75" s="4" t="s">
        <v>1433</v>
      </c>
      <c r="AA75" s="4">
        <v>2009.0</v>
      </c>
      <c r="AB75" s="4" t="s">
        <v>58</v>
      </c>
      <c r="AC75" s="5">
        <v>40176.0</v>
      </c>
      <c r="AD75" s="4" t="s">
        <v>1411</v>
      </c>
      <c r="AE75" s="5">
        <v>43971.0</v>
      </c>
    </row>
    <row r="76">
      <c r="A76" s="4" t="s">
        <v>1465</v>
      </c>
      <c r="B76" s="4" t="s">
        <v>1423</v>
      </c>
      <c r="C76" s="4" t="s">
        <v>109</v>
      </c>
      <c r="D76" s="4" t="s">
        <v>1424</v>
      </c>
      <c r="E76" s="4" t="s">
        <v>80</v>
      </c>
      <c r="F76" s="4" t="s">
        <v>1384</v>
      </c>
      <c r="G76" s="4" t="s">
        <v>310</v>
      </c>
      <c r="H76" s="4" t="s">
        <v>1723</v>
      </c>
      <c r="I76" s="4" t="s">
        <v>1724</v>
      </c>
      <c r="J76" s="5">
        <v>35977.0</v>
      </c>
      <c r="K76" s="5">
        <v>20178.0</v>
      </c>
      <c r="L76" s="4">
        <v>68.0</v>
      </c>
      <c r="M76" s="4" t="s">
        <v>1407</v>
      </c>
      <c r="N76" s="4" t="s">
        <v>1419</v>
      </c>
      <c r="O76" s="5">
        <v>37803.0</v>
      </c>
      <c r="P76" s="5">
        <v>37833.0</v>
      </c>
      <c r="Q76" s="4" t="s">
        <v>66</v>
      </c>
      <c r="R76" s="4" t="s">
        <v>32</v>
      </c>
      <c r="S76" s="6" t="s">
        <v>1725</v>
      </c>
      <c r="T76" s="4" t="s">
        <v>1726</v>
      </c>
      <c r="U76" s="4">
        <v>22.0</v>
      </c>
      <c r="V76" s="4" t="s">
        <v>1492</v>
      </c>
      <c r="W76" s="4">
        <v>29951.0</v>
      </c>
      <c r="X76" s="4" t="s">
        <v>438</v>
      </c>
      <c r="Y76" s="4" t="s">
        <v>59</v>
      </c>
      <c r="Z76" s="4" t="s">
        <v>1727</v>
      </c>
      <c r="AA76" s="4">
        <v>1981.0</v>
      </c>
      <c r="AB76" s="4" t="s">
        <v>438</v>
      </c>
      <c r="AC76" s="5">
        <v>29913.0</v>
      </c>
      <c r="AD76" s="4" t="s">
        <v>1411</v>
      </c>
    </row>
    <row r="77">
      <c r="A77" s="4" t="s">
        <v>78</v>
      </c>
      <c r="B77" s="4" t="s">
        <v>1423</v>
      </c>
      <c r="C77" s="4" t="s">
        <v>109</v>
      </c>
      <c r="D77" s="4" t="s">
        <v>1424</v>
      </c>
      <c r="E77" s="4" t="s">
        <v>26</v>
      </c>
      <c r="F77" s="4" t="s">
        <v>1728</v>
      </c>
      <c r="G77" s="4" t="s">
        <v>1376</v>
      </c>
      <c r="H77" s="4" t="s">
        <v>1729</v>
      </c>
      <c r="I77" s="4" t="s">
        <v>1730</v>
      </c>
      <c r="J77" s="5">
        <v>41422.0</v>
      </c>
      <c r="K77" s="5">
        <v>29241.0</v>
      </c>
      <c r="L77" s="4">
        <v>43.0</v>
      </c>
      <c r="M77" s="4" t="s">
        <v>1407</v>
      </c>
      <c r="O77" s="5">
        <v>43282.0</v>
      </c>
      <c r="P77" s="5">
        <v>43465.0</v>
      </c>
      <c r="Q77" s="4" t="s">
        <v>104</v>
      </c>
      <c r="R77" s="4" t="s">
        <v>32</v>
      </c>
      <c r="S77" s="6" t="s">
        <v>1731</v>
      </c>
      <c r="T77" s="4" t="s">
        <v>1732</v>
      </c>
      <c r="U77" s="4">
        <v>6.0</v>
      </c>
      <c r="V77" s="4" t="s">
        <v>34</v>
      </c>
      <c r="W77" s="4">
        <v>40894.0</v>
      </c>
      <c r="X77" s="4" t="s">
        <v>1733</v>
      </c>
      <c r="Y77" s="4" t="s">
        <v>227</v>
      </c>
      <c r="Z77" s="4" t="s">
        <v>1590</v>
      </c>
      <c r="AA77" s="4">
        <v>2005.0</v>
      </c>
      <c r="AB77" s="4" t="s">
        <v>58</v>
      </c>
      <c r="AC77" s="5">
        <v>38482.0</v>
      </c>
      <c r="AD77" s="4" t="s">
        <v>1411</v>
      </c>
      <c r="AE77" s="5">
        <v>41886.0</v>
      </c>
    </row>
    <row r="78">
      <c r="A78" s="4" t="s">
        <v>1412</v>
      </c>
      <c r="B78" s="4" t="s">
        <v>1413</v>
      </c>
      <c r="C78" s="4" t="s">
        <v>1414</v>
      </c>
      <c r="D78" s="4" t="s">
        <v>1415</v>
      </c>
      <c r="E78" s="4" t="s">
        <v>26</v>
      </c>
      <c r="F78" s="4" t="s">
        <v>1734</v>
      </c>
      <c r="G78" s="4" t="s">
        <v>1047</v>
      </c>
      <c r="H78" s="4" t="s">
        <v>1735</v>
      </c>
      <c r="I78" s="4" t="s">
        <v>1736</v>
      </c>
      <c r="J78" s="5">
        <v>40148.0</v>
      </c>
      <c r="K78" s="5">
        <v>29489.0</v>
      </c>
      <c r="L78" s="4">
        <v>43.0</v>
      </c>
      <c r="M78" s="4" t="s">
        <v>1407</v>
      </c>
      <c r="O78" s="5">
        <v>40725.0</v>
      </c>
      <c r="P78" s="5">
        <v>40755.0</v>
      </c>
      <c r="Q78" s="4" t="s">
        <v>66</v>
      </c>
      <c r="R78" s="4" t="s">
        <v>32</v>
      </c>
      <c r="S78" s="6" t="s">
        <v>1737</v>
      </c>
      <c r="T78" s="4" t="s">
        <v>1738</v>
      </c>
      <c r="U78" s="4">
        <v>6.0</v>
      </c>
      <c r="Z78" s="4" t="s">
        <v>1427</v>
      </c>
      <c r="AA78" s="4">
        <v>2007.0</v>
      </c>
      <c r="AB78" s="4" t="s">
        <v>58</v>
      </c>
      <c r="AC78" s="5">
        <v>39294.0</v>
      </c>
      <c r="AD78" s="4" t="s">
        <v>1411</v>
      </c>
      <c r="AE78" s="5">
        <v>40129.0</v>
      </c>
    </row>
    <row r="79">
      <c r="A79" s="4" t="s">
        <v>337</v>
      </c>
      <c r="B79" s="4" t="s">
        <v>1540</v>
      </c>
      <c r="C79" s="4" t="s">
        <v>99</v>
      </c>
      <c r="D79" s="4" t="s">
        <v>1541</v>
      </c>
      <c r="E79" s="4" t="s">
        <v>80</v>
      </c>
      <c r="F79" s="4" t="s">
        <v>1145</v>
      </c>
      <c r="G79" s="4" t="s">
        <v>1146</v>
      </c>
      <c r="H79" s="4" t="s">
        <v>1147</v>
      </c>
      <c r="I79" s="4" t="s">
        <v>1148</v>
      </c>
      <c r="J79" s="5">
        <v>43709.0</v>
      </c>
      <c r="K79" s="5">
        <v>25148.0</v>
      </c>
      <c r="L79" s="4">
        <v>55.0</v>
      </c>
      <c r="M79" s="4" t="s">
        <v>1407</v>
      </c>
      <c r="O79" s="5">
        <v>44866.0</v>
      </c>
      <c r="P79" s="5">
        <v>73050.0</v>
      </c>
      <c r="Q79" s="4" t="s">
        <v>31</v>
      </c>
      <c r="R79" s="4" t="s">
        <v>32</v>
      </c>
      <c r="S79" s="6" t="s">
        <v>1739</v>
      </c>
      <c r="T79" s="4" t="s">
        <v>1149</v>
      </c>
      <c r="U79" s="4">
        <v>44.0</v>
      </c>
      <c r="V79" s="4" t="s">
        <v>34</v>
      </c>
      <c r="W79" s="4">
        <v>36815.0</v>
      </c>
      <c r="X79" s="4" t="s">
        <v>1151</v>
      </c>
      <c r="Y79" s="4" t="s">
        <v>1562</v>
      </c>
      <c r="Z79" s="4" t="s">
        <v>1740</v>
      </c>
      <c r="AA79" s="4">
        <v>1996.0</v>
      </c>
      <c r="AB79" s="4" t="s">
        <v>1741</v>
      </c>
      <c r="AC79" s="5">
        <v>35073.0</v>
      </c>
      <c r="AD79" s="4" t="s">
        <v>1742</v>
      </c>
      <c r="AE79" s="5">
        <v>43600.0</v>
      </c>
    </row>
    <row r="80">
      <c r="A80" s="4" t="s">
        <v>1412</v>
      </c>
      <c r="B80" s="4" t="s">
        <v>1423</v>
      </c>
      <c r="C80" s="4" t="s">
        <v>109</v>
      </c>
      <c r="D80" s="4" t="s">
        <v>1424</v>
      </c>
      <c r="E80" s="4" t="s">
        <v>80</v>
      </c>
      <c r="F80" s="4" t="s">
        <v>1067</v>
      </c>
      <c r="G80" s="4" t="s">
        <v>310</v>
      </c>
      <c r="H80" s="4" t="s">
        <v>1743</v>
      </c>
      <c r="I80" s="4" t="s">
        <v>1744</v>
      </c>
      <c r="J80" s="5">
        <v>36495.0</v>
      </c>
      <c r="K80" s="5">
        <v>18045.0</v>
      </c>
      <c r="L80" s="4">
        <v>74.0</v>
      </c>
      <c r="M80" s="4" t="s">
        <v>1407</v>
      </c>
      <c r="O80" s="5">
        <v>36800.0</v>
      </c>
      <c r="P80" s="5">
        <v>39141.0</v>
      </c>
      <c r="Q80" s="4" t="s">
        <v>31</v>
      </c>
      <c r="R80" s="4" t="s">
        <v>32</v>
      </c>
      <c r="S80" s="6" t="s">
        <v>1745</v>
      </c>
      <c r="T80" s="4" t="s">
        <v>1746</v>
      </c>
      <c r="U80" s="4">
        <v>6.0</v>
      </c>
      <c r="V80" s="4" t="s">
        <v>1492</v>
      </c>
      <c r="W80" s="4">
        <v>29172.0</v>
      </c>
      <c r="X80" s="4" t="s">
        <v>58</v>
      </c>
      <c r="Y80" s="4" t="s">
        <v>59</v>
      </c>
      <c r="Z80" s="4" t="s">
        <v>1510</v>
      </c>
      <c r="AA80" s="4">
        <v>1979.0</v>
      </c>
      <c r="AB80" s="4" t="s">
        <v>58</v>
      </c>
      <c r="AC80" s="5">
        <v>29172.0</v>
      </c>
      <c r="AD80" s="4" t="s">
        <v>1411</v>
      </c>
    </row>
    <row r="81">
      <c r="A81" s="4" t="s">
        <v>24</v>
      </c>
      <c r="B81" s="4" t="s">
        <v>1423</v>
      </c>
      <c r="C81" s="4" t="s">
        <v>109</v>
      </c>
      <c r="D81" s="4" t="s">
        <v>1424</v>
      </c>
      <c r="E81" s="4" t="s">
        <v>26</v>
      </c>
      <c r="F81" s="4" t="s">
        <v>1067</v>
      </c>
      <c r="G81" s="4" t="s">
        <v>1107</v>
      </c>
      <c r="H81" s="4" t="s">
        <v>1108</v>
      </c>
      <c r="I81" s="4" t="s">
        <v>1109</v>
      </c>
      <c r="J81" s="5">
        <v>43466.0</v>
      </c>
      <c r="K81" s="5">
        <v>28908.0</v>
      </c>
      <c r="L81" s="4">
        <v>44.0</v>
      </c>
      <c r="M81" s="4" t="s">
        <v>1425</v>
      </c>
      <c r="N81" s="4" t="s">
        <v>1419</v>
      </c>
      <c r="O81" s="5">
        <v>44927.0</v>
      </c>
      <c r="P81" s="5">
        <v>45291.0</v>
      </c>
      <c r="Q81" s="4" t="s">
        <v>66</v>
      </c>
      <c r="R81" s="4" t="s">
        <v>32</v>
      </c>
      <c r="S81" s="6" t="s">
        <v>1747</v>
      </c>
      <c r="T81" s="4" t="s">
        <v>1110</v>
      </c>
      <c r="U81" s="4">
        <v>22.0</v>
      </c>
      <c r="V81" s="4" t="s">
        <v>34</v>
      </c>
      <c r="W81" s="4">
        <v>41970.0</v>
      </c>
      <c r="X81" s="4" t="s">
        <v>1112</v>
      </c>
      <c r="Y81" s="4" t="s">
        <v>98</v>
      </c>
      <c r="Z81" s="4" t="s">
        <v>1422</v>
      </c>
      <c r="AA81" s="4">
        <v>2004.0</v>
      </c>
      <c r="AB81" s="4" t="s">
        <v>438</v>
      </c>
      <c r="AC81" s="5">
        <v>38216.0</v>
      </c>
      <c r="AD81" s="4">
        <v>0.0</v>
      </c>
      <c r="AE81" s="5">
        <v>43418.0</v>
      </c>
    </row>
    <row r="82">
      <c r="A82" s="4" t="s">
        <v>60</v>
      </c>
      <c r="B82" s="4" t="s">
        <v>1447</v>
      </c>
      <c r="C82" s="4" t="s">
        <v>40</v>
      </c>
      <c r="D82" s="4" t="s">
        <v>1448</v>
      </c>
      <c r="E82" s="4" t="s">
        <v>26</v>
      </c>
      <c r="F82" s="4" t="s">
        <v>1067</v>
      </c>
      <c r="G82" s="4" t="s">
        <v>1068</v>
      </c>
      <c r="H82" s="4" t="s">
        <v>1748</v>
      </c>
      <c r="I82" s="4" t="s">
        <v>1749</v>
      </c>
      <c r="J82" s="5">
        <v>43040.0</v>
      </c>
      <c r="K82" s="5">
        <v>15550.0</v>
      </c>
      <c r="L82" s="4">
        <v>81.0</v>
      </c>
      <c r="M82" s="4" t="s">
        <v>1407</v>
      </c>
      <c r="N82" s="4" t="s">
        <v>1419</v>
      </c>
      <c r="O82" s="5">
        <v>44927.0</v>
      </c>
      <c r="P82" s="5">
        <v>45291.0</v>
      </c>
      <c r="Q82" s="4" t="s">
        <v>104</v>
      </c>
      <c r="R82" s="4" t="s">
        <v>32</v>
      </c>
      <c r="S82" s="6" t="s">
        <v>1750</v>
      </c>
      <c r="T82" s="4" t="s">
        <v>1071</v>
      </c>
      <c r="U82" s="4">
        <v>6.0</v>
      </c>
      <c r="V82" s="4" t="s">
        <v>359</v>
      </c>
      <c r="W82" s="4">
        <v>32940.0</v>
      </c>
      <c r="X82" s="4" t="s">
        <v>1074</v>
      </c>
      <c r="Y82" s="4" t="s">
        <v>1075</v>
      </c>
      <c r="Z82" s="4" t="s">
        <v>1427</v>
      </c>
      <c r="AA82" s="4">
        <v>1965.0</v>
      </c>
      <c r="AB82" s="4" t="s">
        <v>58</v>
      </c>
      <c r="AC82" s="5">
        <v>23972.0</v>
      </c>
      <c r="AD82" s="4" t="s">
        <v>1411</v>
      </c>
      <c r="AE82" s="5">
        <v>42838.0</v>
      </c>
    </row>
    <row r="83">
      <c r="A83" s="4" t="s">
        <v>1465</v>
      </c>
      <c r="B83" s="4" t="s">
        <v>1447</v>
      </c>
      <c r="C83" s="4" t="s">
        <v>40</v>
      </c>
      <c r="D83" s="4" t="s">
        <v>1448</v>
      </c>
      <c r="E83" s="4" t="s">
        <v>26</v>
      </c>
      <c r="F83" s="4" t="s">
        <v>1067</v>
      </c>
      <c r="G83" s="4" t="s">
        <v>1751</v>
      </c>
      <c r="H83" s="4" t="s">
        <v>1752</v>
      </c>
      <c r="I83" s="4" t="s">
        <v>1753</v>
      </c>
      <c r="J83" s="5">
        <v>36465.0</v>
      </c>
      <c r="K83" s="5">
        <v>17954.0</v>
      </c>
      <c r="L83" s="4">
        <v>74.0</v>
      </c>
      <c r="M83" s="4" t="s">
        <v>1407</v>
      </c>
      <c r="N83" s="4" t="s">
        <v>1419</v>
      </c>
      <c r="O83" s="5">
        <v>37803.0</v>
      </c>
      <c r="P83" s="5">
        <v>37833.0</v>
      </c>
      <c r="Q83" s="4" t="s">
        <v>66</v>
      </c>
      <c r="R83" s="4" t="s">
        <v>32</v>
      </c>
      <c r="S83" s="6" t="s">
        <v>1754</v>
      </c>
      <c r="T83" s="4" t="s">
        <v>1755</v>
      </c>
      <c r="U83" s="4">
        <v>21.0</v>
      </c>
      <c r="V83" s="4" t="s">
        <v>55</v>
      </c>
      <c r="W83" s="4">
        <v>34577.0</v>
      </c>
      <c r="X83" s="4" t="s">
        <v>383</v>
      </c>
      <c r="Y83" s="4" t="s">
        <v>59</v>
      </c>
      <c r="Z83" s="4" t="s">
        <v>1519</v>
      </c>
      <c r="AA83" s="4">
        <v>1970.0</v>
      </c>
      <c r="AB83" s="4" t="s">
        <v>383</v>
      </c>
      <c r="AC83" s="5">
        <v>25689.0</v>
      </c>
      <c r="AD83" s="4" t="s">
        <v>1411</v>
      </c>
    </row>
    <row r="84">
      <c r="A84" s="4" t="s">
        <v>24</v>
      </c>
      <c r="B84" s="4" t="s">
        <v>1473</v>
      </c>
      <c r="C84" s="4" t="s">
        <v>25</v>
      </c>
      <c r="D84" s="4" t="s">
        <v>1474</v>
      </c>
      <c r="E84" s="4" t="s">
        <v>26</v>
      </c>
      <c r="F84" s="4" t="s">
        <v>181</v>
      </c>
      <c r="G84" s="4" t="s">
        <v>182</v>
      </c>
      <c r="H84" s="4" t="s">
        <v>183</v>
      </c>
      <c r="I84" s="4" t="s">
        <v>184</v>
      </c>
      <c r="J84" s="5">
        <v>34001.0</v>
      </c>
      <c r="K84" s="5">
        <v>21574.0</v>
      </c>
      <c r="L84" s="4">
        <v>64.0</v>
      </c>
      <c r="M84" s="4" t="s">
        <v>1425</v>
      </c>
      <c r="O84" s="5">
        <v>43101.0</v>
      </c>
      <c r="P84" s="5">
        <v>73050.0</v>
      </c>
      <c r="Q84" s="4" t="s">
        <v>31</v>
      </c>
      <c r="R84" s="4" t="s">
        <v>32</v>
      </c>
      <c r="S84" s="6" t="s">
        <v>1756</v>
      </c>
      <c r="T84" s="4" t="s">
        <v>185</v>
      </c>
      <c r="U84" s="4">
        <v>44.0</v>
      </c>
      <c r="V84" s="4" t="s">
        <v>34</v>
      </c>
      <c r="W84" s="4">
        <v>32873.0</v>
      </c>
      <c r="X84" s="4" t="s">
        <v>188</v>
      </c>
      <c r="Y84" s="4" t="s">
        <v>89</v>
      </c>
      <c r="Z84" s="4" t="s">
        <v>1422</v>
      </c>
      <c r="AA84" s="4">
        <v>1993.0</v>
      </c>
      <c r="AB84" s="4" t="s">
        <v>58</v>
      </c>
      <c r="AC84" s="5">
        <v>34113.0</v>
      </c>
      <c r="AD84" s="4" t="s">
        <v>1411</v>
      </c>
      <c r="AE84" s="5">
        <v>43075.0</v>
      </c>
    </row>
    <row r="85">
      <c r="A85" s="4" t="s">
        <v>1684</v>
      </c>
      <c r="B85" s="4" t="s">
        <v>1423</v>
      </c>
      <c r="C85" s="4" t="s">
        <v>109</v>
      </c>
      <c r="D85" s="4" t="s">
        <v>1424</v>
      </c>
      <c r="E85" s="4" t="s">
        <v>26</v>
      </c>
      <c r="F85" s="4" t="s">
        <v>1757</v>
      </c>
      <c r="G85" s="4" t="s">
        <v>1758</v>
      </c>
      <c r="H85" s="4" t="s">
        <v>1759</v>
      </c>
      <c r="I85" s="4" t="s">
        <v>1760</v>
      </c>
      <c r="J85" s="5">
        <v>23408.0</v>
      </c>
      <c r="K85" s="5">
        <v>10455.0</v>
      </c>
      <c r="L85" s="4">
        <v>95.0</v>
      </c>
      <c r="M85" s="4" t="s">
        <v>1407</v>
      </c>
      <c r="N85" s="4" t="s">
        <v>1419</v>
      </c>
      <c r="O85" s="5">
        <v>36251.0</v>
      </c>
      <c r="P85" s="5">
        <v>38664.0</v>
      </c>
      <c r="Q85" s="4" t="s">
        <v>31</v>
      </c>
      <c r="R85" s="4" t="s">
        <v>32</v>
      </c>
      <c r="S85" s="6" t="s">
        <v>1761</v>
      </c>
      <c r="T85" s="4" t="s">
        <v>1762</v>
      </c>
      <c r="U85" s="4">
        <v>44.0</v>
      </c>
      <c r="V85" s="4" t="s">
        <v>1492</v>
      </c>
      <c r="W85" s="4">
        <v>22761.0</v>
      </c>
      <c r="X85" s="4" t="s">
        <v>58</v>
      </c>
      <c r="Y85" s="4" t="s">
        <v>59</v>
      </c>
      <c r="AD85" s="4" t="s">
        <v>1411</v>
      </c>
    </row>
    <row r="86">
      <c r="A86" s="4" t="s">
        <v>60</v>
      </c>
      <c r="B86" s="4" t="s">
        <v>1540</v>
      </c>
      <c r="C86" s="4" t="s">
        <v>99</v>
      </c>
      <c r="D86" s="4" t="s">
        <v>1541</v>
      </c>
      <c r="E86" s="4" t="s">
        <v>80</v>
      </c>
      <c r="F86" s="4" t="s">
        <v>742</v>
      </c>
      <c r="G86" s="4" t="s">
        <v>491</v>
      </c>
      <c r="H86" s="4" t="s">
        <v>743</v>
      </c>
      <c r="I86" s="4" t="s">
        <v>744</v>
      </c>
      <c r="J86" s="5">
        <v>39873.0</v>
      </c>
      <c r="K86" s="5">
        <v>28862.0</v>
      </c>
      <c r="L86" s="4">
        <v>45.0</v>
      </c>
      <c r="M86" s="4" t="s">
        <v>1407</v>
      </c>
      <c r="O86" s="5">
        <v>44927.0</v>
      </c>
      <c r="P86" s="5">
        <v>45291.0</v>
      </c>
      <c r="Q86" s="4" t="s">
        <v>66</v>
      </c>
      <c r="R86" s="4" t="s">
        <v>32</v>
      </c>
      <c r="S86" s="6" t="s">
        <v>745</v>
      </c>
      <c r="T86" s="4" t="s">
        <v>745</v>
      </c>
      <c r="U86" s="4">
        <v>44.0</v>
      </c>
      <c r="V86" s="4" t="s">
        <v>34</v>
      </c>
      <c r="W86" s="4">
        <v>39443.0</v>
      </c>
      <c r="X86" s="4" t="s">
        <v>58</v>
      </c>
      <c r="Y86" s="4" t="s">
        <v>59</v>
      </c>
      <c r="Z86" s="4" t="s">
        <v>1427</v>
      </c>
      <c r="AA86" s="4">
        <v>2003.0</v>
      </c>
      <c r="AB86" s="4" t="s">
        <v>58</v>
      </c>
      <c r="AC86" s="5">
        <v>37939.0</v>
      </c>
      <c r="AD86" s="4" t="s">
        <v>1411</v>
      </c>
      <c r="AE86" s="5">
        <v>43481.0</v>
      </c>
    </row>
    <row r="87">
      <c r="A87" s="4" t="s">
        <v>1465</v>
      </c>
      <c r="B87" s="4" t="s">
        <v>1423</v>
      </c>
      <c r="C87" s="4" t="s">
        <v>109</v>
      </c>
      <c r="D87" s="4" t="s">
        <v>1424</v>
      </c>
      <c r="E87" s="4" t="s">
        <v>26</v>
      </c>
      <c r="F87" s="4" t="s">
        <v>1763</v>
      </c>
      <c r="G87" s="4" t="s">
        <v>1764</v>
      </c>
      <c r="H87" s="4" t="s">
        <v>1765</v>
      </c>
      <c r="I87" s="4" t="s">
        <v>1766</v>
      </c>
      <c r="J87" s="5">
        <v>36770.0</v>
      </c>
      <c r="K87" s="5">
        <v>18233.0</v>
      </c>
      <c r="L87" s="4">
        <v>74.0</v>
      </c>
      <c r="M87" s="4" t="s">
        <v>1407</v>
      </c>
      <c r="N87" s="4" t="s">
        <v>1419</v>
      </c>
      <c r="O87" s="5">
        <v>37803.0</v>
      </c>
      <c r="P87" s="5">
        <v>37833.0</v>
      </c>
      <c r="Q87" s="4" t="s">
        <v>66</v>
      </c>
      <c r="R87" s="4" t="s">
        <v>32</v>
      </c>
      <c r="S87" s="6" t="s">
        <v>1767</v>
      </c>
      <c r="T87" s="4" t="s">
        <v>1768</v>
      </c>
      <c r="U87" s="4">
        <v>22.0</v>
      </c>
      <c r="Z87" s="4" t="s">
        <v>1519</v>
      </c>
      <c r="AA87" s="4">
        <v>1972.0</v>
      </c>
      <c r="AB87" s="4" t="s">
        <v>661</v>
      </c>
      <c r="AC87" s="5">
        <v>26325.0</v>
      </c>
      <c r="AD87" s="4" t="s">
        <v>1411</v>
      </c>
    </row>
    <row r="88">
      <c r="A88" s="4" t="s">
        <v>1412</v>
      </c>
      <c r="B88" s="4" t="s">
        <v>1413</v>
      </c>
      <c r="C88" s="4" t="s">
        <v>1414</v>
      </c>
      <c r="D88" s="4" t="s">
        <v>1415</v>
      </c>
      <c r="E88" s="4" t="s">
        <v>80</v>
      </c>
      <c r="F88" s="4" t="s">
        <v>1769</v>
      </c>
      <c r="G88" s="4" t="s">
        <v>1770</v>
      </c>
      <c r="H88" s="4" t="s">
        <v>1771</v>
      </c>
      <c r="I88" s="4" t="s">
        <v>1772</v>
      </c>
      <c r="J88" s="5">
        <v>34943.0</v>
      </c>
      <c r="K88" s="5">
        <v>23690.0</v>
      </c>
      <c r="L88" s="4">
        <v>59.0</v>
      </c>
      <c r="M88" s="4" t="s">
        <v>1407</v>
      </c>
      <c r="O88" s="5">
        <v>36161.0</v>
      </c>
      <c r="P88" s="5">
        <v>36464.0</v>
      </c>
      <c r="Q88" s="4" t="s">
        <v>66</v>
      </c>
      <c r="R88" s="4" t="s">
        <v>32</v>
      </c>
      <c r="S88" s="6" t="s">
        <v>1773</v>
      </c>
      <c r="T88" s="4" t="s">
        <v>1774</v>
      </c>
      <c r="U88" s="4">
        <v>6.0</v>
      </c>
      <c r="V88" s="4" t="s">
        <v>106</v>
      </c>
      <c r="W88" s="4">
        <v>1.0</v>
      </c>
      <c r="X88" s="4" t="s">
        <v>1464</v>
      </c>
      <c r="Y88" s="4" t="s">
        <v>59</v>
      </c>
      <c r="Z88" s="4" t="s">
        <v>1499</v>
      </c>
      <c r="AA88" s="4">
        <v>1989.0</v>
      </c>
      <c r="AB88" s="4" t="s">
        <v>58</v>
      </c>
      <c r="AC88" s="5">
        <v>32528.0</v>
      </c>
      <c r="AD88" s="4" t="s">
        <v>1411</v>
      </c>
    </row>
    <row r="89">
      <c r="A89" s="4" t="s">
        <v>78</v>
      </c>
      <c r="B89" s="4" t="s">
        <v>1473</v>
      </c>
      <c r="C89" s="4" t="s">
        <v>25</v>
      </c>
      <c r="D89" s="4" t="s">
        <v>1474</v>
      </c>
      <c r="E89" s="4" t="s">
        <v>80</v>
      </c>
      <c r="F89" s="4" t="s">
        <v>228</v>
      </c>
      <c r="G89" s="4" t="s">
        <v>229</v>
      </c>
      <c r="H89" s="4" t="s">
        <v>230</v>
      </c>
      <c r="I89" s="4" t="s">
        <v>231</v>
      </c>
      <c r="J89" s="5">
        <v>34547.0</v>
      </c>
      <c r="K89" s="5">
        <v>24092.0</v>
      </c>
      <c r="L89" s="4">
        <v>58.0</v>
      </c>
      <c r="M89" s="4" t="s">
        <v>1407</v>
      </c>
      <c r="O89" s="5">
        <v>44866.0</v>
      </c>
      <c r="P89" s="5">
        <v>73050.0</v>
      </c>
      <c r="Q89" s="4" t="s">
        <v>31</v>
      </c>
      <c r="R89" s="4" t="s">
        <v>32</v>
      </c>
      <c r="S89" s="6" t="s">
        <v>1775</v>
      </c>
      <c r="T89" s="4" t="s">
        <v>232</v>
      </c>
      <c r="U89" s="4">
        <v>22.0</v>
      </c>
      <c r="V89" s="4" t="s">
        <v>34</v>
      </c>
      <c r="W89" s="4">
        <v>37296.0</v>
      </c>
      <c r="X89" s="4" t="s">
        <v>234</v>
      </c>
      <c r="Y89" s="4" t="s">
        <v>98</v>
      </c>
      <c r="Z89" s="4" t="s">
        <v>1433</v>
      </c>
      <c r="AA89" s="4">
        <v>1993.0</v>
      </c>
      <c r="AB89" s="4" t="s">
        <v>58</v>
      </c>
      <c r="AC89" s="5">
        <v>34159.0</v>
      </c>
      <c r="AD89" s="4" t="s">
        <v>1411</v>
      </c>
      <c r="AE89" s="5">
        <v>44587.0</v>
      </c>
    </row>
    <row r="90">
      <c r="A90" s="4" t="s">
        <v>1465</v>
      </c>
      <c r="B90" s="4" t="s">
        <v>1423</v>
      </c>
      <c r="C90" s="4" t="s">
        <v>109</v>
      </c>
      <c r="D90" s="4" t="s">
        <v>1424</v>
      </c>
      <c r="E90" s="4" t="s">
        <v>26</v>
      </c>
      <c r="F90" s="4" t="s">
        <v>1119</v>
      </c>
      <c r="G90" s="4" t="s">
        <v>219</v>
      </c>
      <c r="H90" s="4" t="s">
        <v>1776</v>
      </c>
      <c r="I90" s="4" t="s">
        <v>1777</v>
      </c>
      <c r="J90" s="5">
        <v>30011.0</v>
      </c>
      <c r="K90" s="5">
        <v>18897.0</v>
      </c>
      <c r="L90" s="4">
        <v>72.0</v>
      </c>
      <c r="M90" s="4" t="s">
        <v>1407</v>
      </c>
      <c r="O90" s="5">
        <v>34429.0</v>
      </c>
      <c r="P90" s="5">
        <v>34789.0</v>
      </c>
      <c r="Q90" s="4" t="s">
        <v>31</v>
      </c>
      <c r="R90" s="4" t="s">
        <v>32</v>
      </c>
      <c r="S90" s="6" t="s">
        <v>1778</v>
      </c>
      <c r="T90" s="4" t="s">
        <v>1779</v>
      </c>
      <c r="U90" s="4">
        <v>6.0</v>
      </c>
      <c r="AD90" s="4" t="s">
        <v>1411</v>
      </c>
    </row>
    <row r="91">
      <c r="A91" s="4" t="s">
        <v>24</v>
      </c>
      <c r="B91" s="4" t="s">
        <v>1540</v>
      </c>
      <c r="C91" s="4" t="s">
        <v>99</v>
      </c>
      <c r="D91" s="4" t="s">
        <v>1541</v>
      </c>
      <c r="E91" s="4" t="s">
        <v>26</v>
      </c>
      <c r="F91" s="4" t="s">
        <v>1119</v>
      </c>
      <c r="G91" s="4" t="s">
        <v>454</v>
      </c>
      <c r="H91" s="4" t="s">
        <v>1120</v>
      </c>
      <c r="I91" s="4" t="s">
        <v>1121</v>
      </c>
      <c r="J91" s="5">
        <v>43466.0</v>
      </c>
      <c r="K91" s="5">
        <v>26998.0</v>
      </c>
      <c r="L91" s="4">
        <v>50.0</v>
      </c>
      <c r="M91" s="4" t="s">
        <v>1407</v>
      </c>
      <c r="O91" s="5">
        <v>44774.0</v>
      </c>
      <c r="P91" s="5">
        <v>73050.0</v>
      </c>
      <c r="Q91" s="4" t="s">
        <v>31</v>
      </c>
      <c r="R91" s="4" t="s">
        <v>32</v>
      </c>
      <c r="S91" s="6" t="s">
        <v>1122</v>
      </c>
      <c r="T91" s="4" t="s">
        <v>1122</v>
      </c>
      <c r="U91" s="4">
        <v>44.0</v>
      </c>
      <c r="V91" s="4" t="s">
        <v>34</v>
      </c>
      <c r="W91" s="4">
        <v>40211.0</v>
      </c>
      <c r="X91" s="4" t="s">
        <v>1124</v>
      </c>
      <c r="Y91" s="4" t="s">
        <v>98</v>
      </c>
      <c r="Z91" s="4" t="s">
        <v>1510</v>
      </c>
      <c r="AA91" s="4">
        <v>1997.0</v>
      </c>
      <c r="AB91" s="4" t="s">
        <v>1546</v>
      </c>
      <c r="AC91" s="5">
        <v>35747.0</v>
      </c>
      <c r="AD91" s="4" t="s">
        <v>1411</v>
      </c>
      <c r="AE91" s="5">
        <v>43600.0</v>
      </c>
    </row>
    <row r="92">
      <c r="A92" s="4" t="s">
        <v>1434</v>
      </c>
      <c r="B92" s="4" t="s">
        <v>1423</v>
      </c>
      <c r="C92" s="4" t="s">
        <v>109</v>
      </c>
      <c r="D92" s="4" t="s">
        <v>1424</v>
      </c>
      <c r="E92" s="4" t="s">
        <v>26</v>
      </c>
      <c r="F92" s="4" t="s">
        <v>578</v>
      </c>
      <c r="G92" s="4" t="s">
        <v>960</v>
      </c>
      <c r="H92" s="4" t="s">
        <v>1780</v>
      </c>
      <c r="I92" s="4" t="s">
        <v>1781</v>
      </c>
      <c r="J92" s="5">
        <v>29281.0</v>
      </c>
      <c r="K92" s="5">
        <v>20836.0</v>
      </c>
      <c r="L92" s="4">
        <v>67.0</v>
      </c>
      <c r="M92" s="4" t="s">
        <v>1407</v>
      </c>
      <c r="N92" s="4" t="s">
        <v>1461</v>
      </c>
      <c r="O92" s="5">
        <v>33482.0</v>
      </c>
      <c r="P92" s="5">
        <v>39903.0</v>
      </c>
      <c r="Q92" s="4" t="s">
        <v>31</v>
      </c>
      <c r="R92" s="4" t="s">
        <v>32</v>
      </c>
      <c r="S92" s="6" t="s">
        <v>1782</v>
      </c>
      <c r="T92" s="4" t="s">
        <v>1783</v>
      </c>
      <c r="U92" s="4">
        <v>6.0</v>
      </c>
      <c r="V92" s="4" t="s">
        <v>1784</v>
      </c>
      <c r="W92" s="4">
        <v>37417.0</v>
      </c>
      <c r="X92" s="4" t="s">
        <v>1785</v>
      </c>
      <c r="Y92" s="4" t="s">
        <v>791</v>
      </c>
      <c r="Z92" s="4" t="s">
        <v>1433</v>
      </c>
      <c r="AA92" s="4">
        <v>1979.0</v>
      </c>
      <c r="AB92" s="4" t="s">
        <v>58</v>
      </c>
      <c r="AC92" s="5">
        <v>29201.0</v>
      </c>
      <c r="AD92" s="4" t="s">
        <v>1411</v>
      </c>
    </row>
    <row r="93">
      <c r="A93" s="4" t="s">
        <v>1434</v>
      </c>
      <c r="B93" s="4" t="s">
        <v>1473</v>
      </c>
      <c r="C93" s="4" t="s">
        <v>25</v>
      </c>
      <c r="D93" s="4" t="s">
        <v>1474</v>
      </c>
      <c r="E93" s="4" t="s">
        <v>80</v>
      </c>
      <c r="F93" s="4" t="s">
        <v>578</v>
      </c>
      <c r="G93" s="4" t="s">
        <v>1786</v>
      </c>
      <c r="H93" s="4" t="s">
        <v>1787</v>
      </c>
      <c r="I93" s="4" t="s">
        <v>1788</v>
      </c>
      <c r="J93" s="5">
        <v>28399.0</v>
      </c>
      <c r="K93" s="5">
        <v>15281.0</v>
      </c>
      <c r="L93" s="4">
        <v>82.0</v>
      </c>
      <c r="M93" s="4" t="s">
        <v>1407</v>
      </c>
      <c r="N93" s="4" t="s">
        <v>1419</v>
      </c>
      <c r="O93" s="5">
        <v>38412.0</v>
      </c>
      <c r="P93" s="5">
        <v>38664.0</v>
      </c>
      <c r="Q93" s="4" t="s">
        <v>31</v>
      </c>
      <c r="R93" s="4" t="s">
        <v>32</v>
      </c>
      <c r="S93" s="6" t="s">
        <v>1789</v>
      </c>
      <c r="T93" s="4" t="s">
        <v>1790</v>
      </c>
      <c r="U93" s="4">
        <v>44.0</v>
      </c>
      <c r="V93" s="4" t="s">
        <v>34</v>
      </c>
      <c r="W93" s="4">
        <v>39644.0</v>
      </c>
      <c r="X93" s="4" t="s">
        <v>1791</v>
      </c>
      <c r="Y93" s="4" t="s">
        <v>89</v>
      </c>
      <c r="Z93" s="4" t="s">
        <v>1544</v>
      </c>
      <c r="AA93" s="4">
        <v>1980.0</v>
      </c>
      <c r="AB93" s="4" t="s">
        <v>58</v>
      </c>
      <c r="AC93" s="5">
        <v>29281.0</v>
      </c>
      <c r="AD93" s="4" t="s">
        <v>1411</v>
      </c>
    </row>
    <row r="94">
      <c r="A94" s="4" t="s">
        <v>78</v>
      </c>
      <c r="B94" s="4" t="s">
        <v>1473</v>
      </c>
      <c r="C94" s="4" t="s">
        <v>25</v>
      </c>
      <c r="D94" s="4" t="s">
        <v>1474</v>
      </c>
      <c r="E94" s="4" t="s">
        <v>80</v>
      </c>
      <c r="F94" s="4" t="s">
        <v>578</v>
      </c>
      <c r="G94" s="4" t="s">
        <v>425</v>
      </c>
      <c r="H94" s="4" t="s">
        <v>1792</v>
      </c>
      <c r="I94" s="4" t="s">
        <v>1793</v>
      </c>
      <c r="J94" s="5">
        <v>25508.0</v>
      </c>
      <c r="K94" s="5">
        <v>16256.0</v>
      </c>
      <c r="L94" s="4">
        <v>79.0</v>
      </c>
      <c r="M94" s="4" t="s">
        <v>1407</v>
      </c>
      <c r="O94" s="5">
        <v>44562.0</v>
      </c>
      <c r="P94" s="5">
        <v>44736.0</v>
      </c>
      <c r="Q94" s="4" t="s">
        <v>66</v>
      </c>
      <c r="R94" s="4" t="s">
        <v>32</v>
      </c>
      <c r="S94" s="6" t="s">
        <v>1794</v>
      </c>
      <c r="T94" s="4" t="s">
        <v>1794</v>
      </c>
      <c r="U94" s="4">
        <v>21.0</v>
      </c>
      <c r="V94" s="4" t="s">
        <v>106</v>
      </c>
      <c r="W94" s="4">
        <v>31412.0</v>
      </c>
      <c r="X94" s="4" t="s">
        <v>58</v>
      </c>
      <c r="Y94" s="4" t="s">
        <v>59</v>
      </c>
      <c r="Z94" s="4" t="s">
        <v>1795</v>
      </c>
      <c r="AA94" s="4">
        <v>1978.0</v>
      </c>
      <c r="AB94" s="4" t="s">
        <v>58</v>
      </c>
      <c r="AC94" s="5">
        <v>28801.0</v>
      </c>
      <c r="AD94" s="4" t="s">
        <v>1411</v>
      </c>
      <c r="AE94" s="5">
        <v>36034.0</v>
      </c>
    </row>
    <row r="95">
      <c r="A95" s="4" t="s">
        <v>60</v>
      </c>
      <c r="B95" s="4" t="s">
        <v>1423</v>
      </c>
      <c r="C95" s="4" t="s">
        <v>109</v>
      </c>
      <c r="D95" s="4" t="s">
        <v>1424</v>
      </c>
      <c r="E95" s="4" t="s">
        <v>80</v>
      </c>
      <c r="F95" s="4" t="s">
        <v>578</v>
      </c>
      <c r="G95" s="4" t="s">
        <v>579</v>
      </c>
      <c r="H95" s="4" t="s">
        <v>580</v>
      </c>
      <c r="I95" s="4" t="s">
        <v>581</v>
      </c>
      <c r="J95" s="5">
        <v>38899.0</v>
      </c>
      <c r="K95" s="5">
        <v>27586.0</v>
      </c>
      <c r="L95" s="4">
        <v>48.0</v>
      </c>
      <c r="M95" s="4" t="s">
        <v>1425</v>
      </c>
      <c r="O95" s="5">
        <v>44927.0</v>
      </c>
      <c r="P95" s="5">
        <v>45291.0</v>
      </c>
      <c r="Q95" s="4" t="s">
        <v>66</v>
      </c>
      <c r="R95" s="4" t="s">
        <v>32</v>
      </c>
      <c r="S95" s="6" t="s">
        <v>1796</v>
      </c>
      <c r="T95" s="4" t="s">
        <v>582</v>
      </c>
      <c r="U95" s="4">
        <v>44.0</v>
      </c>
      <c r="V95" s="4" t="s">
        <v>359</v>
      </c>
      <c r="W95" s="4">
        <v>41102.0</v>
      </c>
      <c r="X95" s="4" t="s">
        <v>58</v>
      </c>
      <c r="Y95" s="4" t="s">
        <v>59</v>
      </c>
      <c r="Z95" s="4" t="s">
        <v>1427</v>
      </c>
      <c r="AA95" s="4">
        <v>2004.0</v>
      </c>
      <c r="AB95" s="4" t="s">
        <v>58</v>
      </c>
      <c r="AC95" s="5">
        <v>38132.0</v>
      </c>
      <c r="AD95" s="4" t="s">
        <v>1411</v>
      </c>
      <c r="AE95" s="5">
        <v>41284.0</v>
      </c>
    </row>
    <row r="96">
      <c r="A96" s="4" t="s">
        <v>78</v>
      </c>
      <c r="B96" s="4" t="s">
        <v>1405</v>
      </c>
      <c r="C96" s="4" t="s">
        <v>317</v>
      </c>
      <c r="D96" s="4" t="s">
        <v>1406</v>
      </c>
      <c r="E96" s="4" t="s">
        <v>26</v>
      </c>
      <c r="F96" s="4" t="s">
        <v>439</v>
      </c>
      <c r="G96" s="4" t="s">
        <v>440</v>
      </c>
      <c r="H96" s="4" t="s">
        <v>441</v>
      </c>
      <c r="I96" s="4" t="s">
        <v>442</v>
      </c>
      <c r="J96" s="5">
        <v>38261.0</v>
      </c>
      <c r="K96" s="5">
        <v>20725.0</v>
      </c>
      <c r="L96" s="4">
        <v>67.0</v>
      </c>
      <c r="M96" s="4" t="s">
        <v>1407</v>
      </c>
      <c r="N96" s="4" t="s">
        <v>1419</v>
      </c>
      <c r="O96" s="5">
        <v>44927.0</v>
      </c>
      <c r="P96" s="5">
        <v>45291.0</v>
      </c>
      <c r="Q96" s="4" t="s">
        <v>66</v>
      </c>
      <c r="R96" s="4" t="s">
        <v>32</v>
      </c>
      <c r="S96" s="6" t="s">
        <v>1797</v>
      </c>
      <c r="T96" s="4" t="s">
        <v>443</v>
      </c>
      <c r="U96" s="4">
        <v>6.0</v>
      </c>
      <c r="Z96" s="4" t="s">
        <v>1544</v>
      </c>
      <c r="AA96" s="4">
        <v>1986.0</v>
      </c>
      <c r="AB96" s="4" t="s">
        <v>58</v>
      </c>
      <c r="AC96" s="5">
        <v>31415.0</v>
      </c>
      <c r="AD96" s="4" t="s">
        <v>1411</v>
      </c>
      <c r="AE96" s="5">
        <v>38231.0</v>
      </c>
    </row>
    <row r="97">
      <c r="A97" s="4" t="s">
        <v>1440</v>
      </c>
      <c r="B97" s="4" t="s">
        <v>1423</v>
      </c>
      <c r="C97" s="4" t="s">
        <v>109</v>
      </c>
      <c r="D97" s="4" t="s">
        <v>1424</v>
      </c>
      <c r="E97" s="4" t="s">
        <v>26</v>
      </c>
      <c r="F97" s="4" t="s">
        <v>1798</v>
      </c>
      <c r="G97" s="4" t="s">
        <v>933</v>
      </c>
      <c r="H97" s="4" t="s">
        <v>1799</v>
      </c>
      <c r="I97" s="4" t="s">
        <v>1800</v>
      </c>
      <c r="J97" s="5">
        <v>26543.0</v>
      </c>
      <c r="K97" s="5">
        <v>12664.0</v>
      </c>
      <c r="L97" s="4">
        <v>89.0</v>
      </c>
      <c r="M97" s="4" t="s">
        <v>1407</v>
      </c>
      <c r="O97" s="5">
        <v>38718.0</v>
      </c>
      <c r="P97" s="5">
        <v>38807.0</v>
      </c>
      <c r="Q97" s="4" t="s">
        <v>66</v>
      </c>
      <c r="R97" s="4" t="s">
        <v>32</v>
      </c>
      <c r="S97" s="6" t="s">
        <v>1801</v>
      </c>
      <c r="T97" s="4" t="s">
        <v>1802</v>
      </c>
      <c r="U97" s="4">
        <v>6.0</v>
      </c>
      <c r="V97" s="4" t="s">
        <v>106</v>
      </c>
      <c r="W97" s="4">
        <v>25730.0</v>
      </c>
      <c r="X97" s="4" t="s">
        <v>1803</v>
      </c>
      <c r="Y97" s="4" t="s">
        <v>791</v>
      </c>
      <c r="Z97" s="4" t="s">
        <v>1597</v>
      </c>
      <c r="AA97" s="4">
        <v>1969.0</v>
      </c>
      <c r="AB97" s="4" t="s">
        <v>58</v>
      </c>
      <c r="AC97" s="5">
        <v>25302.0</v>
      </c>
      <c r="AD97" s="4" t="s">
        <v>1411</v>
      </c>
    </row>
    <row r="98">
      <c r="A98" s="4" t="s">
        <v>1684</v>
      </c>
      <c r="B98" s="4" t="s">
        <v>1405</v>
      </c>
      <c r="C98" s="4" t="s">
        <v>317</v>
      </c>
      <c r="D98" s="4" t="s">
        <v>1406</v>
      </c>
      <c r="E98" s="4" t="s">
        <v>80</v>
      </c>
      <c r="F98" s="4" t="s">
        <v>1804</v>
      </c>
      <c r="G98" s="4" t="s">
        <v>1805</v>
      </c>
      <c r="H98" s="4" t="s">
        <v>1806</v>
      </c>
      <c r="I98" s="4" t="s">
        <v>1807</v>
      </c>
      <c r="J98" s="5">
        <v>39417.0</v>
      </c>
      <c r="K98" s="5">
        <v>18523.0</v>
      </c>
      <c r="L98" s="4">
        <v>73.0</v>
      </c>
      <c r="M98" s="4" t="s">
        <v>1425</v>
      </c>
      <c r="O98" s="5">
        <v>40179.0</v>
      </c>
      <c r="P98" s="5">
        <v>40268.0</v>
      </c>
      <c r="Q98" s="4" t="s">
        <v>66</v>
      </c>
      <c r="R98" s="4" t="s">
        <v>32</v>
      </c>
      <c r="S98" s="6" t="s">
        <v>1808</v>
      </c>
      <c r="T98" s="4" t="s">
        <v>1809</v>
      </c>
      <c r="U98" s="4">
        <v>6.0</v>
      </c>
      <c r="V98" s="4" t="s">
        <v>375</v>
      </c>
      <c r="W98" s="4">
        <v>39080.0</v>
      </c>
      <c r="X98" s="4" t="s">
        <v>58</v>
      </c>
      <c r="Y98" s="4" t="s">
        <v>59</v>
      </c>
      <c r="Z98" s="4" t="s">
        <v>1571</v>
      </c>
      <c r="AA98" s="4">
        <v>1963.0</v>
      </c>
      <c r="AB98" s="4" t="s">
        <v>58</v>
      </c>
      <c r="AC98" s="5">
        <v>23237.0</v>
      </c>
      <c r="AD98" s="4" t="s">
        <v>1411</v>
      </c>
      <c r="AE98" s="5">
        <v>39373.0</v>
      </c>
    </row>
    <row r="99">
      <c r="A99" s="4" t="s">
        <v>1440</v>
      </c>
      <c r="B99" s="4" t="s">
        <v>1413</v>
      </c>
      <c r="C99" s="4" t="s">
        <v>1414</v>
      </c>
      <c r="D99" s="4" t="s">
        <v>1415</v>
      </c>
      <c r="E99" s="4" t="s">
        <v>26</v>
      </c>
      <c r="F99" s="4" t="s">
        <v>1810</v>
      </c>
      <c r="G99" s="4" t="s">
        <v>1811</v>
      </c>
      <c r="H99" s="4" t="s">
        <v>1812</v>
      </c>
      <c r="I99" s="4" t="s">
        <v>1813</v>
      </c>
      <c r="J99" s="5">
        <v>36708.0</v>
      </c>
      <c r="K99" s="5">
        <v>27391.0</v>
      </c>
      <c r="L99" s="4">
        <v>49.0</v>
      </c>
      <c r="M99" s="4" t="s">
        <v>1407</v>
      </c>
      <c r="O99" s="5">
        <v>38353.0</v>
      </c>
      <c r="P99" s="5">
        <v>38472.0</v>
      </c>
      <c r="Q99" s="4" t="s">
        <v>104</v>
      </c>
      <c r="R99" s="4" t="s">
        <v>32</v>
      </c>
      <c r="S99" s="6" t="s">
        <v>1814</v>
      </c>
      <c r="T99" s="4" t="s">
        <v>1815</v>
      </c>
      <c r="U99" s="4">
        <v>4.0</v>
      </c>
      <c r="V99" s="4" t="s">
        <v>1492</v>
      </c>
      <c r="W99" s="4">
        <v>32143.0</v>
      </c>
      <c r="X99" s="4" t="s">
        <v>58</v>
      </c>
      <c r="Y99" s="4" t="s">
        <v>59</v>
      </c>
      <c r="AD99" s="4" t="s">
        <v>1411</v>
      </c>
    </row>
    <row r="100">
      <c r="A100" s="4" t="s">
        <v>1412</v>
      </c>
      <c r="B100" s="4" t="s">
        <v>1423</v>
      </c>
      <c r="C100" s="4" t="s">
        <v>109</v>
      </c>
      <c r="D100" s="4" t="s">
        <v>1424</v>
      </c>
      <c r="E100" s="4" t="s">
        <v>26</v>
      </c>
      <c r="F100" s="4" t="s">
        <v>1318</v>
      </c>
      <c r="G100" s="4" t="s">
        <v>1816</v>
      </c>
      <c r="H100" s="4" t="s">
        <v>1817</v>
      </c>
      <c r="I100" s="4" t="s">
        <v>1818</v>
      </c>
      <c r="J100" s="5">
        <v>21306.0</v>
      </c>
      <c r="K100" s="5">
        <v>10496.0</v>
      </c>
      <c r="L100" s="4">
        <v>95.0</v>
      </c>
      <c r="M100" s="4" t="s">
        <v>1425</v>
      </c>
      <c r="O100" s="5">
        <v>34213.0</v>
      </c>
      <c r="P100" s="5">
        <v>34479.0</v>
      </c>
      <c r="Q100" s="4" t="s">
        <v>31</v>
      </c>
      <c r="R100" s="4" t="s">
        <v>32</v>
      </c>
      <c r="S100" s="6" t="s">
        <v>1819</v>
      </c>
      <c r="T100" s="4" t="s">
        <v>1820</v>
      </c>
      <c r="U100" s="4">
        <v>44.0</v>
      </c>
      <c r="AD100" s="4" t="s">
        <v>1411</v>
      </c>
    </row>
    <row r="101">
      <c r="A101" s="4" t="s">
        <v>1465</v>
      </c>
      <c r="B101" s="4" t="s">
        <v>1423</v>
      </c>
      <c r="C101" s="4" t="s">
        <v>109</v>
      </c>
      <c r="D101" s="4" t="s">
        <v>1424</v>
      </c>
      <c r="E101" s="4" t="s">
        <v>80</v>
      </c>
      <c r="F101" s="4" t="s">
        <v>1821</v>
      </c>
      <c r="G101" s="4" t="s">
        <v>1691</v>
      </c>
      <c r="H101" s="4" t="s">
        <v>1822</v>
      </c>
      <c r="I101" s="4" t="s">
        <v>1823</v>
      </c>
      <c r="J101" s="5">
        <v>34973.0</v>
      </c>
      <c r="K101" s="5">
        <v>22739.0</v>
      </c>
      <c r="L101" s="4">
        <v>61.0</v>
      </c>
      <c r="M101" s="4" t="s">
        <v>1407</v>
      </c>
      <c r="N101" s="4" t="s">
        <v>1419</v>
      </c>
      <c r="O101" s="5">
        <v>36069.0</v>
      </c>
      <c r="P101" s="5">
        <v>37833.0</v>
      </c>
      <c r="Q101" s="4" t="s">
        <v>31</v>
      </c>
      <c r="R101" s="4" t="s">
        <v>32</v>
      </c>
      <c r="S101" s="6" t="s">
        <v>1824</v>
      </c>
      <c r="T101" s="4" t="s">
        <v>1825</v>
      </c>
      <c r="U101" s="4">
        <v>12.0</v>
      </c>
      <c r="V101" s="4" t="s">
        <v>55</v>
      </c>
      <c r="W101" s="4">
        <v>32142.0</v>
      </c>
      <c r="X101" s="4" t="s">
        <v>58</v>
      </c>
      <c r="Y101" s="4" t="s">
        <v>59</v>
      </c>
      <c r="Z101" s="4" t="s">
        <v>1519</v>
      </c>
      <c r="AA101" s="4">
        <v>1987.0</v>
      </c>
      <c r="AB101" s="4" t="s">
        <v>58</v>
      </c>
      <c r="AC101" s="5">
        <v>31779.0</v>
      </c>
      <c r="AD101" s="4" t="s">
        <v>1411</v>
      </c>
    </row>
    <row r="102">
      <c r="A102" s="4" t="s">
        <v>1465</v>
      </c>
      <c r="B102" s="4" t="s">
        <v>1423</v>
      </c>
      <c r="C102" s="4" t="s">
        <v>109</v>
      </c>
      <c r="D102" s="4" t="s">
        <v>1424</v>
      </c>
      <c r="E102" s="4" t="s">
        <v>26</v>
      </c>
      <c r="F102" s="4" t="s">
        <v>1349</v>
      </c>
      <c r="G102" s="4" t="s">
        <v>879</v>
      </c>
      <c r="H102" s="4" t="s">
        <v>1826</v>
      </c>
      <c r="I102" s="4" t="s">
        <v>1827</v>
      </c>
      <c r="J102" s="5">
        <v>27851.0</v>
      </c>
      <c r="K102" s="5">
        <v>6789.0</v>
      </c>
      <c r="L102" s="4">
        <v>105.0</v>
      </c>
      <c r="M102" s="4" t="s">
        <v>1407</v>
      </c>
      <c r="O102" s="5">
        <v>35065.0</v>
      </c>
      <c r="P102" s="5">
        <v>35155.0</v>
      </c>
      <c r="Q102" s="4" t="s">
        <v>66</v>
      </c>
      <c r="R102" s="4" t="s">
        <v>32</v>
      </c>
      <c r="S102" s="6" t="s">
        <v>1828</v>
      </c>
      <c r="T102" s="4" t="s">
        <v>1829</v>
      </c>
      <c r="U102" s="4">
        <v>6.0</v>
      </c>
      <c r="AD102" s="4" t="s">
        <v>1411</v>
      </c>
    </row>
    <row r="103">
      <c r="A103" s="4" t="s">
        <v>1434</v>
      </c>
      <c r="B103" s="4" t="s">
        <v>1413</v>
      </c>
      <c r="C103" s="4" t="s">
        <v>1414</v>
      </c>
      <c r="D103" s="4" t="s">
        <v>1415</v>
      </c>
      <c r="E103" s="4" t="s">
        <v>80</v>
      </c>
      <c r="F103" s="4" t="s">
        <v>1830</v>
      </c>
      <c r="G103" s="4" t="s">
        <v>737</v>
      </c>
      <c r="H103" s="4" t="s">
        <v>1831</v>
      </c>
      <c r="I103" s="4" t="s">
        <v>1832</v>
      </c>
      <c r="J103" s="5">
        <v>34455.0</v>
      </c>
      <c r="K103" s="5">
        <v>25032.0</v>
      </c>
      <c r="L103" s="4">
        <v>55.0</v>
      </c>
      <c r="M103" s="4" t="s">
        <v>1453</v>
      </c>
      <c r="O103" s="5">
        <v>36161.0</v>
      </c>
      <c r="P103" s="5">
        <v>36525.0</v>
      </c>
      <c r="Q103" s="4" t="s">
        <v>66</v>
      </c>
      <c r="R103" s="4" t="s">
        <v>32</v>
      </c>
      <c r="S103" s="6" t="s">
        <v>1833</v>
      </c>
      <c r="T103" s="4" t="s">
        <v>1834</v>
      </c>
      <c r="U103" s="4">
        <v>22.0</v>
      </c>
      <c r="AD103" s="4" t="s">
        <v>1411</v>
      </c>
    </row>
    <row r="104">
      <c r="A104" s="4" t="s">
        <v>1465</v>
      </c>
      <c r="B104" s="4" t="s">
        <v>1473</v>
      </c>
      <c r="C104" s="4" t="s">
        <v>25</v>
      </c>
      <c r="D104" s="4" t="s">
        <v>1474</v>
      </c>
      <c r="E104" s="4" t="s">
        <v>26</v>
      </c>
      <c r="F104" s="4" t="s">
        <v>1835</v>
      </c>
      <c r="G104" s="4" t="s">
        <v>1836</v>
      </c>
      <c r="H104" s="4" t="s">
        <v>1837</v>
      </c>
      <c r="I104" s="4" t="s">
        <v>1838</v>
      </c>
      <c r="J104" s="5">
        <v>27120.0</v>
      </c>
      <c r="K104" s="5">
        <v>9280.0</v>
      </c>
      <c r="L104" s="4">
        <v>98.0</v>
      </c>
      <c r="M104" s="4" t="s">
        <v>1407</v>
      </c>
      <c r="O104" s="5">
        <v>35796.0</v>
      </c>
      <c r="P104" s="5">
        <v>37833.0</v>
      </c>
      <c r="Q104" s="4" t="s">
        <v>31</v>
      </c>
      <c r="R104" s="4" t="s">
        <v>32</v>
      </c>
      <c r="S104" s="6" t="s">
        <v>1839</v>
      </c>
      <c r="T104" s="4" t="s">
        <v>1840</v>
      </c>
      <c r="U104" s="4">
        <v>22.0</v>
      </c>
      <c r="V104" s="4" t="s">
        <v>1492</v>
      </c>
      <c r="W104" s="4">
        <v>18629.0</v>
      </c>
      <c r="X104" s="4" t="s">
        <v>58</v>
      </c>
      <c r="Y104" s="4" t="s">
        <v>59</v>
      </c>
      <c r="AD104" s="4" t="s">
        <v>1411</v>
      </c>
    </row>
    <row r="105">
      <c r="A105" s="4" t="s">
        <v>60</v>
      </c>
      <c r="B105" s="4" t="s">
        <v>1423</v>
      </c>
      <c r="C105" s="4" t="s">
        <v>109</v>
      </c>
      <c r="D105" s="4" t="s">
        <v>1424</v>
      </c>
      <c r="E105" s="4" t="s">
        <v>80</v>
      </c>
      <c r="F105" s="4" t="s">
        <v>879</v>
      </c>
      <c r="G105" s="4" t="s">
        <v>779</v>
      </c>
      <c r="H105" s="4" t="s">
        <v>1015</v>
      </c>
      <c r="I105" s="4" t="s">
        <v>1016</v>
      </c>
      <c r="J105" s="5">
        <v>42856.0</v>
      </c>
      <c r="K105" s="5">
        <v>29028.0</v>
      </c>
      <c r="L105" s="4">
        <v>44.0</v>
      </c>
      <c r="M105" s="4" t="s">
        <v>1425</v>
      </c>
      <c r="N105" s="4" t="s">
        <v>1419</v>
      </c>
      <c r="O105" s="5">
        <v>44927.0</v>
      </c>
      <c r="P105" s="5">
        <v>45291.0</v>
      </c>
      <c r="Q105" s="4" t="s">
        <v>66</v>
      </c>
      <c r="R105" s="4" t="s">
        <v>32</v>
      </c>
      <c r="S105" s="6" t="s">
        <v>1841</v>
      </c>
      <c r="T105" s="4" t="s">
        <v>1017</v>
      </c>
      <c r="U105" s="4">
        <v>21.0</v>
      </c>
      <c r="V105" s="4" t="s">
        <v>359</v>
      </c>
      <c r="W105" s="4">
        <v>41142.0</v>
      </c>
      <c r="X105" s="4" t="s">
        <v>58</v>
      </c>
      <c r="Y105" s="4" t="s">
        <v>59</v>
      </c>
      <c r="Z105" s="4" t="s">
        <v>1510</v>
      </c>
      <c r="AA105" s="4">
        <v>2012.0</v>
      </c>
      <c r="AB105" s="4" t="s">
        <v>58</v>
      </c>
      <c r="AC105" s="5">
        <v>41142.0</v>
      </c>
      <c r="AD105" s="4" t="s">
        <v>1411</v>
      </c>
      <c r="AE105" s="5">
        <v>42600.0</v>
      </c>
    </row>
    <row r="106">
      <c r="A106" s="4" t="s">
        <v>1440</v>
      </c>
      <c r="B106" s="4" t="s">
        <v>1842</v>
      </c>
      <c r="C106" s="4" t="s">
        <v>99</v>
      </c>
      <c r="D106" s="4" t="s">
        <v>1541</v>
      </c>
      <c r="E106" s="4" t="s">
        <v>80</v>
      </c>
      <c r="F106" s="4" t="s">
        <v>1843</v>
      </c>
      <c r="G106" s="4" t="s">
        <v>1844</v>
      </c>
      <c r="H106" s="4" t="s">
        <v>1845</v>
      </c>
      <c r="I106" s="4" t="s">
        <v>1846</v>
      </c>
      <c r="J106" s="5">
        <v>30773.0</v>
      </c>
      <c r="K106" s="5">
        <v>17213.0</v>
      </c>
      <c r="L106" s="4">
        <v>76.0</v>
      </c>
      <c r="M106" s="4" t="s">
        <v>1425</v>
      </c>
      <c r="O106" s="5">
        <v>37469.0</v>
      </c>
      <c r="P106" s="5">
        <v>38657.0</v>
      </c>
      <c r="Q106" s="4" t="s">
        <v>31</v>
      </c>
      <c r="R106" s="4" t="s">
        <v>32</v>
      </c>
      <c r="S106" s="6" t="s">
        <v>1847</v>
      </c>
      <c r="T106" s="4" t="s">
        <v>1848</v>
      </c>
      <c r="U106" s="4">
        <v>22.0</v>
      </c>
      <c r="V106" s="4" t="s">
        <v>106</v>
      </c>
      <c r="W106" s="4">
        <v>32381.0</v>
      </c>
      <c r="X106" s="4" t="s">
        <v>58</v>
      </c>
      <c r="Y106" s="4" t="s">
        <v>59</v>
      </c>
      <c r="Z106" s="4" t="s">
        <v>1422</v>
      </c>
      <c r="AA106" s="4">
        <v>1985.0</v>
      </c>
      <c r="AB106" s="4" t="s">
        <v>58</v>
      </c>
      <c r="AC106" s="5">
        <v>31230.0</v>
      </c>
      <c r="AD106" s="4" t="s">
        <v>1411</v>
      </c>
    </row>
    <row r="107">
      <c r="A107" s="4" t="s">
        <v>1412</v>
      </c>
      <c r="B107" s="4" t="s">
        <v>1849</v>
      </c>
      <c r="C107" s="4" t="s">
        <v>1850</v>
      </c>
      <c r="D107" s="4" t="s">
        <v>1851</v>
      </c>
      <c r="E107" s="4" t="s">
        <v>80</v>
      </c>
      <c r="F107" s="4" t="s">
        <v>1852</v>
      </c>
      <c r="G107" s="4" t="s">
        <v>1853</v>
      </c>
      <c r="H107" s="4" t="s">
        <v>1854</v>
      </c>
      <c r="I107" s="4" t="s">
        <v>1855</v>
      </c>
      <c r="J107" s="5">
        <v>39722.0</v>
      </c>
      <c r="K107" s="5">
        <v>30440.0</v>
      </c>
      <c r="L107" s="4">
        <v>40.0</v>
      </c>
      <c r="M107" s="4" t="s">
        <v>1425</v>
      </c>
      <c r="N107" s="4" t="s">
        <v>1419</v>
      </c>
      <c r="O107" s="5">
        <v>42005.0</v>
      </c>
      <c r="P107" s="5">
        <v>42369.0</v>
      </c>
      <c r="Q107" s="4" t="s">
        <v>66</v>
      </c>
      <c r="R107" s="4" t="s">
        <v>32</v>
      </c>
      <c r="S107" s="6" t="s">
        <v>1856</v>
      </c>
      <c r="T107" s="4" t="s">
        <v>1857</v>
      </c>
      <c r="U107" s="4">
        <v>2.0</v>
      </c>
      <c r="V107" s="4" t="s">
        <v>359</v>
      </c>
      <c r="W107" s="4">
        <v>41214.0</v>
      </c>
      <c r="X107" s="4" t="s">
        <v>1858</v>
      </c>
      <c r="Y107" s="4" t="s">
        <v>1859</v>
      </c>
      <c r="Z107" s="4" t="s">
        <v>1427</v>
      </c>
      <c r="AA107" s="4">
        <v>2007.0</v>
      </c>
      <c r="AB107" s="4" t="s">
        <v>58</v>
      </c>
      <c r="AC107" s="5">
        <v>39409.0</v>
      </c>
      <c r="AD107" s="4" t="s">
        <v>1411</v>
      </c>
      <c r="AE107" s="5">
        <v>39730.0</v>
      </c>
    </row>
    <row r="108">
      <c r="A108" s="4" t="s">
        <v>1412</v>
      </c>
      <c r="B108" s="4" t="s">
        <v>1466</v>
      </c>
      <c r="C108" s="4" t="s">
        <v>1467</v>
      </c>
      <c r="D108" s="4" t="s">
        <v>1468</v>
      </c>
      <c r="E108" s="4" t="s">
        <v>80</v>
      </c>
      <c r="F108" s="4" t="s">
        <v>1860</v>
      </c>
      <c r="G108" s="4" t="s">
        <v>1861</v>
      </c>
      <c r="H108" s="4" t="s">
        <v>1862</v>
      </c>
      <c r="I108" s="4" t="s">
        <v>1863</v>
      </c>
      <c r="J108" s="5">
        <v>40179.0</v>
      </c>
      <c r="K108" s="5">
        <v>26676.0</v>
      </c>
      <c r="L108" s="4">
        <v>51.0</v>
      </c>
      <c r="M108" s="4" t="s">
        <v>1407</v>
      </c>
      <c r="N108" s="4" t="s">
        <v>1419</v>
      </c>
      <c r="O108" s="5">
        <v>42736.0</v>
      </c>
      <c r="P108" s="5">
        <v>42855.0</v>
      </c>
      <c r="Q108" s="4" t="s">
        <v>66</v>
      </c>
      <c r="R108" s="4" t="s">
        <v>32</v>
      </c>
      <c r="S108" s="6" t="s">
        <v>1864</v>
      </c>
      <c r="T108" s="4" t="s">
        <v>1865</v>
      </c>
      <c r="U108" s="4">
        <v>12.0</v>
      </c>
      <c r="V108" s="4" t="s">
        <v>359</v>
      </c>
      <c r="W108" s="4">
        <v>39742.0</v>
      </c>
      <c r="X108" s="4" t="s">
        <v>58</v>
      </c>
      <c r="Y108" s="4" t="s">
        <v>59</v>
      </c>
      <c r="Z108" s="4" t="s">
        <v>1510</v>
      </c>
      <c r="AA108" s="4">
        <v>1997.0</v>
      </c>
      <c r="AB108" s="4" t="s">
        <v>58</v>
      </c>
      <c r="AC108" s="5">
        <v>35567.0</v>
      </c>
      <c r="AD108" s="4" t="s">
        <v>1866</v>
      </c>
      <c r="AE108" s="5">
        <v>40150.0</v>
      </c>
    </row>
    <row r="109">
      <c r="A109" s="4" t="s">
        <v>78</v>
      </c>
      <c r="B109" s="4" t="s">
        <v>1540</v>
      </c>
      <c r="C109" s="4" t="s">
        <v>99</v>
      </c>
      <c r="D109" s="4" t="s">
        <v>1541</v>
      </c>
      <c r="E109" s="4" t="s">
        <v>26</v>
      </c>
      <c r="F109" s="4" t="s">
        <v>405</v>
      </c>
      <c r="G109" s="4" t="s">
        <v>1867</v>
      </c>
      <c r="H109" s="4" t="s">
        <v>1868</v>
      </c>
      <c r="I109" s="4" t="s">
        <v>1869</v>
      </c>
      <c r="J109" s="5">
        <v>33543.0</v>
      </c>
      <c r="K109" s="5">
        <v>21626.0</v>
      </c>
      <c r="L109" s="4">
        <v>64.0</v>
      </c>
      <c r="M109" s="4" t="s">
        <v>1407</v>
      </c>
      <c r="O109" s="5">
        <v>42186.0</v>
      </c>
      <c r="P109" s="5">
        <v>42308.0</v>
      </c>
      <c r="Q109" s="4" t="s">
        <v>31</v>
      </c>
      <c r="R109" s="4" t="s">
        <v>32</v>
      </c>
      <c r="S109" s="6" t="s">
        <v>1870</v>
      </c>
      <c r="T109" s="4" t="s">
        <v>1871</v>
      </c>
      <c r="U109" s="4">
        <v>6.0</v>
      </c>
      <c r="V109" s="4" t="s">
        <v>55</v>
      </c>
      <c r="W109" s="4">
        <v>31119.0</v>
      </c>
      <c r="X109" s="4" t="s">
        <v>58</v>
      </c>
      <c r="Y109" s="4" t="s">
        <v>59</v>
      </c>
      <c r="Z109" s="4" t="s">
        <v>1544</v>
      </c>
      <c r="AA109" s="4">
        <v>1985.0</v>
      </c>
      <c r="AB109" s="4" t="s">
        <v>58</v>
      </c>
      <c r="AC109" s="5">
        <v>31058.0</v>
      </c>
      <c r="AD109" s="4" t="s">
        <v>1411</v>
      </c>
      <c r="AE109" s="5">
        <v>39526.0</v>
      </c>
    </row>
    <row r="110">
      <c r="A110" s="4" t="s">
        <v>60</v>
      </c>
      <c r="B110" s="4" t="s">
        <v>1540</v>
      </c>
      <c r="C110" s="4" t="s">
        <v>99</v>
      </c>
      <c r="D110" s="4" t="s">
        <v>1541</v>
      </c>
      <c r="E110" s="4" t="s">
        <v>26</v>
      </c>
      <c r="F110" s="4" t="s">
        <v>405</v>
      </c>
      <c r="G110" s="4" t="s">
        <v>406</v>
      </c>
      <c r="H110" s="4" t="s">
        <v>1872</v>
      </c>
      <c r="I110" s="4" t="s">
        <v>1873</v>
      </c>
      <c r="J110" s="5">
        <v>37834.0</v>
      </c>
      <c r="K110" s="5">
        <v>26164.0</v>
      </c>
      <c r="L110" s="4">
        <v>52.0</v>
      </c>
      <c r="M110" s="4" t="s">
        <v>1407</v>
      </c>
      <c r="N110" s="4" t="s">
        <v>1419</v>
      </c>
      <c r="O110" s="5">
        <v>44501.0</v>
      </c>
      <c r="P110" s="5">
        <v>73050.0</v>
      </c>
      <c r="Q110" s="4" t="s">
        <v>31</v>
      </c>
      <c r="R110" s="4" t="s">
        <v>32</v>
      </c>
      <c r="S110" s="6" t="s">
        <v>1874</v>
      </c>
      <c r="T110" s="4" t="s">
        <v>409</v>
      </c>
      <c r="U110" s="4">
        <v>44.0</v>
      </c>
      <c r="V110" s="4" t="s">
        <v>34</v>
      </c>
      <c r="W110" s="4">
        <v>42735.0</v>
      </c>
      <c r="X110" s="4" t="s">
        <v>58</v>
      </c>
      <c r="Y110" s="4" t="s">
        <v>59</v>
      </c>
      <c r="Z110" s="4" t="s">
        <v>1427</v>
      </c>
      <c r="AA110" s="4">
        <v>2002.0</v>
      </c>
      <c r="AB110" s="4" t="s">
        <v>58</v>
      </c>
      <c r="AC110" s="5">
        <v>37302.0</v>
      </c>
      <c r="AD110" s="4" t="s">
        <v>1411</v>
      </c>
      <c r="AE110" s="5">
        <v>42851.0</v>
      </c>
    </row>
    <row r="111">
      <c r="A111" s="4" t="s">
        <v>1412</v>
      </c>
      <c r="B111" s="4" t="s">
        <v>1423</v>
      </c>
      <c r="C111" s="4" t="s">
        <v>109</v>
      </c>
      <c r="D111" s="4" t="s">
        <v>1424</v>
      </c>
      <c r="E111" s="4" t="s">
        <v>26</v>
      </c>
      <c r="F111" s="4" t="s">
        <v>405</v>
      </c>
      <c r="G111" s="4" t="s">
        <v>1875</v>
      </c>
      <c r="H111" s="4" t="s">
        <v>1876</v>
      </c>
      <c r="I111" s="4" t="s">
        <v>1877</v>
      </c>
      <c r="J111" s="5">
        <v>35004.0</v>
      </c>
      <c r="K111" s="5">
        <v>18338.0</v>
      </c>
      <c r="L111" s="4">
        <v>73.0</v>
      </c>
      <c r="M111" s="4" t="s">
        <v>1425</v>
      </c>
      <c r="N111" s="4" t="s">
        <v>1419</v>
      </c>
      <c r="O111" s="5">
        <v>36892.0</v>
      </c>
      <c r="P111" s="5">
        <v>37256.0</v>
      </c>
      <c r="Q111" s="4" t="s">
        <v>66</v>
      </c>
      <c r="R111" s="4" t="s">
        <v>32</v>
      </c>
      <c r="S111" s="6" t="s">
        <v>1878</v>
      </c>
      <c r="T111" s="4" t="s">
        <v>1879</v>
      </c>
      <c r="U111" s="4">
        <v>6.0</v>
      </c>
      <c r="V111" s="4" t="s">
        <v>106</v>
      </c>
      <c r="W111" s="4">
        <v>1.0</v>
      </c>
      <c r="X111" s="4" t="s">
        <v>1464</v>
      </c>
      <c r="Y111" s="4" t="s">
        <v>59</v>
      </c>
      <c r="AD111" s="4" t="s">
        <v>1411</v>
      </c>
    </row>
    <row r="112">
      <c r="A112" s="4" t="s">
        <v>1412</v>
      </c>
      <c r="B112" s="4" t="s">
        <v>1423</v>
      </c>
      <c r="C112" s="4" t="s">
        <v>109</v>
      </c>
      <c r="D112" s="4" t="s">
        <v>1424</v>
      </c>
      <c r="E112" s="4" t="s">
        <v>26</v>
      </c>
      <c r="F112" s="4" t="s">
        <v>405</v>
      </c>
      <c r="G112" s="4" t="s">
        <v>1875</v>
      </c>
      <c r="H112" s="4" t="s">
        <v>1876</v>
      </c>
      <c r="I112" s="4" t="s">
        <v>1877</v>
      </c>
      <c r="J112" s="5">
        <v>35004.0</v>
      </c>
      <c r="K112" s="5">
        <v>18338.0</v>
      </c>
      <c r="L112" s="4">
        <v>73.0</v>
      </c>
      <c r="M112" s="4" t="s">
        <v>1425</v>
      </c>
      <c r="N112" s="4" t="s">
        <v>1419</v>
      </c>
      <c r="O112" s="5">
        <v>37257.0</v>
      </c>
      <c r="P112" s="5">
        <v>37256.0</v>
      </c>
      <c r="Q112" s="4" t="s">
        <v>66</v>
      </c>
      <c r="R112" s="4" t="s">
        <v>32</v>
      </c>
      <c r="S112" s="6" t="s">
        <v>1878</v>
      </c>
      <c r="T112" s="4" t="s">
        <v>1879</v>
      </c>
      <c r="U112" s="4">
        <v>6.0</v>
      </c>
      <c r="V112" s="4" t="s">
        <v>106</v>
      </c>
      <c r="W112" s="4">
        <v>1.0</v>
      </c>
      <c r="X112" s="4" t="s">
        <v>1464</v>
      </c>
      <c r="Y112" s="4" t="s">
        <v>59</v>
      </c>
      <c r="AD112" s="4" t="s">
        <v>1411</v>
      </c>
    </row>
    <row r="113">
      <c r="A113" s="4" t="s">
        <v>1412</v>
      </c>
      <c r="B113" s="4" t="s">
        <v>1423</v>
      </c>
      <c r="C113" s="4" t="s">
        <v>109</v>
      </c>
      <c r="D113" s="4" t="s">
        <v>1424</v>
      </c>
      <c r="E113" s="4" t="s">
        <v>26</v>
      </c>
      <c r="F113" s="4" t="s">
        <v>1880</v>
      </c>
      <c r="G113" s="4" t="s">
        <v>63</v>
      </c>
      <c r="H113" s="4" t="s">
        <v>1881</v>
      </c>
      <c r="I113" s="4" t="s">
        <v>1882</v>
      </c>
      <c r="J113" s="5">
        <v>30590.0</v>
      </c>
      <c r="K113" s="5">
        <v>19915.0</v>
      </c>
      <c r="L113" s="4">
        <v>69.0</v>
      </c>
      <c r="M113" s="4" t="s">
        <v>1407</v>
      </c>
      <c r="O113" s="5">
        <v>35704.0</v>
      </c>
      <c r="P113" s="5">
        <v>36950.0</v>
      </c>
      <c r="Q113" s="4" t="s">
        <v>31</v>
      </c>
      <c r="R113" s="4" t="s">
        <v>32</v>
      </c>
      <c r="S113" s="6" t="s">
        <v>1883</v>
      </c>
      <c r="T113" s="4" t="s">
        <v>1884</v>
      </c>
      <c r="U113" s="4">
        <v>6.0</v>
      </c>
      <c r="Z113" s="4" t="s">
        <v>1510</v>
      </c>
      <c r="AA113" s="4">
        <v>1980.0</v>
      </c>
      <c r="AB113" s="4" t="s">
        <v>438</v>
      </c>
      <c r="AC113" s="5">
        <v>29556.0</v>
      </c>
      <c r="AD113" s="4" t="s">
        <v>1411</v>
      </c>
    </row>
    <row r="114">
      <c r="A114" s="4" t="s">
        <v>39</v>
      </c>
      <c r="B114" s="4" t="s">
        <v>1423</v>
      </c>
      <c r="C114" s="4" t="s">
        <v>109</v>
      </c>
      <c r="D114" s="4" t="s">
        <v>1424</v>
      </c>
      <c r="E114" s="4" t="s">
        <v>80</v>
      </c>
      <c r="F114" s="4" t="s">
        <v>1885</v>
      </c>
      <c r="G114" s="4" t="s">
        <v>1886</v>
      </c>
      <c r="H114" s="4" t="s">
        <v>1887</v>
      </c>
      <c r="I114" s="4" t="s">
        <v>1888</v>
      </c>
      <c r="J114" s="5">
        <v>37935.0</v>
      </c>
      <c r="K114" s="5">
        <v>18568.0</v>
      </c>
      <c r="L114" s="4">
        <v>73.0</v>
      </c>
      <c r="M114" s="4" t="s">
        <v>1425</v>
      </c>
      <c r="O114" s="5">
        <v>42186.0</v>
      </c>
      <c r="P114" s="5">
        <v>42562.0</v>
      </c>
      <c r="Q114" s="4" t="s">
        <v>31</v>
      </c>
      <c r="R114" s="4" t="s">
        <v>32</v>
      </c>
      <c r="S114" s="6" t="s">
        <v>1889</v>
      </c>
      <c r="T114" s="4" t="s">
        <v>1890</v>
      </c>
      <c r="U114" s="4">
        <v>44.0</v>
      </c>
      <c r="V114" s="4" t="s">
        <v>375</v>
      </c>
      <c r="W114" s="4">
        <v>36704.0</v>
      </c>
      <c r="X114" s="4" t="s">
        <v>58</v>
      </c>
      <c r="Y114" s="4" t="s">
        <v>59</v>
      </c>
      <c r="Z114" s="4" t="s">
        <v>1891</v>
      </c>
      <c r="AA114" s="4">
        <v>1973.0</v>
      </c>
      <c r="AB114" s="4" t="s">
        <v>1892</v>
      </c>
      <c r="AC114" s="5">
        <v>26686.0</v>
      </c>
      <c r="AD114" s="4" t="s">
        <v>1411</v>
      </c>
      <c r="AE114" s="5">
        <v>38799.0</v>
      </c>
    </row>
    <row r="115">
      <c r="A115" s="4" t="s">
        <v>1684</v>
      </c>
      <c r="B115" s="4" t="s">
        <v>1405</v>
      </c>
      <c r="C115" s="4" t="s">
        <v>317</v>
      </c>
      <c r="D115" s="4" t="s">
        <v>1406</v>
      </c>
      <c r="E115" s="4" t="s">
        <v>80</v>
      </c>
      <c r="F115" s="4" t="s">
        <v>1885</v>
      </c>
      <c r="G115" s="4" t="s">
        <v>1886</v>
      </c>
      <c r="H115" s="4" t="s">
        <v>1893</v>
      </c>
      <c r="I115" s="4" t="s">
        <v>1894</v>
      </c>
      <c r="J115" s="5">
        <v>38838.0</v>
      </c>
      <c r="K115" s="5">
        <v>20089.0</v>
      </c>
      <c r="L115" s="4">
        <v>69.0</v>
      </c>
      <c r="M115" s="4" t="s">
        <v>1425</v>
      </c>
      <c r="O115" s="5">
        <v>39083.0</v>
      </c>
      <c r="P115" s="5">
        <v>39294.0</v>
      </c>
      <c r="Q115" s="4" t="s">
        <v>66</v>
      </c>
      <c r="R115" s="4" t="s">
        <v>32</v>
      </c>
      <c r="S115" s="6" t="s">
        <v>1895</v>
      </c>
      <c r="T115" s="4" t="s">
        <v>1896</v>
      </c>
      <c r="U115" s="4">
        <v>6.0</v>
      </c>
      <c r="Z115" s="4" t="s">
        <v>1897</v>
      </c>
      <c r="AA115" s="4">
        <v>1982.0</v>
      </c>
      <c r="AB115" s="4" t="s">
        <v>383</v>
      </c>
      <c r="AC115" s="5">
        <v>29966.0</v>
      </c>
      <c r="AD115" s="4" t="s">
        <v>1411</v>
      </c>
      <c r="AE115" s="5">
        <v>38841.0</v>
      </c>
    </row>
    <row r="116">
      <c r="A116" s="4" t="s">
        <v>24</v>
      </c>
      <c r="B116" s="4" t="s">
        <v>1423</v>
      </c>
      <c r="C116" s="4" t="s">
        <v>109</v>
      </c>
      <c r="D116" s="4" t="s">
        <v>1424</v>
      </c>
      <c r="E116" s="4" t="s">
        <v>26</v>
      </c>
      <c r="F116" s="4" t="s">
        <v>331</v>
      </c>
      <c r="G116" s="4" t="s">
        <v>295</v>
      </c>
      <c r="H116" s="4" t="s">
        <v>332</v>
      </c>
      <c r="I116" s="4" t="s">
        <v>333</v>
      </c>
      <c r="J116" s="5">
        <v>36373.0</v>
      </c>
      <c r="K116" s="5">
        <v>23749.0</v>
      </c>
      <c r="L116" s="4">
        <v>59.0</v>
      </c>
      <c r="M116" s="4" t="s">
        <v>1425</v>
      </c>
      <c r="N116" s="4" t="s">
        <v>1419</v>
      </c>
      <c r="O116" s="5">
        <v>44927.0</v>
      </c>
      <c r="P116" s="5">
        <v>45291.0</v>
      </c>
      <c r="Q116" s="4" t="s">
        <v>66</v>
      </c>
      <c r="R116" s="4" t="s">
        <v>32</v>
      </c>
      <c r="S116" s="6" t="s">
        <v>1898</v>
      </c>
      <c r="T116" s="4" t="s">
        <v>334</v>
      </c>
      <c r="U116" s="4">
        <v>22.0</v>
      </c>
      <c r="V116" s="4" t="s">
        <v>34</v>
      </c>
      <c r="W116" s="4">
        <v>40050.0</v>
      </c>
      <c r="X116" s="4" t="s">
        <v>58</v>
      </c>
      <c r="Y116" s="4" t="s">
        <v>59</v>
      </c>
      <c r="Z116" s="4" t="s">
        <v>1422</v>
      </c>
      <c r="AA116" s="4">
        <v>1995.0</v>
      </c>
      <c r="AB116" s="4" t="s">
        <v>1899</v>
      </c>
      <c r="AC116" s="5">
        <v>34725.0</v>
      </c>
      <c r="AD116" s="4" t="s">
        <v>1411</v>
      </c>
      <c r="AE116" s="5">
        <v>36361.0</v>
      </c>
    </row>
    <row r="117">
      <c r="A117" s="4" t="s">
        <v>78</v>
      </c>
      <c r="B117" s="4" t="s">
        <v>1540</v>
      </c>
      <c r="C117" s="4" t="s">
        <v>99</v>
      </c>
      <c r="D117" s="4" t="s">
        <v>1541</v>
      </c>
      <c r="E117" s="4" t="s">
        <v>26</v>
      </c>
      <c r="F117" s="4" t="s">
        <v>123</v>
      </c>
      <c r="G117" s="4" t="s">
        <v>124</v>
      </c>
      <c r="H117" s="4" t="s">
        <v>125</v>
      </c>
      <c r="I117" s="4" t="s">
        <v>126</v>
      </c>
      <c r="J117" s="5">
        <v>29007.0</v>
      </c>
      <c r="K117" s="5">
        <v>18549.0</v>
      </c>
      <c r="L117" s="4">
        <v>73.0</v>
      </c>
      <c r="M117" s="4" t="s">
        <v>1407</v>
      </c>
      <c r="N117" s="4" t="s">
        <v>1419</v>
      </c>
      <c r="O117" s="5">
        <v>42186.0</v>
      </c>
      <c r="P117" s="5">
        <v>73050.0</v>
      </c>
      <c r="Q117" s="4" t="s">
        <v>31</v>
      </c>
      <c r="R117" s="4" t="s">
        <v>32</v>
      </c>
      <c r="S117" s="6" t="s">
        <v>1900</v>
      </c>
      <c r="T117" s="4" t="s">
        <v>127</v>
      </c>
      <c r="U117" s="4">
        <v>44.0</v>
      </c>
      <c r="V117" s="4" t="s">
        <v>55</v>
      </c>
      <c r="W117" s="4">
        <v>36179.0</v>
      </c>
      <c r="X117" s="4" t="s">
        <v>58</v>
      </c>
      <c r="Y117" s="4" t="s">
        <v>59</v>
      </c>
      <c r="AD117" s="4" t="s">
        <v>1411</v>
      </c>
      <c r="AE117" s="5">
        <v>40282.0</v>
      </c>
    </row>
    <row r="118">
      <c r="A118" s="4" t="s">
        <v>1465</v>
      </c>
      <c r="B118" s="4" t="s">
        <v>1423</v>
      </c>
      <c r="C118" s="4" t="s">
        <v>109</v>
      </c>
      <c r="D118" s="4" t="s">
        <v>1424</v>
      </c>
      <c r="E118" s="4" t="s">
        <v>26</v>
      </c>
      <c r="F118" s="4" t="s">
        <v>835</v>
      </c>
      <c r="G118" s="4" t="s">
        <v>1901</v>
      </c>
      <c r="H118" s="4" t="s">
        <v>1902</v>
      </c>
      <c r="I118" s="4" t="s">
        <v>1903</v>
      </c>
      <c r="J118" s="5">
        <v>27120.0</v>
      </c>
      <c r="K118" s="5">
        <v>16777.0</v>
      </c>
      <c r="L118" s="4">
        <v>78.0</v>
      </c>
      <c r="M118" s="4" t="s">
        <v>1407</v>
      </c>
      <c r="O118" s="5">
        <v>36008.0</v>
      </c>
      <c r="P118" s="5">
        <v>37833.0</v>
      </c>
      <c r="Q118" s="4" t="s">
        <v>31</v>
      </c>
      <c r="R118" s="4" t="s">
        <v>32</v>
      </c>
      <c r="S118" s="6" t="s">
        <v>1904</v>
      </c>
      <c r="T118" s="4" t="s">
        <v>1904</v>
      </c>
      <c r="U118" s="4">
        <v>6.0</v>
      </c>
      <c r="V118" s="4" t="s">
        <v>1492</v>
      </c>
      <c r="W118" s="4">
        <v>27394.0</v>
      </c>
      <c r="X118" s="4" t="s">
        <v>58</v>
      </c>
      <c r="Y118" s="4" t="s">
        <v>59</v>
      </c>
      <c r="Z118" s="4" t="s">
        <v>1905</v>
      </c>
      <c r="AA118" s="4">
        <v>1974.0</v>
      </c>
      <c r="AB118" s="4" t="s">
        <v>58</v>
      </c>
      <c r="AC118" s="5">
        <v>27213.0</v>
      </c>
      <c r="AD118" s="4" t="s">
        <v>1411</v>
      </c>
    </row>
    <row r="119">
      <c r="A119" s="4" t="s">
        <v>24</v>
      </c>
      <c r="B119" s="4" t="s">
        <v>1447</v>
      </c>
      <c r="C119" s="4" t="s">
        <v>40</v>
      </c>
      <c r="D119" s="4" t="s">
        <v>1448</v>
      </c>
      <c r="E119" s="4" t="s">
        <v>26</v>
      </c>
      <c r="F119" s="4" t="s">
        <v>1906</v>
      </c>
      <c r="G119" s="4" t="s">
        <v>1907</v>
      </c>
      <c r="H119" s="4" t="s">
        <v>1908</v>
      </c>
      <c r="I119" s="4" t="s">
        <v>1909</v>
      </c>
      <c r="J119" s="5">
        <v>23955.0</v>
      </c>
      <c r="K119" s="5">
        <v>14240.0</v>
      </c>
      <c r="L119" s="4">
        <v>85.0</v>
      </c>
      <c r="M119" s="4" t="s">
        <v>1407</v>
      </c>
      <c r="O119" s="5">
        <v>43375.0</v>
      </c>
      <c r="P119" s="5">
        <v>43550.0</v>
      </c>
      <c r="Q119" s="4" t="s">
        <v>66</v>
      </c>
      <c r="R119" s="4" t="s">
        <v>32</v>
      </c>
      <c r="S119" s="6" t="s">
        <v>1910</v>
      </c>
      <c r="T119" s="4" t="s">
        <v>1910</v>
      </c>
      <c r="U119" s="4">
        <v>12.0</v>
      </c>
      <c r="Z119" s="4" t="s">
        <v>1597</v>
      </c>
      <c r="AA119" s="4">
        <v>1966.0</v>
      </c>
      <c r="AB119" s="4" t="s">
        <v>58</v>
      </c>
      <c r="AC119" s="5">
        <v>24399.0</v>
      </c>
      <c r="AD119" s="4" t="s">
        <v>1411</v>
      </c>
      <c r="AE119" s="5">
        <v>41249.0</v>
      </c>
    </row>
    <row r="120">
      <c r="A120" s="4" t="s">
        <v>1412</v>
      </c>
      <c r="B120" s="4" t="s">
        <v>1849</v>
      </c>
      <c r="C120" s="4" t="s">
        <v>1850</v>
      </c>
      <c r="D120" s="4" t="s">
        <v>1851</v>
      </c>
      <c r="E120" s="4" t="s">
        <v>26</v>
      </c>
      <c r="F120" s="4" t="s">
        <v>1911</v>
      </c>
      <c r="G120" s="4" t="s">
        <v>1235</v>
      </c>
      <c r="H120" s="4" t="s">
        <v>1912</v>
      </c>
      <c r="I120" s="4" t="s">
        <v>1913</v>
      </c>
      <c r="J120" s="5">
        <v>39448.0</v>
      </c>
      <c r="K120" s="5">
        <v>28156.0</v>
      </c>
      <c r="L120" s="4">
        <v>46.0</v>
      </c>
      <c r="M120" s="4" t="s">
        <v>1425</v>
      </c>
      <c r="O120" s="5">
        <v>41640.0</v>
      </c>
      <c r="P120" s="5">
        <v>42004.0</v>
      </c>
      <c r="Q120" s="4" t="s">
        <v>66</v>
      </c>
      <c r="R120" s="4" t="s">
        <v>32</v>
      </c>
      <c r="S120" s="6" t="s">
        <v>1914</v>
      </c>
      <c r="T120" s="4" t="s">
        <v>1915</v>
      </c>
      <c r="U120" s="4">
        <v>2.0</v>
      </c>
      <c r="V120" s="4" t="s">
        <v>55</v>
      </c>
      <c r="W120" s="4">
        <v>39366.0</v>
      </c>
      <c r="X120" s="4" t="s">
        <v>58</v>
      </c>
      <c r="Y120" s="4" t="s">
        <v>59</v>
      </c>
      <c r="Z120" s="4" t="s">
        <v>1916</v>
      </c>
      <c r="AA120" s="4">
        <v>2000.0</v>
      </c>
      <c r="AB120" s="4" t="s">
        <v>58</v>
      </c>
      <c r="AC120" s="5">
        <v>36665.0</v>
      </c>
      <c r="AD120" s="4" t="s">
        <v>1411</v>
      </c>
      <c r="AE120" s="5">
        <v>39422.0</v>
      </c>
    </row>
    <row r="121">
      <c r="A121" s="4" t="s">
        <v>78</v>
      </c>
      <c r="B121" s="4" t="s">
        <v>1473</v>
      </c>
      <c r="C121" s="4" t="s">
        <v>25</v>
      </c>
      <c r="D121" s="4" t="s">
        <v>1474</v>
      </c>
      <c r="E121" s="4" t="s">
        <v>26</v>
      </c>
      <c r="F121" s="4" t="s">
        <v>1917</v>
      </c>
      <c r="G121" s="4" t="s">
        <v>1918</v>
      </c>
      <c r="H121" s="4" t="s">
        <v>1919</v>
      </c>
      <c r="I121" s="4" t="s">
        <v>1920</v>
      </c>
      <c r="J121" s="5">
        <v>20729.0</v>
      </c>
      <c r="K121" s="5">
        <v>11825.0</v>
      </c>
      <c r="L121" s="4">
        <v>91.0</v>
      </c>
      <c r="M121" s="4" t="s">
        <v>1585</v>
      </c>
      <c r="O121" s="5">
        <v>44197.0</v>
      </c>
      <c r="P121" s="5">
        <v>44294.0</v>
      </c>
      <c r="Q121" s="4" t="s">
        <v>104</v>
      </c>
      <c r="R121" s="4" t="s">
        <v>32</v>
      </c>
      <c r="S121" s="6" t="s">
        <v>1921</v>
      </c>
      <c r="T121" s="4" t="s">
        <v>1922</v>
      </c>
      <c r="U121" s="4">
        <v>6.0</v>
      </c>
      <c r="V121" s="4" t="s">
        <v>34</v>
      </c>
      <c r="W121" s="4">
        <v>27759.0</v>
      </c>
      <c r="X121" s="4" t="s">
        <v>58</v>
      </c>
      <c r="Y121" s="4" t="s">
        <v>59</v>
      </c>
      <c r="Z121" s="4" t="s">
        <v>1897</v>
      </c>
      <c r="AA121" s="4">
        <v>1975.0</v>
      </c>
      <c r="AB121" s="4" t="s">
        <v>58</v>
      </c>
      <c r="AC121" s="5">
        <v>27555.0</v>
      </c>
      <c r="AD121" s="4" t="s">
        <v>1411</v>
      </c>
      <c r="AE121" s="5">
        <v>31532.0</v>
      </c>
    </row>
    <row r="122">
      <c r="A122" s="4" t="s">
        <v>78</v>
      </c>
      <c r="B122" s="4" t="s">
        <v>1473</v>
      </c>
      <c r="C122" s="4" t="s">
        <v>25</v>
      </c>
      <c r="D122" s="4" t="s">
        <v>1474</v>
      </c>
      <c r="E122" s="4" t="s">
        <v>26</v>
      </c>
      <c r="F122" s="4" t="s">
        <v>1917</v>
      </c>
      <c r="G122" s="4" t="s">
        <v>1918</v>
      </c>
      <c r="H122" s="4" t="s">
        <v>1919</v>
      </c>
      <c r="I122" s="4" t="s">
        <v>1920</v>
      </c>
      <c r="J122" s="5">
        <v>20729.0</v>
      </c>
      <c r="K122" s="5">
        <v>11825.0</v>
      </c>
      <c r="L122" s="4">
        <v>91.0</v>
      </c>
      <c r="M122" s="4" t="s">
        <v>1585</v>
      </c>
      <c r="O122" s="5">
        <v>44197.0</v>
      </c>
      <c r="P122" s="5">
        <v>44294.0</v>
      </c>
      <c r="Q122" s="4" t="s">
        <v>66</v>
      </c>
      <c r="R122" s="4" t="s">
        <v>32</v>
      </c>
      <c r="S122" s="6" t="s">
        <v>1921</v>
      </c>
      <c r="T122" s="4" t="s">
        <v>1922</v>
      </c>
      <c r="U122" s="4">
        <v>6.0</v>
      </c>
      <c r="V122" s="4" t="s">
        <v>34</v>
      </c>
      <c r="W122" s="4">
        <v>27759.0</v>
      </c>
      <c r="X122" s="4" t="s">
        <v>58</v>
      </c>
      <c r="Y122" s="4" t="s">
        <v>59</v>
      </c>
      <c r="Z122" s="4" t="s">
        <v>1897</v>
      </c>
      <c r="AA122" s="4">
        <v>1975.0</v>
      </c>
      <c r="AB122" s="4" t="s">
        <v>58</v>
      </c>
      <c r="AC122" s="5">
        <v>27555.0</v>
      </c>
      <c r="AD122" s="4" t="s">
        <v>1411</v>
      </c>
      <c r="AE122" s="5">
        <v>31532.0</v>
      </c>
    </row>
    <row r="123">
      <c r="A123" s="4" t="s">
        <v>1465</v>
      </c>
      <c r="B123" s="4" t="s">
        <v>1413</v>
      </c>
      <c r="C123" s="4" t="s">
        <v>1414</v>
      </c>
      <c r="D123" s="4" t="s">
        <v>1415</v>
      </c>
      <c r="E123" s="4" t="s">
        <v>26</v>
      </c>
      <c r="F123" s="4" t="s">
        <v>1923</v>
      </c>
      <c r="G123" s="4" t="s">
        <v>711</v>
      </c>
      <c r="H123" s="4" t="s">
        <v>1924</v>
      </c>
      <c r="I123" s="4" t="s">
        <v>1925</v>
      </c>
      <c r="J123" s="5">
        <v>32356.0</v>
      </c>
      <c r="K123" s="5">
        <v>20754.0</v>
      </c>
      <c r="L123" s="4">
        <v>67.0</v>
      </c>
      <c r="M123" s="4" t="s">
        <v>1407</v>
      </c>
      <c r="O123" s="5">
        <v>33420.0</v>
      </c>
      <c r="P123" s="5">
        <v>34789.0</v>
      </c>
      <c r="Q123" s="4" t="s">
        <v>31</v>
      </c>
      <c r="R123" s="4" t="s">
        <v>32</v>
      </c>
      <c r="S123" s="6" t="s">
        <v>1926</v>
      </c>
      <c r="T123" s="4" t="s">
        <v>1926</v>
      </c>
      <c r="U123" s="4">
        <v>12.0</v>
      </c>
      <c r="AD123" s="4" t="s">
        <v>1411</v>
      </c>
    </row>
    <row r="124">
      <c r="A124" s="4" t="s">
        <v>1440</v>
      </c>
      <c r="B124" s="4" t="s">
        <v>1540</v>
      </c>
      <c r="C124" s="4" t="s">
        <v>99</v>
      </c>
      <c r="D124" s="4" t="s">
        <v>1541</v>
      </c>
      <c r="E124" s="4" t="s">
        <v>26</v>
      </c>
      <c r="F124" s="4" t="s">
        <v>1927</v>
      </c>
      <c r="G124" s="4" t="s">
        <v>1928</v>
      </c>
      <c r="H124" s="4" t="s">
        <v>1929</v>
      </c>
      <c r="I124" s="4" t="s">
        <v>1930</v>
      </c>
      <c r="J124" s="5">
        <v>26268.0</v>
      </c>
      <c r="K124" s="5">
        <v>13856.0</v>
      </c>
      <c r="L124" s="4">
        <v>86.0</v>
      </c>
      <c r="M124" s="4" t="s">
        <v>1425</v>
      </c>
      <c r="O124" s="5">
        <v>33939.0</v>
      </c>
      <c r="P124" s="5">
        <v>38657.0</v>
      </c>
      <c r="Q124" s="4" t="s">
        <v>31</v>
      </c>
      <c r="R124" s="4" t="s">
        <v>32</v>
      </c>
      <c r="S124" s="6" t="s">
        <v>1931</v>
      </c>
      <c r="T124" s="4" t="s">
        <v>1932</v>
      </c>
      <c r="U124" s="4">
        <v>44.0</v>
      </c>
      <c r="V124" s="4" t="s">
        <v>55</v>
      </c>
      <c r="W124" s="4">
        <v>30995.0</v>
      </c>
      <c r="X124" s="4" t="s">
        <v>58</v>
      </c>
      <c r="Y124" s="4" t="s">
        <v>59</v>
      </c>
      <c r="Z124" s="4" t="s">
        <v>1422</v>
      </c>
      <c r="AA124" s="4">
        <v>1986.0</v>
      </c>
      <c r="AB124" s="4" t="s">
        <v>58</v>
      </c>
      <c r="AC124" s="5">
        <v>31748.0</v>
      </c>
      <c r="AD124" s="4" t="s">
        <v>1411</v>
      </c>
    </row>
    <row r="125">
      <c r="A125" s="4" t="s">
        <v>78</v>
      </c>
      <c r="B125" s="4" t="s">
        <v>1423</v>
      </c>
      <c r="C125" s="4" t="s">
        <v>109</v>
      </c>
      <c r="D125" s="4" t="s">
        <v>1424</v>
      </c>
      <c r="E125" s="4" t="s">
        <v>80</v>
      </c>
      <c r="F125" s="4" t="s">
        <v>904</v>
      </c>
      <c r="G125" s="4" t="s">
        <v>905</v>
      </c>
      <c r="H125" s="4" t="s">
        <v>906</v>
      </c>
      <c r="I125" s="4" t="s">
        <v>907</v>
      </c>
      <c r="J125" s="5">
        <v>41388.0</v>
      </c>
      <c r="K125" s="5">
        <v>28823.0</v>
      </c>
      <c r="L125" s="4">
        <v>45.0</v>
      </c>
      <c r="M125" s="4" t="s">
        <v>1425</v>
      </c>
      <c r="O125" s="5">
        <v>44927.0</v>
      </c>
      <c r="P125" s="5">
        <v>45291.0</v>
      </c>
      <c r="Q125" s="4" t="s">
        <v>66</v>
      </c>
      <c r="R125" s="4" t="s">
        <v>32</v>
      </c>
      <c r="S125" s="6" t="s">
        <v>1933</v>
      </c>
      <c r="T125" s="4" t="s">
        <v>908</v>
      </c>
      <c r="U125" s="4">
        <v>22.0</v>
      </c>
      <c r="V125" s="4" t="s">
        <v>34</v>
      </c>
      <c r="W125" s="4">
        <v>41519.0</v>
      </c>
      <c r="X125" s="4" t="s">
        <v>58</v>
      </c>
      <c r="Y125" s="4" t="s">
        <v>59</v>
      </c>
      <c r="Z125" s="4" t="s">
        <v>1934</v>
      </c>
      <c r="AA125" s="4">
        <v>2005.0</v>
      </c>
      <c r="AB125" s="4" t="s">
        <v>58</v>
      </c>
      <c r="AC125" s="5">
        <v>38534.0</v>
      </c>
      <c r="AD125" s="4" t="s">
        <v>1411</v>
      </c>
      <c r="AE125" s="5">
        <v>41941.0</v>
      </c>
    </row>
    <row r="126">
      <c r="A126" s="4" t="s">
        <v>78</v>
      </c>
      <c r="B126" s="4" t="s">
        <v>1423</v>
      </c>
      <c r="C126" s="4" t="s">
        <v>109</v>
      </c>
      <c r="D126" s="4" t="s">
        <v>1424</v>
      </c>
      <c r="E126" s="4" t="s">
        <v>26</v>
      </c>
      <c r="F126" s="4" t="s">
        <v>1060</v>
      </c>
      <c r="G126" s="4" t="s">
        <v>1061</v>
      </c>
      <c r="H126" s="4" t="s">
        <v>1062</v>
      </c>
      <c r="I126" s="4" t="s">
        <v>1063</v>
      </c>
      <c r="J126" s="5">
        <v>42948.0</v>
      </c>
      <c r="K126" s="5">
        <v>26928.0</v>
      </c>
      <c r="L126" s="4">
        <v>50.0</v>
      </c>
      <c r="M126" s="4" t="s">
        <v>1524</v>
      </c>
      <c r="O126" s="5">
        <v>44927.0</v>
      </c>
      <c r="P126" s="5">
        <v>45291.0</v>
      </c>
      <c r="Q126" s="4" t="s">
        <v>66</v>
      </c>
      <c r="R126" s="4" t="s">
        <v>32</v>
      </c>
      <c r="S126" s="6" t="s">
        <v>1935</v>
      </c>
      <c r="T126" s="4" t="s">
        <v>1064</v>
      </c>
      <c r="U126" s="4">
        <v>44.0</v>
      </c>
      <c r="V126" s="4" t="s">
        <v>34</v>
      </c>
      <c r="W126" s="4">
        <v>42368.0</v>
      </c>
      <c r="X126" s="4" t="s">
        <v>1066</v>
      </c>
      <c r="Y126" s="4" t="s">
        <v>59</v>
      </c>
      <c r="Z126" s="4" t="s">
        <v>1590</v>
      </c>
      <c r="AA126" s="4">
        <v>2004.0</v>
      </c>
      <c r="AB126" s="4" t="s">
        <v>58</v>
      </c>
      <c r="AC126" s="5">
        <v>38104.0</v>
      </c>
      <c r="AD126" s="4" t="s">
        <v>1411</v>
      </c>
      <c r="AE126" s="5">
        <v>42922.0</v>
      </c>
    </row>
    <row r="127">
      <c r="A127" s="4" t="s">
        <v>1465</v>
      </c>
      <c r="B127" s="4" t="s">
        <v>1423</v>
      </c>
      <c r="C127" s="4" t="s">
        <v>109</v>
      </c>
      <c r="D127" s="4" t="s">
        <v>1424</v>
      </c>
      <c r="E127" s="4" t="s">
        <v>26</v>
      </c>
      <c r="F127" s="4" t="s">
        <v>1936</v>
      </c>
      <c r="G127" s="4" t="s">
        <v>772</v>
      </c>
      <c r="H127" s="4" t="s">
        <v>1937</v>
      </c>
      <c r="I127" s="4" t="s">
        <v>1938</v>
      </c>
      <c r="J127" s="5">
        <v>33298.0</v>
      </c>
      <c r="K127" s="5">
        <v>17105.0</v>
      </c>
      <c r="L127" s="4">
        <v>77.0</v>
      </c>
      <c r="M127" s="4" t="s">
        <v>1407</v>
      </c>
      <c r="N127" s="4" t="s">
        <v>1419</v>
      </c>
      <c r="O127" s="5">
        <v>33909.0</v>
      </c>
      <c r="P127" s="5">
        <v>37833.0</v>
      </c>
      <c r="Q127" s="4" t="s">
        <v>31</v>
      </c>
      <c r="R127" s="4" t="s">
        <v>32</v>
      </c>
      <c r="S127" s="6" t="s">
        <v>1939</v>
      </c>
      <c r="T127" s="4" t="s">
        <v>1940</v>
      </c>
      <c r="U127" s="4">
        <v>44.0</v>
      </c>
      <c r="V127" s="4" t="s">
        <v>34</v>
      </c>
      <c r="W127" s="4">
        <v>42340.0</v>
      </c>
      <c r="X127" s="4" t="s">
        <v>1941</v>
      </c>
      <c r="Y127" s="4" t="s">
        <v>38</v>
      </c>
      <c r="Z127" s="4" t="s">
        <v>1422</v>
      </c>
      <c r="AA127" s="4">
        <v>1971.0</v>
      </c>
      <c r="AB127" s="4" t="s">
        <v>438</v>
      </c>
      <c r="AC127" s="5">
        <v>26109.0</v>
      </c>
      <c r="AD127" s="4" t="s">
        <v>1411</v>
      </c>
    </row>
    <row r="128">
      <c r="A128" s="4" t="s">
        <v>1465</v>
      </c>
      <c r="B128" s="4" t="s">
        <v>1540</v>
      </c>
      <c r="C128" s="4" t="s">
        <v>99</v>
      </c>
      <c r="D128" s="4" t="s">
        <v>1541</v>
      </c>
      <c r="E128" s="4" t="s">
        <v>80</v>
      </c>
      <c r="F128" s="4" t="s">
        <v>1942</v>
      </c>
      <c r="G128" s="4" t="s">
        <v>1943</v>
      </c>
      <c r="H128" s="4" t="s">
        <v>1944</v>
      </c>
      <c r="I128" s="4" t="s">
        <v>1945</v>
      </c>
      <c r="J128" s="5">
        <v>25538.0</v>
      </c>
      <c r="K128" s="5">
        <v>18111.0</v>
      </c>
      <c r="L128" s="4">
        <v>74.0</v>
      </c>
      <c r="M128" s="4" t="s">
        <v>1453</v>
      </c>
      <c r="O128" s="5">
        <v>34182.0</v>
      </c>
      <c r="P128" s="5">
        <v>35795.0</v>
      </c>
      <c r="Q128" s="4" t="s">
        <v>31</v>
      </c>
      <c r="R128" s="4" t="s">
        <v>32</v>
      </c>
      <c r="S128" s="6" t="s">
        <v>1946</v>
      </c>
      <c r="T128" s="4" t="s">
        <v>1947</v>
      </c>
      <c r="U128" s="4">
        <v>6.0</v>
      </c>
      <c r="AD128" s="4" t="s">
        <v>1411</v>
      </c>
    </row>
    <row r="129">
      <c r="A129" s="4" t="s">
        <v>1412</v>
      </c>
      <c r="B129" s="4" t="s">
        <v>1540</v>
      </c>
      <c r="C129" s="4" t="s">
        <v>99</v>
      </c>
      <c r="D129" s="4" t="s">
        <v>1541</v>
      </c>
      <c r="E129" s="4" t="s">
        <v>26</v>
      </c>
      <c r="F129" s="4" t="s">
        <v>1948</v>
      </c>
      <c r="G129" s="4" t="s">
        <v>1324</v>
      </c>
      <c r="H129" s="4" t="s">
        <v>1949</v>
      </c>
      <c r="I129" s="4" t="s">
        <v>1950</v>
      </c>
      <c r="J129" s="5">
        <v>19784.0</v>
      </c>
      <c r="K129" s="5">
        <v>12851.0</v>
      </c>
      <c r="L129" s="4">
        <v>88.0</v>
      </c>
      <c r="M129" s="4" t="s">
        <v>1407</v>
      </c>
      <c r="O129" s="5">
        <v>33725.0</v>
      </c>
      <c r="P129" s="5">
        <v>40240.0</v>
      </c>
      <c r="Q129" s="4" t="s">
        <v>31</v>
      </c>
      <c r="R129" s="4" t="s">
        <v>32</v>
      </c>
      <c r="S129" s="6" t="s">
        <v>1951</v>
      </c>
      <c r="T129" s="4" t="s">
        <v>1952</v>
      </c>
      <c r="U129" s="4">
        <v>44.0</v>
      </c>
      <c r="V129" s="4" t="s">
        <v>34</v>
      </c>
      <c r="W129" s="4">
        <v>24472.0</v>
      </c>
      <c r="X129" s="4" t="s">
        <v>1953</v>
      </c>
      <c r="Y129" s="4" t="s">
        <v>38</v>
      </c>
      <c r="Z129" s="4" t="s">
        <v>1510</v>
      </c>
      <c r="AA129" s="4">
        <v>1959.0</v>
      </c>
      <c r="AB129" s="4" t="s">
        <v>58</v>
      </c>
      <c r="AC129" s="5">
        <v>21865.0</v>
      </c>
      <c r="AD129" s="4" t="s">
        <v>1411</v>
      </c>
      <c r="AE129" s="5">
        <v>33870.0</v>
      </c>
    </row>
    <row r="130">
      <c r="A130" s="4" t="s">
        <v>1440</v>
      </c>
      <c r="B130" s="4" t="s">
        <v>1423</v>
      </c>
      <c r="C130" s="4" t="s">
        <v>109</v>
      </c>
      <c r="D130" s="4" t="s">
        <v>1424</v>
      </c>
      <c r="E130" s="4" t="s">
        <v>80</v>
      </c>
      <c r="F130" s="4" t="s">
        <v>1954</v>
      </c>
      <c r="G130" s="4" t="s">
        <v>1955</v>
      </c>
      <c r="H130" s="4" t="s">
        <v>1956</v>
      </c>
      <c r="I130" s="4" t="s">
        <v>1957</v>
      </c>
      <c r="J130" s="5">
        <v>31503.0</v>
      </c>
      <c r="K130" s="5">
        <v>19965.0</v>
      </c>
      <c r="L130" s="4">
        <v>69.0</v>
      </c>
      <c r="M130" s="4" t="s">
        <v>1453</v>
      </c>
      <c r="O130" s="5">
        <v>33786.0</v>
      </c>
      <c r="P130" s="5">
        <v>38664.0</v>
      </c>
      <c r="Q130" s="4" t="s">
        <v>31</v>
      </c>
      <c r="R130" s="4" t="s">
        <v>32</v>
      </c>
      <c r="S130" s="6" t="s">
        <v>1958</v>
      </c>
      <c r="T130" s="4" t="s">
        <v>1958</v>
      </c>
      <c r="U130" s="4">
        <v>22.0</v>
      </c>
      <c r="V130" s="4" t="s">
        <v>106</v>
      </c>
      <c r="W130" s="4">
        <v>30995.0</v>
      </c>
      <c r="X130" s="4" t="s">
        <v>58</v>
      </c>
      <c r="Y130" s="4" t="s">
        <v>59</v>
      </c>
      <c r="Z130" s="4" t="s">
        <v>1422</v>
      </c>
      <c r="AA130" s="4">
        <v>1985.0</v>
      </c>
      <c r="AB130" s="4" t="s">
        <v>58</v>
      </c>
      <c r="AC130" s="5">
        <v>31394.0</v>
      </c>
      <c r="AD130" s="4" t="s">
        <v>1411</v>
      </c>
    </row>
    <row r="131">
      <c r="A131" s="4" t="s">
        <v>60</v>
      </c>
      <c r="B131" s="4" t="s">
        <v>1405</v>
      </c>
      <c r="C131" s="4" t="s">
        <v>317</v>
      </c>
      <c r="D131" s="4" t="s">
        <v>1406</v>
      </c>
      <c r="E131" s="4" t="s">
        <v>26</v>
      </c>
      <c r="F131" s="4" t="s">
        <v>711</v>
      </c>
      <c r="G131" s="4" t="s">
        <v>712</v>
      </c>
      <c r="H131" s="4" t="s">
        <v>713</v>
      </c>
      <c r="I131" s="4" t="s">
        <v>714</v>
      </c>
      <c r="J131" s="5">
        <v>39692.0</v>
      </c>
      <c r="K131" s="5">
        <v>20614.0</v>
      </c>
      <c r="L131" s="4">
        <v>67.0</v>
      </c>
      <c r="M131" s="4" t="s">
        <v>1524</v>
      </c>
      <c r="N131" s="4" t="s">
        <v>1419</v>
      </c>
      <c r="O131" s="5">
        <v>44927.0</v>
      </c>
      <c r="P131" s="5">
        <v>45291.0</v>
      </c>
      <c r="Q131" s="4" t="s">
        <v>66</v>
      </c>
      <c r="R131" s="4" t="s">
        <v>32</v>
      </c>
      <c r="S131" s="6" t="s">
        <v>1959</v>
      </c>
      <c r="T131" s="4" t="s">
        <v>715</v>
      </c>
      <c r="U131" s="4">
        <v>44.0</v>
      </c>
      <c r="V131" s="4" t="s">
        <v>34</v>
      </c>
      <c r="W131" s="4">
        <v>39600.0</v>
      </c>
      <c r="X131" s="4" t="s">
        <v>58</v>
      </c>
      <c r="Y131" s="4" t="s">
        <v>59</v>
      </c>
      <c r="Z131" s="4" t="s">
        <v>1510</v>
      </c>
      <c r="AA131" s="4">
        <v>1995.0</v>
      </c>
      <c r="AB131" s="4" t="s">
        <v>58</v>
      </c>
      <c r="AC131" s="5">
        <v>34981.0</v>
      </c>
      <c r="AD131" s="4" t="s">
        <v>1411</v>
      </c>
      <c r="AE131" s="5">
        <v>44404.0</v>
      </c>
    </row>
    <row r="132">
      <c r="A132" s="4" t="s">
        <v>1684</v>
      </c>
      <c r="B132" s="4" t="s">
        <v>1960</v>
      </c>
      <c r="C132" s="4" t="s">
        <v>109</v>
      </c>
      <c r="D132" s="4" t="s">
        <v>1424</v>
      </c>
      <c r="E132" s="4" t="s">
        <v>80</v>
      </c>
      <c r="F132" s="4" t="s">
        <v>711</v>
      </c>
      <c r="G132" s="4" t="s">
        <v>1119</v>
      </c>
      <c r="H132" s="4" t="s">
        <v>1961</v>
      </c>
      <c r="I132" s="4" t="s">
        <v>1962</v>
      </c>
      <c r="J132" s="5">
        <v>37196.0</v>
      </c>
      <c r="K132" s="5">
        <v>16464.0</v>
      </c>
      <c r="L132" s="4">
        <v>78.0</v>
      </c>
      <c r="M132" s="4" t="s">
        <v>1425</v>
      </c>
      <c r="N132" s="4" t="s">
        <v>1419</v>
      </c>
      <c r="O132" s="5">
        <v>39083.0</v>
      </c>
      <c r="P132" s="5">
        <v>39141.0</v>
      </c>
      <c r="Q132" s="4" t="s">
        <v>66</v>
      </c>
      <c r="R132" s="4" t="s">
        <v>32</v>
      </c>
      <c r="S132" s="6" t="s">
        <v>1963</v>
      </c>
      <c r="T132" s="4" t="s">
        <v>1964</v>
      </c>
      <c r="U132" s="4">
        <v>44.0</v>
      </c>
      <c r="V132" s="4" t="s">
        <v>106</v>
      </c>
      <c r="W132" s="4">
        <v>36971.0</v>
      </c>
      <c r="X132" s="4" t="s">
        <v>1965</v>
      </c>
      <c r="Y132" s="4" t="s">
        <v>1562</v>
      </c>
      <c r="Z132" s="4" t="s">
        <v>1479</v>
      </c>
      <c r="AA132" s="4">
        <v>1978.0</v>
      </c>
      <c r="AB132" s="4" t="s">
        <v>58</v>
      </c>
      <c r="AC132" s="5">
        <v>28836.0</v>
      </c>
      <c r="AD132" s="4" t="s">
        <v>1411</v>
      </c>
      <c r="AE132" s="5">
        <v>37147.0</v>
      </c>
    </row>
    <row r="133">
      <c r="A133" s="4" t="s">
        <v>60</v>
      </c>
      <c r="B133" s="4" t="s">
        <v>1447</v>
      </c>
      <c r="C133" s="4" t="s">
        <v>40</v>
      </c>
      <c r="D133" s="4" t="s">
        <v>1448</v>
      </c>
      <c r="E133" s="4" t="s">
        <v>26</v>
      </c>
      <c r="F133" s="4" t="s">
        <v>711</v>
      </c>
      <c r="G133" s="4" t="s">
        <v>1119</v>
      </c>
      <c r="H133" s="4" t="s">
        <v>1966</v>
      </c>
      <c r="I133" s="4" t="s">
        <v>1967</v>
      </c>
      <c r="J133" s="5">
        <v>23743.0</v>
      </c>
      <c r="K133" s="5">
        <v>13300.0</v>
      </c>
      <c r="L133" s="4">
        <v>87.0</v>
      </c>
      <c r="M133" s="4" t="s">
        <v>1407</v>
      </c>
      <c r="O133" s="5">
        <v>42186.0</v>
      </c>
      <c r="P133" s="5">
        <v>73050.0</v>
      </c>
      <c r="Q133" s="4" t="s">
        <v>31</v>
      </c>
      <c r="R133" s="4" t="s">
        <v>32</v>
      </c>
      <c r="S133" s="6" t="s">
        <v>1968</v>
      </c>
      <c r="T133" s="4" t="s">
        <v>1969</v>
      </c>
      <c r="U133" s="4">
        <v>12.0</v>
      </c>
      <c r="Z133" s="4" t="s">
        <v>1427</v>
      </c>
      <c r="AA133" s="4">
        <v>1967.0</v>
      </c>
      <c r="AB133" s="4" t="s">
        <v>58</v>
      </c>
      <c r="AC133" s="5">
        <v>24784.0</v>
      </c>
      <c r="AD133" s="4" t="s">
        <v>1411</v>
      </c>
      <c r="AE133" s="5">
        <v>34724.0</v>
      </c>
    </row>
    <row r="134">
      <c r="A134" s="4" t="s">
        <v>1434</v>
      </c>
      <c r="B134" s="4" t="s">
        <v>1423</v>
      </c>
      <c r="C134" s="4" t="s">
        <v>109</v>
      </c>
      <c r="D134" s="4" t="s">
        <v>1424</v>
      </c>
      <c r="E134" s="4" t="s">
        <v>26</v>
      </c>
      <c r="F134" s="4" t="s">
        <v>1970</v>
      </c>
      <c r="G134" s="4" t="s">
        <v>772</v>
      </c>
      <c r="H134" s="4" t="s">
        <v>1971</v>
      </c>
      <c r="I134" s="4" t="s">
        <v>1972</v>
      </c>
      <c r="J134" s="5">
        <v>23132.0</v>
      </c>
      <c r="K134" s="5">
        <v>13670.0</v>
      </c>
      <c r="L134" s="4">
        <v>86.0</v>
      </c>
      <c r="M134" s="4" t="s">
        <v>1407</v>
      </c>
      <c r="O134" s="5">
        <v>39083.0</v>
      </c>
      <c r="P134" s="5">
        <v>39141.0</v>
      </c>
      <c r="Q134" s="4" t="s">
        <v>66</v>
      </c>
      <c r="R134" s="4" t="s">
        <v>32</v>
      </c>
      <c r="S134" s="6" t="s">
        <v>1973</v>
      </c>
      <c r="T134" s="4" t="s">
        <v>1974</v>
      </c>
      <c r="U134" s="4">
        <v>12.0</v>
      </c>
      <c r="V134" s="4" t="s">
        <v>34</v>
      </c>
      <c r="W134" s="4">
        <v>28490.0</v>
      </c>
      <c r="X134" s="4" t="s">
        <v>58</v>
      </c>
      <c r="Y134" s="4" t="s">
        <v>59</v>
      </c>
      <c r="Z134" s="4" t="s">
        <v>1587</v>
      </c>
      <c r="AA134" s="4">
        <v>1960.0</v>
      </c>
      <c r="AB134" s="4" t="s">
        <v>58</v>
      </c>
      <c r="AC134" s="5">
        <v>22271.0</v>
      </c>
      <c r="AD134" s="4" t="s">
        <v>1411</v>
      </c>
      <c r="AE134" s="5">
        <v>33994.0</v>
      </c>
    </row>
    <row r="135">
      <c r="A135" s="4" t="s">
        <v>1412</v>
      </c>
      <c r="B135" s="4" t="s">
        <v>1423</v>
      </c>
      <c r="C135" s="4" t="s">
        <v>109</v>
      </c>
      <c r="D135" s="4" t="s">
        <v>1424</v>
      </c>
      <c r="E135" s="4" t="s">
        <v>80</v>
      </c>
      <c r="F135" s="4" t="s">
        <v>1975</v>
      </c>
      <c r="G135" s="4" t="s">
        <v>1976</v>
      </c>
      <c r="H135" s="4" t="s">
        <v>1977</v>
      </c>
      <c r="I135" s="4" t="s">
        <v>1978</v>
      </c>
      <c r="J135" s="5">
        <v>29860.0</v>
      </c>
      <c r="K135" s="5">
        <v>20132.0</v>
      </c>
      <c r="L135" s="4">
        <v>68.0</v>
      </c>
      <c r="M135" s="4" t="s">
        <v>1407</v>
      </c>
      <c r="O135" s="5">
        <v>36892.0</v>
      </c>
      <c r="P135" s="5">
        <v>39691.0</v>
      </c>
      <c r="Q135" s="4" t="s">
        <v>31</v>
      </c>
      <c r="R135" s="4" t="s">
        <v>32</v>
      </c>
      <c r="S135" s="6" t="s">
        <v>1979</v>
      </c>
      <c r="T135" s="4" t="s">
        <v>1979</v>
      </c>
      <c r="U135" s="4">
        <v>12.0</v>
      </c>
      <c r="V135" s="4" t="s">
        <v>106</v>
      </c>
      <c r="W135" s="4">
        <v>37272.0</v>
      </c>
      <c r="X135" s="4" t="s">
        <v>58</v>
      </c>
      <c r="Y135" s="4" t="s">
        <v>59</v>
      </c>
      <c r="Z135" s="4" t="s">
        <v>1510</v>
      </c>
      <c r="AA135" s="4">
        <v>1980.0</v>
      </c>
      <c r="AB135" s="4" t="s">
        <v>58</v>
      </c>
      <c r="AC135" s="5">
        <v>29543.0</v>
      </c>
      <c r="AD135" s="4" t="s">
        <v>1411</v>
      </c>
    </row>
    <row r="136">
      <c r="A136" s="4" t="s">
        <v>24</v>
      </c>
      <c r="B136" s="4" t="s">
        <v>1423</v>
      </c>
      <c r="C136" s="4" t="s">
        <v>109</v>
      </c>
      <c r="D136" s="4" t="s">
        <v>1424</v>
      </c>
      <c r="E136" s="4" t="s">
        <v>80</v>
      </c>
      <c r="F136" s="4" t="s">
        <v>339</v>
      </c>
      <c r="G136" s="4" t="s">
        <v>1160</v>
      </c>
      <c r="H136" s="4" t="s">
        <v>1161</v>
      </c>
      <c r="I136" s="4" t="s">
        <v>1162</v>
      </c>
      <c r="J136" s="5">
        <v>43770.0</v>
      </c>
      <c r="K136" s="5">
        <v>29478.0</v>
      </c>
      <c r="L136" s="4">
        <v>43.0</v>
      </c>
      <c r="M136" s="4" t="s">
        <v>1407</v>
      </c>
      <c r="O136" s="5">
        <v>44927.0</v>
      </c>
      <c r="P136" s="5">
        <v>45291.0</v>
      </c>
      <c r="Q136" s="4" t="s">
        <v>66</v>
      </c>
      <c r="R136" s="4" t="s">
        <v>32</v>
      </c>
      <c r="S136" s="6" t="s">
        <v>1980</v>
      </c>
      <c r="T136" s="4" t="s">
        <v>1163</v>
      </c>
      <c r="U136" s="4">
        <v>44.0</v>
      </c>
      <c r="V136" s="4" t="s">
        <v>34</v>
      </c>
      <c r="W136" s="4">
        <v>41815.0</v>
      </c>
      <c r="X136" s="4" t="s">
        <v>1166</v>
      </c>
      <c r="Y136" s="4" t="s">
        <v>1859</v>
      </c>
      <c r="Z136" s="4" t="s">
        <v>1422</v>
      </c>
      <c r="AA136" s="4">
        <v>2008.0</v>
      </c>
      <c r="AB136" s="4" t="s">
        <v>1981</v>
      </c>
      <c r="AC136" s="5">
        <v>39448.0</v>
      </c>
      <c r="AD136" s="4" t="s">
        <v>1411</v>
      </c>
      <c r="AE136" s="5">
        <v>43754.0</v>
      </c>
    </row>
    <row r="137">
      <c r="A137" s="4" t="s">
        <v>1412</v>
      </c>
      <c r="B137" s="4" t="s">
        <v>1982</v>
      </c>
      <c r="C137" s="4" t="s">
        <v>109</v>
      </c>
      <c r="D137" s="4" t="s">
        <v>1424</v>
      </c>
      <c r="E137" s="4" t="s">
        <v>80</v>
      </c>
      <c r="F137" s="4" t="s">
        <v>339</v>
      </c>
      <c r="G137" s="4" t="s">
        <v>1983</v>
      </c>
      <c r="H137" s="4" t="s">
        <v>1984</v>
      </c>
      <c r="I137" s="4" t="s">
        <v>1985</v>
      </c>
      <c r="J137" s="5">
        <v>34455.0</v>
      </c>
      <c r="K137" s="5">
        <v>23532.0</v>
      </c>
      <c r="L137" s="4">
        <v>59.0</v>
      </c>
      <c r="M137" s="4" t="s">
        <v>1425</v>
      </c>
      <c r="O137" s="5">
        <v>40817.0</v>
      </c>
      <c r="P137" s="5">
        <v>40908.0</v>
      </c>
      <c r="Q137" s="4" t="s">
        <v>66</v>
      </c>
      <c r="R137" s="4" t="s">
        <v>32</v>
      </c>
      <c r="S137" s="6" t="s">
        <v>1986</v>
      </c>
      <c r="T137" s="4" t="s">
        <v>1987</v>
      </c>
      <c r="U137" s="4">
        <v>6.0</v>
      </c>
      <c r="V137" s="4" t="s">
        <v>1492</v>
      </c>
      <c r="W137" s="4">
        <v>33939.0</v>
      </c>
      <c r="X137" s="4" t="s">
        <v>58</v>
      </c>
      <c r="Y137" s="4" t="s">
        <v>59</v>
      </c>
      <c r="Z137" s="4" t="s">
        <v>1427</v>
      </c>
      <c r="AA137" s="4">
        <v>1992.0</v>
      </c>
      <c r="AB137" s="4" t="s">
        <v>58</v>
      </c>
      <c r="AC137" s="5">
        <v>33939.0</v>
      </c>
      <c r="AD137" s="4" t="s">
        <v>1411</v>
      </c>
      <c r="AE137" s="5">
        <v>36489.0</v>
      </c>
    </row>
    <row r="138">
      <c r="A138" s="4" t="s">
        <v>1412</v>
      </c>
      <c r="B138" s="4" t="s">
        <v>1423</v>
      </c>
      <c r="C138" s="4" t="s">
        <v>109</v>
      </c>
      <c r="D138" s="4" t="s">
        <v>1424</v>
      </c>
      <c r="E138" s="4" t="s">
        <v>80</v>
      </c>
      <c r="F138" s="4" t="s">
        <v>339</v>
      </c>
      <c r="G138" s="4" t="s">
        <v>1988</v>
      </c>
      <c r="H138" s="4" t="s">
        <v>1989</v>
      </c>
      <c r="I138" s="4" t="s">
        <v>1990</v>
      </c>
      <c r="J138" s="5">
        <v>26146.0</v>
      </c>
      <c r="K138" s="5">
        <v>16347.0</v>
      </c>
      <c r="L138" s="4">
        <v>79.0</v>
      </c>
      <c r="M138" s="4" t="s">
        <v>1425</v>
      </c>
      <c r="O138" s="5">
        <v>33390.0</v>
      </c>
      <c r="P138" s="5">
        <v>36038.0</v>
      </c>
      <c r="Q138" s="4" t="s">
        <v>31</v>
      </c>
      <c r="R138" s="4" t="s">
        <v>32</v>
      </c>
      <c r="S138" s="6" t="s">
        <v>1991</v>
      </c>
      <c r="T138" s="4" t="s">
        <v>1992</v>
      </c>
      <c r="U138" s="4">
        <v>6.0</v>
      </c>
      <c r="Z138" s="4" t="s">
        <v>1993</v>
      </c>
      <c r="AA138" s="4">
        <v>1973.0</v>
      </c>
      <c r="AB138" s="4" t="s">
        <v>58</v>
      </c>
      <c r="AC138" s="5">
        <v>26742.0</v>
      </c>
      <c r="AD138" s="4" t="s">
        <v>1411</v>
      </c>
    </row>
    <row r="139">
      <c r="A139" s="4" t="s">
        <v>1412</v>
      </c>
      <c r="B139" s="4" t="s">
        <v>1473</v>
      </c>
      <c r="C139" s="4" t="s">
        <v>25</v>
      </c>
      <c r="D139" s="4" t="s">
        <v>1474</v>
      </c>
      <c r="E139" s="4" t="s">
        <v>26</v>
      </c>
      <c r="F139" s="4" t="s">
        <v>339</v>
      </c>
      <c r="G139" s="4" t="s">
        <v>491</v>
      </c>
      <c r="H139" s="4" t="s">
        <v>1994</v>
      </c>
      <c r="I139" s="4" t="s">
        <v>1995</v>
      </c>
      <c r="J139" s="5">
        <v>24654.0</v>
      </c>
      <c r="K139" s="5">
        <v>14168.0</v>
      </c>
      <c r="L139" s="4">
        <v>85.0</v>
      </c>
      <c r="M139" s="4" t="s">
        <v>1407</v>
      </c>
      <c r="O139" s="5">
        <v>33390.0</v>
      </c>
      <c r="P139" s="5">
        <v>37346.0</v>
      </c>
      <c r="Q139" s="4" t="s">
        <v>31</v>
      </c>
      <c r="R139" s="4" t="s">
        <v>32</v>
      </c>
      <c r="S139" s="6" t="s">
        <v>1996</v>
      </c>
      <c r="T139" s="4" t="s">
        <v>1997</v>
      </c>
      <c r="U139" s="4">
        <v>6.0</v>
      </c>
      <c r="V139" s="4" t="s">
        <v>1998</v>
      </c>
      <c r="W139" s="4">
        <v>35234.0</v>
      </c>
      <c r="X139" s="4" t="s">
        <v>58</v>
      </c>
      <c r="Y139" s="4" t="s">
        <v>59</v>
      </c>
      <c r="Z139" s="4" t="s">
        <v>1499</v>
      </c>
      <c r="AA139" s="4">
        <v>2003.0</v>
      </c>
      <c r="AB139" s="4" t="s">
        <v>58</v>
      </c>
      <c r="AC139" s="5">
        <v>37622.0</v>
      </c>
      <c r="AD139" s="4" t="s">
        <v>1411</v>
      </c>
    </row>
    <row r="140">
      <c r="A140" s="4" t="s">
        <v>24</v>
      </c>
      <c r="B140" s="4" t="s">
        <v>1540</v>
      </c>
      <c r="C140" s="4" t="s">
        <v>99</v>
      </c>
      <c r="D140" s="4" t="s">
        <v>1541</v>
      </c>
      <c r="E140" s="4" t="s">
        <v>26</v>
      </c>
      <c r="F140" s="4" t="s">
        <v>362</v>
      </c>
      <c r="G140" s="4" t="s">
        <v>363</v>
      </c>
      <c r="H140" s="4" t="s">
        <v>364</v>
      </c>
      <c r="I140" s="4" t="s">
        <v>365</v>
      </c>
      <c r="J140" s="5">
        <v>36800.0</v>
      </c>
      <c r="K140" s="5">
        <v>23149.0</v>
      </c>
      <c r="L140" s="4">
        <v>60.0</v>
      </c>
      <c r="M140" s="4" t="s">
        <v>1407</v>
      </c>
      <c r="N140" s="4" t="s">
        <v>1419</v>
      </c>
      <c r="O140" s="5">
        <v>42917.0</v>
      </c>
      <c r="P140" s="5">
        <v>73050.0</v>
      </c>
      <c r="Q140" s="4" t="s">
        <v>31</v>
      </c>
      <c r="R140" s="4" t="s">
        <v>32</v>
      </c>
      <c r="S140" s="6" t="s">
        <v>1999</v>
      </c>
      <c r="T140" s="4" t="s">
        <v>366</v>
      </c>
      <c r="U140" s="4">
        <v>44.0</v>
      </c>
      <c r="V140" s="4" t="s">
        <v>34</v>
      </c>
      <c r="W140" s="4">
        <v>42390.0</v>
      </c>
      <c r="X140" s="4" t="s">
        <v>369</v>
      </c>
      <c r="Y140" s="4" t="s">
        <v>89</v>
      </c>
      <c r="Z140" s="4" t="s">
        <v>1422</v>
      </c>
      <c r="AA140" s="4">
        <v>1999.0</v>
      </c>
      <c r="AB140" s="4" t="s">
        <v>58</v>
      </c>
      <c r="AC140" s="5">
        <v>36407.0</v>
      </c>
      <c r="AD140" s="4" t="s">
        <v>1411</v>
      </c>
      <c r="AE140" s="5">
        <v>42893.0</v>
      </c>
    </row>
    <row r="141">
      <c r="A141" s="4" t="s">
        <v>60</v>
      </c>
      <c r="B141" s="4" t="s">
        <v>1423</v>
      </c>
      <c r="C141" s="4" t="s">
        <v>109</v>
      </c>
      <c r="D141" s="4" t="s">
        <v>1424</v>
      </c>
      <c r="E141" s="4" t="s">
        <v>80</v>
      </c>
      <c r="F141" s="4" t="s">
        <v>959</v>
      </c>
      <c r="G141" s="4" t="s">
        <v>960</v>
      </c>
      <c r="H141" s="4" t="s">
        <v>961</v>
      </c>
      <c r="I141" s="4" t="s">
        <v>962</v>
      </c>
      <c r="J141" s="5">
        <v>42309.0</v>
      </c>
      <c r="K141" s="5">
        <v>27376.0</v>
      </c>
      <c r="L141" s="4">
        <v>49.0</v>
      </c>
      <c r="M141" s="4" t="s">
        <v>1407</v>
      </c>
      <c r="O141" s="5">
        <v>44927.0</v>
      </c>
      <c r="P141" s="5">
        <v>45291.0</v>
      </c>
      <c r="Q141" s="4" t="s">
        <v>66</v>
      </c>
      <c r="R141" s="4" t="s">
        <v>32</v>
      </c>
      <c r="S141" s="6" t="s">
        <v>2000</v>
      </c>
      <c r="T141" s="4" t="s">
        <v>963</v>
      </c>
      <c r="U141" s="4">
        <v>44.0</v>
      </c>
      <c r="V141" s="4" t="s">
        <v>34</v>
      </c>
      <c r="W141" s="4">
        <v>42164.0</v>
      </c>
      <c r="X141" s="4" t="s">
        <v>58</v>
      </c>
      <c r="Y141" s="4" t="s">
        <v>59</v>
      </c>
      <c r="Z141" s="4" t="s">
        <v>1427</v>
      </c>
      <c r="AA141" s="4">
        <v>2011.0</v>
      </c>
      <c r="AB141" s="4" t="s">
        <v>1511</v>
      </c>
      <c r="AC141" s="5">
        <v>40728.0</v>
      </c>
      <c r="AD141" s="4" t="s">
        <v>1411</v>
      </c>
      <c r="AE141" s="5">
        <v>42208.0</v>
      </c>
    </row>
    <row r="142">
      <c r="A142" s="4" t="s">
        <v>1440</v>
      </c>
      <c r="B142" s="4" t="s">
        <v>1473</v>
      </c>
      <c r="C142" s="4" t="s">
        <v>25</v>
      </c>
      <c r="D142" s="4" t="s">
        <v>1474</v>
      </c>
      <c r="E142" s="4" t="s">
        <v>26</v>
      </c>
      <c r="F142" s="4" t="s">
        <v>1262</v>
      </c>
      <c r="G142" s="4" t="s">
        <v>2001</v>
      </c>
      <c r="H142" s="4" t="s">
        <v>2002</v>
      </c>
      <c r="I142" s="4" t="s">
        <v>2003</v>
      </c>
      <c r="J142" s="5">
        <v>21976.0</v>
      </c>
      <c r="K142" s="5">
        <v>14937.0</v>
      </c>
      <c r="L142" s="4">
        <v>83.0</v>
      </c>
      <c r="M142" s="4" t="s">
        <v>1407</v>
      </c>
      <c r="O142" s="5">
        <v>39083.0</v>
      </c>
      <c r="P142" s="5">
        <v>39113.0</v>
      </c>
      <c r="Q142" s="4" t="s">
        <v>66</v>
      </c>
      <c r="R142" s="4" t="s">
        <v>32</v>
      </c>
      <c r="S142" s="6" t="s">
        <v>2004</v>
      </c>
      <c r="T142" s="4" t="s">
        <v>2005</v>
      </c>
      <c r="U142" s="4">
        <v>6.0</v>
      </c>
      <c r="V142" s="4" t="s">
        <v>106</v>
      </c>
      <c r="W142" s="4">
        <v>25568.0</v>
      </c>
      <c r="X142" s="4" t="s">
        <v>2006</v>
      </c>
      <c r="Y142" s="4" t="s">
        <v>227</v>
      </c>
      <c r="Z142" s="4" t="s">
        <v>1597</v>
      </c>
      <c r="AA142" s="4">
        <v>1960.0</v>
      </c>
      <c r="AB142" s="4" t="s">
        <v>58</v>
      </c>
      <c r="AC142" s="5">
        <v>22190.0</v>
      </c>
      <c r="AD142" s="4" t="s">
        <v>1411</v>
      </c>
    </row>
    <row r="143">
      <c r="A143" s="4" t="s">
        <v>1465</v>
      </c>
      <c r="B143" s="4" t="s">
        <v>1423</v>
      </c>
      <c r="C143" s="4" t="s">
        <v>109</v>
      </c>
      <c r="D143" s="4" t="s">
        <v>1424</v>
      </c>
      <c r="E143" s="4" t="s">
        <v>80</v>
      </c>
      <c r="F143" s="4" t="s">
        <v>2007</v>
      </c>
      <c r="G143" s="4" t="s">
        <v>2008</v>
      </c>
      <c r="H143" s="4" t="s">
        <v>1977</v>
      </c>
      <c r="I143" s="4" t="s">
        <v>2009</v>
      </c>
      <c r="J143" s="5">
        <v>27668.0</v>
      </c>
      <c r="K143" s="5">
        <v>15920.0</v>
      </c>
      <c r="L143" s="4">
        <v>80.0</v>
      </c>
      <c r="M143" s="4" t="s">
        <v>1407</v>
      </c>
      <c r="O143" s="5">
        <v>35167.0</v>
      </c>
      <c r="P143" s="5">
        <v>35227.0</v>
      </c>
      <c r="Q143" s="4" t="s">
        <v>66</v>
      </c>
      <c r="R143" s="4" t="s">
        <v>32</v>
      </c>
      <c r="S143" s="6" t="s">
        <v>2010</v>
      </c>
      <c r="T143" s="4" t="s">
        <v>2011</v>
      </c>
      <c r="U143" s="4">
        <v>22.0</v>
      </c>
      <c r="AD143" s="4" t="s">
        <v>1411</v>
      </c>
    </row>
    <row r="144">
      <c r="A144" s="4" t="s">
        <v>1412</v>
      </c>
      <c r="B144" s="4" t="s">
        <v>1423</v>
      </c>
      <c r="C144" s="4" t="s">
        <v>109</v>
      </c>
      <c r="D144" s="4" t="s">
        <v>1424</v>
      </c>
      <c r="E144" s="4" t="s">
        <v>80</v>
      </c>
      <c r="F144" s="4" t="s">
        <v>2012</v>
      </c>
      <c r="G144" s="4" t="s">
        <v>454</v>
      </c>
      <c r="H144" s="4" t="s">
        <v>2013</v>
      </c>
      <c r="I144" s="4" t="s">
        <v>2014</v>
      </c>
      <c r="J144" s="5">
        <v>27120.0</v>
      </c>
      <c r="K144" s="5">
        <v>16607.0</v>
      </c>
      <c r="L144" s="4">
        <v>78.0</v>
      </c>
      <c r="M144" s="4" t="s">
        <v>1425</v>
      </c>
      <c r="O144" s="5">
        <v>32721.0</v>
      </c>
      <c r="P144" s="5">
        <v>38657.0</v>
      </c>
      <c r="Q144" s="4" t="s">
        <v>31</v>
      </c>
      <c r="R144" s="4" t="s">
        <v>32</v>
      </c>
      <c r="S144" s="6" t="s">
        <v>2015</v>
      </c>
      <c r="T144" s="4" t="s">
        <v>2016</v>
      </c>
      <c r="U144" s="4">
        <v>22.0</v>
      </c>
      <c r="V144" s="4" t="s">
        <v>1492</v>
      </c>
      <c r="W144" s="4">
        <v>25589.0</v>
      </c>
      <c r="X144" s="4" t="s">
        <v>58</v>
      </c>
      <c r="Y144" s="4" t="s">
        <v>59</v>
      </c>
      <c r="Z144" s="4" t="s">
        <v>1427</v>
      </c>
      <c r="AA144" s="4">
        <v>1900.0</v>
      </c>
      <c r="AB144" s="4" t="s">
        <v>58</v>
      </c>
      <c r="AC144" s="5">
        <v>1.0</v>
      </c>
      <c r="AD144" s="4" t="s">
        <v>1411</v>
      </c>
    </row>
    <row r="145">
      <c r="A145" s="4" t="s">
        <v>60</v>
      </c>
      <c r="B145" s="4" t="s">
        <v>1405</v>
      </c>
      <c r="C145" s="4" t="s">
        <v>317</v>
      </c>
      <c r="D145" s="4" t="s">
        <v>1406</v>
      </c>
      <c r="E145" s="4" t="s">
        <v>26</v>
      </c>
      <c r="F145" s="4" t="s">
        <v>391</v>
      </c>
      <c r="G145" s="4" t="s">
        <v>557</v>
      </c>
      <c r="H145" s="4" t="s">
        <v>1173</v>
      </c>
      <c r="I145" s="4" t="s">
        <v>1174</v>
      </c>
      <c r="J145" s="5">
        <v>44044.0</v>
      </c>
      <c r="K145" s="5">
        <v>31006.0</v>
      </c>
      <c r="L145" s="4">
        <v>39.0</v>
      </c>
      <c r="M145" s="4" t="s">
        <v>1425</v>
      </c>
      <c r="N145" s="4" t="s">
        <v>1419</v>
      </c>
      <c r="O145" s="5">
        <v>44927.0</v>
      </c>
      <c r="P145" s="5">
        <v>45291.0</v>
      </c>
      <c r="Q145" s="4" t="s">
        <v>66</v>
      </c>
      <c r="R145" s="4" t="s">
        <v>32</v>
      </c>
      <c r="S145" s="6" t="s">
        <v>2017</v>
      </c>
      <c r="T145" s="4" t="s">
        <v>1175</v>
      </c>
      <c r="U145" s="4">
        <v>21.0</v>
      </c>
      <c r="V145" s="4" t="s">
        <v>359</v>
      </c>
      <c r="W145" s="4">
        <v>42886.0</v>
      </c>
      <c r="X145" s="4" t="s">
        <v>58</v>
      </c>
      <c r="Y145" s="4" t="s">
        <v>59</v>
      </c>
      <c r="Z145" s="4" t="s">
        <v>1510</v>
      </c>
      <c r="AA145" s="4">
        <v>2011.0</v>
      </c>
      <c r="AB145" s="4" t="s">
        <v>58</v>
      </c>
      <c r="AC145" s="5">
        <v>40662.0</v>
      </c>
      <c r="AD145" s="4" t="s">
        <v>1411</v>
      </c>
      <c r="AE145" s="5">
        <v>43336.0</v>
      </c>
    </row>
    <row r="146">
      <c r="A146" s="4" t="s">
        <v>60</v>
      </c>
      <c r="B146" s="4" t="s">
        <v>1430</v>
      </c>
      <c r="C146" s="4" t="s">
        <v>61</v>
      </c>
      <c r="D146" s="4" t="s">
        <v>1431</v>
      </c>
      <c r="E146" s="4" t="s">
        <v>26</v>
      </c>
      <c r="F146" s="4" t="s">
        <v>62</v>
      </c>
      <c r="G146" s="4" t="s">
        <v>63</v>
      </c>
      <c r="H146" s="4" t="s">
        <v>64</v>
      </c>
      <c r="I146" s="4" t="s">
        <v>65</v>
      </c>
      <c r="J146" s="5">
        <v>25082.0</v>
      </c>
      <c r="K146" s="5">
        <v>17489.0</v>
      </c>
      <c r="L146" s="4">
        <v>76.0</v>
      </c>
      <c r="M146" s="4" t="s">
        <v>1407</v>
      </c>
      <c r="O146" s="5">
        <v>44927.0</v>
      </c>
      <c r="P146" s="5">
        <v>45291.0</v>
      </c>
      <c r="Q146" s="4" t="s">
        <v>66</v>
      </c>
      <c r="R146" s="4" t="s">
        <v>32</v>
      </c>
      <c r="S146" s="6" t="s">
        <v>2018</v>
      </c>
      <c r="T146" s="4" t="s">
        <v>67</v>
      </c>
      <c r="U146" s="4">
        <v>21.0</v>
      </c>
      <c r="Z146" s="4" t="s">
        <v>1427</v>
      </c>
      <c r="AA146" s="4">
        <v>1972.0</v>
      </c>
      <c r="AB146" s="4" t="s">
        <v>58</v>
      </c>
      <c r="AC146" s="5">
        <v>26299.0</v>
      </c>
      <c r="AD146" s="4" t="s">
        <v>1411</v>
      </c>
      <c r="AE146" s="5">
        <v>42228.0</v>
      </c>
    </row>
    <row r="147">
      <c r="A147" s="4" t="s">
        <v>1684</v>
      </c>
      <c r="B147" s="4" t="s">
        <v>1473</v>
      </c>
      <c r="C147" s="4" t="s">
        <v>25</v>
      </c>
      <c r="D147" s="4" t="s">
        <v>1474</v>
      </c>
      <c r="E147" s="4" t="s">
        <v>80</v>
      </c>
      <c r="F147" s="4" t="s">
        <v>2019</v>
      </c>
      <c r="G147" s="4" t="s">
        <v>2020</v>
      </c>
      <c r="H147" s="4" t="s">
        <v>2021</v>
      </c>
      <c r="I147" s="4" t="s">
        <v>2022</v>
      </c>
      <c r="J147" s="5">
        <v>21429.0</v>
      </c>
      <c r="K147" s="5">
        <v>8416.0</v>
      </c>
      <c r="L147" s="4">
        <v>101.0</v>
      </c>
      <c r="M147" s="4" t="s">
        <v>1425</v>
      </c>
      <c r="O147" s="5">
        <v>41275.0</v>
      </c>
      <c r="P147" s="5">
        <v>41364.0</v>
      </c>
      <c r="Q147" s="4" t="s">
        <v>66</v>
      </c>
      <c r="R147" s="4" t="s">
        <v>32</v>
      </c>
      <c r="S147" s="6" t="s">
        <v>2023</v>
      </c>
      <c r="T147" s="4" t="s">
        <v>2024</v>
      </c>
      <c r="U147" s="4">
        <v>12.0</v>
      </c>
      <c r="V147" s="4" t="s">
        <v>106</v>
      </c>
      <c r="W147" s="4">
        <v>21550.0</v>
      </c>
      <c r="X147" s="4" t="s">
        <v>2025</v>
      </c>
      <c r="Y147" s="4" t="s">
        <v>227</v>
      </c>
      <c r="Z147" s="4" t="s">
        <v>1647</v>
      </c>
      <c r="AA147" s="4">
        <v>1950.0</v>
      </c>
      <c r="AB147" s="4" t="s">
        <v>58</v>
      </c>
      <c r="AC147" s="5">
        <v>18617.0</v>
      </c>
      <c r="AD147" s="4" t="s">
        <v>1411</v>
      </c>
      <c r="AE147" s="5">
        <v>32150.0</v>
      </c>
    </row>
    <row r="148">
      <c r="A148" s="4" t="s">
        <v>1412</v>
      </c>
      <c r="B148" s="4" t="s">
        <v>1423</v>
      </c>
      <c r="C148" s="4" t="s">
        <v>109</v>
      </c>
      <c r="D148" s="4" t="s">
        <v>1424</v>
      </c>
      <c r="E148" s="4" t="s">
        <v>26</v>
      </c>
      <c r="F148" s="4" t="s">
        <v>785</v>
      </c>
      <c r="G148" s="4" t="s">
        <v>1318</v>
      </c>
      <c r="H148" s="4" t="s">
        <v>2026</v>
      </c>
      <c r="I148" s="4" t="s">
        <v>2027</v>
      </c>
      <c r="J148" s="5">
        <v>24929.0</v>
      </c>
      <c r="K148" s="5">
        <v>15103.0</v>
      </c>
      <c r="L148" s="4">
        <v>82.0</v>
      </c>
      <c r="M148" s="4" t="s">
        <v>1453</v>
      </c>
      <c r="O148" s="5">
        <v>35431.0</v>
      </c>
      <c r="P148" s="5">
        <v>35505.0</v>
      </c>
      <c r="Q148" s="4" t="s">
        <v>66</v>
      </c>
      <c r="R148" s="4" t="s">
        <v>32</v>
      </c>
      <c r="S148" s="6" t="s">
        <v>2028</v>
      </c>
      <c r="T148" s="4" t="s">
        <v>2029</v>
      </c>
      <c r="U148" s="4">
        <v>44.0</v>
      </c>
      <c r="AD148" s="4" t="s">
        <v>1411</v>
      </c>
    </row>
    <row r="149">
      <c r="A149" s="4" t="s">
        <v>1412</v>
      </c>
      <c r="B149" s="4" t="s">
        <v>1423</v>
      </c>
      <c r="C149" s="4" t="s">
        <v>109</v>
      </c>
      <c r="D149" s="4" t="s">
        <v>1424</v>
      </c>
      <c r="E149" s="4" t="s">
        <v>26</v>
      </c>
      <c r="F149" s="4" t="s">
        <v>785</v>
      </c>
      <c r="G149" s="4" t="s">
        <v>2030</v>
      </c>
      <c r="H149" s="4" t="s">
        <v>2031</v>
      </c>
      <c r="I149" s="4" t="s">
        <v>2032</v>
      </c>
      <c r="J149" s="5">
        <v>36586.0</v>
      </c>
      <c r="K149" s="5">
        <v>25689.0</v>
      </c>
      <c r="L149" s="4">
        <v>53.0</v>
      </c>
      <c r="M149" s="4" t="s">
        <v>1453</v>
      </c>
      <c r="O149" s="5">
        <v>38718.0</v>
      </c>
      <c r="P149" s="5">
        <v>38807.0</v>
      </c>
      <c r="Q149" s="4" t="s">
        <v>66</v>
      </c>
      <c r="R149" s="4" t="s">
        <v>32</v>
      </c>
      <c r="S149" s="6" t="s">
        <v>2033</v>
      </c>
      <c r="T149" s="4" t="s">
        <v>2034</v>
      </c>
      <c r="U149" s="4">
        <v>8.0</v>
      </c>
      <c r="V149" s="4" t="s">
        <v>106</v>
      </c>
      <c r="W149" s="4">
        <v>36525.0</v>
      </c>
      <c r="X149" s="4" t="s">
        <v>1511</v>
      </c>
      <c r="Y149" s="4" t="s">
        <v>59</v>
      </c>
      <c r="Z149" s="4" t="s">
        <v>1427</v>
      </c>
      <c r="AA149" s="4">
        <v>1996.0</v>
      </c>
      <c r="AB149" s="4" t="s">
        <v>2035</v>
      </c>
      <c r="AC149" s="5">
        <v>35186.0</v>
      </c>
      <c r="AD149" s="4" t="s">
        <v>1411</v>
      </c>
    </row>
    <row r="150">
      <c r="A150" s="4" t="s">
        <v>60</v>
      </c>
      <c r="B150" s="4" t="s">
        <v>1540</v>
      </c>
      <c r="C150" s="4" t="s">
        <v>99</v>
      </c>
      <c r="D150" s="4" t="s">
        <v>1541</v>
      </c>
      <c r="E150" s="4" t="s">
        <v>80</v>
      </c>
      <c r="F150" s="4" t="s">
        <v>785</v>
      </c>
      <c r="G150" s="4" t="s">
        <v>295</v>
      </c>
      <c r="H150" s="4" t="s">
        <v>786</v>
      </c>
      <c r="I150" s="4" t="s">
        <v>787</v>
      </c>
      <c r="J150" s="5">
        <v>40148.0</v>
      </c>
      <c r="K150" s="5">
        <v>22063.0</v>
      </c>
      <c r="L150" s="4">
        <v>63.0</v>
      </c>
      <c r="M150" s="4" t="s">
        <v>1425</v>
      </c>
      <c r="N150" s="4" t="s">
        <v>1419</v>
      </c>
      <c r="O150" s="5">
        <v>44927.0</v>
      </c>
      <c r="P150" s="5">
        <v>45291.0</v>
      </c>
      <c r="Q150" s="4" t="s">
        <v>66</v>
      </c>
      <c r="R150" s="4" t="s">
        <v>32</v>
      </c>
      <c r="S150" s="6" t="s">
        <v>2036</v>
      </c>
      <c r="T150" s="4" t="s">
        <v>788</v>
      </c>
      <c r="U150" s="4">
        <v>44.0</v>
      </c>
      <c r="V150" s="4" t="s">
        <v>34</v>
      </c>
      <c r="W150" s="4">
        <v>39387.0</v>
      </c>
      <c r="X150" s="4" t="s">
        <v>790</v>
      </c>
      <c r="Y150" s="4" t="s">
        <v>791</v>
      </c>
      <c r="Z150" s="4" t="s">
        <v>1647</v>
      </c>
      <c r="AA150" s="4">
        <v>1983.0</v>
      </c>
      <c r="AB150" s="4" t="s">
        <v>383</v>
      </c>
      <c r="AC150" s="5">
        <v>30519.0</v>
      </c>
      <c r="AD150" s="4" t="s">
        <v>1411</v>
      </c>
      <c r="AE150" s="5">
        <v>44587.0</v>
      </c>
    </row>
    <row r="151">
      <c r="A151" s="4" t="s">
        <v>24</v>
      </c>
      <c r="B151" s="4" t="s">
        <v>1540</v>
      </c>
      <c r="C151" s="4" t="s">
        <v>99</v>
      </c>
      <c r="D151" s="4" t="s">
        <v>1541</v>
      </c>
      <c r="E151" s="4" t="s">
        <v>80</v>
      </c>
      <c r="F151" s="4" t="s">
        <v>771</v>
      </c>
      <c r="G151" s="4" t="s">
        <v>772</v>
      </c>
      <c r="H151" s="4" t="s">
        <v>773</v>
      </c>
      <c r="I151" s="4" t="s">
        <v>774</v>
      </c>
      <c r="J151" s="5">
        <v>39995.0</v>
      </c>
      <c r="K151" s="5">
        <v>27173.0</v>
      </c>
      <c r="L151" s="4">
        <v>49.0</v>
      </c>
      <c r="M151" s="4" t="s">
        <v>1407</v>
      </c>
      <c r="O151" s="5">
        <v>44927.0</v>
      </c>
      <c r="P151" s="5">
        <v>45291.0</v>
      </c>
      <c r="Q151" s="4" t="s">
        <v>66</v>
      </c>
      <c r="R151" s="4" t="s">
        <v>32</v>
      </c>
      <c r="S151" s="6" t="s">
        <v>2037</v>
      </c>
      <c r="T151" s="4" t="s">
        <v>775</v>
      </c>
      <c r="U151" s="4">
        <v>44.0</v>
      </c>
      <c r="V151" s="4" t="s">
        <v>34</v>
      </c>
      <c r="W151" s="4">
        <v>39780.0</v>
      </c>
      <c r="X151" s="4" t="s">
        <v>778</v>
      </c>
      <c r="Y151" s="4" t="s">
        <v>38</v>
      </c>
      <c r="Z151" s="4" t="s">
        <v>1422</v>
      </c>
      <c r="AA151" s="4">
        <v>1998.0</v>
      </c>
      <c r="AB151" s="4" t="s">
        <v>1007</v>
      </c>
      <c r="AC151" s="5">
        <v>35933.0</v>
      </c>
      <c r="AD151" s="4" t="s">
        <v>1411</v>
      </c>
      <c r="AE151" s="5">
        <v>42606.0</v>
      </c>
    </row>
    <row r="152">
      <c r="A152" s="4" t="s">
        <v>24</v>
      </c>
      <c r="B152" s="4" t="s">
        <v>1473</v>
      </c>
      <c r="C152" s="4" t="s">
        <v>25</v>
      </c>
      <c r="D152" s="4" t="s">
        <v>1474</v>
      </c>
      <c r="E152" s="4" t="s">
        <v>26</v>
      </c>
      <c r="F152" s="4" t="s">
        <v>100</v>
      </c>
      <c r="G152" s="4" t="s">
        <v>483</v>
      </c>
      <c r="H152" s="4" t="s">
        <v>2038</v>
      </c>
      <c r="I152" s="4" t="s">
        <v>2039</v>
      </c>
      <c r="J152" s="5">
        <v>39630.0</v>
      </c>
      <c r="K152" s="5">
        <v>15875.0</v>
      </c>
      <c r="L152" s="4">
        <v>80.0</v>
      </c>
      <c r="M152" s="4" t="s">
        <v>1407</v>
      </c>
      <c r="O152" s="5">
        <v>42370.0</v>
      </c>
      <c r="P152" s="5">
        <v>73050.0</v>
      </c>
      <c r="Q152" s="4" t="s">
        <v>31</v>
      </c>
      <c r="R152" s="4" t="s">
        <v>32</v>
      </c>
      <c r="S152" s="6" t="s">
        <v>2040</v>
      </c>
      <c r="T152" s="4" t="s">
        <v>2041</v>
      </c>
      <c r="U152" s="4">
        <v>44.0</v>
      </c>
      <c r="V152" s="4" t="s">
        <v>34</v>
      </c>
      <c r="W152" s="4">
        <v>29788.0</v>
      </c>
      <c r="X152" s="4" t="s">
        <v>2042</v>
      </c>
      <c r="Y152" s="4" t="s">
        <v>700</v>
      </c>
      <c r="Z152" s="4" t="s">
        <v>1422</v>
      </c>
      <c r="AA152" s="4">
        <v>1967.0</v>
      </c>
      <c r="AB152" s="4" t="s">
        <v>661</v>
      </c>
      <c r="AC152" s="5">
        <v>24715.0</v>
      </c>
      <c r="AD152" s="4" t="s">
        <v>1411</v>
      </c>
      <c r="AE152" s="5">
        <v>42340.0</v>
      </c>
    </row>
    <row r="153">
      <c r="A153" s="4" t="s">
        <v>78</v>
      </c>
      <c r="B153" s="4" t="s">
        <v>1540</v>
      </c>
      <c r="C153" s="4" t="s">
        <v>99</v>
      </c>
      <c r="D153" s="4" t="s">
        <v>1541</v>
      </c>
      <c r="E153" s="4" t="s">
        <v>80</v>
      </c>
      <c r="F153" s="4" t="s">
        <v>100</v>
      </c>
      <c r="G153" s="4" t="s">
        <v>101</v>
      </c>
      <c r="H153" s="4" t="s">
        <v>102</v>
      </c>
      <c r="I153" s="4" t="s">
        <v>103</v>
      </c>
      <c r="J153" s="5">
        <v>28185.0</v>
      </c>
      <c r="K153" s="5">
        <v>17891.0</v>
      </c>
      <c r="L153" s="4">
        <v>75.0</v>
      </c>
      <c r="M153" s="4" t="s">
        <v>1407</v>
      </c>
      <c r="O153" s="5">
        <v>44927.0</v>
      </c>
      <c r="P153" s="5">
        <v>45291.0</v>
      </c>
      <c r="Q153" s="4" t="s">
        <v>104</v>
      </c>
      <c r="R153" s="4" t="s">
        <v>32</v>
      </c>
      <c r="S153" s="6" t="s">
        <v>105</v>
      </c>
      <c r="T153" s="4" t="s">
        <v>105</v>
      </c>
      <c r="U153" s="4">
        <v>6.0</v>
      </c>
      <c r="V153" s="4" t="s">
        <v>106</v>
      </c>
      <c r="W153" s="4">
        <v>31412.0</v>
      </c>
      <c r="X153" s="4" t="s">
        <v>58</v>
      </c>
      <c r="Y153" s="4" t="s">
        <v>59</v>
      </c>
      <c r="AD153" s="4" t="s">
        <v>1411</v>
      </c>
      <c r="AE153" s="5">
        <v>33353.0</v>
      </c>
    </row>
    <row r="154">
      <c r="A154" s="4" t="s">
        <v>1440</v>
      </c>
      <c r="B154" s="4" t="s">
        <v>1849</v>
      </c>
      <c r="C154" s="4" t="s">
        <v>1850</v>
      </c>
      <c r="D154" s="4" t="s">
        <v>1851</v>
      </c>
      <c r="E154" s="4" t="s">
        <v>26</v>
      </c>
      <c r="F154" s="4" t="s">
        <v>2043</v>
      </c>
      <c r="G154" s="4" t="s">
        <v>2044</v>
      </c>
      <c r="H154" s="4" t="s">
        <v>2045</v>
      </c>
      <c r="I154" s="4" t="s">
        <v>2046</v>
      </c>
      <c r="J154" s="5">
        <v>19725.0</v>
      </c>
      <c r="K154" s="5">
        <v>11251.0</v>
      </c>
      <c r="L154" s="4">
        <v>93.0</v>
      </c>
      <c r="M154" s="4" t="s">
        <v>1407</v>
      </c>
      <c r="O154" s="5">
        <v>33451.0</v>
      </c>
      <c r="P154" s="5">
        <v>36065.0</v>
      </c>
      <c r="Q154" s="4" t="s">
        <v>1694</v>
      </c>
      <c r="R154" s="4" t="s">
        <v>32</v>
      </c>
      <c r="S154" s="6" t="s">
        <v>2047</v>
      </c>
      <c r="T154" s="4" t="s">
        <v>2048</v>
      </c>
      <c r="U154" s="4">
        <v>6.0</v>
      </c>
      <c r="V154" s="4" t="s">
        <v>34</v>
      </c>
      <c r="W154" s="4">
        <v>24838.0</v>
      </c>
      <c r="X154" s="4" t="s">
        <v>2049</v>
      </c>
      <c r="Y154" s="4" t="s">
        <v>38</v>
      </c>
      <c r="AD154" s="4" t="s">
        <v>1411</v>
      </c>
    </row>
    <row r="155">
      <c r="A155" s="4" t="s">
        <v>1440</v>
      </c>
      <c r="B155" s="4" t="s">
        <v>1473</v>
      </c>
      <c r="C155" s="4" t="s">
        <v>25</v>
      </c>
      <c r="D155" s="4" t="s">
        <v>1474</v>
      </c>
      <c r="E155" s="4" t="s">
        <v>26</v>
      </c>
      <c r="F155" s="4" t="s">
        <v>2050</v>
      </c>
      <c r="G155" s="4" t="s">
        <v>2051</v>
      </c>
      <c r="H155" s="4" t="s">
        <v>2052</v>
      </c>
      <c r="I155" s="4" t="s">
        <v>2053</v>
      </c>
      <c r="J155" s="5">
        <v>20880.0</v>
      </c>
      <c r="K155" s="5">
        <v>12979.0</v>
      </c>
      <c r="L155" s="4">
        <v>88.0</v>
      </c>
      <c r="M155" s="4" t="s">
        <v>1407</v>
      </c>
      <c r="O155" s="5">
        <v>36617.0</v>
      </c>
      <c r="P155" s="5">
        <v>37794.0</v>
      </c>
      <c r="Q155" s="4" t="s">
        <v>31</v>
      </c>
      <c r="R155" s="4" t="s">
        <v>32</v>
      </c>
      <c r="S155" s="6" t="s">
        <v>2054</v>
      </c>
      <c r="T155" s="4" t="s">
        <v>2055</v>
      </c>
      <c r="U155" s="4">
        <v>44.0</v>
      </c>
      <c r="V155" s="4" t="s">
        <v>106</v>
      </c>
      <c r="W155" s="4">
        <v>1.0</v>
      </c>
      <c r="X155" s="4" t="s">
        <v>1464</v>
      </c>
      <c r="Y155" s="4" t="s">
        <v>59</v>
      </c>
      <c r="AD155" s="4" t="s">
        <v>1411</v>
      </c>
    </row>
    <row r="156">
      <c r="A156" s="4" t="s">
        <v>1623</v>
      </c>
      <c r="B156" s="4" t="s">
        <v>1423</v>
      </c>
      <c r="C156" s="4" t="s">
        <v>109</v>
      </c>
      <c r="D156" s="4" t="s">
        <v>1424</v>
      </c>
      <c r="E156" s="4" t="s">
        <v>80</v>
      </c>
      <c r="F156" s="4" t="s">
        <v>2056</v>
      </c>
      <c r="G156" s="4" t="s">
        <v>1880</v>
      </c>
      <c r="H156" s="4" t="s">
        <v>2057</v>
      </c>
      <c r="I156" s="4" t="s">
        <v>2058</v>
      </c>
      <c r="J156" s="5">
        <v>34851.0</v>
      </c>
      <c r="K156" s="5">
        <v>16617.0</v>
      </c>
      <c r="L156" s="4">
        <v>78.0</v>
      </c>
      <c r="M156" s="4" t="s">
        <v>1425</v>
      </c>
      <c r="O156" s="5">
        <v>35217.0</v>
      </c>
      <c r="P156" s="5">
        <v>38664.0</v>
      </c>
      <c r="Q156" s="4" t="s">
        <v>31</v>
      </c>
      <c r="R156" s="4" t="s">
        <v>32</v>
      </c>
      <c r="S156" s="6" t="s">
        <v>2059</v>
      </c>
      <c r="T156" s="4" t="s">
        <v>2060</v>
      </c>
      <c r="U156" s="4">
        <v>22.0</v>
      </c>
      <c r="V156" s="4" t="s">
        <v>106</v>
      </c>
      <c r="W156" s="4">
        <v>33238.0</v>
      </c>
      <c r="X156" s="4" t="s">
        <v>58</v>
      </c>
      <c r="Y156" s="4" t="s">
        <v>59</v>
      </c>
      <c r="AD156" s="4" t="s">
        <v>1411</v>
      </c>
    </row>
    <row r="157">
      <c r="A157" s="4" t="s">
        <v>1412</v>
      </c>
      <c r="B157" s="4" t="s">
        <v>1413</v>
      </c>
      <c r="C157" s="4" t="s">
        <v>1414</v>
      </c>
      <c r="D157" s="4" t="s">
        <v>1415</v>
      </c>
      <c r="E157" s="4" t="s">
        <v>80</v>
      </c>
      <c r="F157" s="4" t="s">
        <v>2061</v>
      </c>
      <c r="G157" s="4" t="s">
        <v>1067</v>
      </c>
      <c r="H157" s="4" t="s">
        <v>2062</v>
      </c>
      <c r="I157" s="4" t="s">
        <v>2063</v>
      </c>
      <c r="J157" s="5">
        <v>34455.0</v>
      </c>
      <c r="K157" s="5">
        <v>23908.0</v>
      </c>
      <c r="L157" s="4">
        <v>58.0</v>
      </c>
      <c r="M157" s="4" t="s">
        <v>1407</v>
      </c>
      <c r="O157" s="5">
        <v>34486.0</v>
      </c>
      <c r="P157" s="5">
        <v>34638.0</v>
      </c>
      <c r="Q157" s="4" t="s">
        <v>66</v>
      </c>
      <c r="R157" s="4" t="s">
        <v>32</v>
      </c>
      <c r="S157" s="6" t="s">
        <v>2064</v>
      </c>
      <c r="T157" s="4" t="s">
        <v>2065</v>
      </c>
      <c r="U157" s="4">
        <v>3.0</v>
      </c>
      <c r="AD157" s="4" t="s">
        <v>1411</v>
      </c>
    </row>
    <row r="158">
      <c r="A158" s="4" t="s">
        <v>1434</v>
      </c>
      <c r="B158" s="4" t="s">
        <v>1423</v>
      </c>
      <c r="C158" s="4" t="s">
        <v>109</v>
      </c>
      <c r="D158" s="4" t="s">
        <v>1424</v>
      </c>
      <c r="E158" s="4" t="s">
        <v>80</v>
      </c>
      <c r="F158" s="4" t="s">
        <v>759</v>
      </c>
      <c r="G158" s="4" t="s">
        <v>2066</v>
      </c>
      <c r="H158" s="4" t="s">
        <v>2067</v>
      </c>
      <c r="I158" s="4" t="s">
        <v>2068</v>
      </c>
      <c r="J158" s="5">
        <v>32021.0</v>
      </c>
      <c r="K158" s="5">
        <v>11203.0</v>
      </c>
      <c r="L158" s="4">
        <v>93.0</v>
      </c>
      <c r="M158" s="4" t="s">
        <v>1407</v>
      </c>
      <c r="O158" s="5">
        <v>33909.0</v>
      </c>
      <c r="P158" s="5">
        <v>34577.0</v>
      </c>
      <c r="Q158" s="4" t="s">
        <v>31</v>
      </c>
      <c r="R158" s="4" t="s">
        <v>32</v>
      </c>
      <c r="S158" s="6" t="s">
        <v>2069</v>
      </c>
      <c r="T158" s="4" t="s">
        <v>2069</v>
      </c>
      <c r="U158" s="4">
        <v>9.0</v>
      </c>
      <c r="AD158" s="4" t="s">
        <v>1411</v>
      </c>
    </row>
    <row r="159">
      <c r="A159" s="4" t="s">
        <v>60</v>
      </c>
      <c r="B159" s="4" t="s">
        <v>1405</v>
      </c>
      <c r="C159" s="4" t="s">
        <v>317</v>
      </c>
      <c r="D159" s="4" t="s">
        <v>1406</v>
      </c>
      <c r="E159" s="4" t="s">
        <v>26</v>
      </c>
      <c r="F159" s="4" t="s">
        <v>759</v>
      </c>
      <c r="G159" s="4" t="s">
        <v>2070</v>
      </c>
      <c r="H159" s="4" t="s">
        <v>2071</v>
      </c>
      <c r="I159" s="4" t="s">
        <v>2072</v>
      </c>
      <c r="J159" s="5">
        <v>35643.0</v>
      </c>
      <c r="K159" s="5">
        <v>25247.0</v>
      </c>
      <c r="L159" s="4">
        <v>54.0</v>
      </c>
      <c r="M159" s="4" t="s">
        <v>1425</v>
      </c>
      <c r="N159" s="4" t="s">
        <v>1419</v>
      </c>
      <c r="O159" s="5">
        <v>44562.0</v>
      </c>
      <c r="P159" s="5">
        <v>44834.0</v>
      </c>
      <c r="Q159" s="4" t="s">
        <v>66</v>
      </c>
      <c r="R159" s="4" t="s">
        <v>32</v>
      </c>
      <c r="S159" s="6" t="s">
        <v>2073</v>
      </c>
      <c r="T159" s="4" t="s">
        <v>2074</v>
      </c>
      <c r="U159" s="4">
        <v>12.0</v>
      </c>
      <c r="V159" s="4" t="s">
        <v>55</v>
      </c>
      <c r="W159" s="4">
        <v>35396.0</v>
      </c>
      <c r="X159" s="4" t="s">
        <v>1899</v>
      </c>
      <c r="Y159" s="4" t="s">
        <v>59</v>
      </c>
      <c r="Z159" s="4" t="s">
        <v>2075</v>
      </c>
      <c r="AA159" s="4">
        <v>1996.0</v>
      </c>
      <c r="AB159" s="4" t="s">
        <v>2076</v>
      </c>
      <c r="AC159" s="5">
        <v>35396.0</v>
      </c>
      <c r="AD159" s="4" t="s">
        <v>1411</v>
      </c>
      <c r="AE159" s="5">
        <v>40108.0</v>
      </c>
    </row>
    <row r="160">
      <c r="A160" s="4" t="s">
        <v>1412</v>
      </c>
      <c r="B160" s="4" t="s">
        <v>1423</v>
      </c>
      <c r="C160" s="4" t="s">
        <v>109</v>
      </c>
      <c r="D160" s="4" t="s">
        <v>1424</v>
      </c>
      <c r="E160" s="4" t="s">
        <v>80</v>
      </c>
      <c r="F160" s="4" t="s">
        <v>759</v>
      </c>
      <c r="G160" s="4" t="s">
        <v>760</v>
      </c>
      <c r="H160" s="4" t="s">
        <v>2077</v>
      </c>
      <c r="I160" s="4" t="s">
        <v>2078</v>
      </c>
      <c r="J160" s="5">
        <v>39420.0</v>
      </c>
      <c r="K160" s="5">
        <v>28269.0</v>
      </c>
      <c r="L160" s="4">
        <v>46.0</v>
      </c>
      <c r="M160" s="4" t="s">
        <v>1425</v>
      </c>
      <c r="O160" s="5">
        <v>42005.0</v>
      </c>
      <c r="P160" s="5">
        <v>42369.0</v>
      </c>
      <c r="Q160" s="4" t="s">
        <v>104</v>
      </c>
      <c r="R160" s="4" t="s">
        <v>32</v>
      </c>
      <c r="S160" s="6" t="s">
        <v>2079</v>
      </c>
      <c r="T160" s="4" t="s">
        <v>2080</v>
      </c>
      <c r="U160" s="4">
        <v>6.0</v>
      </c>
      <c r="Z160" s="4" t="s">
        <v>1433</v>
      </c>
      <c r="AA160" s="4">
        <v>2003.0</v>
      </c>
      <c r="AB160" s="4" t="s">
        <v>506</v>
      </c>
      <c r="AC160" s="5">
        <v>37929.0</v>
      </c>
      <c r="AD160" s="4" t="s">
        <v>1411</v>
      </c>
      <c r="AE160" s="5">
        <v>41886.0</v>
      </c>
    </row>
    <row r="161">
      <c r="A161" s="4" t="s">
        <v>60</v>
      </c>
      <c r="B161" s="4" t="s">
        <v>1423</v>
      </c>
      <c r="C161" s="4" t="s">
        <v>109</v>
      </c>
      <c r="D161" s="4" t="s">
        <v>1424</v>
      </c>
      <c r="E161" s="4" t="s">
        <v>26</v>
      </c>
      <c r="F161" s="4" t="s">
        <v>759</v>
      </c>
      <c r="G161" s="4" t="s">
        <v>760</v>
      </c>
      <c r="H161" s="4" t="s">
        <v>761</v>
      </c>
      <c r="I161" s="4" t="s">
        <v>762</v>
      </c>
      <c r="J161" s="5">
        <v>39995.0</v>
      </c>
      <c r="K161" s="5">
        <v>26570.0</v>
      </c>
      <c r="L161" s="4">
        <v>51.0</v>
      </c>
      <c r="M161" s="4" t="s">
        <v>1407</v>
      </c>
      <c r="O161" s="5">
        <v>44927.0</v>
      </c>
      <c r="P161" s="5">
        <v>45291.0</v>
      </c>
      <c r="Q161" s="4" t="s">
        <v>66</v>
      </c>
      <c r="R161" s="4" t="s">
        <v>32</v>
      </c>
      <c r="S161" s="6" t="s">
        <v>2081</v>
      </c>
      <c r="T161" s="4" t="s">
        <v>763</v>
      </c>
      <c r="U161" s="4">
        <v>44.0</v>
      </c>
      <c r="V161" s="4" t="s">
        <v>34</v>
      </c>
      <c r="W161" s="4">
        <v>41284.0</v>
      </c>
      <c r="X161" s="4" t="s">
        <v>438</v>
      </c>
      <c r="Y161" s="4" t="s">
        <v>59</v>
      </c>
      <c r="Z161" s="4" t="s">
        <v>1427</v>
      </c>
      <c r="AA161" s="4">
        <v>2002.0</v>
      </c>
      <c r="AB161" s="4" t="s">
        <v>1899</v>
      </c>
      <c r="AC161" s="5">
        <v>37266.0</v>
      </c>
      <c r="AD161" s="4" t="s">
        <v>1411</v>
      </c>
      <c r="AE161" s="5">
        <v>41505.0</v>
      </c>
    </row>
    <row r="162">
      <c r="A162" s="4" t="s">
        <v>1440</v>
      </c>
      <c r="B162" s="4" t="s">
        <v>1473</v>
      </c>
      <c r="C162" s="4" t="s">
        <v>25</v>
      </c>
      <c r="D162" s="4" t="s">
        <v>1474</v>
      </c>
      <c r="E162" s="4" t="s">
        <v>26</v>
      </c>
      <c r="F162" s="4" t="s">
        <v>759</v>
      </c>
      <c r="G162" s="4" t="s">
        <v>2082</v>
      </c>
      <c r="H162" s="4" t="s">
        <v>2083</v>
      </c>
      <c r="I162" s="4" t="s">
        <v>2084</v>
      </c>
      <c r="J162" s="5">
        <v>25416.0</v>
      </c>
      <c r="K162" s="5">
        <v>14555.0</v>
      </c>
      <c r="L162" s="4">
        <v>84.0</v>
      </c>
      <c r="M162" s="4" t="s">
        <v>1407</v>
      </c>
      <c r="O162" s="5">
        <v>33848.0</v>
      </c>
      <c r="P162" s="5">
        <v>38657.0</v>
      </c>
      <c r="Q162" s="4" t="s">
        <v>31</v>
      </c>
      <c r="R162" s="4" t="s">
        <v>32</v>
      </c>
      <c r="S162" s="6" t="s">
        <v>2085</v>
      </c>
      <c r="T162" s="4" t="s">
        <v>2086</v>
      </c>
      <c r="U162" s="4">
        <v>44.0</v>
      </c>
      <c r="V162" s="4" t="s">
        <v>34</v>
      </c>
      <c r="W162" s="4">
        <v>35065.0</v>
      </c>
      <c r="X162" s="4" t="s">
        <v>2087</v>
      </c>
      <c r="Y162" s="4" t="s">
        <v>227</v>
      </c>
      <c r="Z162" s="4" t="s">
        <v>1422</v>
      </c>
      <c r="AA162" s="4">
        <v>1900.0</v>
      </c>
      <c r="AB162" s="4" t="s">
        <v>2088</v>
      </c>
      <c r="AC162" s="5">
        <v>1.0</v>
      </c>
      <c r="AD162" s="4" t="s">
        <v>1411</v>
      </c>
    </row>
    <row r="163">
      <c r="A163" s="4" t="s">
        <v>1412</v>
      </c>
      <c r="B163" s="4" t="s">
        <v>1473</v>
      </c>
      <c r="C163" s="4" t="s">
        <v>25</v>
      </c>
      <c r="D163" s="4" t="s">
        <v>1474</v>
      </c>
      <c r="E163" s="4" t="s">
        <v>26</v>
      </c>
      <c r="F163" s="4" t="s">
        <v>759</v>
      </c>
      <c r="G163" s="4" t="s">
        <v>2089</v>
      </c>
      <c r="H163" s="4" t="s">
        <v>2090</v>
      </c>
      <c r="I163" s="4" t="s">
        <v>2091</v>
      </c>
      <c r="J163" s="5">
        <v>17288.0</v>
      </c>
      <c r="K163" s="5">
        <v>10361.0</v>
      </c>
      <c r="L163" s="4">
        <v>95.0</v>
      </c>
      <c r="M163" s="4" t="s">
        <v>1585</v>
      </c>
      <c r="O163" s="5">
        <v>36770.0</v>
      </c>
      <c r="P163" s="5">
        <v>40242.0</v>
      </c>
      <c r="Q163" s="4" t="s">
        <v>31</v>
      </c>
      <c r="R163" s="4" t="s">
        <v>32</v>
      </c>
      <c r="S163" s="6" t="s">
        <v>2092</v>
      </c>
      <c r="T163" s="4" t="s">
        <v>2093</v>
      </c>
      <c r="U163" s="4">
        <v>12.0</v>
      </c>
      <c r="V163" s="4" t="s">
        <v>1492</v>
      </c>
      <c r="W163" s="4">
        <v>19520.0</v>
      </c>
      <c r="X163" s="4" t="s">
        <v>58</v>
      </c>
      <c r="Y163" s="4" t="s">
        <v>59</v>
      </c>
      <c r="AD163" s="4" t="s">
        <v>1411</v>
      </c>
    </row>
    <row r="164">
      <c r="A164" s="4" t="s">
        <v>1465</v>
      </c>
      <c r="B164" s="4" t="s">
        <v>1413</v>
      </c>
      <c r="C164" s="4" t="s">
        <v>1414</v>
      </c>
      <c r="D164" s="4" t="s">
        <v>1415</v>
      </c>
      <c r="E164" s="4" t="s">
        <v>80</v>
      </c>
      <c r="F164" s="4" t="s">
        <v>2094</v>
      </c>
      <c r="G164" s="4" t="s">
        <v>295</v>
      </c>
      <c r="H164" s="4" t="s">
        <v>2095</v>
      </c>
      <c r="I164" s="4" t="s">
        <v>2096</v>
      </c>
      <c r="J164" s="5">
        <v>36161.0</v>
      </c>
      <c r="K164" s="5">
        <v>23110.0</v>
      </c>
      <c r="L164" s="4">
        <v>60.0</v>
      </c>
      <c r="M164" s="4" t="s">
        <v>1407</v>
      </c>
      <c r="O164" s="5">
        <v>36161.0</v>
      </c>
      <c r="P164" s="5">
        <v>36525.0</v>
      </c>
      <c r="Q164" s="4" t="s">
        <v>66</v>
      </c>
      <c r="R164" s="4" t="s">
        <v>32</v>
      </c>
      <c r="S164" s="7" t="s">
        <v>2097</v>
      </c>
      <c r="T164" s="4" t="s">
        <v>2098</v>
      </c>
      <c r="U164" s="4">
        <v>8.0</v>
      </c>
      <c r="Z164" s="4" t="s">
        <v>1519</v>
      </c>
      <c r="AA164" s="4">
        <v>1994.0</v>
      </c>
      <c r="AB164" s="4" t="s">
        <v>58</v>
      </c>
      <c r="AC164" s="5">
        <v>34669.0</v>
      </c>
      <c r="AD164" s="4" t="s">
        <v>1411</v>
      </c>
    </row>
    <row r="165">
      <c r="A165" s="4" t="s">
        <v>24</v>
      </c>
      <c r="B165" s="4" t="s">
        <v>1540</v>
      </c>
      <c r="C165" s="4" t="s">
        <v>99</v>
      </c>
      <c r="D165" s="4" t="s">
        <v>1541</v>
      </c>
      <c r="E165" s="4" t="s">
        <v>80</v>
      </c>
      <c r="F165" s="4" t="s">
        <v>258</v>
      </c>
      <c r="G165" s="4" t="s">
        <v>259</v>
      </c>
      <c r="H165" s="4" t="s">
        <v>260</v>
      </c>
      <c r="I165" s="4" t="s">
        <v>261</v>
      </c>
      <c r="J165" s="5">
        <v>35639.0</v>
      </c>
      <c r="K165" s="5">
        <v>24970.0</v>
      </c>
      <c r="L165" s="4">
        <v>55.0</v>
      </c>
      <c r="M165" s="4" t="s">
        <v>1407</v>
      </c>
      <c r="N165" s="4" t="s">
        <v>1419</v>
      </c>
      <c r="O165" s="5">
        <v>43586.0</v>
      </c>
      <c r="P165" s="5">
        <v>73050.0</v>
      </c>
      <c r="Q165" s="4" t="s">
        <v>31</v>
      </c>
      <c r="R165" s="4" t="s">
        <v>32</v>
      </c>
      <c r="S165" s="6" t="s">
        <v>2099</v>
      </c>
      <c r="T165" s="8" t="s">
        <v>262</v>
      </c>
      <c r="U165" s="4">
        <v>22.0</v>
      </c>
      <c r="V165" s="4" t="s">
        <v>34</v>
      </c>
      <c r="W165" s="4">
        <v>42174.0</v>
      </c>
      <c r="X165" s="4" t="s">
        <v>58</v>
      </c>
      <c r="Y165" s="4" t="s">
        <v>59</v>
      </c>
      <c r="Z165" s="4" t="s">
        <v>1422</v>
      </c>
      <c r="AA165" s="4">
        <v>1992.0</v>
      </c>
      <c r="AB165" s="4" t="s">
        <v>58</v>
      </c>
      <c r="AC165" s="5">
        <v>33624.0</v>
      </c>
      <c r="AD165" s="4" t="s">
        <v>1411</v>
      </c>
      <c r="AE165" s="5">
        <v>43551.0</v>
      </c>
    </row>
    <row r="166">
      <c r="A166" s="4" t="s">
        <v>24</v>
      </c>
      <c r="B166" s="4" t="s">
        <v>1423</v>
      </c>
      <c r="C166" s="4" t="s">
        <v>109</v>
      </c>
      <c r="D166" s="4" t="s">
        <v>1424</v>
      </c>
      <c r="E166" s="4" t="s">
        <v>26</v>
      </c>
      <c r="F166" s="4" t="s">
        <v>453</v>
      </c>
      <c r="G166" s="4" t="s">
        <v>454</v>
      </c>
      <c r="H166" s="4" t="s">
        <v>455</v>
      </c>
      <c r="I166" s="4" t="s">
        <v>456</v>
      </c>
      <c r="J166" s="5">
        <v>38292.0</v>
      </c>
      <c r="K166" s="5">
        <v>26924.0</v>
      </c>
      <c r="L166" s="4">
        <v>50.0</v>
      </c>
      <c r="M166" s="4" t="s">
        <v>1407</v>
      </c>
      <c r="N166" s="4" t="s">
        <v>1461</v>
      </c>
      <c r="O166" s="5">
        <v>42186.0</v>
      </c>
      <c r="P166" s="5">
        <v>73050.0</v>
      </c>
      <c r="Q166" s="4" t="s">
        <v>31</v>
      </c>
      <c r="R166" s="4" t="s">
        <v>32</v>
      </c>
      <c r="S166" s="6" t="s">
        <v>2100</v>
      </c>
      <c r="T166" s="4" t="s">
        <v>457</v>
      </c>
      <c r="U166" s="4">
        <v>22.0</v>
      </c>
      <c r="V166" s="4" t="s">
        <v>106</v>
      </c>
      <c r="W166" s="4">
        <v>36859.0</v>
      </c>
      <c r="X166" s="4" t="s">
        <v>460</v>
      </c>
      <c r="Y166" s="4" t="s">
        <v>461</v>
      </c>
      <c r="Z166" s="4" t="s">
        <v>1597</v>
      </c>
      <c r="AA166" s="4">
        <v>2004.0</v>
      </c>
      <c r="AB166" s="4" t="s">
        <v>58</v>
      </c>
      <c r="AC166" s="5">
        <v>38275.0</v>
      </c>
      <c r="AD166" s="4" t="s">
        <v>1411</v>
      </c>
      <c r="AE166" s="5">
        <v>39821.0</v>
      </c>
    </row>
    <row r="167">
      <c r="A167" s="4" t="s">
        <v>78</v>
      </c>
      <c r="B167" s="4" t="s">
        <v>1540</v>
      </c>
      <c r="C167" s="4" t="s">
        <v>99</v>
      </c>
      <c r="D167" s="4" t="s">
        <v>1541</v>
      </c>
      <c r="E167" s="4" t="s">
        <v>26</v>
      </c>
      <c r="F167" s="4" t="s">
        <v>2101</v>
      </c>
      <c r="G167" s="4" t="s">
        <v>1769</v>
      </c>
      <c r="H167" s="4" t="s">
        <v>2102</v>
      </c>
      <c r="I167" s="4" t="s">
        <v>2103</v>
      </c>
      <c r="J167" s="5">
        <v>39569.0</v>
      </c>
      <c r="K167" s="5">
        <v>26633.0</v>
      </c>
      <c r="L167" s="4">
        <v>51.0</v>
      </c>
      <c r="M167" s="4" t="s">
        <v>1453</v>
      </c>
      <c r="O167" s="5">
        <v>43466.0</v>
      </c>
      <c r="P167" s="5">
        <v>43621.0</v>
      </c>
      <c r="Q167" s="4" t="s">
        <v>66</v>
      </c>
      <c r="R167" s="4" t="s">
        <v>32</v>
      </c>
      <c r="S167" s="6" t="s">
        <v>2104</v>
      </c>
      <c r="T167" s="4" t="s">
        <v>2105</v>
      </c>
      <c r="U167" s="4">
        <v>44.0</v>
      </c>
      <c r="V167" s="4" t="s">
        <v>34</v>
      </c>
      <c r="W167" s="4">
        <v>39356.0</v>
      </c>
      <c r="X167" s="4" t="s">
        <v>2106</v>
      </c>
      <c r="Y167" s="4" t="s">
        <v>227</v>
      </c>
      <c r="Z167" s="4" t="s">
        <v>1571</v>
      </c>
      <c r="AA167" s="4">
        <v>1998.0</v>
      </c>
      <c r="AB167" s="4" t="s">
        <v>1564</v>
      </c>
      <c r="AC167" s="5">
        <v>36026.0</v>
      </c>
      <c r="AD167" s="4" t="s">
        <v>1411</v>
      </c>
      <c r="AE167" s="5">
        <v>42683.0</v>
      </c>
    </row>
    <row r="168">
      <c r="A168" s="4" t="s">
        <v>1434</v>
      </c>
      <c r="B168" s="4" t="s">
        <v>1423</v>
      </c>
      <c r="C168" s="4" t="s">
        <v>109</v>
      </c>
      <c r="D168" s="4" t="s">
        <v>1424</v>
      </c>
      <c r="E168" s="4" t="s">
        <v>26</v>
      </c>
      <c r="F168" s="4" t="s">
        <v>2101</v>
      </c>
      <c r="G168" s="4" t="s">
        <v>152</v>
      </c>
      <c r="H168" s="4" t="s">
        <v>2107</v>
      </c>
      <c r="I168" s="4" t="s">
        <v>2108</v>
      </c>
      <c r="J168" s="5">
        <v>35951.0</v>
      </c>
      <c r="K168" s="5">
        <v>26983.0</v>
      </c>
      <c r="L168" s="4">
        <v>50.0</v>
      </c>
      <c r="M168" s="4" t="s">
        <v>1407</v>
      </c>
      <c r="O168" s="5">
        <v>38718.0</v>
      </c>
      <c r="P168" s="5">
        <v>38807.0</v>
      </c>
      <c r="Q168" s="4" t="s">
        <v>66</v>
      </c>
      <c r="R168" s="4" t="s">
        <v>32</v>
      </c>
      <c r="S168" s="6" t="s">
        <v>2109</v>
      </c>
      <c r="T168" s="4" t="s">
        <v>2110</v>
      </c>
      <c r="U168" s="4">
        <v>6.0</v>
      </c>
      <c r="V168" s="4" t="s">
        <v>34</v>
      </c>
      <c r="W168" s="4">
        <v>37932.0</v>
      </c>
      <c r="X168" s="4" t="s">
        <v>2111</v>
      </c>
      <c r="Y168" s="4" t="s">
        <v>89</v>
      </c>
      <c r="Z168" s="4" t="s">
        <v>1433</v>
      </c>
      <c r="AA168" s="4">
        <v>1998.0</v>
      </c>
      <c r="AB168" s="4" t="s">
        <v>58</v>
      </c>
      <c r="AC168" s="5">
        <v>35948.0</v>
      </c>
      <c r="AD168" s="4" t="s">
        <v>1411</v>
      </c>
    </row>
    <row r="169">
      <c r="A169" s="4" t="s">
        <v>1412</v>
      </c>
      <c r="B169" s="4" t="s">
        <v>1413</v>
      </c>
      <c r="C169" s="4" t="s">
        <v>1414</v>
      </c>
      <c r="D169" s="4" t="s">
        <v>1415</v>
      </c>
      <c r="E169" s="4" t="s">
        <v>26</v>
      </c>
      <c r="F169" s="4" t="s">
        <v>2101</v>
      </c>
      <c r="G169" s="4" t="s">
        <v>281</v>
      </c>
      <c r="H169" s="4" t="s">
        <v>2112</v>
      </c>
      <c r="I169" s="4" t="s">
        <v>2113</v>
      </c>
      <c r="J169" s="5">
        <v>33909.0</v>
      </c>
      <c r="K169" s="5">
        <v>21713.0</v>
      </c>
      <c r="L169" s="4">
        <v>64.0</v>
      </c>
      <c r="M169" s="4" t="s">
        <v>1407</v>
      </c>
      <c r="O169" s="5">
        <v>35065.0</v>
      </c>
      <c r="P169" s="5">
        <v>35155.0</v>
      </c>
      <c r="Q169" s="4" t="s">
        <v>66</v>
      </c>
      <c r="R169" s="4" t="s">
        <v>32</v>
      </c>
      <c r="S169" s="6" t="s">
        <v>2114</v>
      </c>
      <c r="T169" s="4" t="s">
        <v>2115</v>
      </c>
      <c r="U169" s="4">
        <v>6.0</v>
      </c>
      <c r="AD169" s="4" t="s">
        <v>1411</v>
      </c>
    </row>
    <row r="170">
      <c r="A170" s="4" t="s">
        <v>78</v>
      </c>
      <c r="B170" s="4" t="s">
        <v>1540</v>
      </c>
      <c r="C170" s="4" t="s">
        <v>99</v>
      </c>
      <c r="D170" s="4" t="s">
        <v>1541</v>
      </c>
      <c r="E170" s="4" t="s">
        <v>26</v>
      </c>
      <c r="F170" s="4" t="s">
        <v>2116</v>
      </c>
      <c r="G170" s="4" t="s">
        <v>310</v>
      </c>
      <c r="H170" s="4" t="s">
        <v>2117</v>
      </c>
      <c r="I170" s="4" t="s">
        <v>2118</v>
      </c>
      <c r="J170" s="5">
        <v>33482.0</v>
      </c>
      <c r="K170" s="5">
        <v>19115.0</v>
      </c>
      <c r="L170" s="4">
        <v>71.0</v>
      </c>
      <c r="M170" s="4" t="s">
        <v>1407</v>
      </c>
      <c r="O170" s="5">
        <v>42186.0</v>
      </c>
      <c r="P170" s="5">
        <v>73050.0</v>
      </c>
      <c r="Q170" s="4" t="s">
        <v>31</v>
      </c>
      <c r="R170" s="4" t="s">
        <v>32</v>
      </c>
      <c r="S170" s="6" t="s">
        <v>2119</v>
      </c>
      <c r="T170" s="4" t="s">
        <v>2120</v>
      </c>
      <c r="U170" s="4">
        <v>44.0</v>
      </c>
      <c r="V170" s="4" t="s">
        <v>34</v>
      </c>
      <c r="W170" s="4">
        <v>38140.0</v>
      </c>
      <c r="X170" s="4" t="s">
        <v>2121</v>
      </c>
      <c r="Y170" s="4" t="s">
        <v>2122</v>
      </c>
      <c r="Z170" s="4" t="s">
        <v>1433</v>
      </c>
      <c r="AA170" s="4">
        <v>1985.0</v>
      </c>
      <c r="AB170" s="4" t="s">
        <v>58</v>
      </c>
      <c r="AC170" s="5">
        <v>31292.0</v>
      </c>
      <c r="AD170" s="4" t="s">
        <v>1411</v>
      </c>
      <c r="AE170" s="5">
        <v>36082.0</v>
      </c>
    </row>
    <row r="171">
      <c r="A171" s="4" t="s">
        <v>60</v>
      </c>
      <c r="B171" s="4" t="s">
        <v>1430</v>
      </c>
      <c r="C171" s="4" t="s">
        <v>61</v>
      </c>
      <c r="D171" s="4" t="s">
        <v>1431</v>
      </c>
      <c r="E171" s="4" t="s">
        <v>26</v>
      </c>
      <c r="F171" s="4" t="s">
        <v>2123</v>
      </c>
      <c r="G171" s="4" t="s">
        <v>2124</v>
      </c>
      <c r="H171" s="4" t="s">
        <v>2125</v>
      </c>
      <c r="I171" s="4" t="s">
        <v>2126</v>
      </c>
      <c r="J171" s="5">
        <v>34973.0</v>
      </c>
      <c r="K171" s="5">
        <v>16722.0</v>
      </c>
      <c r="L171" s="4">
        <v>78.0</v>
      </c>
      <c r="M171" s="4" t="s">
        <v>1585</v>
      </c>
      <c r="O171" s="5">
        <v>44197.0</v>
      </c>
      <c r="P171" s="5">
        <v>44347.0</v>
      </c>
      <c r="Q171" s="4" t="s">
        <v>66</v>
      </c>
      <c r="R171" s="4" t="s">
        <v>32</v>
      </c>
      <c r="S171" s="6" t="s">
        <v>2127</v>
      </c>
      <c r="T171" s="4" t="s">
        <v>2127</v>
      </c>
      <c r="U171" s="4">
        <v>18.0</v>
      </c>
      <c r="V171" s="4" t="s">
        <v>34</v>
      </c>
      <c r="W171" s="4">
        <v>29123.0</v>
      </c>
      <c r="X171" s="4" t="s">
        <v>2128</v>
      </c>
      <c r="Y171" s="4" t="s">
        <v>227</v>
      </c>
      <c r="Z171" s="4" t="s">
        <v>2129</v>
      </c>
      <c r="AA171" s="4">
        <v>1971.0</v>
      </c>
      <c r="AB171" s="4" t="s">
        <v>2130</v>
      </c>
      <c r="AC171" s="5">
        <v>26078.0</v>
      </c>
      <c r="AD171" s="4" t="s">
        <v>1411</v>
      </c>
      <c r="AE171" s="5">
        <v>39897.0</v>
      </c>
    </row>
    <row r="172">
      <c r="A172" s="4" t="s">
        <v>1412</v>
      </c>
      <c r="B172" s="4" t="s">
        <v>1423</v>
      </c>
      <c r="C172" s="4" t="s">
        <v>109</v>
      </c>
      <c r="D172" s="4" t="s">
        <v>1424</v>
      </c>
      <c r="E172" s="4" t="s">
        <v>80</v>
      </c>
      <c r="F172" s="4" t="s">
        <v>2131</v>
      </c>
      <c r="G172" s="4" t="s">
        <v>63</v>
      </c>
      <c r="H172" s="4" t="s">
        <v>2132</v>
      </c>
      <c r="I172" s="4" t="s">
        <v>2133</v>
      </c>
      <c r="J172" s="5">
        <v>30225.0</v>
      </c>
      <c r="K172" s="5">
        <v>14907.0</v>
      </c>
      <c r="L172" s="4">
        <v>83.0</v>
      </c>
      <c r="M172" s="4" t="s">
        <v>1585</v>
      </c>
      <c r="N172" s="4" t="s">
        <v>1419</v>
      </c>
      <c r="O172" s="5">
        <v>34547.0</v>
      </c>
      <c r="P172" s="5">
        <v>38518.0</v>
      </c>
      <c r="Q172" s="4" t="s">
        <v>31</v>
      </c>
      <c r="R172" s="4" t="s">
        <v>32</v>
      </c>
      <c r="S172" s="6" t="s">
        <v>2134</v>
      </c>
      <c r="T172" s="4" t="s">
        <v>2135</v>
      </c>
      <c r="U172" s="4">
        <v>44.0</v>
      </c>
      <c r="V172" s="4" t="s">
        <v>1492</v>
      </c>
      <c r="W172" s="4">
        <v>28856.0</v>
      </c>
      <c r="X172" s="4" t="s">
        <v>58</v>
      </c>
      <c r="Y172" s="4" t="s">
        <v>59</v>
      </c>
      <c r="Z172" s="4" t="s">
        <v>1427</v>
      </c>
      <c r="AA172" s="4">
        <v>2004.0</v>
      </c>
      <c r="AB172" s="4" t="s">
        <v>2088</v>
      </c>
      <c r="AC172" s="5">
        <v>38054.0</v>
      </c>
      <c r="AD172" s="4" t="s">
        <v>1411</v>
      </c>
    </row>
    <row r="173">
      <c r="A173" s="4" t="s">
        <v>1465</v>
      </c>
      <c r="B173" s="4" t="s">
        <v>1413</v>
      </c>
      <c r="C173" s="4" t="s">
        <v>1414</v>
      </c>
      <c r="D173" s="4" t="s">
        <v>1415</v>
      </c>
      <c r="E173" s="4" t="s">
        <v>80</v>
      </c>
      <c r="F173" s="4" t="s">
        <v>2136</v>
      </c>
      <c r="G173" s="4" t="s">
        <v>2137</v>
      </c>
      <c r="H173" s="4" t="s">
        <v>2138</v>
      </c>
      <c r="I173" s="4" t="s">
        <v>2139</v>
      </c>
      <c r="J173" s="5">
        <v>36039.0</v>
      </c>
      <c r="K173" s="5">
        <v>17076.0</v>
      </c>
      <c r="L173" s="4">
        <v>77.0</v>
      </c>
      <c r="M173" s="4" t="s">
        <v>1407</v>
      </c>
      <c r="O173" s="5">
        <v>36526.0</v>
      </c>
      <c r="P173" s="5">
        <v>36891.0</v>
      </c>
      <c r="Q173" s="4" t="s">
        <v>66</v>
      </c>
      <c r="R173" s="4" t="s">
        <v>32</v>
      </c>
      <c r="S173" s="6" t="s">
        <v>2140</v>
      </c>
      <c r="T173" s="4" t="s">
        <v>2141</v>
      </c>
      <c r="U173" s="4">
        <v>6.0</v>
      </c>
      <c r="AD173" s="4" t="s">
        <v>1411</v>
      </c>
    </row>
    <row r="174">
      <c r="A174" s="4" t="s">
        <v>78</v>
      </c>
      <c r="B174" s="4" t="s">
        <v>1405</v>
      </c>
      <c r="C174" s="4" t="s">
        <v>317</v>
      </c>
      <c r="D174" s="4" t="s">
        <v>1406</v>
      </c>
      <c r="E174" s="4" t="s">
        <v>80</v>
      </c>
      <c r="F174" s="4" t="s">
        <v>747</v>
      </c>
      <c r="G174" s="4" t="s">
        <v>748</v>
      </c>
      <c r="H174" s="4" t="s">
        <v>749</v>
      </c>
      <c r="I174" s="4" t="s">
        <v>750</v>
      </c>
      <c r="J174" s="5">
        <v>39965.0</v>
      </c>
      <c r="K174" s="5">
        <v>28937.0</v>
      </c>
      <c r="L174" s="4">
        <v>44.0</v>
      </c>
      <c r="M174" s="4" t="s">
        <v>1425</v>
      </c>
      <c r="N174" s="4" t="s">
        <v>1419</v>
      </c>
      <c r="O174" s="5">
        <v>44927.0</v>
      </c>
      <c r="P174" s="5">
        <v>45291.0</v>
      </c>
      <c r="Q174" s="4" t="s">
        <v>66</v>
      </c>
      <c r="R174" s="4" t="s">
        <v>32</v>
      </c>
      <c r="S174" s="6" t="s">
        <v>2142</v>
      </c>
      <c r="T174" s="4" t="s">
        <v>751</v>
      </c>
      <c r="U174" s="4">
        <v>22.0</v>
      </c>
      <c r="V174" s="4" t="s">
        <v>34</v>
      </c>
      <c r="W174" s="4">
        <v>43301.0</v>
      </c>
      <c r="X174" s="4" t="s">
        <v>58</v>
      </c>
      <c r="Y174" s="4" t="s">
        <v>59</v>
      </c>
      <c r="Z174" s="4" t="s">
        <v>2143</v>
      </c>
      <c r="AA174" s="4">
        <v>2011.0</v>
      </c>
      <c r="AB174" s="4" t="s">
        <v>58</v>
      </c>
      <c r="AC174" s="5">
        <v>40669.0</v>
      </c>
      <c r="AD174" s="4" t="s">
        <v>1411</v>
      </c>
      <c r="AE174" s="5">
        <v>39940.0</v>
      </c>
    </row>
    <row r="175">
      <c r="A175" s="4" t="s">
        <v>1412</v>
      </c>
      <c r="B175" s="4" t="s">
        <v>1413</v>
      </c>
      <c r="C175" s="4" t="s">
        <v>1414</v>
      </c>
      <c r="D175" s="4" t="s">
        <v>1415</v>
      </c>
      <c r="E175" s="4" t="s">
        <v>26</v>
      </c>
      <c r="F175" s="4" t="s">
        <v>2144</v>
      </c>
      <c r="G175" s="4" t="s">
        <v>2145</v>
      </c>
      <c r="H175" s="4" t="s">
        <v>2146</v>
      </c>
      <c r="I175" s="4" t="s">
        <v>2147</v>
      </c>
      <c r="J175" s="5">
        <v>33909.0</v>
      </c>
      <c r="K175" s="5">
        <v>20272.0</v>
      </c>
      <c r="L175" s="4">
        <v>68.0</v>
      </c>
      <c r="M175" s="4" t="s">
        <v>1425</v>
      </c>
      <c r="O175" s="5">
        <v>35065.0</v>
      </c>
      <c r="P175" s="5">
        <v>35124.0</v>
      </c>
      <c r="Q175" s="4" t="s">
        <v>66</v>
      </c>
      <c r="R175" s="4" t="s">
        <v>32</v>
      </c>
      <c r="S175" s="6" t="s">
        <v>2148</v>
      </c>
      <c r="T175" s="4" t="s">
        <v>2149</v>
      </c>
      <c r="U175" s="4">
        <v>22.0</v>
      </c>
      <c r="Z175" s="4" t="s">
        <v>1427</v>
      </c>
      <c r="AA175" s="4">
        <v>1900.0</v>
      </c>
      <c r="AB175" s="4" t="s">
        <v>2088</v>
      </c>
      <c r="AC175" s="5">
        <v>1.0</v>
      </c>
      <c r="AD175" s="4" t="s">
        <v>1411</v>
      </c>
    </row>
    <row r="176">
      <c r="A176" s="4" t="s">
        <v>337</v>
      </c>
      <c r="B176" s="4" t="s">
        <v>1423</v>
      </c>
      <c r="C176" s="4" t="s">
        <v>109</v>
      </c>
      <c r="D176" s="4" t="s">
        <v>1424</v>
      </c>
      <c r="E176" s="4" t="s">
        <v>80</v>
      </c>
      <c r="F176" s="4" t="s">
        <v>2150</v>
      </c>
      <c r="G176" s="4" t="s">
        <v>818</v>
      </c>
      <c r="H176" s="4" t="s">
        <v>2151</v>
      </c>
      <c r="I176" s="4" t="s">
        <v>2152</v>
      </c>
      <c r="J176" s="5">
        <v>41275.0</v>
      </c>
      <c r="K176" s="5">
        <v>25568.0</v>
      </c>
      <c r="L176" s="4">
        <v>54.0</v>
      </c>
      <c r="M176" s="4" t="s">
        <v>1425</v>
      </c>
      <c r="N176" s="4" t="s">
        <v>1419</v>
      </c>
      <c r="O176" s="5">
        <v>44927.0</v>
      </c>
      <c r="P176" s="5">
        <v>45291.0</v>
      </c>
      <c r="Q176" s="4" t="s">
        <v>66</v>
      </c>
      <c r="R176" s="4" t="s">
        <v>32</v>
      </c>
      <c r="S176" s="6" t="s">
        <v>2153</v>
      </c>
      <c r="T176" s="4" t="s">
        <v>2154</v>
      </c>
      <c r="U176" s="4">
        <v>44.0</v>
      </c>
      <c r="V176" s="4" t="s">
        <v>34</v>
      </c>
      <c r="W176" s="4">
        <v>39993.0</v>
      </c>
      <c r="X176" s="4" t="s">
        <v>2155</v>
      </c>
      <c r="Y176" s="4" t="s">
        <v>89</v>
      </c>
      <c r="Z176" s="4" t="s">
        <v>2156</v>
      </c>
      <c r="AA176" s="4">
        <v>1995.0</v>
      </c>
      <c r="AB176" s="4" t="s">
        <v>1546</v>
      </c>
      <c r="AC176" s="5">
        <v>34999.0</v>
      </c>
      <c r="AD176" s="4" t="s">
        <v>1411</v>
      </c>
      <c r="AE176" s="5">
        <v>42385.0</v>
      </c>
    </row>
    <row r="177">
      <c r="A177" s="4" t="s">
        <v>1465</v>
      </c>
      <c r="B177" s="4" t="s">
        <v>1423</v>
      </c>
      <c r="C177" s="4" t="s">
        <v>109</v>
      </c>
      <c r="D177" s="4" t="s">
        <v>1424</v>
      </c>
      <c r="E177" s="4" t="s">
        <v>80</v>
      </c>
      <c r="F177" s="4" t="s">
        <v>2157</v>
      </c>
      <c r="G177" s="4" t="s">
        <v>2158</v>
      </c>
      <c r="H177" s="4" t="s">
        <v>2159</v>
      </c>
      <c r="I177" s="4" t="s">
        <v>2160</v>
      </c>
      <c r="J177" s="5">
        <v>33117.0</v>
      </c>
      <c r="K177" s="5">
        <v>17011.0</v>
      </c>
      <c r="L177" s="4">
        <v>77.0</v>
      </c>
      <c r="M177" s="4" t="s">
        <v>1585</v>
      </c>
      <c r="O177" s="5">
        <v>33420.0</v>
      </c>
      <c r="P177" s="5">
        <v>37907.0</v>
      </c>
      <c r="Q177" s="4" t="s">
        <v>31</v>
      </c>
      <c r="R177" s="4" t="s">
        <v>32</v>
      </c>
      <c r="S177" s="6" t="s">
        <v>2161</v>
      </c>
      <c r="T177" s="4" t="s">
        <v>2162</v>
      </c>
      <c r="U177" s="4">
        <v>6.0</v>
      </c>
      <c r="V177" s="4" t="s">
        <v>1492</v>
      </c>
      <c r="W177" s="4">
        <v>25897.0</v>
      </c>
      <c r="X177" s="4" t="s">
        <v>58</v>
      </c>
      <c r="Y177" s="4" t="s">
        <v>59</v>
      </c>
      <c r="AD177" s="4" t="s">
        <v>1411</v>
      </c>
    </row>
    <row r="178">
      <c r="A178" s="4" t="s">
        <v>1412</v>
      </c>
      <c r="B178" s="4" t="s">
        <v>1849</v>
      </c>
      <c r="C178" s="4" t="s">
        <v>1850</v>
      </c>
      <c r="D178" s="4" t="s">
        <v>1851</v>
      </c>
      <c r="E178" s="4" t="s">
        <v>80</v>
      </c>
      <c r="F178" s="4" t="s">
        <v>2157</v>
      </c>
      <c r="G178" s="4" t="s">
        <v>281</v>
      </c>
      <c r="H178" s="4" t="s">
        <v>2163</v>
      </c>
      <c r="I178" s="4" t="s">
        <v>2164</v>
      </c>
      <c r="J178" s="5">
        <v>39387.0</v>
      </c>
      <c r="K178" s="5">
        <v>30089.0</v>
      </c>
      <c r="L178" s="4">
        <v>41.0</v>
      </c>
      <c r="M178" s="4" t="s">
        <v>1425</v>
      </c>
      <c r="O178" s="5">
        <v>39448.0</v>
      </c>
      <c r="P178" s="5">
        <v>39538.0</v>
      </c>
      <c r="Q178" s="4" t="s">
        <v>66</v>
      </c>
      <c r="R178" s="4" t="s">
        <v>32</v>
      </c>
      <c r="S178" s="6" t="s">
        <v>2165</v>
      </c>
      <c r="T178" s="4" t="s">
        <v>2165</v>
      </c>
      <c r="U178" s="4">
        <v>2.0</v>
      </c>
      <c r="Z178" s="4" t="s">
        <v>2129</v>
      </c>
      <c r="AA178" s="4">
        <v>2007.0</v>
      </c>
      <c r="AB178" s="4" t="s">
        <v>58</v>
      </c>
      <c r="AC178" s="5">
        <v>39252.0</v>
      </c>
      <c r="AD178" s="4" t="s">
        <v>1411</v>
      </c>
      <c r="AE178" s="5">
        <v>39380.0</v>
      </c>
    </row>
    <row r="179">
      <c r="A179" s="4" t="s">
        <v>1465</v>
      </c>
      <c r="B179" s="4" t="s">
        <v>1423</v>
      </c>
      <c r="C179" s="4" t="s">
        <v>109</v>
      </c>
      <c r="D179" s="4" t="s">
        <v>1424</v>
      </c>
      <c r="E179" s="4" t="s">
        <v>26</v>
      </c>
      <c r="F179" s="4" t="s">
        <v>2157</v>
      </c>
      <c r="G179" s="4" t="s">
        <v>2166</v>
      </c>
      <c r="H179" s="4" t="s">
        <v>2167</v>
      </c>
      <c r="I179" s="4" t="s">
        <v>2168</v>
      </c>
      <c r="J179" s="5">
        <v>35004.0</v>
      </c>
      <c r="K179" s="5">
        <v>23067.0</v>
      </c>
      <c r="L179" s="4">
        <v>60.0</v>
      </c>
      <c r="M179" s="4" t="s">
        <v>1407</v>
      </c>
      <c r="N179" s="4" t="s">
        <v>1419</v>
      </c>
      <c r="O179" s="5">
        <v>37803.0</v>
      </c>
      <c r="P179" s="5">
        <v>37833.0</v>
      </c>
      <c r="Q179" s="4" t="s">
        <v>66</v>
      </c>
      <c r="R179" s="4" t="s">
        <v>32</v>
      </c>
      <c r="S179" s="6" t="s">
        <v>2169</v>
      </c>
      <c r="T179" s="4" t="s">
        <v>2170</v>
      </c>
      <c r="U179" s="4">
        <v>8.0</v>
      </c>
      <c r="V179" s="4" t="s">
        <v>106</v>
      </c>
      <c r="W179" s="4">
        <v>35443.0</v>
      </c>
      <c r="X179" s="4" t="s">
        <v>58</v>
      </c>
      <c r="Y179" s="4" t="s">
        <v>59</v>
      </c>
      <c r="Z179" s="4" t="s">
        <v>1563</v>
      </c>
      <c r="AA179" s="4">
        <v>1987.0</v>
      </c>
      <c r="AB179" s="4" t="s">
        <v>1564</v>
      </c>
      <c r="AC179" s="5">
        <v>31860.0</v>
      </c>
      <c r="AD179" s="4" t="s">
        <v>1411</v>
      </c>
    </row>
    <row r="180">
      <c r="A180" s="4" t="s">
        <v>1440</v>
      </c>
      <c r="B180" s="4" t="s">
        <v>1413</v>
      </c>
      <c r="C180" s="4" t="s">
        <v>1414</v>
      </c>
      <c r="D180" s="4" t="s">
        <v>1415</v>
      </c>
      <c r="E180" s="4" t="s">
        <v>26</v>
      </c>
      <c r="F180" s="4" t="s">
        <v>2171</v>
      </c>
      <c r="G180" s="4" t="s">
        <v>2172</v>
      </c>
      <c r="H180" s="4" t="s">
        <v>2173</v>
      </c>
      <c r="I180" s="4" t="s">
        <v>2174</v>
      </c>
      <c r="J180" s="5">
        <v>30803.0</v>
      </c>
      <c r="K180" s="5">
        <v>20687.0</v>
      </c>
      <c r="L180" s="4">
        <v>67.0</v>
      </c>
      <c r="M180" s="4" t="s">
        <v>1407</v>
      </c>
      <c r="O180" s="5">
        <v>34213.0</v>
      </c>
      <c r="P180" s="5">
        <v>38664.0</v>
      </c>
      <c r="Q180" s="4" t="s">
        <v>31</v>
      </c>
      <c r="R180" s="4" t="s">
        <v>32</v>
      </c>
      <c r="S180" s="6" t="s">
        <v>2175</v>
      </c>
      <c r="T180" s="4" t="s">
        <v>2176</v>
      </c>
      <c r="U180" s="4">
        <v>9.0</v>
      </c>
      <c r="V180" s="4" t="s">
        <v>1492</v>
      </c>
      <c r="W180" s="4">
        <v>30453.0</v>
      </c>
      <c r="X180" s="4" t="s">
        <v>58</v>
      </c>
      <c r="Y180" s="4" t="s">
        <v>59</v>
      </c>
      <c r="Z180" s="4" t="s">
        <v>1422</v>
      </c>
      <c r="AA180" s="4">
        <v>1900.0</v>
      </c>
      <c r="AB180" s="4" t="s">
        <v>58</v>
      </c>
      <c r="AC180" s="5">
        <v>1.0</v>
      </c>
      <c r="AD180" s="4" t="s">
        <v>1411</v>
      </c>
    </row>
    <row r="181">
      <c r="A181" s="4" t="s">
        <v>337</v>
      </c>
      <c r="B181" s="4" t="s">
        <v>1540</v>
      </c>
      <c r="C181" s="4" t="s">
        <v>99</v>
      </c>
      <c r="D181" s="4" t="s">
        <v>1541</v>
      </c>
      <c r="E181" s="4" t="s">
        <v>80</v>
      </c>
      <c r="F181" s="4" t="s">
        <v>897</v>
      </c>
      <c r="G181" s="4" t="s">
        <v>898</v>
      </c>
      <c r="H181" s="4" t="s">
        <v>899</v>
      </c>
      <c r="I181" s="4" t="s">
        <v>900</v>
      </c>
      <c r="J181" s="5">
        <v>41862.0</v>
      </c>
      <c r="K181" s="5">
        <v>27520.0</v>
      </c>
      <c r="L181" s="4">
        <v>48.0</v>
      </c>
      <c r="M181" s="4" t="s">
        <v>1524</v>
      </c>
      <c r="O181" s="5">
        <v>44683.0</v>
      </c>
      <c r="P181" s="5">
        <v>73050.0</v>
      </c>
      <c r="Q181" s="4" t="s">
        <v>31</v>
      </c>
      <c r="R181" s="4" t="s">
        <v>32</v>
      </c>
      <c r="S181" s="6" t="s">
        <v>2177</v>
      </c>
      <c r="T181" s="4" t="s">
        <v>901</v>
      </c>
      <c r="U181" s="4">
        <v>44.0</v>
      </c>
      <c r="V181" s="4" t="s">
        <v>34</v>
      </c>
      <c r="W181" s="4">
        <v>27520.0</v>
      </c>
      <c r="X181" s="4" t="s">
        <v>903</v>
      </c>
      <c r="Y181" s="4" t="s">
        <v>89</v>
      </c>
      <c r="Z181" s="4" t="s">
        <v>1519</v>
      </c>
      <c r="AA181" s="4">
        <v>1998.0</v>
      </c>
      <c r="AB181" s="4" t="s">
        <v>383</v>
      </c>
      <c r="AC181" s="5">
        <v>35902.0</v>
      </c>
      <c r="AD181" s="4" t="s">
        <v>1411</v>
      </c>
      <c r="AE181" s="5">
        <v>43411.0</v>
      </c>
    </row>
    <row r="182">
      <c r="A182" s="4" t="s">
        <v>1465</v>
      </c>
      <c r="B182" s="4" t="s">
        <v>1423</v>
      </c>
      <c r="C182" s="4" t="s">
        <v>109</v>
      </c>
      <c r="D182" s="4" t="s">
        <v>1424</v>
      </c>
      <c r="E182" s="4" t="s">
        <v>26</v>
      </c>
      <c r="F182" s="4" t="s">
        <v>1140</v>
      </c>
      <c r="G182" s="4" t="s">
        <v>785</v>
      </c>
      <c r="H182" s="4" t="s">
        <v>2178</v>
      </c>
      <c r="I182" s="4" t="s">
        <v>2179</v>
      </c>
      <c r="J182" s="5">
        <v>31472.0</v>
      </c>
      <c r="K182" s="5">
        <v>15785.0</v>
      </c>
      <c r="L182" s="4">
        <v>80.0</v>
      </c>
      <c r="M182" s="4" t="s">
        <v>1407</v>
      </c>
      <c r="O182" s="5">
        <v>33420.0</v>
      </c>
      <c r="P182" s="5">
        <v>37833.0</v>
      </c>
      <c r="Q182" s="4" t="s">
        <v>31</v>
      </c>
      <c r="R182" s="4" t="s">
        <v>32</v>
      </c>
      <c r="S182" s="6" t="s">
        <v>2180</v>
      </c>
      <c r="T182" s="4" t="s">
        <v>2181</v>
      </c>
      <c r="U182" s="4">
        <v>6.0</v>
      </c>
      <c r="V182" s="4" t="s">
        <v>1492</v>
      </c>
      <c r="W182" s="4">
        <v>26911.0</v>
      </c>
      <c r="X182" s="4" t="s">
        <v>58</v>
      </c>
      <c r="Y182" s="4" t="s">
        <v>59</v>
      </c>
      <c r="AD182" s="4" t="s">
        <v>1411</v>
      </c>
    </row>
    <row r="183">
      <c r="A183" s="4" t="s">
        <v>60</v>
      </c>
      <c r="B183" s="4" t="s">
        <v>1405</v>
      </c>
      <c r="C183" s="4" t="s">
        <v>317</v>
      </c>
      <c r="D183" s="4" t="s">
        <v>1406</v>
      </c>
      <c r="E183" s="4" t="s">
        <v>26</v>
      </c>
      <c r="F183" s="4" t="s">
        <v>1140</v>
      </c>
      <c r="G183" s="4" t="s">
        <v>1034</v>
      </c>
      <c r="H183" s="4" t="s">
        <v>1141</v>
      </c>
      <c r="I183" s="4" t="s">
        <v>1142</v>
      </c>
      <c r="J183" s="5">
        <v>43647.0</v>
      </c>
      <c r="K183" s="5">
        <v>27510.0</v>
      </c>
      <c r="L183" s="4">
        <v>48.0</v>
      </c>
      <c r="M183" s="4" t="s">
        <v>1407</v>
      </c>
      <c r="O183" s="5">
        <v>44927.0</v>
      </c>
      <c r="P183" s="5">
        <v>45291.0</v>
      </c>
      <c r="Q183" s="4" t="s">
        <v>66</v>
      </c>
      <c r="R183" s="4" t="s">
        <v>32</v>
      </c>
      <c r="S183" s="6" t="s">
        <v>2182</v>
      </c>
      <c r="T183" s="4" t="s">
        <v>1143</v>
      </c>
      <c r="U183" s="4">
        <v>12.0</v>
      </c>
      <c r="V183" s="4" t="s">
        <v>34</v>
      </c>
      <c r="W183" s="4">
        <v>41289.0</v>
      </c>
      <c r="X183" s="4" t="s">
        <v>58</v>
      </c>
      <c r="Y183" s="4" t="s">
        <v>59</v>
      </c>
      <c r="Z183" s="4" t="s">
        <v>1510</v>
      </c>
      <c r="AA183" s="4">
        <v>2001.0</v>
      </c>
      <c r="AB183" s="4" t="s">
        <v>2183</v>
      </c>
      <c r="AC183" s="5">
        <v>36962.0</v>
      </c>
      <c r="AD183" s="4" t="s">
        <v>1411</v>
      </c>
      <c r="AE183" s="5">
        <v>43635.0</v>
      </c>
    </row>
    <row r="184">
      <c r="A184" s="4" t="s">
        <v>1412</v>
      </c>
      <c r="B184" s="4" t="s">
        <v>1423</v>
      </c>
      <c r="C184" s="4" t="s">
        <v>109</v>
      </c>
      <c r="D184" s="4" t="s">
        <v>1424</v>
      </c>
      <c r="E184" s="4" t="s">
        <v>80</v>
      </c>
      <c r="F184" s="4" t="s">
        <v>1140</v>
      </c>
      <c r="G184" s="4" t="s">
        <v>2184</v>
      </c>
      <c r="H184" s="4" t="s">
        <v>2185</v>
      </c>
      <c r="I184" s="4" t="s">
        <v>2186</v>
      </c>
      <c r="J184" s="5">
        <v>27729.0</v>
      </c>
      <c r="K184" s="5">
        <v>17119.0</v>
      </c>
      <c r="L184" s="4">
        <v>77.0</v>
      </c>
      <c r="M184" s="4" t="s">
        <v>1407</v>
      </c>
      <c r="O184" s="5">
        <v>33939.0</v>
      </c>
      <c r="P184" s="5">
        <v>40774.0</v>
      </c>
      <c r="Q184" s="4" t="s">
        <v>31</v>
      </c>
      <c r="R184" s="4" t="s">
        <v>32</v>
      </c>
      <c r="S184" s="6" t="s">
        <v>2187</v>
      </c>
      <c r="T184" s="4" t="s">
        <v>2188</v>
      </c>
      <c r="U184" s="4">
        <v>44.0</v>
      </c>
      <c r="V184" s="4" t="s">
        <v>1492</v>
      </c>
      <c r="W184" s="4">
        <v>27525.0</v>
      </c>
      <c r="X184" s="4" t="s">
        <v>58</v>
      </c>
      <c r="Y184" s="4" t="s">
        <v>59</v>
      </c>
      <c r="Z184" s="4" t="s">
        <v>1510</v>
      </c>
      <c r="AA184" s="4">
        <v>1971.0</v>
      </c>
      <c r="AB184" s="4" t="s">
        <v>58</v>
      </c>
      <c r="AC184" s="5">
        <v>26034.0</v>
      </c>
      <c r="AD184" s="4" t="s">
        <v>1411</v>
      </c>
      <c r="AE184" s="5">
        <v>31236.0</v>
      </c>
    </row>
    <row r="185">
      <c r="A185" s="4" t="s">
        <v>39</v>
      </c>
      <c r="B185" s="4" t="s">
        <v>1405</v>
      </c>
      <c r="C185" s="4" t="s">
        <v>317</v>
      </c>
      <c r="D185" s="4" t="s">
        <v>1406</v>
      </c>
      <c r="E185" s="4" t="s">
        <v>80</v>
      </c>
      <c r="F185" s="4" t="s">
        <v>1046</v>
      </c>
      <c r="G185" s="4" t="s">
        <v>1047</v>
      </c>
      <c r="H185" s="4" t="s">
        <v>1048</v>
      </c>
      <c r="I185" s="4" t="s">
        <v>1049</v>
      </c>
      <c r="J185" s="5">
        <v>42917.0</v>
      </c>
      <c r="K185" s="5">
        <v>21950.0</v>
      </c>
      <c r="L185" s="4">
        <v>63.0</v>
      </c>
      <c r="M185" s="4" t="s">
        <v>1407</v>
      </c>
      <c r="O185" s="5">
        <v>44927.0</v>
      </c>
      <c r="P185" s="5">
        <v>45291.0</v>
      </c>
      <c r="Q185" s="4" t="s">
        <v>66</v>
      </c>
      <c r="R185" s="4" t="s">
        <v>32</v>
      </c>
      <c r="S185" s="6" t="s">
        <v>2189</v>
      </c>
      <c r="T185" s="4" t="s">
        <v>1050</v>
      </c>
      <c r="U185" s="4">
        <v>22.0</v>
      </c>
      <c r="V185" s="4" t="s">
        <v>34</v>
      </c>
      <c r="W185" s="4">
        <v>42677.0</v>
      </c>
      <c r="X185" s="4" t="s">
        <v>383</v>
      </c>
      <c r="Y185" s="4" t="s">
        <v>59</v>
      </c>
      <c r="Z185" s="4" t="s">
        <v>1905</v>
      </c>
      <c r="AA185" s="4">
        <v>1985.0</v>
      </c>
      <c r="AB185" s="4" t="s">
        <v>287</v>
      </c>
      <c r="AC185" s="5">
        <v>31140.0</v>
      </c>
      <c r="AD185" s="4" t="s">
        <v>1411</v>
      </c>
      <c r="AE185" s="5">
        <v>42908.0</v>
      </c>
    </row>
    <row r="186">
      <c r="A186" s="4" t="s">
        <v>1440</v>
      </c>
      <c r="B186" s="4" t="s">
        <v>1423</v>
      </c>
      <c r="C186" s="4" t="s">
        <v>109</v>
      </c>
      <c r="D186" s="4" t="s">
        <v>1424</v>
      </c>
      <c r="E186" s="4" t="s">
        <v>26</v>
      </c>
      <c r="F186" s="4" t="s">
        <v>535</v>
      </c>
      <c r="G186" s="4" t="s">
        <v>879</v>
      </c>
      <c r="H186" s="4" t="s">
        <v>2190</v>
      </c>
      <c r="I186" s="4" t="s">
        <v>2191</v>
      </c>
      <c r="J186" s="5">
        <v>24532.0</v>
      </c>
      <c r="K186" s="5">
        <v>16363.0</v>
      </c>
      <c r="L186" s="4">
        <v>79.0</v>
      </c>
      <c r="M186" s="4" t="s">
        <v>1453</v>
      </c>
      <c r="O186" s="5">
        <v>38718.0</v>
      </c>
      <c r="P186" s="5">
        <v>38807.0</v>
      </c>
      <c r="Q186" s="4" t="s">
        <v>66</v>
      </c>
      <c r="R186" s="4" t="s">
        <v>32</v>
      </c>
      <c r="S186" s="6" t="s">
        <v>2192</v>
      </c>
      <c r="T186" s="4" t="s">
        <v>2193</v>
      </c>
      <c r="U186" s="4">
        <v>3.0</v>
      </c>
      <c r="V186" s="4" t="s">
        <v>55</v>
      </c>
      <c r="W186" s="4">
        <v>25134.0</v>
      </c>
      <c r="X186" s="4" t="s">
        <v>58</v>
      </c>
      <c r="Y186" s="4" t="s">
        <v>59</v>
      </c>
      <c r="Z186" s="4" t="s">
        <v>1597</v>
      </c>
      <c r="AA186" s="4">
        <v>1968.0</v>
      </c>
      <c r="AB186" s="4" t="s">
        <v>58</v>
      </c>
      <c r="AC186" s="5">
        <v>25134.0</v>
      </c>
      <c r="AD186" s="4" t="s">
        <v>1411</v>
      </c>
    </row>
    <row r="187">
      <c r="A187" s="4" t="s">
        <v>60</v>
      </c>
      <c r="B187" s="4" t="s">
        <v>1405</v>
      </c>
      <c r="C187" s="4" t="s">
        <v>317</v>
      </c>
      <c r="D187" s="4" t="s">
        <v>1406</v>
      </c>
      <c r="E187" s="4" t="s">
        <v>26</v>
      </c>
      <c r="F187" s="4" t="s">
        <v>535</v>
      </c>
      <c r="G187" s="4" t="s">
        <v>219</v>
      </c>
      <c r="H187" s="4" t="s">
        <v>536</v>
      </c>
      <c r="I187" s="4" t="s">
        <v>537</v>
      </c>
      <c r="J187" s="5">
        <v>38838.0</v>
      </c>
      <c r="K187" s="5">
        <v>27309.0</v>
      </c>
      <c r="L187" s="4">
        <v>49.0</v>
      </c>
      <c r="M187" s="4" t="s">
        <v>1407</v>
      </c>
      <c r="O187" s="5">
        <v>44927.0</v>
      </c>
      <c r="P187" s="5">
        <v>45291.0</v>
      </c>
      <c r="Q187" s="4" t="s">
        <v>66</v>
      </c>
      <c r="R187" s="4" t="s">
        <v>32</v>
      </c>
      <c r="S187" s="6" t="s">
        <v>2194</v>
      </c>
      <c r="T187" s="4" t="s">
        <v>538</v>
      </c>
      <c r="U187" s="4">
        <v>22.0</v>
      </c>
      <c r="V187" s="4" t="s">
        <v>34</v>
      </c>
      <c r="W187" s="4">
        <v>43461.0</v>
      </c>
      <c r="X187" s="4" t="s">
        <v>58</v>
      </c>
      <c r="Y187" s="4" t="s">
        <v>59</v>
      </c>
      <c r="Z187" s="4" t="s">
        <v>1427</v>
      </c>
      <c r="AA187" s="4">
        <v>1998.0</v>
      </c>
      <c r="AB187" s="4" t="s">
        <v>58</v>
      </c>
      <c r="AC187" s="5">
        <v>35976.0</v>
      </c>
      <c r="AD187" s="4" t="s">
        <v>1411</v>
      </c>
      <c r="AE187" s="5">
        <v>44328.0</v>
      </c>
    </row>
    <row r="188">
      <c r="A188" s="4" t="s">
        <v>1684</v>
      </c>
      <c r="B188" s="4" t="s">
        <v>1405</v>
      </c>
      <c r="C188" s="4" t="s">
        <v>317</v>
      </c>
      <c r="D188" s="4" t="s">
        <v>1406</v>
      </c>
      <c r="E188" s="4" t="s">
        <v>80</v>
      </c>
      <c r="F188" s="4" t="s">
        <v>2195</v>
      </c>
      <c r="G188" s="4" t="s">
        <v>2196</v>
      </c>
      <c r="H188" s="4" t="s">
        <v>2197</v>
      </c>
      <c r="I188" s="4" t="s">
        <v>2198</v>
      </c>
      <c r="J188" s="5">
        <v>38899.0</v>
      </c>
      <c r="K188" s="5">
        <v>26935.0</v>
      </c>
      <c r="L188" s="4">
        <v>50.0</v>
      </c>
      <c r="M188" s="4" t="s">
        <v>1524</v>
      </c>
      <c r="O188" s="5">
        <v>39083.0</v>
      </c>
      <c r="P188" s="5">
        <v>39294.0</v>
      </c>
      <c r="Q188" s="4" t="s">
        <v>66</v>
      </c>
      <c r="R188" s="4" t="s">
        <v>32</v>
      </c>
      <c r="S188" s="6" t="s">
        <v>2199</v>
      </c>
      <c r="T188" s="4" t="s">
        <v>2200</v>
      </c>
      <c r="U188" s="4">
        <v>12.0</v>
      </c>
      <c r="Z188" s="4" t="s">
        <v>2201</v>
      </c>
      <c r="AA188" s="4">
        <v>2000.0</v>
      </c>
      <c r="AB188" s="4" t="s">
        <v>2202</v>
      </c>
      <c r="AC188" s="5">
        <v>36627.0</v>
      </c>
      <c r="AD188" s="4" t="s">
        <v>1411</v>
      </c>
      <c r="AE188" s="5">
        <v>38883.0</v>
      </c>
    </row>
    <row r="189">
      <c r="A189" s="4" t="s">
        <v>24</v>
      </c>
      <c r="B189" s="4" t="s">
        <v>1473</v>
      </c>
      <c r="C189" s="4" t="s">
        <v>25</v>
      </c>
      <c r="D189" s="4" t="s">
        <v>1474</v>
      </c>
      <c r="E189" s="4" t="s">
        <v>26</v>
      </c>
      <c r="F189" s="4" t="s">
        <v>27</v>
      </c>
      <c r="G189" s="4" t="s">
        <v>28</v>
      </c>
      <c r="H189" s="4" t="s">
        <v>29</v>
      </c>
      <c r="I189" s="4" t="s">
        <v>30</v>
      </c>
      <c r="J189" s="5">
        <v>24198.0</v>
      </c>
      <c r="K189" s="5">
        <v>15849.0</v>
      </c>
      <c r="L189" s="4">
        <v>80.0</v>
      </c>
      <c r="M189" s="4" t="s">
        <v>1425</v>
      </c>
      <c r="N189" s="4" t="s">
        <v>1419</v>
      </c>
      <c r="O189" s="5">
        <v>42186.0</v>
      </c>
      <c r="P189" s="5">
        <v>73050.0</v>
      </c>
      <c r="Q189" s="4" t="s">
        <v>31</v>
      </c>
      <c r="R189" s="4" t="s">
        <v>32</v>
      </c>
      <c r="S189" s="6" t="s">
        <v>2203</v>
      </c>
      <c r="T189" s="4" t="s">
        <v>33</v>
      </c>
      <c r="U189" s="4">
        <v>44.0</v>
      </c>
      <c r="V189" s="4" t="s">
        <v>34</v>
      </c>
      <c r="W189" s="4">
        <v>25860.0</v>
      </c>
      <c r="X189" s="4" t="s">
        <v>37</v>
      </c>
      <c r="Y189" s="4" t="s">
        <v>38</v>
      </c>
      <c r="Z189" s="4" t="s">
        <v>1422</v>
      </c>
      <c r="AA189" s="4">
        <v>1967.0</v>
      </c>
      <c r="AB189" s="4" t="s">
        <v>661</v>
      </c>
      <c r="AC189" s="5">
        <v>24772.0</v>
      </c>
      <c r="AD189" s="4" t="s">
        <v>1411</v>
      </c>
      <c r="AE189" s="5">
        <v>34409.0</v>
      </c>
    </row>
    <row r="190">
      <c r="A190" s="4" t="s">
        <v>1465</v>
      </c>
      <c r="B190" s="4" t="s">
        <v>1447</v>
      </c>
      <c r="C190" s="4" t="s">
        <v>40</v>
      </c>
      <c r="D190" s="4" t="s">
        <v>1448</v>
      </c>
      <c r="E190" s="4" t="s">
        <v>26</v>
      </c>
      <c r="F190" s="4" t="s">
        <v>2204</v>
      </c>
      <c r="G190" s="4" t="s">
        <v>205</v>
      </c>
      <c r="H190" s="4" t="s">
        <v>2205</v>
      </c>
      <c r="I190" s="4" t="s">
        <v>2206</v>
      </c>
      <c r="J190" s="5">
        <v>37591.0</v>
      </c>
      <c r="K190" s="5">
        <v>16833.0</v>
      </c>
      <c r="L190" s="4">
        <v>77.0</v>
      </c>
      <c r="M190" s="4" t="s">
        <v>1407</v>
      </c>
      <c r="O190" s="5">
        <v>37803.0</v>
      </c>
      <c r="P190" s="5">
        <v>37833.0</v>
      </c>
      <c r="Q190" s="4" t="s">
        <v>66</v>
      </c>
      <c r="R190" s="4" t="s">
        <v>32</v>
      </c>
      <c r="S190" s="6" t="s">
        <v>2207</v>
      </c>
      <c r="T190" s="4" t="s">
        <v>2208</v>
      </c>
      <c r="U190" s="4">
        <v>21.0</v>
      </c>
      <c r="V190" s="4" t="s">
        <v>1492</v>
      </c>
      <c r="W190" s="4">
        <v>30316.0</v>
      </c>
      <c r="X190" s="4" t="s">
        <v>58</v>
      </c>
      <c r="Y190" s="4" t="s">
        <v>59</v>
      </c>
      <c r="Z190" s="4" t="s">
        <v>2209</v>
      </c>
      <c r="AA190" s="4">
        <v>1998.0</v>
      </c>
      <c r="AB190" s="4" t="s">
        <v>438</v>
      </c>
      <c r="AC190" s="5">
        <v>36087.0</v>
      </c>
      <c r="AD190" s="4" t="s">
        <v>1411</v>
      </c>
    </row>
    <row r="191">
      <c r="A191" s="4" t="s">
        <v>60</v>
      </c>
      <c r="B191" s="4" t="s">
        <v>1447</v>
      </c>
      <c r="C191" s="4" t="s">
        <v>40</v>
      </c>
      <c r="D191" s="4" t="s">
        <v>1448</v>
      </c>
      <c r="E191" s="4" t="s">
        <v>80</v>
      </c>
      <c r="F191" s="4" t="s">
        <v>2210</v>
      </c>
      <c r="G191" s="4" t="s">
        <v>2211</v>
      </c>
      <c r="H191" s="4" t="s">
        <v>2212</v>
      </c>
      <c r="I191" s="4" t="s">
        <v>2213</v>
      </c>
      <c r="J191" s="5">
        <v>24532.0</v>
      </c>
      <c r="K191" s="5">
        <v>15663.0</v>
      </c>
      <c r="L191" s="4">
        <v>81.0</v>
      </c>
      <c r="M191" s="4" t="s">
        <v>1407</v>
      </c>
      <c r="O191" s="5">
        <v>42186.0</v>
      </c>
      <c r="P191" s="5">
        <v>43190.0</v>
      </c>
      <c r="Q191" s="4" t="s">
        <v>31</v>
      </c>
      <c r="R191" s="4" t="s">
        <v>32</v>
      </c>
      <c r="S191" s="6" t="s">
        <v>2214</v>
      </c>
      <c r="T191" s="4" t="s">
        <v>2215</v>
      </c>
      <c r="U191" s="4">
        <v>12.0</v>
      </c>
      <c r="Z191" s="4" t="s">
        <v>1427</v>
      </c>
      <c r="AA191" s="4">
        <v>1966.0</v>
      </c>
      <c r="AB191" s="4" t="s">
        <v>58</v>
      </c>
      <c r="AC191" s="5">
        <v>24420.0</v>
      </c>
      <c r="AD191" s="4" t="s">
        <v>1411</v>
      </c>
      <c r="AE191" s="5">
        <v>40185.0</v>
      </c>
    </row>
    <row r="192">
      <c r="A192" s="4" t="s">
        <v>78</v>
      </c>
      <c r="B192" s="4" t="s">
        <v>1423</v>
      </c>
      <c r="C192" s="4" t="s">
        <v>109</v>
      </c>
      <c r="D192" s="4" t="s">
        <v>1424</v>
      </c>
      <c r="E192" s="4" t="s">
        <v>26</v>
      </c>
      <c r="F192" s="4" t="s">
        <v>866</v>
      </c>
      <c r="G192" s="4" t="s">
        <v>867</v>
      </c>
      <c r="H192" s="4" t="s">
        <v>868</v>
      </c>
      <c r="I192" s="4" t="s">
        <v>869</v>
      </c>
      <c r="J192" s="5">
        <v>41275.0</v>
      </c>
      <c r="K192" s="5">
        <v>26570.0</v>
      </c>
      <c r="L192" s="4">
        <v>51.0</v>
      </c>
      <c r="M192" s="4" t="s">
        <v>1425</v>
      </c>
      <c r="O192" s="5">
        <v>44927.0</v>
      </c>
      <c r="P192" s="5">
        <v>45291.0</v>
      </c>
      <c r="Q192" s="4" t="s">
        <v>66</v>
      </c>
      <c r="R192" s="4" t="s">
        <v>32</v>
      </c>
      <c r="S192" s="6" t="s">
        <v>2216</v>
      </c>
      <c r="T192" s="4" t="s">
        <v>870</v>
      </c>
      <c r="U192" s="4">
        <v>44.0</v>
      </c>
      <c r="V192" s="4" t="s">
        <v>34</v>
      </c>
      <c r="W192" s="4">
        <v>40129.0</v>
      </c>
      <c r="X192" s="4" t="s">
        <v>872</v>
      </c>
      <c r="Y192" s="4" t="s">
        <v>1562</v>
      </c>
      <c r="Z192" s="4" t="s">
        <v>1433</v>
      </c>
      <c r="AA192" s="4">
        <v>1998.0</v>
      </c>
      <c r="AB192" s="4" t="s">
        <v>58</v>
      </c>
      <c r="AC192" s="5">
        <v>36007.0</v>
      </c>
      <c r="AD192" s="4" t="s">
        <v>1411</v>
      </c>
      <c r="AE192" s="5">
        <v>41228.0</v>
      </c>
    </row>
    <row r="193">
      <c r="A193" s="4" t="s">
        <v>78</v>
      </c>
      <c r="B193" s="4" t="s">
        <v>1540</v>
      </c>
      <c r="C193" s="4" t="s">
        <v>99</v>
      </c>
      <c r="D193" s="4" t="s">
        <v>1541</v>
      </c>
      <c r="E193" s="4" t="s">
        <v>26</v>
      </c>
      <c r="F193" s="4" t="s">
        <v>301</v>
      </c>
      <c r="G193" s="4" t="s">
        <v>302</v>
      </c>
      <c r="H193" s="4" t="s">
        <v>303</v>
      </c>
      <c r="I193" s="4" t="s">
        <v>304</v>
      </c>
      <c r="J193" s="5">
        <v>36008.0</v>
      </c>
      <c r="K193" s="5">
        <v>26371.0</v>
      </c>
      <c r="L193" s="4">
        <v>51.0</v>
      </c>
      <c r="M193" s="4" t="s">
        <v>1425</v>
      </c>
      <c r="O193" s="5">
        <v>43405.0</v>
      </c>
      <c r="P193" s="5">
        <v>73050.0</v>
      </c>
      <c r="Q193" s="4" t="s">
        <v>31</v>
      </c>
      <c r="R193" s="4" t="s">
        <v>32</v>
      </c>
      <c r="S193" s="6" t="s">
        <v>2217</v>
      </c>
      <c r="T193" s="4" t="s">
        <v>305</v>
      </c>
      <c r="U193" s="4">
        <v>44.0</v>
      </c>
      <c r="V193" s="4" t="s">
        <v>34</v>
      </c>
      <c r="W193" s="4">
        <v>39353.0</v>
      </c>
      <c r="X193" s="4" t="s">
        <v>308</v>
      </c>
      <c r="Y193" s="4" t="s">
        <v>89</v>
      </c>
      <c r="Z193" s="4" t="s">
        <v>1544</v>
      </c>
      <c r="AA193" s="4">
        <v>998.0</v>
      </c>
      <c r="AB193" s="4" t="s">
        <v>58</v>
      </c>
      <c r="AC193" s="5" t="s">
        <v>2218</v>
      </c>
      <c r="AD193" s="4" t="s">
        <v>1411</v>
      </c>
      <c r="AE193" s="5">
        <v>42382.0</v>
      </c>
    </row>
    <row r="194">
      <c r="A194" s="4" t="s">
        <v>1412</v>
      </c>
      <c r="B194" s="4" t="s">
        <v>1423</v>
      </c>
      <c r="C194" s="4" t="s">
        <v>109</v>
      </c>
      <c r="D194" s="4" t="s">
        <v>1424</v>
      </c>
      <c r="E194" s="4" t="s">
        <v>80</v>
      </c>
      <c r="F194" s="4" t="s">
        <v>310</v>
      </c>
      <c r="G194" s="4" t="s">
        <v>2219</v>
      </c>
      <c r="H194" s="4" t="s">
        <v>2220</v>
      </c>
      <c r="I194" s="4" t="s">
        <v>2221</v>
      </c>
      <c r="J194" s="5">
        <v>23863.0</v>
      </c>
      <c r="K194" s="5">
        <v>14188.0</v>
      </c>
      <c r="L194" s="4">
        <v>85.0</v>
      </c>
      <c r="M194" s="4" t="s">
        <v>1407</v>
      </c>
      <c r="O194" s="5">
        <v>31625.0</v>
      </c>
      <c r="P194" s="5">
        <v>34543.0</v>
      </c>
      <c r="Q194" s="4" t="s">
        <v>31</v>
      </c>
      <c r="R194" s="4" t="s">
        <v>32</v>
      </c>
      <c r="S194" s="6" t="s">
        <v>2222</v>
      </c>
      <c r="T194" s="4" t="s">
        <v>2223</v>
      </c>
      <c r="U194" s="4">
        <v>44.0</v>
      </c>
      <c r="AD194" s="4" t="s">
        <v>1411</v>
      </c>
    </row>
    <row r="195">
      <c r="A195" s="4" t="s">
        <v>1434</v>
      </c>
      <c r="B195" s="4" t="s">
        <v>1423</v>
      </c>
      <c r="C195" s="4" t="s">
        <v>109</v>
      </c>
      <c r="D195" s="4" t="s">
        <v>1424</v>
      </c>
      <c r="E195" s="4" t="s">
        <v>26</v>
      </c>
      <c r="F195" s="4" t="s">
        <v>310</v>
      </c>
      <c r="G195" s="4" t="s">
        <v>535</v>
      </c>
      <c r="H195" s="4" t="s">
        <v>2224</v>
      </c>
      <c r="I195" s="4" t="s">
        <v>2225</v>
      </c>
      <c r="J195" s="5">
        <v>41277.0</v>
      </c>
      <c r="K195" s="5">
        <v>30178.0</v>
      </c>
      <c r="L195" s="4">
        <v>41.0</v>
      </c>
      <c r="M195" s="4" t="s">
        <v>1407</v>
      </c>
      <c r="O195" s="5">
        <v>42370.0</v>
      </c>
      <c r="P195" s="5">
        <v>42735.0</v>
      </c>
      <c r="Q195" s="4" t="s">
        <v>104</v>
      </c>
      <c r="R195" s="4" t="s">
        <v>32</v>
      </c>
      <c r="S195" s="6" t="s">
        <v>2226</v>
      </c>
      <c r="T195" s="4" t="s">
        <v>2227</v>
      </c>
      <c r="U195" s="4">
        <v>6.0</v>
      </c>
      <c r="V195" s="4" t="s">
        <v>34</v>
      </c>
      <c r="W195" s="4">
        <v>41214.0</v>
      </c>
      <c r="X195" s="4" t="s">
        <v>2228</v>
      </c>
      <c r="Y195" s="4" t="s">
        <v>2229</v>
      </c>
      <c r="Z195" s="4" t="s">
        <v>1433</v>
      </c>
      <c r="AA195" s="4">
        <v>2007.0</v>
      </c>
      <c r="AB195" s="4" t="s">
        <v>58</v>
      </c>
      <c r="AC195" s="5">
        <v>39374.0</v>
      </c>
      <c r="AD195" s="4" t="s">
        <v>1411</v>
      </c>
      <c r="AE195" s="5">
        <v>41907.0</v>
      </c>
    </row>
    <row r="196">
      <c r="A196" s="4" t="s">
        <v>60</v>
      </c>
      <c r="B196" s="4" t="s">
        <v>1405</v>
      </c>
      <c r="C196" s="4" t="s">
        <v>317</v>
      </c>
      <c r="D196" s="4" t="s">
        <v>1406</v>
      </c>
      <c r="E196" s="4" t="s">
        <v>26</v>
      </c>
      <c r="F196" s="4" t="s">
        <v>310</v>
      </c>
      <c r="G196" s="4" t="s">
        <v>498</v>
      </c>
      <c r="H196" s="4" t="s">
        <v>675</v>
      </c>
      <c r="I196" s="4" t="s">
        <v>676</v>
      </c>
      <c r="J196" s="5">
        <v>39356.0</v>
      </c>
      <c r="K196" s="5">
        <v>28078.0</v>
      </c>
      <c r="L196" s="4">
        <v>47.0</v>
      </c>
      <c r="M196" s="4" t="s">
        <v>1425</v>
      </c>
      <c r="O196" s="5">
        <v>44927.0</v>
      </c>
      <c r="P196" s="5">
        <v>45291.0</v>
      </c>
      <c r="Q196" s="4" t="s">
        <v>66</v>
      </c>
      <c r="R196" s="4" t="s">
        <v>32</v>
      </c>
      <c r="S196" s="6" t="s">
        <v>2230</v>
      </c>
      <c r="T196" s="4" t="s">
        <v>677</v>
      </c>
      <c r="U196" s="4">
        <v>22.0</v>
      </c>
      <c r="V196" s="4" t="s">
        <v>34</v>
      </c>
      <c r="W196" s="4">
        <v>42706.0</v>
      </c>
      <c r="X196" s="4" t="s">
        <v>58</v>
      </c>
      <c r="Y196" s="4" t="s">
        <v>59</v>
      </c>
      <c r="AD196" s="4" t="s">
        <v>1411</v>
      </c>
      <c r="AE196" s="5">
        <v>44700.0</v>
      </c>
    </row>
    <row r="197">
      <c r="A197" s="4" t="s">
        <v>39</v>
      </c>
      <c r="B197" s="4" t="s">
        <v>1405</v>
      </c>
      <c r="C197" s="4" t="s">
        <v>317</v>
      </c>
      <c r="D197" s="4" t="s">
        <v>1406</v>
      </c>
      <c r="E197" s="4" t="s">
        <v>26</v>
      </c>
      <c r="F197" s="4" t="s">
        <v>310</v>
      </c>
      <c r="G197" s="4" t="s">
        <v>498</v>
      </c>
      <c r="H197" s="4" t="s">
        <v>675</v>
      </c>
      <c r="I197" s="4" t="s">
        <v>676</v>
      </c>
      <c r="J197" s="5">
        <v>39356.0</v>
      </c>
      <c r="K197" s="5">
        <v>28078.0</v>
      </c>
      <c r="L197" s="4">
        <v>47.0</v>
      </c>
      <c r="M197" s="4" t="s">
        <v>1425</v>
      </c>
      <c r="O197" s="5">
        <v>44927.0</v>
      </c>
      <c r="P197" s="5">
        <v>45291.0</v>
      </c>
      <c r="Q197" s="4" t="s">
        <v>66</v>
      </c>
      <c r="R197" s="4" t="s">
        <v>32</v>
      </c>
      <c r="S197" s="6" t="s">
        <v>2230</v>
      </c>
      <c r="T197" s="4" t="s">
        <v>677</v>
      </c>
      <c r="U197" s="4">
        <v>12.0</v>
      </c>
      <c r="V197" s="4" t="s">
        <v>34</v>
      </c>
      <c r="W197" s="4">
        <v>42706.0</v>
      </c>
      <c r="X197" s="4" t="s">
        <v>58</v>
      </c>
      <c r="Y197" s="4" t="s">
        <v>59</v>
      </c>
      <c r="AD197" s="4" t="s">
        <v>1411</v>
      </c>
      <c r="AE197" s="5">
        <v>44700.0</v>
      </c>
    </row>
    <row r="198">
      <c r="A198" s="4" t="s">
        <v>1412</v>
      </c>
      <c r="B198" s="4" t="s">
        <v>1423</v>
      </c>
      <c r="C198" s="4" t="s">
        <v>109</v>
      </c>
      <c r="D198" s="4" t="s">
        <v>1424</v>
      </c>
      <c r="E198" s="4" t="s">
        <v>26</v>
      </c>
      <c r="F198" s="4" t="s">
        <v>310</v>
      </c>
      <c r="G198" s="4" t="s">
        <v>274</v>
      </c>
      <c r="H198" s="4" t="s">
        <v>2231</v>
      </c>
      <c r="I198" s="4" t="s">
        <v>2232</v>
      </c>
      <c r="J198" s="5">
        <v>35156.0</v>
      </c>
      <c r="K198" s="5">
        <v>22333.0</v>
      </c>
      <c r="L198" s="4">
        <v>62.0</v>
      </c>
      <c r="M198" s="4" t="s">
        <v>1425</v>
      </c>
      <c r="O198" s="5">
        <v>36161.0</v>
      </c>
      <c r="P198" s="5">
        <v>36219.0</v>
      </c>
      <c r="Q198" s="4" t="s">
        <v>66</v>
      </c>
      <c r="R198" s="4" t="s">
        <v>32</v>
      </c>
      <c r="S198" s="6" t="s">
        <v>2233</v>
      </c>
      <c r="T198" s="4" t="s">
        <v>2233</v>
      </c>
      <c r="U198" s="4">
        <v>6.0</v>
      </c>
      <c r="AD198" s="4" t="s">
        <v>1411</v>
      </c>
    </row>
    <row r="199">
      <c r="A199" s="4" t="s">
        <v>1465</v>
      </c>
      <c r="B199" s="4" t="s">
        <v>1423</v>
      </c>
      <c r="C199" s="4" t="s">
        <v>109</v>
      </c>
      <c r="D199" s="4" t="s">
        <v>1424</v>
      </c>
      <c r="E199" s="4" t="s">
        <v>26</v>
      </c>
      <c r="F199" s="4" t="s">
        <v>310</v>
      </c>
      <c r="G199" s="4" t="s">
        <v>274</v>
      </c>
      <c r="H199" s="4" t="s">
        <v>2234</v>
      </c>
      <c r="I199" s="4" t="s">
        <v>2235</v>
      </c>
      <c r="J199" s="5">
        <v>36008.0</v>
      </c>
      <c r="K199" s="5">
        <v>17024.0</v>
      </c>
      <c r="L199" s="4">
        <v>77.0</v>
      </c>
      <c r="M199" s="4" t="s">
        <v>1407</v>
      </c>
      <c r="O199" s="5">
        <v>36617.0</v>
      </c>
      <c r="P199" s="5">
        <v>37833.0</v>
      </c>
      <c r="Q199" s="4" t="s">
        <v>31</v>
      </c>
      <c r="R199" s="4" t="s">
        <v>32</v>
      </c>
      <c r="S199" s="6" t="s">
        <v>2236</v>
      </c>
      <c r="T199" s="4" t="s">
        <v>2237</v>
      </c>
      <c r="U199" s="4">
        <v>44.0</v>
      </c>
      <c r="V199" s="4" t="s">
        <v>2238</v>
      </c>
      <c r="W199" s="4">
        <v>39952.0</v>
      </c>
      <c r="X199" s="4" t="s">
        <v>58</v>
      </c>
      <c r="Y199" s="4" t="s">
        <v>59</v>
      </c>
      <c r="Z199" s="4" t="s">
        <v>1519</v>
      </c>
      <c r="AA199" s="4">
        <v>1970.0</v>
      </c>
      <c r="AB199" s="4" t="s">
        <v>58</v>
      </c>
      <c r="AC199" s="5">
        <v>25806.0</v>
      </c>
      <c r="AD199" s="4" t="s">
        <v>1411</v>
      </c>
    </row>
    <row r="200">
      <c r="A200" s="4" t="s">
        <v>1412</v>
      </c>
      <c r="B200" s="4" t="s">
        <v>1423</v>
      </c>
      <c r="C200" s="4" t="s">
        <v>109</v>
      </c>
      <c r="D200" s="4" t="s">
        <v>1424</v>
      </c>
      <c r="E200" s="4" t="s">
        <v>26</v>
      </c>
      <c r="F200" s="4" t="s">
        <v>310</v>
      </c>
      <c r="G200" s="4" t="s">
        <v>274</v>
      </c>
      <c r="H200" s="4" t="s">
        <v>2239</v>
      </c>
      <c r="I200" s="4" t="s">
        <v>2240</v>
      </c>
      <c r="J200" s="5">
        <v>32782.0</v>
      </c>
      <c r="K200" s="5">
        <v>20287.0</v>
      </c>
      <c r="L200" s="4">
        <v>68.0</v>
      </c>
      <c r="M200" s="4" t="s">
        <v>1407</v>
      </c>
      <c r="O200" s="5">
        <v>41275.0</v>
      </c>
      <c r="P200" s="5">
        <v>41639.0</v>
      </c>
      <c r="Q200" s="4" t="s">
        <v>66</v>
      </c>
      <c r="R200" s="4" t="s">
        <v>32</v>
      </c>
      <c r="S200" s="6" t="s">
        <v>2241</v>
      </c>
      <c r="T200" s="4" t="s">
        <v>2242</v>
      </c>
      <c r="U200" s="4">
        <v>6.0</v>
      </c>
      <c r="V200" s="4" t="s">
        <v>34</v>
      </c>
      <c r="W200" s="4">
        <v>31412.0</v>
      </c>
      <c r="X200" s="4" t="s">
        <v>2243</v>
      </c>
      <c r="Y200" s="4" t="s">
        <v>89</v>
      </c>
      <c r="Z200" s="4" t="s">
        <v>1427</v>
      </c>
      <c r="AA200" s="4">
        <v>1981.0</v>
      </c>
      <c r="AB200" s="4" t="s">
        <v>58</v>
      </c>
      <c r="AC200" s="5">
        <v>29802.0</v>
      </c>
      <c r="AD200" s="4" t="s">
        <v>1411</v>
      </c>
      <c r="AE200" s="5">
        <v>34211.0</v>
      </c>
    </row>
    <row r="201">
      <c r="A201" s="4" t="s">
        <v>60</v>
      </c>
      <c r="B201" s="4" t="s">
        <v>1405</v>
      </c>
      <c r="C201" s="4" t="s">
        <v>317</v>
      </c>
      <c r="D201" s="4" t="s">
        <v>1406</v>
      </c>
      <c r="E201" s="4" t="s">
        <v>80</v>
      </c>
      <c r="F201" s="4" t="s">
        <v>310</v>
      </c>
      <c r="G201" s="4" t="s">
        <v>662</v>
      </c>
      <c r="H201" s="4" t="s">
        <v>663</v>
      </c>
      <c r="I201" s="4" t="s">
        <v>664</v>
      </c>
      <c r="J201" s="5">
        <v>39295.0</v>
      </c>
      <c r="K201" s="5">
        <v>28008.0</v>
      </c>
      <c r="L201" s="4">
        <v>47.0</v>
      </c>
      <c r="M201" s="4" t="s">
        <v>1407</v>
      </c>
      <c r="O201" s="5">
        <v>44927.0</v>
      </c>
      <c r="P201" s="5">
        <v>45291.0</v>
      </c>
      <c r="Q201" s="4" t="s">
        <v>66</v>
      </c>
      <c r="R201" s="4" t="s">
        <v>32</v>
      </c>
      <c r="S201" s="6" t="s">
        <v>2244</v>
      </c>
      <c r="T201" s="4" t="s">
        <v>665</v>
      </c>
      <c r="U201" s="4">
        <v>21.0</v>
      </c>
      <c r="V201" s="4" t="s">
        <v>359</v>
      </c>
      <c r="W201" s="4">
        <v>38961.0</v>
      </c>
      <c r="X201" s="4" t="s">
        <v>667</v>
      </c>
      <c r="Y201" s="4" t="s">
        <v>89</v>
      </c>
      <c r="Z201" s="4" t="s">
        <v>1427</v>
      </c>
      <c r="AA201" s="4">
        <v>2001.0</v>
      </c>
      <c r="AB201" s="4" t="s">
        <v>58</v>
      </c>
      <c r="AC201" s="5">
        <v>36900.0</v>
      </c>
      <c r="AD201" s="4" t="s">
        <v>1411</v>
      </c>
      <c r="AE201" s="5">
        <v>44378.0</v>
      </c>
    </row>
    <row r="202">
      <c r="A202" s="4" t="s">
        <v>841</v>
      </c>
      <c r="B202" s="4" t="s">
        <v>1447</v>
      </c>
      <c r="C202" s="4" t="s">
        <v>40</v>
      </c>
      <c r="D202" s="4" t="s">
        <v>1448</v>
      </c>
      <c r="E202" s="4" t="s">
        <v>80</v>
      </c>
      <c r="F202" s="4" t="s">
        <v>2245</v>
      </c>
      <c r="G202" s="4" t="s">
        <v>2246</v>
      </c>
      <c r="H202" s="4" t="s">
        <v>2247</v>
      </c>
      <c r="I202" s="4" t="s">
        <v>2248</v>
      </c>
      <c r="J202" s="5">
        <v>43282.0</v>
      </c>
      <c r="K202" s="5">
        <v>29613.0</v>
      </c>
      <c r="L202" s="4">
        <v>42.0</v>
      </c>
      <c r="M202" s="4" t="s">
        <v>1407</v>
      </c>
      <c r="N202" s="4" t="s">
        <v>1419</v>
      </c>
      <c r="O202" s="5">
        <v>44927.0</v>
      </c>
      <c r="P202" s="5">
        <v>45291.0</v>
      </c>
      <c r="Q202" s="4" t="s">
        <v>66</v>
      </c>
      <c r="R202" s="4" t="s">
        <v>32</v>
      </c>
      <c r="S202" s="6" t="s">
        <v>2249</v>
      </c>
      <c r="T202" s="4" t="s">
        <v>2250</v>
      </c>
      <c r="U202" s="4">
        <v>12.0</v>
      </c>
      <c r="Z202" s="4" t="s">
        <v>1427</v>
      </c>
      <c r="AA202" s="4">
        <v>2005.0</v>
      </c>
      <c r="AB202" s="4" t="s">
        <v>2251</v>
      </c>
      <c r="AC202" s="5">
        <v>38421.0</v>
      </c>
      <c r="AD202" s="4" t="s">
        <v>1411</v>
      </c>
      <c r="AE202" s="5">
        <v>44342.0</v>
      </c>
    </row>
    <row r="203">
      <c r="A203" s="4" t="s">
        <v>1434</v>
      </c>
      <c r="B203" s="4" t="s">
        <v>1473</v>
      </c>
      <c r="C203" s="4" t="s">
        <v>25</v>
      </c>
      <c r="D203" s="4" t="s">
        <v>1474</v>
      </c>
      <c r="E203" s="4" t="s">
        <v>80</v>
      </c>
      <c r="F203" s="4" t="s">
        <v>2252</v>
      </c>
      <c r="G203" s="4" t="s">
        <v>2253</v>
      </c>
      <c r="H203" s="4" t="s">
        <v>2254</v>
      </c>
      <c r="I203" s="4" t="s">
        <v>2255</v>
      </c>
      <c r="J203" s="5">
        <v>21002.0</v>
      </c>
      <c r="K203" s="5">
        <v>10420.0</v>
      </c>
      <c r="L203" s="4">
        <v>95.0</v>
      </c>
      <c r="M203" s="4" t="s">
        <v>1425</v>
      </c>
      <c r="O203" s="5">
        <v>36039.0</v>
      </c>
      <c r="P203" s="5">
        <v>38664.0</v>
      </c>
      <c r="Q203" s="4" t="s">
        <v>31</v>
      </c>
      <c r="R203" s="4" t="s">
        <v>32</v>
      </c>
      <c r="S203" s="6" t="s">
        <v>2256</v>
      </c>
      <c r="T203" s="4" t="s">
        <v>2257</v>
      </c>
      <c r="U203" s="4">
        <v>22.0</v>
      </c>
      <c r="V203" s="4" t="s">
        <v>34</v>
      </c>
      <c r="W203" s="4">
        <v>29411.0</v>
      </c>
      <c r="X203" s="4" t="s">
        <v>2258</v>
      </c>
      <c r="Y203" s="4" t="s">
        <v>1859</v>
      </c>
      <c r="AD203" s="4" t="s">
        <v>1411</v>
      </c>
    </row>
    <row r="204">
      <c r="A204" s="4" t="s">
        <v>24</v>
      </c>
      <c r="B204" s="4" t="s">
        <v>1405</v>
      </c>
      <c r="C204" s="4" t="s">
        <v>317</v>
      </c>
      <c r="D204" s="4" t="s">
        <v>1406</v>
      </c>
      <c r="E204" s="4" t="s">
        <v>80</v>
      </c>
      <c r="F204" s="4" t="s">
        <v>507</v>
      </c>
      <c r="G204" s="4" t="s">
        <v>508</v>
      </c>
      <c r="H204" s="4" t="s">
        <v>509</v>
      </c>
      <c r="I204" s="4" t="s">
        <v>510</v>
      </c>
      <c r="J204" s="5">
        <v>38838.0</v>
      </c>
      <c r="K204" s="5">
        <v>26591.0</v>
      </c>
      <c r="L204" s="4">
        <v>51.0</v>
      </c>
      <c r="M204" s="4" t="s">
        <v>1425</v>
      </c>
      <c r="N204" s="4" t="s">
        <v>1419</v>
      </c>
      <c r="O204" s="5">
        <v>42186.0</v>
      </c>
      <c r="P204" s="5">
        <v>73050.0</v>
      </c>
      <c r="Q204" s="4" t="s">
        <v>31</v>
      </c>
      <c r="R204" s="4" t="s">
        <v>32</v>
      </c>
      <c r="S204" s="6" t="s">
        <v>2259</v>
      </c>
      <c r="T204" s="4" t="s">
        <v>511</v>
      </c>
      <c r="U204" s="4">
        <v>44.0</v>
      </c>
      <c r="V204" s="4" t="s">
        <v>55</v>
      </c>
      <c r="W204" s="4">
        <v>35874.0</v>
      </c>
      <c r="X204" s="4" t="s">
        <v>58</v>
      </c>
      <c r="Y204" s="4" t="s">
        <v>59</v>
      </c>
      <c r="AD204" s="4" t="s">
        <v>1411</v>
      </c>
      <c r="AE204" s="5">
        <v>41291.0</v>
      </c>
    </row>
    <row r="205">
      <c r="A205" s="4" t="s">
        <v>39</v>
      </c>
      <c r="B205" s="4" t="s">
        <v>1447</v>
      </c>
      <c r="C205" s="4" t="s">
        <v>40</v>
      </c>
      <c r="D205" s="4" t="s">
        <v>1448</v>
      </c>
      <c r="E205" s="4" t="s">
        <v>80</v>
      </c>
      <c r="F205" s="4" t="s">
        <v>980</v>
      </c>
      <c r="G205" s="4" t="s">
        <v>981</v>
      </c>
      <c r="H205" s="4" t="s">
        <v>982</v>
      </c>
      <c r="I205" s="4" t="s">
        <v>983</v>
      </c>
      <c r="J205" s="5">
        <v>42461.0</v>
      </c>
      <c r="K205" s="5">
        <v>25291.0</v>
      </c>
      <c r="L205" s="4">
        <v>54.0</v>
      </c>
      <c r="M205" s="4" t="s">
        <v>1524</v>
      </c>
      <c r="O205" s="5">
        <v>44927.0</v>
      </c>
      <c r="P205" s="5">
        <v>45291.0</v>
      </c>
      <c r="Q205" s="4" t="s">
        <v>66</v>
      </c>
      <c r="R205" s="4" t="s">
        <v>32</v>
      </c>
      <c r="S205" s="6" t="s">
        <v>2260</v>
      </c>
      <c r="T205" s="4" t="s">
        <v>984</v>
      </c>
      <c r="U205" s="4">
        <v>21.0</v>
      </c>
      <c r="Z205" s="4" t="s">
        <v>1427</v>
      </c>
      <c r="AA205" s="4">
        <v>1996.0</v>
      </c>
      <c r="AB205" s="4" t="s">
        <v>1511</v>
      </c>
      <c r="AC205" s="5">
        <v>35312.0</v>
      </c>
      <c r="AD205" s="4" t="s">
        <v>1411</v>
      </c>
      <c r="AE205" s="5">
        <v>44462.0</v>
      </c>
    </row>
    <row r="206">
      <c r="A206" s="4" t="s">
        <v>1412</v>
      </c>
      <c r="B206" s="4" t="s">
        <v>1423</v>
      </c>
      <c r="C206" s="4" t="s">
        <v>109</v>
      </c>
      <c r="D206" s="4" t="s">
        <v>1424</v>
      </c>
      <c r="E206" s="4" t="s">
        <v>26</v>
      </c>
      <c r="F206" s="4" t="s">
        <v>2261</v>
      </c>
      <c r="G206" s="4" t="s">
        <v>2262</v>
      </c>
      <c r="H206" s="4" t="s">
        <v>2263</v>
      </c>
      <c r="I206" s="4" t="s">
        <v>2264</v>
      </c>
      <c r="J206" s="5">
        <v>25263.0</v>
      </c>
      <c r="K206" s="5">
        <v>14891.0</v>
      </c>
      <c r="L206" s="4">
        <v>83.0</v>
      </c>
      <c r="M206" s="4" t="s">
        <v>1453</v>
      </c>
      <c r="O206" s="5">
        <v>40179.0</v>
      </c>
      <c r="P206" s="5">
        <v>40240.0</v>
      </c>
      <c r="Q206" s="4" t="s">
        <v>66</v>
      </c>
      <c r="R206" s="4" t="s">
        <v>32</v>
      </c>
      <c r="S206" s="6" t="s">
        <v>2265</v>
      </c>
      <c r="T206" s="4" t="s">
        <v>2265</v>
      </c>
      <c r="U206" s="4">
        <v>22.0</v>
      </c>
      <c r="V206" s="4" t="s">
        <v>1492</v>
      </c>
      <c r="W206" s="4">
        <v>28517.0</v>
      </c>
      <c r="X206" s="4" t="s">
        <v>58</v>
      </c>
      <c r="Y206" s="4" t="s">
        <v>59</v>
      </c>
      <c r="Z206" s="4" t="s">
        <v>1427</v>
      </c>
      <c r="AA206" s="4">
        <v>1978.0</v>
      </c>
      <c r="AB206" s="4" t="s">
        <v>58</v>
      </c>
      <c r="AC206" s="5">
        <v>28517.0</v>
      </c>
      <c r="AD206" s="4" t="s">
        <v>1411</v>
      </c>
      <c r="AE206" s="5">
        <v>31222.0</v>
      </c>
    </row>
    <row r="207">
      <c r="A207" s="4" t="s">
        <v>1412</v>
      </c>
      <c r="B207" s="4" t="s">
        <v>1413</v>
      </c>
      <c r="C207" s="4" t="s">
        <v>1414</v>
      </c>
      <c r="D207" s="4" t="s">
        <v>1415</v>
      </c>
      <c r="E207" s="4" t="s">
        <v>80</v>
      </c>
      <c r="F207" s="4" t="s">
        <v>2266</v>
      </c>
      <c r="G207" s="4" t="s">
        <v>2267</v>
      </c>
      <c r="H207" s="4" t="s">
        <v>2268</v>
      </c>
      <c r="I207" s="4" t="s">
        <v>2269</v>
      </c>
      <c r="J207" s="5">
        <v>37865.0</v>
      </c>
      <c r="K207" s="5">
        <v>23136.0</v>
      </c>
      <c r="L207" s="4">
        <v>60.0</v>
      </c>
      <c r="M207" s="4" t="s">
        <v>1453</v>
      </c>
      <c r="O207" s="5">
        <v>39448.0</v>
      </c>
      <c r="P207" s="5">
        <v>39507.0</v>
      </c>
      <c r="Q207" s="4" t="s">
        <v>66</v>
      </c>
      <c r="R207" s="4" t="s">
        <v>32</v>
      </c>
      <c r="S207" s="6" t="s">
        <v>2270</v>
      </c>
      <c r="T207" s="4" t="s">
        <v>2271</v>
      </c>
      <c r="U207" s="4">
        <v>12.0</v>
      </c>
      <c r="Z207" s="4" t="s">
        <v>1427</v>
      </c>
      <c r="AA207" s="4">
        <v>1992.0</v>
      </c>
      <c r="AB207" s="4" t="s">
        <v>1511</v>
      </c>
      <c r="AC207" s="5">
        <v>33756.0</v>
      </c>
      <c r="AD207" s="4" t="s">
        <v>1411</v>
      </c>
      <c r="AE207" s="5">
        <v>37854.0</v>
      </c>
    </row>
    <row r="208">
      <c r="A208" s="4" t="s">
        <v>1684</v>
      </c>
      <c r="B208" s="4" t="s">
        <v>1413</v>
      </c>
      <c r="C208" s="4" t="s">
        <v>1414</v>
      </c>
      <c r="D208" s="4" t="s">
        <v>1415</v>
      </c>
      <c r="E208" s="4" t="s">
        <v>80</v>
      </c>
      <c r="F208" s="4" t="s">
        <v>1021</v>
      </c>
      <c r="G208" s="4" t="s">
        <v>2272</v>
      </c>
      <c r="H208" s="4" t="s">
        <v>2273</v>
      </c>
      <c r="I208" s="4" t="s">
        <v>2274</v>
      </c>
      <c r="J208" s="5">
        <v>38869.0</v>
      </c>
      <c r="K208" s="5">
        <v>22294.0</v>
      </c>
      <c r="L208" s="4">
        <v>63.0</v>
      </c>
      <c r="M208" s="4" t="s">
        <v>1425</v>
      </c>
      <c r="N208" s="4" t="s">
        <v>1419</v>
      </c>
      <c r="O208" s="5">
        <v>39326.0</v>
      </c>
      <c r="P208" s="5">
        <v>39447.0</v>
      </c>
      <c r="Q208" s="4" t="s">
        <v>66</v>
      </c>
      <c r="R208" s="4" t="s">
        <v>32</v>
      </c>
      <c r="S208" s="6" t="s">
        <v>2275</v>
      </c>
      <c r="T208" s="4" t="s">
        <v>2276</v>
      </c>
      <c r="U208" s="4">
        <v>6.0</v>
      </c>
      <c r="V208" s="4" t="s">
        <v>55</v>
      </c>
      <c r="W208" s="4">
        <v>33487.0</v>
      </c>
      <c r="X208" s="4" t="s">
        <v>58</v>
      </c>
      <c r="Y208" s="4" t="s">
        <v>59</v>
      </c>
      <c r="Z208" s="4" t="s">
        <v>1597</v>
      </c>
      <c r="AA208" s="4">
        <v>1991.0</v>
      </c>
      <c r="AB208" s="4" t="s">
        <v>58</v>
      </c>
      <c r="AC208" s="5">
        <v>33487.0</v>
      </c>
      <c r="AD208" s="4" t="s">
        <v>1411</v>
      </c>
      <c r="AE208" s="5">
        <v>38862.0</v>
      </c>
    </row>
    <row r="209">
      <c r="A209" s="4" t="s">
        <v>1434</v>
      </c>
      <c r="B209" s="4" t="s">
        <v>1423</v>
      </c>
      <c r="C209" s="4" t="s">
        <v>109</v>
      </c>
      <c r="D209" s="4" t="s">
        <v>1424</v>
      </c>
      <c r="E209" s="4" t="s">
        <v>26</v>
      </c>
      <c r="F209" s="4" t="s">
        <v>2277</v>
      </c>
      <c r="G209" s="4" t="s">
        <v>2278</v>
      </c>
      <c r="H209" s="4" t="s">
        <v>755</v>
      </c>
      <c r="I209" s="4" t="s">
        <v>2279</v>
      </c>
      <c r="J209" s="5">
        <v>31503.0</v>
      </c>
      <c r="K209" s="5">
        <v>22292.0</v>
      </c>
      <c r="L209" s="4">
        <v>63.0</v>
      </c>
      <c r="M209" s="4" t="s">
        <v>1407</v>
      </c>
      <c r="N209" s="4" t="s">
        <v>1461</v>
      </c>
      <c r="O209" s="5">
        <v>38353.0</v>
      </c>
      <c r="P209" s="5">
        <v>38472.0</v>
      </c>
      <c r="Q209" s="4" t="s">
        <v>66</v>
      </c>
      <c r="R209" s="4" t="s">
        <v>32</v>
      </c>
      <c r="S209" s="6" t="s">
        <v>2280</v>
      </c>
      <c r="T209" s="4" t="s">
        <v>2281</v>
      </c>
      <c r="U209" s="4">
        <v>12.0</v>
      </c>
      <c r="V209" s="4" t="s">
        <v>34</v>
      </c>
      <c r="W209" s="4">
        <v>36891.0</v>
      </c>
      <c r="X209" s="4" t="s">
        <v>2282</v>
      </c>
      <c r="Y209" s="4" t="s">
        <v>1562</v>
      </c>
      <c r="AD209" s="4" t="s">
        <v>1411</v>
      </c>
    </row>
    <row r="210">
      <c r="A210" s="4" t="s">
        <v>39</v>
      </c>
      <c r="B210" s="4" t="s">
        <v>1405</v>
      </c>
      <c r="C210" s="4" t="s">
        <v>317</v>
      </c>
      <c r="D210" s="4" t="s">
        <v>1406</v>
      </c>
      <c r="E210" s="4" t="s">
        <v>26</v>
      </c>
      <c r="F210" s="4" t="s">
        <v>370</v>
      </c>
      <c r="G210" s="4" t="s">
        <v>371</v>
      </c>
      <c r="H210" s="4" t="s">
        <v>2283</v>
      </c>
      <c r="I210" s="4" t="s">
        <v>2284</v>
      </c>
      <c r="J210" s="5">
        <v>37316.0</v>
      </c>
      <c r="K210" s="5">
        <v>21386.0</v>
      </c>
      <c r="L210" s="4">
        <v>65.0</v>
      </c>
      <c r="M210" s="4" t="s">
        <v>1407</v>
      </c>
      <c r="N210" s="4" t="s">
        <v>1419</v>
      </c>
      <c r="O210" s="5">
        <v>44927.0</v>
      </c>
      <c r="P210" s="5">
        <v>45291.0</v>
      </c>
      <c r="Q210" s="4" t="s">
        <v>66</v>
      </c>
      <c r="R210" s="4" t="s">
        <v>32</v>
      </c>
      <c r="S210" s="6" t="s">
        <v>2285</v>
      </c>
      <c r="T210" s="4" t="s">
        <v>374</v>
      </c>
      <c r="U210" s="4">
        <v>12.0</v>
      </c>
      <c r="V210" s="4" t="s">
        <v>375</v>
      </c>
      <c r="W210" s="4">
        <v>39654.0</v>
      </c>
      <c r="X210" s="4" t="s">
        <v>58</v>
      </c>
      <c r="Y210" s="4" t="s">
        <v>59</v>
      </c>
      <c r="Z210" s="4" t="s">
        <v>1409</v>
      </c>
      <c r="AA210" s="4">
        <v>1994.0</v>
      </c>
      <c r="AB210" s="4" t="s">
        <v>2286</v>
      </c>
      <c r="AC210" s="5">
        <v>34548.0</v>
      </c>
      <c r="AD210" s="4" t="s">
        <v>1411</v>
      </c>
      <c r="AE210" s="5">
        <v>42208.0</v>
      </c>
    </row>
    <row r="211">
      <c r="A211" s="4" t="s">
        <v>24</v>
      </c>
      <c r="B211" s="4" t="s">
        <v>1405</v>
      </c>
      <c r="C211" s="4" t="s">
        <v>317</v>
      </c>
      <c r="D211" s="4" t="s">
        <v>1406</v>
      </c>
      <c r="E211" s="4" t="s">
        <v>80</v>
      </c>
      <c r="F211" s="4" t="s">
        <v>717</v>
      </c>
      <c r="G211" s="4" t="s">
        <v>281</v>
      </c>
      <c r="H211" s="4" t="s">
        <v>718</v>
      </c>
      <c r="I211" s="4" t="s">
        <v>719</v>
      </c>
      <c r="J211" s="5">
        <v>39722.0</v>
      </c>
      <c r="K211" s="5">
        <v>15637.0</v>
      </c>
      <c r="L211" s="4">
        <v>81.0</v>
      </c>
      <c r="M211" s="4" t="s">
        <v>1425</v>
      </c>
      <c r="O211" s="5">
        <v>44927.0</v>
      </c>
      <c r="P211" s="5">
        <v>45291.0</v>
      </c>
      <c r="Q211" s="4" t="s">
        <v>66</v>
      </c>
      <c r="R211" s="4" t="s">
        <v>32</v>
      </c>
      <c r="S211" s="6" t="s">
        <v>2287</v>
      </c>
      <c r="T211" s="4" t="s">
        <v>720</v>
      </c>
      <c r="U211" s="4">
        <v>6.0</v>
      </c>
      <c r="V211" s="4" t="s">
        <v>55</v>
      </c>
      <c r="W211" s="4">
        <v>25995.0</v>
      </c>
      <c r="X211" s="4" t="s">
        <v>58</v>
      </c>
      <c r="Y211" s="4" t="s">
        <v>59</v>
      </c>
      <c r="AD211" s="4" t="s">
        <v>1411</v>
      </c>
      <c r="AE211" s="5">
        <v>39646.0</v>
      </c>
    </row>
    <row r="212">
      <c r="A212" s="4" t="s">
        <v>78</v>
      </c>
      <c r="B212" s="4" t="s">
        <v>1423</v>
      </c>
      <c r="C212" s="4" t="s">
        <v>109</v>
      </c>
      <c r="D212" s="4" t="s">
        <v>1424</v>
      </c>
      <c r="E212" s="4" t="s">
        <v>80</v>
      </c>
      <c r="F212" s="4" t="s">
        <v>2288</v>
      </c>
      <c r="G212" s="4" t="s">
        <v>309</v>
      </c>
      <c r="H212" s="4" t="s">
        <v>2289</v>
      </c>
      <c r="I212" s="4" t="s">
        <v>2290</v>
      </c>
      <c r="J212" s="5">
        <v>38838.0</v>
      </c>
      <c r="K212" s="5">
        <v>21502.0</v>
      </c>
      <c r="L212" s="4">
        <v>65.0</v>
      </c>
      <c r="M212" s="4" t="s">
        <v>1524</v>
      </c>
      <c r="O212" s="5">
        <v>42186.0</v>
      </c>
      <c r="P212" s="5">
        <v>73050.0</v>
      </c>
      <c r="Q212" s="4" t="s">
        <v>31</v>
      </c>
      <c r="R212" s="4" t="s">
        <v>32</v>
      </c>
      <c r="S212" s="6" t="s">
        <v>2291</v>
      </c>
      <c r="T212" s="4" t="s">
        <v>2292</v>
      </c>
      <c r="U212" s="4">
        <v>12.0</v>
      </c>
      <c r="V212" s="4" t="s">
        <v>55</v>
      </c>
      <c r="W212" s="4">
        <v>34176.0</v>
      </c>
      <c r="X212" s="4" t="s">
        <v>58</v>
      </c>
      <c r="Y212" s="4" t="s">
        <v>59</v>
      </c>
      <c r="AD212" s="4" t="s">
        <v>1411</v>
      </c>
      <c r="AE212" s="5">
        <v>38827.0</v>
      </c>
    </row>
    <row r="213">
      <c r="A213" s="4" t="s">
        <v>1434</v>
      </c>
      <c r="B213" s="4" t="s">
        <v>1423</v>
      </c>
      <c r="C213" s="4" t="s">
        <v>109</v>
      </c>
      <c r="D213" s="4" t="s">
        <v>1424</v>
      </c>
      <c r="E213" s="4" t="s">
        <v>26</v>
      </c>
      <c r="F213" s="4" t="s">
        <v>2293</v>
      </c>
      <c r="G213" s="4" t="s">
        <v>2294</v>
      </c>
      <c r="H213" s="4" t="s">
        <v>2295</v>
      </c>
      <c r="I213" s="4" t="s">
        <v>2296</v>
      </c>
      <c r="J213" s="5">
        <v>39052.0</v>
      </c>
      <c r="K213" s="5">
        <v>14340.0</v>
      </c>
      <c r="L213" s="4">
        <v>84.0</v>
      </c>
      <c r="M213" s="4" t="s">
        <v>1407</v>
      </c>
      <c r="N213" s="4" t="s">
        <v>1419</v>
      </c>
      <c r="O213" s="5">
        <v>33878.0</v>
      </c>
      <c r="P213" s="5">
        <v>38657.0</v>
      </c>
      <c r="Q213" s="4" t="s">
        <v>31</v>
      </c>
      <c r="R213" s="4" t="s">
        <v>32</v>
      </c>
      <c r="S213" s="6" t="s">
        <v>2297</v>
      </c>
      <c r="T213" s="4" t="s">
        <v>2298</v>
      </c>
      <c r="U213" s="4">
        <v>44.0</v>
      </c>
      <c r="V213" s="4" t="s">
        <v>106</v>
      </c>
      <c r="W213" s="4">
        <v>34138.0</v>
      </c>
      <c r="X213" s="4" t="s">
        <v>1646</v>
      </c>
      <c r="Y213" s="4" t="s">
        <v>1208</v>
      </c>
      <c r="Z213" s="4" t="s">
        <v>1563</v>
      </c>
      <c r="AA213" s="4">
        <v>1967.0</v>
      </c>
      <c r="AB213" s="4" t="s">
        <v>58</v>
      </c>
      <c r="AC213" s="5">
        <v>24490.0</v>
      </c>
      <c r="AD213" s="4" t="s">
        <v>1411</v>
      </c>
    </row>
    <row r="214">
      <c r="A214" s="4" t="s">
        <v>1465</v>
      </c>
      <c r="B214" s="4" t="s">
        <v>1540</v>
      </c>
      <c r="C214" s="4" t="s">
        <v>99</v>
      </c>
      <c r="D214" s="4" t="s">
        <v>1541</v>
      </c>
      <c r="E214" s="4" t="s">
        <v>26</v>
      </c>
      <c r="F214" s="4" t="s">
        <v>2293</v>
      </c>
      <c r="G214" s="4" t="s">
        <v>2299</v>
      </c>
      <c r="H214" s="4" t="s">
        <v>2300</v>
      </c>
      <c r="I214" s="4" t="s">
        <v>2301</v>
      </c>
      <c r="J214" s="5">
        <v>26877.0</v>
      </c>
      <c r="K214" s="5">
        <v>11945.0</v>
      </c>
      <c r="L214" s="4">
        <v>91.0</v>
      </c>
      <c r="M214" s="4" t="s">
        <v>1585</v>
      </c>
      <c r="O214" s="5">
        <v>37803.0</v>
      </c>
      <c r="P214" s="5">
        <v>37833.0</v>
      </c>
      <c r="Q214" s="4" t="s">
        <v>66</v>
      </c>
      <c r="R214" s="4" t="s">
        <v>32</v>
      </c>
      <c r="S214" s="6" t="s">
        <v>2302</v>
      </c>
      <c r="T214" s="4" t="s">
        <v>2303</v>
      </c>
      <c r="U214" s="4">
        <v>22.0</v>
      </c>
      <c r="V214" s="4" t="s">
        <v>34</v>
      </c>
      <c r="W214" s="4">
        <v>31656.0</v>
      </c>
      <c r="X214" s="4" t="s">
        <v>438</v>
      </c>
      <c r="Y214" s="4" t="s">
        <v>59</v>
      </c>
      <c r="Z214" s="4" t="s">
        <v>1587</v>
      </c>
      <c r="AA214" s="4">
        <v>1958.0</v>
      </c>
      <c r="AB214" s="4" t="s">
        <v>438</v>
      </c>
      <c r="AC214" s="5">
        <v>21333.0</v>
      </c>
      <c r="AD214" s="4" t="s">
        <v>1411</v>
      </c>
    </row>
    <row r="215">
      <c r="A215" s="4" t="s">
        <v>1412</v>
      </c>
      <c r="B215" s="4" t="s">
        <v>1413</v>
      </c>
      <c r="C215" s="4" t="s">
        <v>1414</v>
      </c>
      <c r="D215" s="4" t="s">
        <v>1415</v>
      </c>
      <c r="E215" s="4" t="s">
        <v>80</v>
      </c>
      <c r="F215" s="4" t="s">
        <v>933</v>
      </c>
      <c r="G215" s="4" t="s">
        <v>785</v>
      </c>
      <c r="H215" s="4" t="s">
        <v>2304</v>
      </c>
      <c r="I215" s="4" t="s">
        <v>2305</v>
      </c>
      <c r="J215" s="5">
        <v>39356.0</v>
      </c>
      <c r="K215" s="5">
        <v>27159.0</v>
      </c>
      <c r="L215" s="4">
        <v>49.0</v>
      </c>
      <c r="M215" s="4" t="s">
        <v>1407</v>
      </c>
      <c r="O215" s="5">
        <v>42736.0</v>
      </c>
      <c r="P215" s="5">
        <v>42855.0</v>
      </c>
      <c r="Q215" s="4" t="s">
        <v>66</v>
      </c>
      <c r="R215" s="4" t="s">
        <v>32</v>
      </c>
      <c r="S215" s="6" t="s">
        <v>2306</v>
      </c>
      <c r="T215" s="4" t="s">
        <v>2307</v>
      </c>
      <c r="U215" s="4">
        <v>12.0</v>
      </c>
      <c r="V215" s="4" t="s">
        <v>55</v>
      </c>
      <c r="W215" s="4">
        <v>35065.0</v>
      </c>
      <c r="X215" s="4" t="s">
        <v>58</v>
      </c>
      <c r="Y215" s="4" t="s">
        <v>59</v>
      </c>
      <c r="Z215" s="4" t="s">
        <v>1427</v>
      </c>
      <c r="AA215" s="4">
        <v>2000.0</v>
      </c>
      <c r="AB215" s="4" t="s">
        <v>58</v>
      </c>
      <c r="AC215" s="5">
        <v>36882.0</v>
      </c>
      <c r="AD215" s="4" t="s">
        <v>1411</v>
      </c>
      <c r="AE215" s="5">
        <v>39268.0</v>
      </c>
    </row>
    <row r="216">
      <c r="A216" s="4" t="s">
        <v>39</v>
      </c>
      <c r="B216" s="4" t="s">
        <v>1540</v>
      </c>
      <c r="C216" s="4" t="s">
        <v>99</v>
      </c>
      <c r="D216" s="4" t="s">
        <v>1541</v>
      </c>
      <c r="E216" s="4" t="s">
        <v>80</v>
      </c>
      <c r="F216" s="4" t="s">
        <v>933</v>
      </c>
      <c r="G216" s="4" t="s">
        <v>759</v>
      </c>
      <c r="H216" s="4" t="s">
        <v>934</v>
      </c>
      <c r="I216" s="4" t="s">
        <v>935</v>
      </c>
      <c r="J216" s="5">
        <v>42217.0</v>
      </c>
      <c r="K216" s="5">
        <v>26615.0</v>
      </c>
      <c r="L216" s="4">
        <v>51.0</v>
      </c>
      <c r="M216" s="4" t="s">
        <v>1407</v>
      </c>
      <c r="N216" s="4" t="s">
        <v>1419</v>
      </c>
      <c r="O216" s="5">
        <v>44927.0</v>
      </c>
      <c r="P216" s="5">
        <v>45291.0</v>
      </c>
      <c r="Q216" s="4" t="s">
        <v>66</v>
      </c>
      <c r="R216" s="4" t="s">
        <v>32</v>
      </c>
      <c r="S216" s="6" t="s">
        <v>2308</v>
      </c>
      <c r="T216" s="4" t="s">
        <v>936</v>
      </c>
      <c r="U216" s="4">
        <v>44.0</v>
      </c>
      <c r="V216" s="4" t="s">
        <v>34</v>
      </c>
      <c r="W216" s="4">
        <v>37796.0</v>
      </c>
      <c r="X216" s="4" t="s">
        <v>188</v>
      </c>
      <c r="Y216" s="4" t="s">
        <v>89</v>
      </c>
      <c r="Z216" s="4" t="s">
        <v>2309</v>
      </c>
      <c r="AA216" s="4">
        <v>1998.0</v>
      </c>
      <c r="AB216" s="4" t="s">
        <v>1564</v>
      </c>
      <c r="AC216" s="5">
        <v>35907.0</v>
      </c>
      <c r="AD216" s="4" t="s">
        <v>1411</v>
      </c>
      <c r="AE216" s="5">
        <v>42291.0</v>
      </c>
    </row>
    <row r="217">
      <c r="A217" s="4" t="s">
        <v>1684</v>
      </c>
      <c r="B217" s="4" t="s">
        <v>1413</v>
      </c>
      <c r="C217" s="4" t="s">
        <v>1414</v>
      </c>
      <c r="D217" s="4" t="s">
        <v>1415</v>
      </c>
      <c r="E217" s="4" t="s">
        <v>26</v>
      </c>
      <c r="F217" s="4" t="s">
        <v>933</v>
      </c>
      <c r="G217" s="4" t="s">
        <v>2310</v>
      </c>
      <c r="H217" s="4" t="s">
        <v>2311</v>
      </c>
      <c r="I217" s="4" t="s">
        <v>2312</v>
      </c>
      <c r="J217" s="5">
        <v>33573.0</v>
      </c>
      <c r="K217" s="5">
        <v>24446.0</v>
      </c>
      <c r="L217" s="4">
        <v>57.0</v>
      </c>
      <c r="M217" s="4" t="s">
        <v>1425</v>
      </c>
      <c r="O217" s="5">
        <v>39083.0</v>
      </c>
      <c r="P217" s="5">
        <v>39294.0</v>
      </c>
      <c r="Q217" s="4" t="s">
        <v>66</v>
      </c>
      <c r="R217" s="4" t="s">
        <v>32</v>
      </c>
      <c r="S217" s="6" t="s">
        <v>2313</v>
      </c>
      <c r="T217" s="4" t="s">
        <v>2314</v>
      </c>
      <c r="U217" s="4">
        <v>12.0</v>
      </c>
      <c r="V217" s="4" t="s">
        <v>34</v>
      </c>
      <c r="W217" s="4">
        <v>40893.0</v>
      </c>
      <c r="X217" s="4" t="s">
        <v>58</v>
      </c>
      <c r="Y217" s="4" t="s">
        <v>59</v>
      </c>
      <c r="Z217" s="4" t="s">
        <v>2075</v>
      </c>
      <c r="AA217" s="4">
        <v>1990.0</v>
      </c>
      <c r="AB217" s="4" t="s">
        <v>58</v>
      </c>
      <c r="AC217" s="5">
        <v>33228.0</v>
      </c>
      <c r="AD217" s="4" t="s">
        <v>1411</v>
      </c>
      <c r="AE217" s="5">
        <v>37190.0</v>
      </c>
    </row>
    <row r="218">
      <c r="A218" s="4" t="s">
        <v>60</v>
      </c>
      <c r="B218" s="4" t="s">
        <v>1423</v>
      </c>
      <c r="C218" s="4" t="s">
        <v>109</v>
      </c>
      <c r="D218" s="4" t="s">
        <v>1424</v>
      </c>
      <c r="E218" s="4" t="s">
        <v>26</v>
      </c>
      <c r="F218" s="4" t="s">
        <v>933</v>
      </c>
      <c r="G218" s="4" t="s">
        <v>467</v>
      </c>
      <c r="H218" s="4" t="s">
        <v>938</v>
      </c>
      <c r="I218" s="4" t="s">
        <v>939</v>
      </c>
      <c r="J218" s="5">
        <v>42217.0</v>
      </c>
      <c r="K218" s="5">
        <v>29234.0</v>
      </c>
      <c r="L218" s="4">
        <v>43.0</v>
      </c>
      <c r="M218" s="4" t="s">
        <v>1425</v>
      </c>
      <c r="O218" s="5">
        <v>44927.0</v>
      </c>
      <c r="P218" s="5">
        <v>45291.0</v>
      </c>
      <c r="Q218" s="4" t="s">
        <v>66</v>
      </c>
      <c r="R218" s="4" t="s">
        <v>32</v>
      </c>
      <c r="S218" s="6" t="s">
        <v>2315</v>
      </c>
      <c r="T218" s="4" t="s">
        <v>940</v>
      </c>
      <c r="U218" s="4">
        <v>22.0</v>
      </c>
      <c r="V218" s="4" t="s">
        <v>34</v>
      </c>
      <c r="W218" s="4">
        <v>41369.0</v>
      </c>
      <c r="X218" s="4" t="s">
        <v>438</v>
      </c>
      <c r="Y218" s="4" t="s">
        <v>59</v>
      </c>
      <c r="Z218" s="4" t="s">
        <v>1510</v>
      </c>
      <c r="AA218" s="4">
        <v>2003.0</v>
      </c>
      <c r="AB218" s="4" t="s">
        <v>661</v>
      </c>
      <c r="AC218" s="5">
        <v>37942.0</v>
      </c>
      <c r="AD218" s="4" t="s">
        <v>1411</v>
      </c>
      <c r="AE218" s="5">
        <v>42194.0</v>
      </c>
    </row>
    <row r="219">
      <c r="A219" s="4" t="s">
        <v>1434</v>
      </c>
      <c r="B219" s="4" t="s">
        <v>1413</v>
      </c>
      <c r="C219" s="4" t="s">
        <v>1414</v>
      </c>
      <c r="D219" s="4" t="s">
        <v>1415</v>
      </c>
      <c r="E219" s="4" t="s">
        <v>26</v>
      </c>
      <c r="F219" s="4" t="s">
        <v>933</v>
      </c>
      <c r="G219" s="4" t="s">
        <v>2316</v>
      </c>
      <c r="H219" s="4" t="s">
        <v>2317</v>
      </c>
      <c r="I219" s="4" t="s">
        <v>2318</v>
      </c>
      <c r="J219" s="5">
        <v>35004.0</v>
      </c>
      <c r="K219" s="5">
        <v>24020.0</v>
      </c>
      <c r="L219" s="4">
        <v>58.0</v>
      </c>
      <c r="M219" s="4" t="s">
        <v>1524</v>
      </c>
      <c r="O219" s="5">
        <v>36161.0</v>
      </c>
      <c r="P219" s="5">
        <v>36161.0</v>
      </c>
      <c r="Q219" s="4" t="s">
        <v>66</v>
      </c>
      <c r="R219" s="4" t="s">
        <v>32</v>
      </c>
      <c r="S219" s="6" t="s">
        <v>2319</v>
      </c>
      <c r="T219" s="4" t="s">
        <v>2320</v>
      </c>
      <c r="U219" s="4">
        <v>6.0</v>
      </c>
      <c r="AD219" s="4" t="s">
        <v>1411</v>
      </c>
    </row>
    <row r="220">
      <c r="A220" s="4" t="s">
        <v>60</v>
      </c>
      <c r="B220" s="4" t="s">
        <v>1413</v>
      </c>
      <c r="C220" s="4" t="s">
        <v>1414</v>
      </c>
      <c r="D220" s="4" t="s">
        <v>1415</v>
      </c>
      <c r="E220" s="4" t="s">
        <v>80</v>
      </c>
      <c r="F220" s="4" t="s">
        <v>522</v>
      </c>
      <c r="G220" s="4" t="s">
        <v>2321</v>
      </c>
      <c r="H220" s="4" t="s">
        <v>2322</v>
      </c>
      <c r="I220" s="4" t="s">
        <v>2323</v>
      </c>
      <c r="J220" s="5">
        <v>38231.0</v>
      </c>
      <c r="K220" s="5">
        <v>28899.0</v>
      </c>
      <c r="L220" s="4">
        <v>44.0</v>
      </c>
      <c r="M220" s="4" t="s">
        <v>1425</v>
      </c>
      <c r="O220" s="5">
        <v>42370.0</v>
      </c>
      <c r="P220" s="5">
        <v>42735.0</v>
      </c>
      <c r="Q220" s="4" t="s">
        <v>66</v>
      </c>
      <c r="R220" s="4" t="s">
        <v>32</v>
      </c>
      <c r="S220" s="6" t="s">
        <v>2324</v>
      </c>
      <c r="T220" s="4" t="s">
        <v>2325</v>
      </c>
      <c r="U220" s="4">
        <v>2.0</v>
      </c>
      <c r="V220" s="4" t="s">
        <v>55</v>
      </c>
      <c r="W220" s="4">
        <v>37915.0</v>
      </c>
      <c r="X220" s="4" t="s">
        <v>58</v>
      </c>
      <c r="Y220" s="4" t="s">
        <v>59</v>
      </c>
      <c r="Z220" s="4" t="s">
        <v>1427</v>
      </c>
      <c r="AA220" s="4">
        <v>2003.0</v>
      </c>
      <c r="AB220" s="4" t="s">
        <v>58</v>
      </c>
      <c r="AC220" s="5">
        <v>37985.0</v>
      </c>
      <c r="AD220" s="4" t="s">
        <v>1411</v>
      </c>
      <c r="AE220" s="5">
        <v>38218.0</v>
      </c>
    </row>
    <row r="221">
      <c r="A221" s="4" t="s">
        <v>1412</v>
      </c>
      <c r="B221" s="4" t="s">
        <v>1413</v>
      </c>
      <c r="C221" s="4" t="s">
        <v>1414</v>
      </c>
      <c r="D221" s="4" t="s">
        <v>1415</v>
      </c>
      <c r="E221" s="4" t="s">
        <v>26</v>
      </c>
      <c r="F221" s="4" t="s">
        <v>2326</v>
      </c>
      <c r="G221" s="4" t="s">
        <v>2327</v>
      </c>
      <c r="H221" s="4" t="s">
        <v>2328</v>
      </c>
      <c r="I221" s="4" t="s">
        <v>2329</v>
      </c>
      <c r="J221" s="5">
        <v>39326.0</v>
      </c>
      <c r="K221" s="5">
        <v>27940.0</v>
      </c>
      <c r="L221" s="4">
        <v>47.0</v>
      </c>
      <c r="M221" s="4" t="s">
        <v>1425</v>
      </c>
      <c r="O221" s="5">
        <v>41275.0</v>
      </c>
      <c r="P221" s="5">
        <v>41639.0</v>
      </c>
      <c r="Q221" s="4" t="s">
        <v>66</v>
      </c>
      <c r="R221" s="4" t="s">
        <v>32</v>
      </c>
      <c r="S221" s="6" t="s">
        <v>2330</v>
      </c>
      <c r="T221" s="4" t="s">
        <v>2331</v>
      </c>
      <c r="U221" s="4">
        <v>12.0</v>
      </c>
      <c r="V221" s="4" t="s">
        <v>106</v>
      </c>
      <c r="W221" s="4">
        <v>39163.0</v>
      </c>
      <c r="X221" s="4" t="s">
        <v>2332</v>
      </c>
      <c r="Y221" s="4" t="s">
        <v>38</v>
      </c>
      <c r="Z221" s="4" t="s">
        <v>1427</v>
      </c>
      <c r="AA221" s="4">
        <v>2002.0</v>
      </c>
      <c r="AB221" s="4" t="s">
        <v>58</v>
      </c>
      <c r="AC221" s="5">
        <v>37565.0</v>
      </c>
      <c r="AD221" s="4" t="s">
        <v>1411</v>
      </c>
      <c r="AE221" s="5">
        <v>39268.0</v>
      </c>
    </row>
    <row r="222">
      <c r="A222" s="4" t="s">
        <v>1412</v>
      </c>
      <c r="B222" s="4" t="s">
        <v>1413</v>
      </c>
      <c r="C222" s="4" t="s">
        <v>1414</v>
      </c>
      <c r="D222" s="4" t="s">
        <v>1415</v>
      </c>
      <c r="E222" s="4" t="s">
        <v>80</v>
      </c>
      <c r="F222" s="4" t="s">
        <v>2333</v>
      </c>
      <c r="G222" s="4" t="s">
        <v>2334</v>
      </c>
      <c r="H222" s="4" t="s">
        <v>2335</v>
      </c>
      <c r="I222" s="4" t="s">
        <v>2336</v>
      </c>
      <c r="J222" s="5">
        <v>36678.0</v>
      </c>
      <c r="K222" s="5">
        <v>19236.0</v>
      </c>
      <c r="L222" s="4">
        <v>71.0</v>
      </c>
      <c r="M222" s="4" t="s">
        <v>1407</v>
      </c>
      <c r="O222" s="5">
        <v>38353.0</v>
      </c>
      <c r="P222" s="5">
        <v>38472.0</v>
      </c>
      <c r="Q222" s="4" t="s">
        <v>66</v>
      </c>
      <c r="R222" s="4" t="s">
        <v>32</v>
      </c>
      <c r="S222" s="6" t="s">
        <v>2337</v>
      </c>
      <c r="T222" s="4" t="s">
        <v>2338</v>
      </c>
      <c r="U222" s="4">
        <v>6.0</v>
      </c>
      <c r="V222" s="4" t="s">
        <v>55</v>
      </c>
      <c r="W222" s="4">
        <v>34699.0</v>
      </c>
      <c r="X222" s="4" t="s">
        <v>1899</v>
      </c>
      <c r="Y222" s="4" t="s">
        <v>59</v>
      </c>
      <c r="AD222" s="4" t="s">
        <v>1411</v>
      </c>
    </row>
    <row r="223">
      <c r="A223" s="4" t="s">
        <v>78</v>
      </c>
      <c r="B223" s="4" t="s">
        <v>1423</v>
      </c>
      <c r="C223" s="4" t="s">
        <v>109</v>
      </c>
      <c r="D223" s="4" t="s">
        <v>1424</v>
      </c>
      <c r="E223" s="4" t="s">
        <v>26</v>
      </c>
      <c r="F223" s="4" t="s">
        <v>640</v>
      </c>
      <c r="G223" s="4" t="s">
        <v>641</v>
      </c>
      <c r="H223" s="4" t="s">
        <v>642</v>
      </c>
      <c r="I223" s="4" t="s">
        <v>643</v>
      </c>
      <c r="J223" s="5">
        <v>39234.0</v>
      </c>
      <c r="K223" s="5">
        <v>25490.0</v>
      </c>
      <c r="L223" s="4">
        <v>54.0</v>
      </c>
      <c r="M223" s="4" t="s">
        <v>1425</v>
      </c>
      <c r="O223" s="5">
        <v>44927.0</v>
      </c>
      <c r="P223" s="5">
        <v>45291.0</v>
      </c>
      <c r="Q223" s="4" t="s">
        <v>66</v>
      </c>
      <c r="R223" s="4" t="s">
        <v>32</v>
      </c>
      <c r="S223" s="6" t="s">
        <v>2339</v>
      </c>
      <c r="T223" s="4" t="s">
        <v>644</v>
      </c>
      <c r="U223" s="4">
        <v>22.0</v>
      </c>
      <c r="V223" s="4" t="s">
        <v>359</v>
      </c>
      <c r="W223" s="4">
        <v>36161.0</v>
      </c>
      <c r="X223" s="4" t="s">
        <v>647</v>
      </c>
      <c r="Y223" s="4" t="s">
        <v>38</v>
      </c>
      <c r="Z223" s="4" t="s">
        <v>1433</v>
      </c>
      <c r="AA223" s="4">
        <v>2001.0</v>
      </c>
      <c r="AB223" s="4" t="s">
        <v>58</v>
      </c>
      <c r="AC223" s="5">
        <v>37190.0</v>
      </c>
      <c r="AD223" s="4" t="s">
        <v>1411</v>
      </c>
      <c r="AE223" s="5">
        <v>39268.0</v>
      </c>
    </row>
    <row r="224">
      <c r="A224" s="4" t="s">
        <v>1412</v>
      </c>
      <c r="B224" s="4" t="s">
        <v>1413</v>
      </c>
      <c r="C224" s="4" t="s">
        <v>1414</v>
      </c>
      <c r="D224" s="4" t="s">
        <v>1415</v>
      </c>
      <c r="E224" s="4" t="s">
        <v>26</v>
      </c>
      <c r="F224" s="4" t="s">
        <v>640</v>
      </c>
      <c r="G224" s="4" t="s">
        <v>528</v>
      </c>
      <c r="H224" s="4" t="s">
        <v>2340</v>
      </c>
      <c r="I224" s="4" t="s">
        <v>2341</v>
      </c>
      <c r="J224" s="5">
        <v>42430.0</v>
      </c>
      <c r="K224" s="5">
        <v>20061.0</v>
      </c>
      <c r="L224" s="4">
        <v>69.0</v>
      </c>
      <c r="M224" s="4" t="s">
        <v>1407</v>
      </c>
      <c r="N224" s="4" t="s">
        <v>1419</v>
      </c>
      <c r="O224" s="5">
        <v>38657.0</v>
      </c>
      <c r="P224" s="5">
        <v>38717.0</v>
      </c>
      <c r="Q224" s="4" t="s">
        <v>66</v>
      </c>
      <c r="R224" s="4" t="s">
        <v>32</v>
      </c>
      <c r="S224" s="6" t="s">
        <v>2342</v>
      </c>
      <c r="T224" s="4" t="s">
        <v>2343</v>
      </c>
      <c r="U224" s="4">
        <v>2.0</v>
      </c>
      <c r="V224" s="4" t="s">
        <v>1998</v>
      </c>
      <c r="W224" s="4">
        <v>32989.0</v>
      </c>
      <c r="X224" s="4" t="s">
        <v>173</v>
      </c>
      <c r="Y224" s="4" t="s">
        <v>59</v>
      </c>
      <c r="Z224" s="4" t="s">
        <v>1499</v>
      </c>
      <c r="AA224" s="4">
        <v>1979.0</v>
      </c>
      <c r="AB224" s="4" t="s">
        <v>58</v>
      </c>
      <c r="AC224" s="5">
        <v>29217.0</v>
      </c>
      <c r="AD224" s="4" t="s">
        <v>1411</v>
      </c>
    </row>
    <row r="225">
      <c r="A225" s="4" t="s">
        <v>1412</v>
      </c>
      <c r="B225" s="4" t="s">
        <v>1423</v>
      </c>
      <c r="C225" s="4" t="s">
        <v>109</v>
      </c>
      <c r="D225" s="4" t="s">
        <v>1424</v>
      </c>
      <c r="E225" s="4" t="s">
        <v>26</v>
      </c>
      <c r="F225" s="4" t="s">
        <v>2344</v>
      </c>
      <c r="G225" s="4" t="s">
        <v>2345</v>
      </c>
      <c r="H225" s="4" t="s">
        <v>2346</v>
      </c>
      <c r="I225" s="4" t="s">
        <v>2347</v>
      </c>
      <c r="J225" s="5">
        <v>22341.0</v>
      </c>
      <c r="K225" s="5">
        <v>13893.0</v>
      </c>
      <c r="L225" s="4">
        <v>86.0</v>
      </c>
      <c r="M225" s="4" t="s">
        <v>1407</v>
      </c>
      <c r="O225" s="5">
        <v>33725.0</v>
      </c>
      <c r="P225" s="5">
        <v>34580.0</v>
      </c>
      <c r="Q225" s="4" t="s">
        <v>31</v>
      </c>
      <c r="R225" s="4" t="s">
        <v>32</v>
      </c>
      <c r="S225" s="6" t="s">
        <v>2348</v>
      </c>
      <c r="T225" s="4" t="s">
        <v>2349</v>
      </c>
      <c r="U225" s="4">
        <v>6.0</v>
      </c>
      <c r="AD225" s="4" t="s">
        <v>1411</v>
      </c>
    </row>
    <row r="226">
      <c r="A226" s="4" t="s">
        <v>1465</v>
      </c>
      <c r="B226" s="4" t="s">
        <v>1423</v>
      </c>
      <c r="C226" s="4" t="s">
        <v>109</v>
      </c>
      <c r="D226" s="4" t="s">
        <v>1424</v>
      </c>
      <c r="E226" s="4" t="s">
        <v>80</v>
      </c>
      <c r="F226" s="4" t="s">
        <v>2350</v>
      </c>
      <c r="G226" s="4" t="s">
        <v>579</v>
      </c>
      <c r="H226" s="4" t="s">
        <v>2351</v>
      </c>
      <c r="I226" s="4" t="s">
        <v>2352</v>
      </c>
      <c r="J226" s="5">
        <v>33878.0</v>
      </c>
      <c r="K226" s="5">
        <v>15355.0</v>
      </c>
      <c r="L226" s="4">
        <v>82.0</v>
      </c>
      <c r="M226" s="4" t="s">
        <v>1407</v>
      </c>
      <c r="O226" s="5">
        <v>35490.0</v>
      </c>
      <c r="P226" s="5">
        <v>35854.0</v>
      </c>
      <c r="Q226" s="4" t="s">
        <v>31</v>
      </c>
      <c r="R226" s="4" t="s">
        <v>32</v>
      </c>
      <c r="S226" s="6" t="s">
        <v>2353</v>
      </c>
      <c r="T226" s="4" t="s">
        <v>2354</v>
      </c>
      <c r="U226" s="4">
        <v>22.0</v>
      </c>
      <c r="AD226" s="4" t="s">
        <v>1411</v>
      </c>
    </row>
    <row r="227">
      <c r="A227" s="4" t="s">
        <v>60</v>
      </c>
      <c r="B227" s="4" t="s">
        <v>1428</v>
      </c>
      <c r="C227" s="4" t="s">
        <v>79</v>
      </c>
      <c r="D227" s="4" t="s">
        <v>1429</v>
      </c>
      <c r="E227" s="4" t="s">
        <v>26</v>
      </c>
      <c r="F227" s="4" t="s">
        <v>2355</v>
      </c>
      <c r="G227" s="4" t="s">
        <v>2356</v>
      </c>
      <c r="H227" s="4" t="s">
        <v>2357</v>
      </c>
      <c r="I227" s="4" t="s">
        <v>2358</v>
      </c>
      <c r="J227" s="5">
        <v>31413.0</v>
      </c>
      <c r="K227" s="5">
        <v>19074.0</v>
      </c>
      <c r="L227" s="4">
        <v>71.0</v>
      </c>
      <c r="M227" s="4" t="s">
        <v>1407</v>
      </c>
      <c r="O227" s="5">
        <v>43160.0</v>
      </c>
      <c r="P227" s="5">
        <v>44773.0</v>
      </c>
      <c r="Q227" s="4" t="s">
        <v>31</v>
      </c>
      <c r="R227" s="4" t="s">
        <v>32</v>
      </c>
      <c r="S227" s="6" t="s">
        <v>2359</v>
      </c>
      <c r="T227" s="4" t="s">
        <v>2360</v>
      </c>
      <c r="U227" s="4">
        <v>6.0</v>
      </c>
      <c r="V227" s="4" t="s">
        <v>1998</v>
      </c>
      <c r="W227" s="4">
        <v>31714.0</v>
      </c>
      <c r="X227" s="4" t="s">
        <v>58</v>
      </c>
      <c r="Y227" s="4" t="s">
        <v>59</v>
      </c>
      <c r="Z227" s="4" t="s">
        <v>1499</v>
      </c>
      <c r="AA227" s="4">
        <v>1977.0</v>
      </c>
      <c r="AB227" s="4" t="s">
        <v>58</v>
      </c>
      <c r="AC227" s="5">
        <v>28457.0</v>
      </c>
      <c r="AD227" s="4" t="s">
        <v>1411</v>
      </c>
      <c r="AE227" s="5">
        <v>43110.0</v>
      </c>
    </row>
    <row r="228">
      <c r="A228" s="4" t="s">
        <v>78</v>
      </c>
      <c r="B228" s="4" t="s">
        <v>1447</v>
      </c>
      <c r="C228" s="4" t="s">
        <v>40</v>
      </c>
      <c r="D228" s="4" t="s">
        <v>1448</v>
      </c>
      <c r="E228" s="4" t="s">
        <v>26</v>
      </c>
      <c r="F228" s="4" t="s">
        <v>2361</v>
      </c>
      <c r="G228" s="4" t="s">
        <v>2362</v>
      </c>
      <c r="H228" s="4" t="s">
        <v>2363</v>
      </c>
      <c r="I228" s="4" t="s">
        <v>2364</v>
      </c>
      <c r="J228" s="5">
        <v>27273.0</v>
      </c>
      <c r="K228" s="5">
        <v>17851.0</v>
      </c>
      <c r="L228" s="4">
        <v>75.0</v>
      </c>
      <c r="M228" s="4" t="s">
        <v>1407</v>
      </c>
      <c r="N228" s="4" t="s">
        <v>1419</v>
      </c>
      <c r="O228" s="5">
        <v>43683.0</v>
      </c>
      <c r="P228" s="5">
        <v>43710.0</v>
      </c>
      <c r="Q228" s="4" t="s">
        <v>66</v>
      </c>
      <c r="R228" s="4" t="s">
        <v>32</v>
      </c>
      <c r="S228" s="6" t="s">
        <v>2365</v>
      </c>
      <c r="T228" s="4" t="s">
        <v>2366</v>
      </c>
      <c r="U228" s="4">
        <v>44.0</v>
      </c>
      <c r="V228" s="4" t="s">
        <v>2367</v>
      </c>
      <c r="W228" s="4">
        <v>30243.0</v>
      </c>
      <c r="X228" s="4" t="s">
        <v>58</v>
      </c>
      <c r="Y228" s="4" t="s">
        <v>59</v>
      </c>
      <c r="Z228" s="4" t="s">
        <v>2368</v>
      </c>
      <c r="AA228" s="4">
        <v>1982.0</v>
      </c>
      <c r="AB228" s="4" t="s">
        <v>2369</v>
      </c>
      <c r="AC228" s="5">
        <v>30243.0</v>
      </c>
      <c r="AD228" s="4" t="s">
        <v>1411</v>
      </c>
      <c r="AE228" s="5">
        <v>41305.0</v>
      </c>
    </row>
    <row r="229">
      <c r="A229" s="4" t="s">
        <v>78</v>
      </c>
      <c r="B229" s="4" t="s">
        <v>1540</v>
      </c>
      <c r="C229" s="4" t="s">
        <v>99</v>
      </c>
      <c r="D229" s="4" t="s">
        <v>1541</v>
      </c>
      <c r="E229" s="4" t="s">
        <v>26</v>
      </c>
      <c r="F229" s="4" t="s">
        <v>2370</v>
      </c>
      <c r="G229" s="4" t="s">
        <v>1764</v>
      </c>
      <c r="H229" s="4" t="s">
        <v>2371</v>
      </c>
      <c r="I229" s="4" t="s">
        <v>2372</v>
      </c>
      <c r="J229" s="5">
        <v>34213.0</v>
      </c>
      <c r="K229" s="5">
        <v>22250.0</v>
      </c>
      <c r="L229" s="4">
        <v>63.0</v>
      </c>
      <c r="M229" s="4" t="s">
        <v>1407</v>
      </c>
      <c r="O229" s="5">
        <v>42186.0</v>
      </c>
      <c r="P229" s="5">
        <v>42253.0</v>
      </c>
      <c r="Q229" s="4" t="s">
        <v>31</v>
      </c>
      <c r="R229" s="4" t="s">
        <v>32</v>
      </c>
      <c r="S229" s="6" t="s">
        <v>2373</v>
      </c>
      <c r="T229" s="4" t="s">
        <v>2374</v>
      </c>
      <c r="U229" s="4">
        <v>44.0</v>
      </c>
      <c r="V229" s="4" t="s">
        <v>106</v>
      </c>
      <c r="W229" s="4">
        <v>37621.0</v>
      </c>
      <c r="X229" s="4" t="s">
        <v>58</v>
      </c>
      <c r="Y229" s="4" t="s">
        <v>59</v>
      </c>
      <c r="Z229" s="4" t="s">
        <v>1590</v>
      </c>
      <c r="AA229" s="4">
        <v>1995.0</v>
      </c>
      <c r="AB229" s="4" t="s">
        <v>58</v>
      </c>
      <c r="AC229" s="5">
        <v>34712.0</v>
      </c>
      <c r="AD229" s="4" t="s">
        <v>1411</v>
      </c>
      <c r="AE229" s="5">
        <v>37825.0</v>
      </c>
    </row>
    <row r="230">
      <c r="A230" s="4" t="s">
        <v>1684</v>
      </c>
      <c r="B230" s="4" t="s">
        <v>1405</v>
      </c>
      <c r="C230" s="4" t="s">
        <v>317</v>
      </c>
      <c r="D230" s="4" t="s">
        <v>1406</v>
      </c>
      <c r="E230" s="4" t="s">
        <v>26</v>
      </c>
      <c r="F230" s="4" t="s">
        <v>1635</v>
      </c>
      <c r="G230" s="4" t="s">
        <v>2375</v>
      </c>
      <c r="H230" s="4" t="s">
        <v>2234</v>
      </c>
      <c r="I230" s="4" t="s">
        <v>2376</v>
      </c>
      <c r="J230" s="5">
        <v>38841.0</v>
      </c>
      <c r="K230" s="5">
        <v>17042.0</v>
      </c>
      <c r="L230" s="4">
        <v>77.0</v>
      </c>
      <c r="M230" s="4" t="s">
        <v>1407</v>
      </c>
      <c r="O230" s="5">
        <v>38841.0</v>
      </c>
      <c r="P230" s="5">
        <v>38929.0</v>
      </c>
      <c r="Q230" s="4" t="s">
        <v>66</v>
      </c>
      <c r="R230" s="4" t="s">
        <v>32</v>
      </c>
      <c r="S230" s="6" t="s">
        <v>2377</v>
      </c>
      <c r="T230" s="4" t="s">
        <v>2378</v>
      </c>
      <c r="U230" s="4">
        <v>12.0</v>
      </c>
      <c r="Z230" s="4" t="s">
        <v>1427</v>
      </c>
      <c r="AA230" s="4">
        <v>1975.0</v>
      </c>
      <c r="AB230" s="4" t="s">
        <v>58</v>
      </c>
      <c r="AC230" s="5">
        <v>27495.0</v>
      </c>
      <c r="AD230" s="4" t="s">
        <v>1411</v>
      </c>
      <c r="AE230" s="5">
        <v>38841.0</v>
      </c>
    </row>
    <row r="231">
      <c r="A231" s="4" t="s">
        <v>1465</v>
      </c>
      <c r="B231" s="4" t="s">
        <v>1849</v>
      </c>
      <c r="C231" s="4" t="s">
        <v>1850</v>
      </c>
      <c r="D231" s="4" t="s">
        <v>1851</v>
      </c>
      <c r="E231" s="4" t="s">
        <v>26</v>
      </c>
      <c r="F231" s="4" t="s">
        <v>1635</v>
      </c>
      <c r="G231" s="4" t="s">
        <v>2379</v>
      </c>
      <c r="H231" s="4" t="s">
        <v>2380</v>
      </c>
      <c r="I231" s="4" t="s">
        <v>2381</v>
      </c>
      <c r="J231" s="5">
        <v>27120.0</v>
      </c>
      <c r="K231" s="5">
        <v>18423.0</v>
      </c>
      <c r="L231" s="4">
        <v>73.0</v>
      </c>
      <c r="M231" s="4" t="s">
        <v>1407</v>
      </c>
      <c r="O231" s="5">
        <v>33695.0</v>
      </c>
      <c r="P231" s="5">
        <v>34546.0</v>
      </c>
      <c r="Q231" s="4" t="s">
        <v>31</v>
      </c>
      <c r="R231" s="4" t="s">
        <v>32</v>
      </c>
      <c r="S231" s="6" t="s">
        <v>2382</v>
      </c>
      <c r="T231" s="4" t="s">
        <v>2383</v>
      </c>
      <c r="U231" s="4">
        <v>6.0</v>
      </c>
      <c r="AD231" s="4" t="s">
        <v>1411</v>
      </c>
    </row>
    <row r="232">
      <c r="A232" s="4" t="s">
        <v>60</v>
      </c>
      <c r="B232" s="4" t="s">
        <v>1849</v>
      </c>
      <c r="C232" s="4" t="s">
        <v>1850</v>
      </c>
      <c r="D232" s="4" t="s">
        <v>1851</v>
      </c>
      <c r="E232" s="4" t="s">
        <v>26</v>
      </c>
      <c r="F232" s="4" t="s">
        <v>1635</v>
      </c>
      <c r="G232" s="4" t="s">
        <v>2321</v>
      </c>
      <c r="H232" s="4" t="s">
        <v>2384</v>
      </c>
      <c r="I232" s="4" t="s">
        <v>2385</v>
      </c>
      <c r="J232" s="5">
        <v>39814.0</v>
      </c>
      <c r="K232" s="5">
        <v>30092.0</v>
      </c>
      <c r="L232" s="4">
        <v>41.0</v>
      </c>
      <c r="M232" s="4" t="s">
        <v>1407</v>
      </c>
      <c r="O232" s="5">
        <v>42186.0</v>
      </c>
      <c r="P232" s="5">
        <v>42369.0</v>
      </c>
      <c r="Q232" s="4" t="s">
        <v>66</v>
      </c>
      <c r="R232" s="4" t="s">
        <v>32</v>
      </c>
      <c r="S232" s="6" t="s">
        <v>2386</v>
      </c>
      <c r="T232" s="4" t="s">
        <v>2387</v>
      </c>
      <c r="U232" s="4">
        <v>2.0</v>
      </c>
      <c r="V232" s="4" t="s">
        <v>55</v>
      </c>
      <c r="W232" s="4">
        <v>39083.0</v>
      </c>
      <c r="X232" s="4" t="s">
        <v>58</v>
      </c>
      <c r="Y232" s="4" t="s">
        <v>59</v>
      </c>
      <c r="Z232" s="4" t="s">
        <v>1427</v>
      </c>
      <c r="AA232" s="4">
        <v>2007.0</v>
      </c>
      <c r="AB232" s="4" t="s">
        <v>58</v>
      </c>
      <c r="AC232" s="5">
        <v>39367.0</v>
      </c>
      <c r="AD232" s="4" t="s">
        <v>1411</v>
      </c>
      <c r="AE232" s="5">
        <v>39541.0</v>
      </c>
    </row>
    <row r="233">
      <c r="A233" s="4" t="s">
        <v>78</v>
      </c>
      <c r="B233" s="4" t="s">
        <v>1423</v>
      </c>
      <c r="C233" s="4" t="s">
        <v>109</v>
      </c>
      <c r="D233" s="4" t="s">
        <v>1424</v>
      </c>
      <c r="E233" s="4" t="s">
        <v>80</v>
      </c>
      <c r="F233" s="4" t="s">
        <v>1133</v>
      </c>
      <c r="G233" s="4" t="s">
        <v>1134</v>
      </c>
      <c r="H233" s="4" t="s">
        <v>1135</v>
      </c>
      <c r="I233" s="4" t="s">
        <v>1136</v>
      </c>
      <c r="J233" s="5">
        <v>43586.0</v>
      </c>
      <c r="K233" s="5">
        <v>28592.0</v>
      </c>
      <c r="L233" s="4">
        <v>45.0</v>
      </c>
      <c r="M233" s="4" t="s">
        <v>1407</v>
      </c>
      <c r="O233" s="5">
        <v>44927.0</v>
      </c>
      <c r="P233" s="5">
        <v>45291.0</v>
      </c>
      <c r="Q233" s="4" t="s">
        <v>66</v>
      </c>
      <c r="R233" s="4" t="s">
        <v>32</v>
      </c>
      <c r="S233" s="6" t="s">
        <v>2388</v>
      </c>
      <c r="T233" s="4" t="s">
        <v>1137</v>
      </c>
      <c r="U233" s="4">
        <v>44.0</v>
      </c>
      <c r="V233" s="4" t="s">
        <v>34</v>
      </c>
      <c r="W233" s="4">
        <v>41964.0</v>
      </c>
      <c r="X233" s="4" t="s">
        <v>2389</v>
      </c>
      <c r="Y233" s="4" t="s">
        <v>791</v>
      </c>
      <c r="Z233" s="4" t="s">
        <v>1590</v>
      </c>
      <c r="AA233" s="4">
        <v>2003.0</v>
      </c>
      <c r="AB233" s="4" t="s">
        <v>58</v>
      </c>
      <c r="AC233" s="5">
        <v>37890.0</v>
      </c>
      <c r="AD233" s="4" t="s">
        <v>1411</v>
      </c>
      <c r="AE233" s="5">
        <v>43551.0</v>
      </c>
    </row>
    <row r="234">
      <c r="A234" s="4" t="s">
        <v>39</v>
      </c>
      <c r="B234" s="4" t="s">
        <v>1540</v>
      </c>
      <c r="C234" s="4" t="s">
        <v>99</v>
      </c>
      <c r="D234" s="4" t="s">
        <v>1541</v>
      </c>
      <c r="E234" s="4" t="s">
        <v>26</v>
      </c>
      <c r="F234" s="4" t="s">
        <v>1039</v>
      </c>
      <c r="G234" s="4" t="s">
        <v>1040</v>
      </c>
      <c r="H234" s="4" t="s">
        <v>1041</v>
      </c>
      <c r="I234" s="4" t="s">
        <v>1042</v>
      </c>
      <c r="J234" s="5">
        <v>42917.0</v>
      </c>
      <c r="K234" s="5">
        <v>25519.0</v>
      </c>
      <c r="L234" s="4">
        <v>54.0</v>
      </c>
      <c r="M234" s="4" t="s">
        <v>1425</v>
      </c>
      <c r="N234" s="4" t="s">
        <v>1419</v>
      </c>
      <c r="O234" s="5">
        <v>44866.0</v>
      </c>
      <c r="P234" s="5">
        <v>73050.0</v>
      </c>
      <c r="Q234" s="4" t="s">
        <v>31</v>
      </c>
      <c r="R234" s="4" t="s">
        <v>32</v>
      </c>
      <c r="S234" s="6" t="s">
        <v>2390</v>
      </c>
      <c r="T234" s="4" t="s">
        <v>1043</v>
      </c>
      <c r="U234" s="4">
        <v>44.0</v>
      </c>
      <c r="V234" s="4" t="s">
        <v>34</v>
      </c>
      <c r="W234" s="4">
        <v>42713.0</v>
      </c>
      <c r="X234" s="4" t="s">
        <v>1045</v>
      </c>
      <c r="Y234" s="4" t="s">
        <v>227</v>
      </c>
      <c r="Z234" s="4" t="s">
        <v>1563</v>
      </c>
      <c r="AA234" s="4">
        <v>1998.0</v>
      </c>
      <c r="AB234" s="4" t="s">
        <v>1007</v>
      </c>
      <c r="AC234" s="5">
        <v>35816.0</v>
      </c>
      <c r="AD234" s="4" t="s">
        <v>1411</v>
      </c>
      <c r="AE234" s="5">
        <v>44139.0</v>
      </c>
    </row>
    <row r="235">
      <c r="A235" s="4" t="s">
        <v>78</v>
      </c>
      <c r="B235" s="4" t="s">
        <v>1405</v>
      </c>
      <c r="C235" s="4" t="s">
        <v>317</v>
      </c>
      <c r="D235" s="4" t="s">
        <v>1406</v>
      </c>
      <c r="E235" s="4" t="s">
        <v>80</v>
      </c>
      <c r="F235" s="4" t="s">
        <v>811</v>
      </c>
      <c r="G235" s="4" t="s">
        <v>252</v>
      </c>
      <c r="H235" s="4" t="s">
        <v>812</v>
      </c>
      <c r="I235" s="4" t="s">
        <v>813</v>
      </c>
      <c r="J235" s="5">
        <v>40269.0</v>
      </c>
      <c r="K235" s="5">
        <v>29854.0</v>
      </c>
      <c r="L235" s="4">
        <v>42.0</v>
      </c>
      <c r="M235" s="4" t="s">
        <v>1425</v>
      </c>
      <c r="O235" s="5">
        <v>44927.0</v>
      </c>
      <c r="P235" s="5">
        <v>45291.0</v>
      </c>
      <c r="Q235" s="4" t="s">
        <v>66</v>
      </c>
      <c r="R235" s="4" t="s">
        <v>32</v>
      </c>
      <c r="S235" s="6" t="s">
        <v>2391</v>
      </c>
      <c r="T235" s="4" t="s">
        <v>814</v>
      </c>
      <c r="U235" s="4">
        <v>22.0</v>
      </c>
      <c r="V235" s="4" t="s">
        <v>34</v>
      </c>
      <c r="W235" s="4">
        <v>42908.0</v>
      </c>
      <c r="X235" s="4" t="s">
        <v>816</v>
      </c>
      <c r="Y235" s="4" t="s">
        <v>497</v>
      </c>
      <c r="Z235" s="4" t="s">
        <v>1433</v>
      </c>
      <c r="AA235" s="4">
        <v>2009.0</v>
      </c>
      <c r="AB235" s="4" t="s">
        <v>58</v>
      </c>
      <c r="AC235" s="5">
        <v>40085.0</v>
      </c>
      <c r="AD235" s="4" t="s">
        <v>1411</v>
      </c>
      <c r="AE235" s="5">
        <v>41242.0</v>
      </c>
    </row>
    <row r="236">
      <c r="A236" s="4" t="s">
        <v>60</v>
      </c>
      <c r="B236" s="4" t="s">
        <v>2392</v>
      </c>
      <c r="C236" s="4" t="s">
        <v>1268</v>
      </c>
      <c r="D236" s="4" t="s">
        <v>2393</v>
      </c>
      <c r="E236" s="4" t="s">
        <v>80</v>
      </c>
      <c r="F236" s="4" t="s">
        <v>811</v>
      </c>
      <c r="G236" s="4" t="s">
        <v>252</v>
      </c>
      <c r="H236" s="4" t="s">
        <v>2394</v>
      </c>
      <c r="I236" s="4" t="s">
        <v>2395</v>
      </c>
      <c r="J236" s="5">
        <v>41232.0</v>
      </c>
      <c r="K236" s="5">
        <v>32219.0</v>
      </c>
      <c r="L236" s="4">
        <v>35.0</v>
      </c>
      <c r="M236" s="4" t="s">
        <v>1407</v>
      </c>
      <c r="N236" s="4" t="s">
        <v>1419</v>
      </c>
      <c r="O236" s="5">
        <v>44927.0</v>
      </c>
      <c r="P236" s="5">
        <v>45030.0</v>
      </c>
      <c r="Q236" s="4" t="s">
        <v>104</v>
      </c>
      <c r="R236" s="4" t="s">
        <v>32</v>
      </c>
      <c r="S236" s="6" t="s">
        <v>2396</v>
      </c>
      <c r="T236" s="4" t="s">
        <v>2397</v>
      </c>
      <c r="U236" s="4">
        <v>44.0</v>
      </c>
      <c r="V236" s="4" t="s">
        <v>34</v>
      </c>
      <c r="W236" s="4">
        <v>43602.0</v>
      </c>
      <c r="X236" s="4" t="s">
        <v>58</v>
      </c>
      <c r="Y236" s="4" t="s">
        <v>59</v>
      </c>
      <c r="Z236" s="4" t="s">
        <v>1510</v>
      </c>
      <c r="AA236" s="4">
        <v>2012.0</v>
      </c>
      <c r="AB236" s="4" t="s">
        <v>58</v>
      </c>
      <c r="AC236" s="5">
        <v>40928.0</v>
      </c>
      <c r="AD236" s="4" t="s">
        <v>1411</v>
      </c>
      <c r="AE236" s="5">
        <v>44195.0</v>
      </c>
    </row>
    <row r="237">
      <c r="A237" s="4" t="s">
        <v>1434</v>
      </c>
      <c r="B237" s="4" t="s">
        <v>1540</v>
      </c>
      <c r="C237" s="4" t="s">
        <v>99</v>
      </c>
      <c r="D237" s="4" t="s">
        <v>1541</v>
      </c>
      <c r="E237" s="4" t="s">
        <v>26</v>
      </c>
      <c r="F237" s="4" t="s">
        <v>2398</v>
      </c>
      <c r="G237" s="4" t="s">
        <v>2399</v>
      </c>
      <c r="H237" s="4" t="s">
        <v>2400</v>
      </c>
      <c r="I237" s="4" t="s">
        <v>2401</v>
      </c>
      <c r="J237" s="5">
        <v>20121.0</v>
      </c>
      <c r="K237" s="5">
        <v>6290.0</v>
      </c>
      <c r="L237" s="4">
        <v>106.0</v>
      </c>
      <c r="M237" s="4" t="s">
        <v>1407</v>
      </c>
      <c r="O237" s="5">
        <v>33390.0</v>
      </c>
      <c r="P237" s="5">
        <v>34607.0</v>
      </c>
      <c r="Q237" s="4" t="s">
        <v>31</v>
      </c>
      <c r="R237" s="4" t="s">
        <v>32</v>
      </c>
      <c r="S237" s="6" t="s">
        <v>2402</v>
      </c>
      <c r="T237" s="4" t="s">
        <v>2403</v>
      </c>
      <c r="U237" s="4">
        <v>22.0</v>
      </c>
      <c r="AD237" s="4" t="s">
        <v>1411</v>
      </c>
    </row>
    <row r="238">
      <c r="A238" s="4" t="s">
        <v>1412</v>
      </c>
      <c r="B238" s="4" t="s">
        <v>1849</v>
      </c>
      <c r="C238" s="4" t="s">
        <v>1850</v>
      </c>
      <c r="D238" s="4" t="s">
        <v>1851</v>
      </c>
      <c r="E238" s="4" t="s">
        <v>80</v>
      </c>
      <c r="F238" s="4" t="s">
        <v>2404</v>
      </c>
      <c r="G238" s="4" t="s">
        <v>2405</v>
      </c>
      <c r="H238" s="4" t="s">
        <v>2166</v>
      </c>
      <c r="I238" s="4" t="s">
        <v>2406</v>
      </c>
      <c r="J238" s="5">
        <v>22525.0</v>
      </c>
      <c r="K238" s="5">
        <v>12313.0</v>
      </c>
      <c r="L238" s="4">
        <v>90.0</v>
      </c>
      <c r="M238" s="4" t="s">
        <v>1407</v>
      </c>
      <c r="O238" s="5">
        <v>33512.0</v>
      </c>
      <c r="P238" s="5">
        <v>36646.0</v>
      </c>
      <c r="Q238" s="4" t="s">
        <v>1694</v>
      </c>
      <c r="R238" s="4" t="s">
        <v>32</v>
      </c>
      <c r="S238" s="6" t="s">
        <v>2407</v>
      </c>
      <c r="T238" s="4" t="s">
        <v>2408</v>
      </c>
      <c r="U238" s="4">
        <v>6.0</v>
      </c>
      <c r="AD238" s="4" t="s">
        <v>1411</v>
      </c>
    </row>
    <row r="239">
      <c r="A239" s="4" t="s">
        <v>1412</v>
      </c>
      <c r="B239" s="4" t="s">
        <v>1423</v>
      </c>
      <c r="C239" s="4" t="s">
        <v>109</v>
      </c>
      <c r="D239" s="4" t="s">
        <v>1424</v>
      </c>
      <c r="E239" s="4" t="s">
        <v>80</v>
      </c>
      <c r="F239" s="4" t="s">
        <v>2409</v>
      </c>
      <c r="G239" s="4" t="s">
        <v>2410</v>
      </c>
      <c r="H239" s="4" t="s">
        <v>2411</v>
      </c>
      <c r="I239" s="4" t="s">
        <v>2412</v>
      </c>
      <c r="J239" s="5">
        <v>22525.0</v>
      </c>
      <c r="K239" s="5">
        <v>12275.0</v>
      </c>
      <c r="L239" s="4">
        <v>90.0</v>
      </c>
      <c r="M239" s="4" t="s">
        <v>1585</v>
      </c>
      <c r="O239" s="5">
        <v>39904.0</v>
      </c>
      <c r="P239" s="5">
        <v>39994.0</v>
      </c>
      <c r="Q239" s="4" t="s">
        <v>66</v>
      </c>
      <c r="R239" s="4" t="s">
        <v>32</v>
      </c>
      <c r="S239" s="6" t="s">
        <v>2413</v>
      </c>
      <c r="T239" s="4" t="s">
        <v>2414</v>
      </c>
      <c r="U239" s="4">
        <v>2.0</v>
      </c>
      <c r="V239" s="4" t="s">
        <v>106</v>
      </c>
      <c r="W239" s="4">
        <v>38243.0</v>
      </c>
      <c r="X239" s="4" t="s">
        <v>661</v>
      </c>
      <c r="Y239" s="4" t="s">
        <v>59</v>
      </c>
      <c r="Z239" s="4" t="s">
        <v>1427</v>
      </c>
      <c r="AA239" s="4">
        <v>1965.0</v>
      </c>
      <c r="AB239" s="4" t="s">
        <v>58</v>
      </c>
      <c r="AC239" s="5">
        <v>24098.0</v>
      </c>
      <c r="AD239" s="4" t="s">
        <v>1866</v>
      </c>
      <c r="AE239" s="5">
        <v>33707.0</v>
      </c>
    </row>
    <row r="240">
      <c r="A240" s="4" t="s">
        <v>60</v>
      </c>
      <c r="B240" s="4" t="s">
        <v>1423</v>
      </c>
      <c r="C240" s="4" t="s">
        <v>109</v>
      </c>
      <c r="D240" s="4" t="s">
        <v>1424</v>
      </c>
      <c r="E240" s="4" t="s">
        <v>26</v>
      </c>
      <c r="F240" s="4" t="s">
        <v>2415</v>
      </c>
      <c r="G240" s="4" t="s">
        <v>2416</v>
      </c>
      <c r="H240" s="4" t="s">
        <v>2417</v>
      </c>
      <c r="I240" s="4" t="s">
        <v>2418</v>
      </c>
      <c r="J240" s="5">
        <v>40179.0</v>
      </c>
      <c r="K240" s="5">
        <v>26813.0</v>
      </c>
      <c r="L240" s="4">
        <v>50.0</v>
      </c>
      <c r="M240" s="4" t="s">
        <v>1407</v>
      </c>
      <c r="O240" s="5">
        <v>44197.0</v>
      </c>
      <c r="P240" s="5">
        <v>44241.0</v>
      </c>
      <c r="Q240" s="4" t="s">
        <v>66</v>
      </c>
      <c r="R240" s="4" t="s">
        <v>32</v>
      </c>
      <c r="S240" s="6" t="s">
        <v>2419</v>
      </c>
      <c r="T240" s="4" t="s">
        <v>2419</v>
      </c>
      <c r="U240" s="4">
        <v>44.0</v>
      </c>
      <c r="V240" s="4" t="s">
        <v>34</v>
      </c>
      <c r="W240" s="4">
        <v>38974.0</v>
      </c>
      <c r="X240" s="4" t="s">
        <v>2420</v>
      </c>
      <c r="Y240" s="4" t="s">
        <v>89</v>
      </c>
      <c r="Z240" s="4" t="s">
        <v>1427</v>
      </c>
      <c r="AA240" s="4">
        <v>1997.0</v>
      </c>
      <c r="AB240" s="4" t="s">
        <v>2183</v>
      </c>
      <c r="AC240" s="5">
        <v>35713.0</v>
      </c>
      <c r="AD240" s="4" t="s">
        <v>1411</v>
      </c>
      <c r="AE240" s="5">
        <v>41850.0</v>
      </c>
    </row>
    <row r="241">
      <c r="A241" s="4" t="s">
        <v>78</v>
      </c>
      <c r="B241" s="4" t="s">
        <v>1405</v>
      </c>
      <c r="C241" s="4" t="s">
        <v>317</v>
      </c>
      <c r="D241" s="4" t="s">
        <v>1406</v>
      </c>
      <c r="E241" s="4" t="s">
        <v>26</v>
      </c>
      <c r="F241" s="4" t="s">
        <v>2421</v>
      </c>
      <c r="G241" s="4" t="s">
        <v>2101</v>
      </c>
      <c r="H241" s="4" t="s">
        <v>2422</v>
      </c>
      <c r="I241" s="4" t="s">
        <v>2423</v>
      </c>
      <c r="J241" s="5">
        <v>39508.0</v>
      </c>
      <c r="K241" s="5">
        <v>29000.0</v>
      </c>
      <c r="L241" s="4">
        <v>44.0</v>
      </c>
      <c r="M241" s="4" t="s">
        <v>1407</v>
      </c>
      <c r="N241" s="4" t="s">
        <v>1461</v>
      </c>
      <c r="O241" s="5">
        <v>43466.0</v>
      </c>
      <c r="P241" s="5">
        <v>43677.0</v>
      </c>
      <c r="Q241" s="4" t="s">
        <v>66</v>
      </c>
      <c r="R241" s="4" t="s">
        <v>32</v>
      </c>
      <c r="S241" s="6" t="s">
        <v>2424</v>
      </c>
      <c r="T241" s="4" t="s">
        <v>2425</v>
      </c>
      <c r="U241" s="4">
        <v>22.0</v>
      </c>
      <c r="V241" s="4" t="s">
        <v>2426</v>
      </c>
      <c r="W241" s="4">
        <v>41240.0</v>
      </c>
      <c r="X241" s="4" t="s">
        <v>58</v>
      </c>
      <c r="Y241" s="4" t="s">
        <v>59</v>
      </c>
      <c r="Z241" s="4" t="s">
        <v>2427</v>
      </c>
      <c r="AA241" s="4">
        <v>2005.0</v>
      </c>
      <c r="AB241" s="4" t="s">
        <v>438</v>
      </c>
      <c r="AC241" s="5">
        <v>38595.0</v>
      </c>
      <c r="AD241" s="4" t="s">
        <v>1411</v>
      </c>
      <c r="AE241" s="5">
        <v>42366.0</v>
      </c>
    </row>
    <row r="242">
      <c r="A242" s="4" t="s">
        <v>78</v>
      </c>
      <c r="B242" s="4" t="s">
        <v>1473</v>
      </c>
      <c r="C242" s="4" t="s">
        <v>25</v>
      </c>
      <c r="D242" s="4" t="s">
        <v>1474</v>
      </c>
      <c r="E242" s="4" t="s">
        <v>26</v>
      </c>
      <c r="F242" s="4" t="s">
        <v>1214</v>
      </c>
      <c r="G242" s="4" t="s">
        <v>1114</v>
      </c>
      <c r="H242" s="4" t="s">
        <v>1215</v>
      </c>
      <c r="I242" s="4" t="s">
        <v>1216</v>
      </c>
      <c r="J242" s="5">
        <v>43374.0</v>
      </c>
      <c r="K242" s="5">
        <v>26796.0</v>
      </c>
      <c r="L242" s="4">
        <v>50.0</v>
      </c>
      <c r="M242" s="4" t="s">
        <v>1407</v>
      </c>
      <c r="O242" s="5">
        <v>44927.0</v>
      </c>
      <c r="P242" s="5">
        <v>45291.0</v>
      </c>
      <c r="Q242" s="4" t="s">
        <v>66</v>
      </c>
      <c r="R242" s="4" t="s">
        <v>32</v>
      </c>
      <c r="S242" s="6" t="s">
        <v>1217</v>
      </c>
      <c r="T242" s="4" t="s">
        <v>1217</v>
      </c>
      <c r="U242" s="4">
        <v>44.0</v>
      </c>
      <c r="V242" s="4" t="s">
        <v>34</v>
      </c>
      <c r="W242" s="4">
        <v>38077.0</v>
      </c>
      <c r="X242" s="4" t="s">
        <v>1219</v>
      </c>
      <c r="Y242" s="4" t="s">
        <v>98</v>
      </c>
      <c r="Z242" s="4" t="s">
        <v>2428</v>
      </c>
      <c r="AA242" s="4">
        <v>1999.0</v>
      </c>
      <c r="AB242" s="4" t="s">
        <v>2429</v>
      </c>
      <c r="AC242" s="5">
        <v>36161.0</v>
      </c>
      <c r="AD242" s="4" t="s">
        <v>2430</v>
      </c>
      <c r="AE242" s="5">
        <v>44524.0</v>
      </c>
    </row>
    <row r="243">
      <c r="A243" s="4" t="s">
        <v>1412</v>
      </c>
      <c r="B243" s="4" t="s">
        <v>1849</v>
      </c>
      <c r="C243" s="4" t="s">
        <v>1850</v>
      </c>
      <c r="D243" s="4" t="s">
        <v>1851</v>
      </c>
      <c r="E243" s="4" t="s">
        <v>26</v>
      </c>
      <c r="F243" s="4" t="s">
        <v>2431</v>
      </c>
      <c r="G243" s="4" t="s">
        <v>2432</v>
      </c>
      <c r="H243" s="4" t="s">
        <v>703</v>
      </c>
      <c r="I243" s="4" t="s">
        <v>2433</v>
      </c>
      <c r="J243" s="5">
        <v>37438.0</v>
      </c>
      <c r="K243" s="5">
        <v>26956.0</v>
      </c>
      <c r="L243" s="4">
        <v>50.0</v>
      </c>
      <c r="M243" s="4" t="s">
        <v>1407</v>
      </c>
      <c r="O243" s="5">
        <v>38353.0</v>
      </c>
      <c r="P243" s="5">
        <v>38472.0</v>
      </c>
      <c r="Q243" s="4" t="s">
        <v>66</v>
      </c>
      <c r="R243" s="4" t="s">
        <v>32</v>
      </c>
      <c r="S243" s="6" t="s">
        <v>2434</v>
      </c>
      <c r="T243" s="4" t="s">
        <v>2435</v>
      </c>
      <c r="U243" s="4">
        <v>3.0</v>
      </c>
      <c r="V243" s="4" t="s">
        <v>1492</v>
      </c>
      <c r="W243" s="4">
        <v>37622.0</v>
      </c>
      <c r="X243" s="4" t="s">
        <v>58</v>
      </c>
      <c r="Y243" s="4" t="s">
        <v>59</v>
      </c>
      <c r="Z243" s="4" t="s">
        <v>1427</v>
      </c>
      <c r="AA243" s="4">
        <v>2003.0</v>
      </c>
      <c r="AB243" s="4" t="s">
        <v>58</v>
      </c>
      <c r="AC243" s="5">
        <v>37635.0</v>
      </c>
      <c r="AD243" s="4" t="s">
        <v>1411</v>
      </c>
    </row>
    <row r="244">
      <c r="A244" s="4" t="s">
        <v>60</v>
      </c>
      <c r="B244" s="4" t="s">
        <v>1540</v>
      </c>
      <c r="C244" s="4" t="s">
        <v>99</v>
      </c>
      <c r="D244" s="4" t="s">
        <v>1541</v>
      </c>
      <c r="E244" s="4" t="s">
        <v>26</v>
      </c>
      <c r="F244" s="4" t="s">
        <v>424</v>
      </c>
      <c r="G244" s="4" t="s">
        <v>425</v>
      </c>
      <c r="H244" s="4" t="s">
        <v>426</v>
      </c>
      <c r="I244" s="4" t="s">
        <v>427</v>
      </c>
      <c r="J244" s="5">
        <v>38200.0</v>
      </c>
      <c r="K244" s="5">
        <v>29111.0</v>
      </c>
      <c r="L244" s="4">
        <v>44.0</v>
      </c>
      <c r="M244" s="4" t="s">
        <v>1425</v>
      </c>
      <c r="O244" s="5">
        <v>43556.0</v>
      </c>
      <c r="P244" s="5">
        <v>73050.0</v>
      </c>
      <c r="Q244" s="4" t="s">
        <v>31</v>
      </c>
      <c r="R244" s="4" t="s">
        <v>32</v>
      </c>
      <c r="S244" s="6" t="s">
        <v>2436</v>
      </c>
      <c r="T244" s="4" t="s">
        <v>428</v>
      </c>
      <c r="U244" s="4">
        <v>44.0</v>
      </c>
      <c r="V244" s="4" t="s">
        <v>34</v>
      </c>
      <c r="W244" s="4">
        <v>41030.0</v>
      </c>
      <c r="X244" s="4" t="s">
        <v>431</v>
      </c>
      <c r="Y244" s="4" t="s">
        <v>227</v>
      </c>
      <c r="Z244" s="4" t="s">
        <v>1427</v>
      </c>
      <c r="AA244" s="4">
        <v>2003.0</v>
      </c>
      <c r="AB244" s="4" t="s">
        <v>58</v>
      </c>
      <c r="AC244" s="5">
        <v>37967.0</v>
      </c>
      <c r="AD244" s="4" t="s">
        <v>1411</v>
      </c>
      <c r="AE244" s="5">
        <v>42123.0</v>
      </c>
    </row>
    <row r="245">
      <c r="A245" s="4" t="s">
        <v>1412</v>
      </c>
      <c r="B245" s="4" t="s">
        <v>1423</v>
      </c>
      <c r="C245" s="4" t="s">
        <v>109</v>
      </c>
      <c r="D245" s="4" t="s">
        <v>1424</v>
      </c>
      <c r="E245" s="4" t="s">
        <v>26</v>
      </c>
      <c r="F245" s="4" t="s">
        <v>2437</v>
      </c>
      <c r="G245" s="4" t="s">
        <v>2438</v>
      </c>
      <c r="H245" s="4" t="s">
        <v>2439</v>
      </c>
      <c r="I245" s="4" t="s">
        <v>2440</v>
      </c>
      <c r="J245" s="5">
        <v>36039.0</v>
      </c>
      <c r="K245" s="5">
        <v>22369.0</v>
      </c>
      <c r="L245" s="4">
        <v>62.0</v>
      </c>
      <c r="M245" s="4" t="s">
        <v>1425</v>
      </c>
      <c r="O245" s="5">
        <v>36039.0</v>
      </c>
      <c r="P245" s="5">
        <v>36891.0</v>
      </c>
      <c r="Q245" s="4" t="s">
        <v>1694</v>
      </c>
      <c r="R245" s="4" t="s">
        <v>32</v>
      </c>
      <c r="S245" s="6" t="s">
        <v>2441</v>
      </c>
      <c r="T245" s="4" t="s">
        <v>2441</v>
      </c>
      <c r="U245" s="4">
        <v>6.0</v>
      </c>
      <c r="V245" s="4" t="s">
        <v>1492</v>
      </c>
      <c r="W245" s="4">
        <v>1.0</v>
      </c>
      <c r="X245" s="4" t="s">
        <v>1464</v>
      </c>
      <c r="Y245" s="4" t="s">
        <v>59</v>
      </c>
      <c r="AD245" s="4" t="s">
        <v>1411</v>
      </c>
    </row>
    <row r="246">
      <c r="A246" s="4" t="s">
        <v>24</v>
      </c>
      <c r="B246" s="4" t="s">
        <v>1430</v>
      </c>
      <c r="C246" s="4" t="s">
        <v>61</v>
      </c>
      <c r="D246" s="4" t="s">
        <v>1431</v>
      </c>
      <c r="E246" s="4" t="s">
        <v>80</v>
      </c>
      <c r="F246" s="4" t="s">
        <v>251</v>
      </c>
      <c r="G246" s="4" t="s">
        <v>252</v>
      </c>
      <c r="H246" s="4" t="s">
        <v>253</v>
      </c>
      <c r="I246" s="4" t="s">
        <v>254</v>
      </c>
      <c r="J246" s="5">
        <v>35278.0</v>
      </c>
      <c r="K246" s="5">
        <v>18563.0</v>
      </c>
      <c r="L246" s="4">
        <v>73.0</v>
      </c>
      <c r="M246" s="4" t="s">
        <v>1425</v>
      </c>
      <c r="N246" s="4" t="s">
        <v>1419</v>
      </c>
      <c r="O246" s="5">
        <v>42705.0</v>
      </c>
      <c r="P246" s="5">
        <v>73050.0</v>
      </c>
      <c r="Q246" s="4" t="s">
        <v>31</v>
      </c>
      <c r="R246" s="4" t="s">
        <v>32</v>
      </c>
      <c r="S246" s="6" t="s">
        <v>2442</v>
      </c>
      <c r="T246" s="4" t="s">
        <v>255</v>
      </c>
      <c r="U246" s="4">
        <v>22.0</v>
      </c>
      <c r="V246" s="4" t="s">
        <v>34</v>
      </c>
      <c r="W246" s="4">
        <v>41870.0</v>
      </c>
      <c r="X246" s="4" t="s">
        <v>58</v>
      </c>
      <c r="Y246" s="4" t="s">
        <v>59</v>
      </c>
      <c r="Z246" s="4" t="s">
        <v>1422</v>
      </c>
      <c r="AA246" s="4">
        <v>1994.0</v>
      </c>
      <c r="AB246" s="4" t="s">
        <v>438</v>
      </c>
      <c r="AC246" s="5">
        <v>34648.0</v>
      </c>
      <c r="AD246" s="4" t="s">
        <v>1411</v>
      </c>
      <c r="AE246" s="5">
        <v>42683.0</v>
      </c>
    </row>
    <row r="247">
      <c r="A247" s="4" t="s">
        <v>60</v>
      </c>
      <c r="B247" s="4" t="s">
        <v>1405</v>
      </c>
      <c r="C247" s="4" t="s">
        <v>317</v>
      </c>
      <c r="D247" s="4" t="s">
        <v>1406</v>
      </c>
      <c r="E247" s="4" t="s">
        <v>26</v>
      </c>
      <c r="F247" s="4" t="s">
        <v>2443</v>
      </c>
      <c r="G247" s="4" t="s">
        <v>1194</v>
      </c>
      <c r="H247" s="4" t="s">
        <v>2444</v>
      </c>
      <c r="I247" s="4" t="s">
        <v>2445</v>
      </c>
      <c r="J247" s="5">
        <v>42552.0</v>
      </c>
      <c r="K247" s="5">
        <v>29698.0</v>
      </c>
      <c r="L247" s="4">
        <v>42.0</v>
      </c>
      <c r="M247" s="4" t="s">
        <v>1425</v>
      </c>
      <c r="N247" s="4" t="s">
        <v>1419</v>
      </c>
      <c r="O247" s="5">
        <v>43831.0</v>
      </c>
      <c r="P247" s="5">
        <v>43890.0</v>
      </c>
      <c r="Q247" s="4" t="s">
        <v>66</v>
      </c>
      <c r="R247" s="4" t="s">
        <v>32</v>
      </c>
      <c r="S247" s="6" t="s">
        <v>2446</v>
      </c>
      <c r="T247" s="4" t="s">
        <v>2446</v>
      </c>
      <c r="U247" s="4">
        <v>12.0</v>
      </c>
      <c r="V247" s="4" t="s">
        <v>359</v>
      </c>
      <c r="W247" s="4">
        <v>41491.0</v>
      </c>
      <c r="X247" s="4" t="s">
        <v>2447</v>
      </c>
      <c r="Y247" s="4" t="s">
        <v>89</v>
      </c>
      <c r="Z247" s="4" t="s">
        <v>1510</v>
      </c>
      <c r="AA247" s="4">
        <v>2010.0</v>
      </c>
      <c r="AB247" s="4" t="s">
        <v>58</v>
      </c>
      <c r="AC247" s="5">
        <v>40498.0</v>
      </c>
      <c r="AD247" s="4" t="s">
        <v>1411</v>
      </c>
      <c r="AE247" s="5">
        <v>42502.0</v>
      </c>
    </row>
    <row r="248">
      <c r="A248" s="4" t="s">
        <v>1412</v>
      </c>
      <c r="B248" s="4" t="s">
        <v>1413</v>
      </c>
      <c r="C248" s="4" t="s">
        <v>1414</v>
      </c>
      <c r="D248" s="4" t="s">
        <v>1415</v>
      </c>
      <c r="E248" s="4" t="s">
        <v>26</v>
      </c>
      <c r="F248" s="4" t="s">
        <v>2211</v>
      </c>
      <c r="G248" s="4" t="s">
        <v>1392</v>
      </c>
      <c r="H248" s="4" t="s">
        <v>2448</v>
      </c>
      <c r="I248" s="4" t="s">
        <v>2449</v>
      </c>
      <c r="J248" s="5">
        <v>37591.0</v>
      </c>
      <c r="K248" s="5">
        <v>23550.0</v>
      </c>
      <c r="L248" s="4">
        <v>59.0</v>
      </c>
      <c r="M248" s="4" t="s">
        <v>1425</v>
      </c>
      <c r="O248" s="5">
        <v>38078.0</v>
      </c>
      <c r="P248" s="5">
        <v>38230.0</v>
      </c>
      <c r="Q248" s="4" t="s">
        <v>66</v>
      </c>
      <c r="R248" s="4" t="s">
        <v>32</v>
      </c>
      <c r="S248" s="6" t="s">
        <v>2450</v>
      </c>
      <c r="T248" s="4" t="s">
        <v>2451</v>
      </c>
      <c r="U248" s="4">
        <v>12.0</v>
      </c>
      <c r="Z248" s="4" t="s">
        <v>1427</v>
      </c>
      <c r="AA248" s="4">
        <v>1999.0</v>
      </c>
      <c r="AB248" s="4" t="s">
        <v>2452</v>
      </c>
      <c r="AC248" s="5">
        <v>36399.0</v>
      </c>
      <c r="AD248" s="4" t="s">
        <v>1411</v>
      </c>
    </row>
    <row r="249">
      <c r="A249" s="4" t="s">
        <v>1684</v>
      </c>
      <c r="B249" s="4" t="s">
        <v>1413</v>
      </c>
      <c r="C249" s="4" t="s">
        <v>1414</v>
      </c>
      <c r="D249" s="4" t="s">
        <v>1415</v>
      </c>
      <c r="E249" s="4" t="s">
        <v>26</v>
      </c>
      <c r="F249" s="4" t="s">
        <v>2453</v>
      </c>
      <c r="G249" s="4" t="s">
        <v>2454</v>
      </c>
      <c r="H249" s="4" t="s">
        <v>2455</v>
      </c>
      <c r="I249" s="4" t="s">
        <v>2456</v>
      </c>
      <c r="J249" s="5">
        <v>38869.0</v>
      </c>
      <c r="K249" s="5">
        <v>25039.0</v>
      </c>
      <c r="L249" s="4">
        <v>55.0</v>
      </c>
      <c r="M249" s="4" t="s">
        <v>1407</v>
      </c>
      <c r="O249" s="5">
        <v>39083.0</v>
      </c>
      <c r="P249" s="5">
        <v>39294.0</v>
      </c>
      <c r="Q249" s="4" t="s">
        <v>66</v>
      </c>
      <c r="R249" s="4" t="s">
        <v>32</v>
      </c>
      <c r="S249" s="6" t="s">
        <v>2457</v>
      </c>
      <c r="T249" s="4" t="s">
        <v>2458</v>
      </c>
      <c r="U249" s="4">
        <v>12.0</v>
      </c>
      <c r="V249" s="4" t="s">
        <v>375</v>
      </c>
      <c r="W249" s="4">
        <v>37957.0</v>
      </c>
      <c r="X249" s="4" t="s">
        <v>58</v>
      </c>
      <c r="Y249" s="4" t="s">
        <v>59</v>
      </c>
      <c r="Z249" s="4" t="s">
        <v>2459</v>
      </c>
      <c r="AA249" s="4">
        <v>1994.0</v>
      </c>
      <c r="AB249" s="4" t="s">
        <v>2460</v>
      </c>
      <c r="AC249" s="5">
        <v>34690.0</v>
      </c>
      <c r="AD249" s="4" t="s">
        <v>1866</v>
      </c>
      <c r="AE249" s="5">
        <v>38141.0</v>
      </c>
    </row>
    <row r="250">
      <c r="A250" s="4" t="s">
        <v>1412</v>
      </c>
      <c r="B250" s="4" t="s">
        <v>1447</v>
      </c>
      <c r="C250" s="4" t="s">
        <v>40</v>
      </c>
      <c r="D250" s="4" t="s">
        <v>1448</v>
      </c>
      <c r="E250" s="4" t="s">
        <v>80</v>
      </c>
      <c r="F250" s="4" t="s">
        <v>2461</v>
      </c>
      <c r="G250" s="4" t="s">
        <v>2462</v>
      </c>
      <c r="H250" s="4" t="s">
        <v>515</v>
      </c>
      <c r="I250" s="4" t="s">
        <v>2463</v>
      </c>
      <c r="J250" s="5">
        <v>34060.0</v>
      </c>
      <c r="K250" s="5">
        <v>17675.0</v>
      </c>
      <c r="L250" s="4">
        <v>75.0</v>
      </c>
      <c r="M250" s="4" t="s">
        <v>1425</v>
      </c>
      <c r="O250" s="5">
        <v>38353.0</v>
      </c>
      <c r="P250" s="5">
        <v>38472.0</v>
      </c>
      <c r="Q250" s="4" t="s">
        <v>104</v>
      </c>
      <c r="R250" s="4" t="s">
        <v>32</v>
      </c>
      <c r="S250" s="6" t="s">
        <v>2464</v>
      </c>
      <c r="T250" s="4" t="s">
        <v>2465</v>
      </c>
      <c r="U250" s="4">
        <v>2.0</v>
      </c>
      <c r="V250" s="4" t="s">
        <v>1492</v>
      </c>
      <c r="W250" s="4">
        <v>28122.0</v>
      </c>
      <c r="X250" s="4" t="s">
        <v>2466</v>
      </c>
      <c r="Y250" s="4" t="s">
        <v>59</v>
      </c>
      <c r="Z250" s="4" t="s">
        <v>1427</v>
      </c>
      <c r="AA250" s="4">
        <v>1976.0</v>
      </c>
      <c r="AB250" s="4" t="s">
        <v>438</v>
      </c>
      <c r="AC250" s="5">
        <v>28122.0</v>
      </c>
      <c r="AD250" s="4" t="s">
        <v>1411</v>
      </c>
    </row>
    <row r="251">
      <c r="A251" s="4" t="s">
        <v>1465</v>
      </c>
      <c r="B251" s="4" t="s">
        <v>1447</v>
      </c>
      <c r="C251" s="4" t="s">
        <v>40</v>
      </c>
      <c r="D251" s="4" t="s">
        <v>1448</v>
      </c>
      <c r="E251" s="4" t="s">
        <v>26</v>
      </c>
      <c r="F251" s="4" t="s">
        <v>111</v>
      </c>
      <c r="G251" s="4" t="s">
        <v>2467</v>
      </c>
      <c r="H251" s="4" t="s">
        <v>1735</v>
      </c>
      <c r="I251" s="4" t="s">
        <v>2468</v>
      </c>
      <c r="J251" s="5">
        <v>36161.0</v>
      </c>
      <c r="K251" s="5">
        <v>20648.0</v>
      </c>
      <c r="L251" s="4">
        <v>67.0</v>
      </c>
      <c r="M251" s="4" t="s">
        <v>1407</v>
      </c>
      <c r="O251" s="5">
        <v>37803.0</v>
      </c>
      <c r="P251" s="5">
        <v>37833.0</v>
      </c>
      <c r="Q251" s="4" t="s">
        <v>66</v>
      </c>
      <c r="R251" s="4" t="s">
        <v>32</v>
      </c>
      <c r="S251" s="6" t="s">
        <v>2469</v>
      </c>
      <c r="T251" s="4" t="s">
        <v>2470</v>
      </c>
      <c r="U251" s="4">
        <v>12.0</v>
      </c>
      <c r="V251" s="4" t="s">
        <v>55</v>
      </c>
      <c r="W251" s="4">
        <v>34670.0</v>
      </c>
      <c r="X251" s="4" t="s">
        <v>383</v>
      </c>
      <c r="Y251" s="4" t="s">
        <v>59</v>
      </c>
      <c r="Z251" s="4" t="s">
        <v>1519</v>
      </c>
      <c r="AA251" s="4">
        <v>1994.0</v>
      </c>
      <c r="AB251" s="4" t="s">
        <v>383</v>
      </c>
      <c r="AC251" s="5">
        <v>34699.0</v>
      </c>
      <c r="AD251" s="4" t="s">
        <v>1411</v>
      </c>
    </row>
    <row r="252">
      <c r="A252" s="4" t="s">
        <v>1412</v>
      </c>
      <c r="B252" s="4" t="s">
        <v>1413</v>
      </c>
      <c r="C252" s="4" t="s">
        <v>1414</v>
      </c>
      <c r="D252" s="4" t="s">
        <v>1415</v>
      </c>
      <c r="E252" s="4" t="s">
        <v>80</v>
      </c>
      <c r="F252" s="4" t="s">
        <v>2471</v>
      </c>
      <c r="G252" s="4" t="s">
        <v>1235</v>
      </c>
      <c r="H252" s="4" t="s">
        <v>2472</v>
      </c>
      <c r="I252" s="4" t="s">
        <v>2473</v>
      </c>
      <c r="J252" s="5">
        <v>34881.0</v>
      </c>
      <c r="K252" s="5">
        <v>22789.0</v>
      </c>
      <c r="L252" s="4">
        <v>61.0</v>
      </c>
      <c r="M252" s="4" t="s">
        <v>1407</v>
      </c>
      <c r="O252" s="5">
        <v>35065.0</v>
      </c>
      <c r="P252" s="5">
        <v>35124.0</v>
      </c>
      <c r="Q252" s="4" t="s">
        <v>66</v>
      </c>
      <c r="R252" s="4" t="s">
        <v>32</v>
      </c>
      <c r="S252" s="6" t="s">
        <v>2474</v>
      </c>
      <c r="T252" s="4" t="s">
        <v>2475</v>
      </c>
      <c r="U252" s="4">
        <v>6.0</v>
      </c>
      <c r="AD252" s="4" t="s">
        <v>1411</v>
      </c>
    </row>
    <row r="253">
      <c r="A253" s="4" t="s">
        <v>1684</v>
      </c>
      <c r="B253" s="4" t="s">
        <v>1423</v>
      </c>
      <c r="C253" s="4" t="s">
        <v>109</v>
      </c>
      <c r="D253" s="4" t="s">
        <v>1424</v>
      </c>
      <c r="E253" s="4" t="s">
        <v>80</v>
      </c>
      <c r="F253" s="4" t="s">
        <v>2471</v>
      </c>
      <c r="G253" s="4" t="s">
        <v>579</v>
      </c>
      <c r="H253" s="4" t="s">
        <v>530</v>
      </c>
      <c r="I253" s="4" t="s">
        <v>2476</v>
      </c>
      <c r="J253" s="5">
        <v>38838.0</v>
      </c>
      <c r="K253" s="5">
        <v>17773.0</v>
      </c>
      <c r="L253" s="4">
        <v>75.0</v>
      </c>
      <c r="M253" s="4" t="s">
        <v>1407</v>
      </c>
      <c r="O253" s="5">
        <v>38838.0</v>
      </c>
      <c r="P253" s="5">
        <v>40997.0</v>
      </c>
      <c r="Q253" s="4" t="s">
        <v>31</v>
      </c>
      <c r="R253" s="4" t="s">
        <v>32</v>
      </c>
      <c r="S253" s="6" t="s">
        <v>2477</v>
      </c>
      <c r="T253" s="4" t="s">
        <v>2478</v>
      </c>
      <c r="U253" s="4">
        <v>6.0</v>
      </c>
      <c r="V253" s="4" t="s">
        <v>375</v>
      </c>
      <c r="W253" s="4">
        <v>38527.0</v>
      </c>
      <c r="X253" s="4" t="s">
        <v>58</v>
      </c>
      <c r="Y253" s="4" t="s">
        <v>59</v>
      </c>
      <c r="Z253" s="4" t="s">
        <v>2479</v>
      </c>
      <c r="AA253" s="4">
        <v>1972.0</v>
      </c>
      <c r="AB253" s="4" t="s">
        <v>1007</v>
      </c>
      <c r="AC253" s="5">
        <v>26317.0</v>
      </c>
      <c r="AD253" s="4" t="s">
        <v>1411</v>
      </c>
      <c r="AE253" s="5">
        <v>38827.0</v>
      </c>
    </row>
    <row r="254">
      <c r="A254" s="4" t="s">
        <v>1465</v>
      </c>
      <c r="B254" s="4" t="s">
        <v>1473</v>
      </c>
      <c r="C254" s="4" t="s">
        <v>25</v>
      </c>
      <c r="D254" s="4" t="s">
        <v>1474</v>
      </c>
      <c r="E254" s="4" t="s">
        <v>26</v>
      </c>
      <c r="F254" s="4" t="s">
        <v>617</v>
      </c>
      <c r="G254" s="4" t="s">
        <v>2480</v>
      </c>
      <c r="H254" s="4" t="s">
        <v>1451</v>
      </c>
      <c r="I254" s="4" t="s">
        <v>2481</v>
      </c>
      <c r="J254" s="5">
        <v>27120.0</v>
      </c>
      <c r="K254" s="5">
        <v>11609.0</v>
      </c>
      <c r="L254" s="4">
        <v>92.0</v>
      </c>
      <c r="M254" s="4" t="s">
        <v>1407</v>
      </c>
      <c r="O254" s="5">
        <v>28126.0</v>
      </c>
      <c r="P254" s="5">
        <v>34638.0</v>
      </c>
      <c r="Q254" s="4" t="s">
        <v>31</v>
      </c>
      <c r="R254" s="4" t="s">
        <v>32</v>
      </c>
      <c r="S254" s="6" t="s">
        <v>2482</v>
      </c>
      <c r="T254" s="4" t="s">
        <v>2483</v>
      </c>
      <c r="U254" s="4">
        <v>44.0</v>
      </c>
      <c r="AD254" s="4" t="s">
        <v>1411</v>
      </c>
    </row>
    <row r="255">
      <c r="A255" s="4" t="s">
        <v>1412</v>
      </c>
      <c r="B255" s="4" t="s">
        <v>1466</v>
      </c>
      <c r="C255" s="4" t="s">
        <v>1467</v>
      </c>
      <c r="D255" s="4" t="s">
        <v>1468</v>
      </c>
      <c r="E255" s="4" t="s">
        <v>80</v>
      </c>
      <c r="F255" s="4" t="s">
        <v>2484</v>
      </c>
      <c r="G255" s="4" t="s">
        <v>2485</v>
      </c>
      <c r="H255" s="4" t="s">
        <v>2486</v>
      </c>
      <c r="I255" s="4" t="s">
        <v>2487</v>
      </c>
      <c r="J255" s="5">
        <v>34820.0</v>
      </c>
      <c r="K255" s="5">
        <v>21419.0</v>
      </c>
      <c r="L255" s="4">
        <v>65.0</v>
      </c>
      <c r="M255" s="4" t="s">
        <v>1407</v>
      </c>
      <c r="O255" s="5">
        <v>37742.0</v>
      </c>
      <c r="P255" s="5">
        <v>39141.0</v>
      </c>
      <c r="Q255" s="4" t="s">
        <v>31</v>
      </c>
      <c r="R255" s="4" t="s">
        <v>32</v>
      </c>
      <c r="S255" s="6" t="s">
        <v>2488</v>
      </c>
      <c r="T255" s="4" t="s">
        <v>2489</v>
      </c>
      <c r="U255" s="4">
        <v>6.0</v>
      </c>
      <c r="V255" s="4" t="s">
        <v>1492</v>
      </c>
      <c r="W255" s="4">
        <v>30553.0</v>
      </c>
      <c r="X255" s="4" t="s">
        <v>58</v>
      </c>
      <c r="Y255" s="4" t="s">
        <v>59</v>
      </c>
      <c r="Z255" s="4" t="s">
        <v>1427</v>
      </c>
      <c r="AA255" s="4">
        <v>1983.0</v>
      </c>
      <c r="AB255" s="4" t="s">
        <v>2490</v>
      </c>
      <c r="AC255" s="5">
        <v>30553.0</v>
      </c>
      <c r="AD255" s="4" t="s">
        <v>1411</v>
      </c>
    </row>
    <row r="256">
      <c r="A256" s="4" t="s">
        <v>1465</v>
      </c>
      <c r="B256" s="4" t="s">
        <v>1413</v>
      </c>
      <c r="C256" s="4" t="s">
        <v>1414</v>
      </c>
      <c r="D256" s="4" t="s">
        <v>1415</v>
      </c>
      <c r="E256" s="4" t="s">
        <v>26</v>
      </c>
      <c r="F256" s="4" t="s">
        <v>2491</v>
      </c>
      <c r="G256" s="4" t="s">
        <v>2492</v>
      </c>
      <c r="H256" s="4" t="s">
        <v>2493</v>
      </c>
      <c r="I256" s="4" t="s">
        <v>2494</v>
      </c>
      <c r="J256" s="5">
        <v>27030.0</v>
      </c>
      <c r="K256" s="5">
        <v>13920.0</v>
      </c>
      <c r="L256" s="4">
        <v>85.0</v>
      </c>
      <c r="M256" s="4" t="s">
        <v>1407</v>
      </c>
      <c r="O256" s="5">
        <v>34790.0</v>
      </c>
      <c r="P256" s="5">
        <v>35673.0</v>
      </c>
      <c r="Q256" s="4" t="s">
        <v>31</v>
      </c>
      <c r="R256" s="4" t="s">
        <v>32</v>
      </c>
      <c r="S256" s="6" t="s">
        <v>2495</v>
      </c>
      <c r="T256" s="4" t="s">
        <v>2496</v>
      </c>
      <c r="U256" s="4">
        <v>12.0</v>
      </c>
      <c r="AD256" s="4" t="s">
        <v>1411</v>
      </c>
    </row>
    <row r="257">
      <c r="A257" s="4" t="s">
        <v>78</v>
      </c>
      <c r="B257" s="4" t="s">
        <v>1447</v>
      </c>
      <c r="C257" s="4" t="s">
        <v>40</v>
      </c>
      <c r="D257" s="4" t="s">
        <v>1448</v>
      </c>
      <c r="E257" s="4" t="s">
        <v>26</v>
      </c>
      <c r="F257" s="4" t="s">
        <v>235</v>
      </c>
      <c r="G257" s="4" t="s">
        <v>236</v>
      </c>
      <c r="H257" s="4" t="s">
        <v>237</v>
      </c>
      <c r="I257" s="4" t="s">
        <v>238</v>
      </c>
      <c r="J257" s="5">
        <v>34820.0</v>
      </c>
      <c r="K257" s="5">
        <v>19730.0</v>
      </c>
      <c r="L257" s="4">
        <v>70.0</v>
      </c>
      <c r="M257" s="4" t="s">
        <v>1407</v>
      </c>
      <c r="N257" s="4" t="s">
        <v>1419</v>
      </c>
      <c r="O257" s="5">
        <v>44927.0</v>
      </c>
      <c r="P257" s="5">
        <v>45291.0</v>
      </c>
      <c r="Q257" s="4" t="s">
        <v>66</v>
      </c>
      <c r="R257" s="4" t="s">
        <v>32</v>
      </c>
      <c r="S257" s="6" t="s">
        <v>2497</v>
      </c>
      <c r="T257" s="4" t="s">
        <v>239</v>
      </c>
      <c r="U257" s="4">
        <v>21.0</v>
      </c>
      <c r="V257" s="4" t="s">
        <v>34</v>
      </c>
      <c r="W257" s="4">
        <v>32873.0</v>
      </c>
      <c r="X257" s="4" t="s">
        <v>242</v>
      </c>
      <c r="Y257" s="4" t="s">
        <v>227</v>
      </c>
      <c r="Z257" s="4" t="s">
        <v>1544</v>
      </c>
      <c r="AA257" s="4">
        <v>1979.0</v>
      </c>
      <c r="AB257" s="4" t="s">
        <v>58</v>
      </c>
      <c r="AC257" s="5">
        <v>29084.0</v>
      </c>
      <c r="AD257" s="4" t="s">
        <v>1411</v>
      </c>
      <c r="AE257" s="5">
        <v>41792.0</v>
      </c>
    </row>
    <row r="258">
      <c r="A258" s="4" t="s">
        <v>1684</v>
      </c>
      <c r="B258" s="4" t="s">
        <v>1982</v>
      </c>
      <c r="C258" s="4" t="s">
        <v>109</v>
      </c>
      <c r="D258" s="4" t="s">
        <v>1424</v>
      </c>
      <c r="E258" s="4" t="s">
        <v>80</v>
      </c>
      <c r="F258" s="4" t="s">
        <v>2498</v>
      </c>
      <c r="G258" s="4" t="s">
        <v>1901</v>
      </c>
      <c r="H258" s="4" t="s">
        <v>2499</v>
      </c>
      <c r="I258" s="4" t="s">
        <v>2500</v>
      </c>
      <c r="J258" s="5">
        <v>38961.0</v>
      </c>
      <c r="K258" s="5">
        <v>19307.0</v>
      </c>
      <c r="L258" s="4">
        <v>71.0</v>
      </c>
      <c r="M258" s="4" t="s">
        <v>1407</v>
      </c>
      <c r="O258" s="5">
        <v>40544.0</v>
      </c>
      <c r="P258" s="5">
        <v>40908.0</v>
      </c>
      <c r="Q258" s="4" t="s">
        <v>66</v>
      </c>
      <c r="R258" s="4" t="s">
        <v>32</v>
      </c>
      <c r="S258" s="6" t="s">
        <v>2501</v>
      </c>
      <c r="T258" s="4" t="s">
        <v>2502</v>
      </c>
      <c r="U258" s="4">
        <v>6.0</v>
      </c>
      <c r="V258" s="4" t="s">
        <v>375</v>
      </c>
      <c r="W258" s="4">
        <v>36249.0</v>
      </c>
      <c r="X258" s="4" t="s">
        <v>58</v>
      </c>
      <c r="Y258" s="4" t="s">
        <v>59</v>
      </c>
      <c r="Z258" s="4" t="s">
        <v>1479</v>
      </c>
      <c r="AA258" s="4">
        <v>1978.0</v>
      </c>
      <c r="AB258" s="4" t="s">
        <v>1546</v>
      </c>
      <c r="AC258" s="5">
        <v>28656.0</v>
      </c>
      <c r="AD258" s="4" t="s">
        <v>1411</v>
      </c>
      <c r="AE258" s="5">
        <v>38946.0</v>
      </c>
    </row>
    <row r="259">
      <c r="A259" s="4" t="s">
        <v>60</v>
      </c>
      <c r="B259" s="4" t="s">
        <v>1540</v>
      </c>
      <c r="C259" s="4" t="s">
        <v>99</v>
      </c>
      <c r="D259" s="4" t="s">
        <v>1541</v>
      </c>
      <c r="E259" s="4" t="s">
        <v>80</v>
      </c>
      <c r="F259" s="4" t="s">
        <v>779</v>
      </c>
      <c r="G259" s="4" t="s">
        <v>780</v>
      </c>
      <c r="H259" s="4" t="s">
        <v>781</v>
      </c>
      <c r="I259" s="4" t="s">
        <v>782</v>
      </c>
      <c r="J259" s="5">
        <v>40118.0</v>
      </c>
      <c r="K259" s="5">
        <v>26341.0</v>
      </c>
      <c r="L259" s="4">
        <v>51.0</v>
      </c>
      <c r="M259" s="4" t="s">
        <v>1407</v>
      </c>
      <c r="O259" s="5">
        <v>44927.0</v>
      </c>
      <c r="P259" s="5">
        <v>45291.0</v>
      </c>
      <c r="Q259" s="4" t="s">
        <v>66</v>
      </c>
      <c r="R259" s="4" t="s">
        <v>32</v>
      </c>
      <c r="S259" s="6" t="s">
        <v>2503</v>
      </c>
      <c r="T259" s="4" t="s">
        <v>783</v>
      </c>
      <c r="U259" s="4">
        <v>44.0</v>
      </c>
      <c r="V259" s="4" t="s">
        <v>34</v>
      </c>
      <c r="W259" s="4">
        <v>40664.0</v>
      </c>
      <c r="X259" s="4" t="s">
        <v>438</v>
      </c>
      <c r="Y259" s="4" t="s">
        <v>59</v>
      </c>
      <c r="Z259" s="4" t="s">
        <v>1427</v>
      </c>
      <c r="AA259" s="4">
        <v>1999.0</v>
      </c>
      <c r="AB259" s="4" t="s">
        <v>58</v>
      </c>
      <c r="AC259" s="5">
        <v>36364.0</v>
      </c>
      <c r="AD259" s="4" t="s">
        <v>1411</v>
      </c>
      <c r="AE259" s="5">
        <v>43243.0</v>
      </c>
    </row>
    <row r="260">
      <c r="A260" s="4" t="s">
        <v>78</v>
      </c>
      <c r="B260" s="4" t="s">
        <v>1413</v>
      </c>
      <c r="C260" s="4" t="s">
        <v>1414</v>
      </c>
      <c r="D260" s="4" t="s">
        <v>1415</v>
      </c>
      <c r="E260" s="4" t="s">
        <v>80</v>
      </c>
      <c r="F260" s="4" t="s">
        <v>2504</v>
      </c>
      <c r="G260" s="4" t="s">
        <v>2505</v>
      </c>
      <c r="H260" s="4" t="s">
        <v>2506</v>
      </c>
      <c r="I260" s="4" t="s">
        <v>2507</v>
      </c>
      <c r="J260" s="5">
        <v>40483.0</v>
      </c>
      <c r="K260" s="5">
        <v>27401.0</v>
      </c>
      <c r="L260" s="4">
        <v>49.0</v>
      </c>
      <c r="M260" s="4" t="s">
        <v>1425</v>
      </c>
      <c r="O260" s="5">
        <v>44197.0</v>
      </c>
      <c r="P260" s="5">
        <v>44377.0</v>
      </c>
      <c r="Q260" s="4" t="s">
        <v>66</v>
      </c>
      <c r="R260" s="4" t="s">
        <v>32</v>
      </c>
      <c r="S260" s="6" t="s">
        <v>2508</v>
      </c>
      <c r="T260" s="4" t="s">
        <v>2509</v>
      </c>
      <c r="U260" s="4">
        <v>12.0</v>
      </c>
      <c r="V260" s="4" t="s">
        <v>55</v>
      </c>
      <c r="W260" s="4">
        <v>38419.0</v>
      </c>
      <c r="X260" s="4" t="s">
        <v>438</v>
      </c>
      <c r="Y260" s="4" t="s">
        <v>59</v>
      </c>
      <c r="Z260" s="4" t="s">
        <v>2510</v>
      </c>
      <c r="AA260" s="4">
        <v>2005.0</v>
      </c>
      <c r="AB260" s="4" t="s">
        <v>661</v>
      </c>
      <c r="AC260" s="5">
        <v>38419.0</v>
      </c>
      <c r="AD260" s="4" t="s">
        <v>1411</v>
      </c>
      <c r="AE260" s="5">
        <v>40395.0</v>
      </c>
    </row>
    <row r="261">
      <c r="A261" s="4" t="s">
        <v>1684</v>
      </c>
      <c r="B261" s="4" t="s">
        <v>1413</v>
      </c>
      <c r="C261" s="4" t="s">
        <v>1414</v>
      </c>
      <c r="D261" s="4" t="s">
        <v>1415</v>
      </c>
      <c r="E261" s="4" t="s">
        <v>80</v>
      </c>
      <c r="F261" s="4" t="s">
        <v>2511</v>
      </c>
      <c r="G261" s="4" t="s">
        <v>1209</v>
      </c>
      <c r="H261" s="4" t="s">
        <v>2512</v>
      </c>
      <c r="I261" s="4" t="s">
        <v>2513</v>
      </c>
      <c r="J261" s="5">
        <v>43831.0</v>
      </c>
      <c r="K261" s="5">
        <v>25688.0</v>
      </c>
      <c r="L261" s="4">
        <v>53.0</v>
      </c>
      <c r="M261" s="4" t="s">
        <v>1425</v>
      </c>
      <c r="N261" s="4" t="s">
        <v>1419</v>
      </c>
      <c r="O261" s="5">
        <v>40026.0</v>
      </c>
      <c r="P261" s="5">
        <v>40178.0</v>
      </c>
      <c r="Q261" s="4" t="s">
        <v>66</v>
      </c>
      <c r="R261" s="4" t="s">
        <v>32</v>
      </c>
      <c r="S261" s="6" t="s">
        <v>2514</v>
      </c>
      <c r="T261" s="4" t="s">
        <v>2515</v>
      </c>
      <c r="U261" s="4">
        <v>6.0</v>
      </c>
      <c r="V261" s="4" t="s">
        <v>55</v>
      </c>
      <c r="W261" s="4">
        <v>37162.0</v>
      </c>
      <c r="X261" s="4" t="s">
        <v>58</v>
      </c>
      <c r="Y261" s="4" t="s">
        <v>59</v>
      </c>
      <c r="Z261" s="4" t="s">
        <v>2516</v>
      </c>
      <c r="AA261" s="4">
        <v>2005.0</v>
      </c>
      <c r="AB261" s="4" t="s">
        <v>58</v>
      </c>
      <c r="AC261" s="5">
        <v>38415.0</v>
      </c>
      <c r="AD261" s="4" t="s">
        <v>1411</v>
      </c>
      <c r="AE261" s="5">
        <v>39632.0</v>
      </c>
    </row>
    <row r="262">
      <c r="A262" s="4" t="s">
        <v>1434</v>
      </c>
      <c r="B262" s="4" t="s">
        <v>1423</v>
      </c>
      <c r="C262" s="4" t="s">
        <v>109</v>
      </c>
      <c r="D262" s="4" t="s">
        <v>1424</v>
      </c>
      <c r="E262" s="4" t="s">
        <v>80</v>
      </c>
      <c r="F262" s="4" t="s">
        <v>2517</v>
      </c>
      <c r="G262" s="4" t="s">
        <v>2518</v>
      </c>
      <c r="H262" s="4" t="s">
        <v>2519</v>
      </c>
      <c r="I262" s="4" t="s">
        <v>2520</v>
      </c>
      <c r="J262" s="5">
        <v>27150.0</v>
      </c>
      <c r="K262" s="5">
        <v>17888.0</v>
      </c>
      <c r="L262" s="4">
        <v>75.0</v>
      </c>
      <c r="M262" s="4" t="s">
        <v>1407</v>
      </c>
      <c r="O262" s="5">
        <v>38353.0</v>
      </c>
      <c r="P262" s="5">
        <v>38472.0</v>
      </c>
      <c r="Q262" s="4" t="s">
        <v>104</v>
      </c>
      <c r="R262" s="4" t="s">
        <v>32</v>
      </c>
      <c r="S262" s="6" t="s">
        <v>2521</v>
      </c>
      <c r="T262" s="4" t="s">
        <v>2522</v>
      </c>
      <c r="U262" s="4">
        <v>2.0</v>
      </c>
      <c r="V262" s="4" t="s">
        <v>55</v>
      </c>
      <c r="W262" s="4">
        <v>31588.0</v>
      </c>
      <c r="X262" s="4" t="s">
        <v>58</v>
      </c>
      <c r="Y262" s="4" t="s">
        <v>59</v>
      </c>
      <c r="AD262" s="4" t="s">
        <v>1411</v>
      </c>
    </row>
    <row r="263">
      <c r="A263" s="4" t="s">
        <v>78</v>
      </c>
      <c r="B263" s="4" t="s">
        <v>1423</v>
      </c>
      <c r="C263" s="4" t="s">
        <v>109</v>
      </c>
      <c r="D263" s="4" t="s">
        <v>1424</v>
      </c>
      <c r="E263" s="4" t="s">
        <v>26</v>
      </c>
      <c r="F263" s="4" t="s">
        <v>1052</v>
      </c>
      <c r="G263" s="4" t="s">
        <v>1053</v>
      </c>
      <c r="H263" s="4" t="s">
        <v>1054</v>
      </c>
      <c r="I263" s="4" t="s">
        <v>1055</v>
      </c>
      <c r="J263" s="5">
        <v>42917.0</v>
      </c>
      <c r="K263" s="5">
        <v>29075.0</v>
      </c>
      <c r="L263" s="4">
        <v>44.0</v>
      </c>
      <c r="M263" s="4" t="s">
        <v>1425</v>
      </c>
      <c r="N263" s="4" t="s">
        <v>1419</v>
      </c>
      <c r="O263" s="5">
        <v>44927.0</v>
      </c>
      <c r="P263" s="5">
        <v>45291.0</v>
      </c>
      <c r="Q263" s="4" t="s">
        <v>66</v>
      </c>
      <c r="R263" s="4" t="s">
        <v>32</v>
      </c>
      <c r="S263" s="6" t="s">
        <v>2523</v>
      </c>
      <c r="T263" s="4" t="s">
        <v>1056</v>
      </c>
      <c r="U263" s="4">
        <v>44.0</v>
      </c>
      <c r="V263" s="4" t="s">
        <v>34</v>
      </c>
      <c r="W263" s="4">
        <v>42345.0</v>
      </c>
      <c r="X263" s="4" t="s">
        <v>1059</v>
      </c>
      <c r="Y263" s="4" t="s">
        <v>38</v>
      </c>
      <c r="Z263" s="4" t="s">
        <v>1590</v>
      </c>
      <c r="AA263" s="4">
        <v>2008.0</v>
      </c>
      <c r="AB263" s="4" t="s">
        <v>58</v>
      </c>
      <c r="AC263" s="5">
        <v>39525.0</v>
      </c>
      <c r="AD263" s="4" t="s">
        <v>1411</v>
      </c>
      <c r="AE263" s="5">
        <v>42894.0</v>
      </c>
    </row>
    <row r="264">
      <c r="A264" s="4" t="s">
        <v>1440</v>
      </c>
      <c r="B264" s="4" t="s">
        <v>1413</v>
      </c>
      <c r="C264" s="4" t="s">
        <v>1414</v>
      </c>
      <c r="D264" s="4" t="s">
        <v>1415</v>
      </c>
      <c r="E264" s="4" t="s">
        <v>26</v>
      </c>
      <c r="F264" s="4" t="s">
        <v>1001</v>
      </c>
      <c r="G264" s="4" t="s">
        <v>63</v>
      </c>
      <c r="H264" s="4" t="s">
        <v>2524</v>
      </c>
      <c r="I264" s="4" t="s">
        <v>2525</v>
      </c>
      <c r="J264" s="5">
        <v>29556.0</v>
      </c>
      <c r="K264" s="5">
        <v>21145.0</v>
      </c>
      <c r="L264" s="4">
        <v>66.0</v>
      </c>
      <c r="M264" s="4" t="s">
        <v>1407</v>
      </c>
      <c r="O264" s="5">
        <v>38353.0</v>
      </c>
      <c r="P264" s="5">
        <v>38472.0</v>
      </c>
      <c r="Q264" s="4" t="s">
        <v>66</v>
      </c>
      <c r="R264" s="4" t="s">
        <v>32</v>
      </c>
      <c r="S264" s="6" t="s">
        <v>2526</v>
      </c>
      <c r="T264" s="4" t="s">
        <v>2527</v>
      </c>
      <c r="U264" s="4">
        <v>12.0</v>
      </c>
      <c r="V264" s="4" t="s">
        <v>1492</v>
      </c>
      <c r="W264" s="4">
        <v>31376.0</v>
      </c>
      <c r="X264" s="4" t="s">
        <v>58</v>
      </c>
      <c r="Y264" s="4" t="s">
        <v>59</v>
      </c>
      <c r="AD264" s="4" t="s">
        <v>1411</v>
      </c>
    </row>
    <row r="265">
      <c r="A265" s="4" t="s">
        <v>39</v>
      </c>
      <c r="B265" s="4" t="s">
        <v>1540</v>
      </c>
      <c r="C265" s="4" t="s">
        <v>99</v>
      </c>
      <c r="D265" s="4" t="s">
        <v>1541</v>
      </c>
      <c r="E265" s="4" t="s">
        <v>80</v>
      </c>
      <c r="F265" s="4" t="s">
        <v>2528</v>
      </c>
      <c r="G265" s="4" t="s">
        <v>2529</v>
      </c>
      <c r="H265" s="4" t="s">
        <v>2530</v>
      </c>
      <c r="I265" s="4" t="s">
        <v>2531</v>
      </c>
      <c r="J265" s="5">
        <v>27181.0</v>
      </c>
      <c r="K265" s="5">
        <v>14382.0</v>
      </c>
      <c r="L265" s="4">
        <v>84.0</v>
      </c>
      <c r="M265" s="4" t="s">
        <v>1407</v>
      </c>
      <c r="N265" s="4" t="s">
        <v>1419</v>
      </c>
      <c r="O265" s="5">
        <v>42186.0</v>
      </c>
      <c r="P265" s="5">
        <v>73050.0</v>
      </c>
      <c r="Q265" s="4" t="s">
        <v>31</v>
      </c>
      <c r="R265" s="4" t="s">
        <v>32</v>
      </c>
      <c r="S265" s="6" t="s">
        <v>2532</v>
      </c>
      <c r="T265" s="4" t="s">
        <v>2533</v>
      </c>
      <c r="U265" s="4">
        <v>44.0</v>
      </c>
      <c r="V265" s="4" t="s">
        <v>106</v>
      </c>
      <c r="W265" s="4">
        <v>32444.0</v>
      </c>
      <c r="X265" s="4" t="s">
        <v>58</v>
      </c>
      <c r="Y265" s="4" t="s">
        <v>59</v>
      </c>
      <c r="Z265" s="4" t="s">
        <v>1422</v>
      </c>
      <c r="AA265" s="4">
        <v>1997.0</v>
      </c>
      <c r="AB265" s="4" t="s">
        <v>58</v>
      </c>
      <c r="AC265" s="5">
        <v>35431.0</v>
      </c>
      <c r="AD265" s="4" t="s">
        <v>1411</v>
      </c>
      <c r="AE265" s="5">
        <v>37545.0</v>
      </c>
    </row>
    <row r="266">
      <c r="A266" s="4" t="s">
        <v>1684</v>
      </c>
      <c r="B266" s="4" t="s">
        <v>1473</v>
      </c>
      <c r="C266" s="4" t="s">
        <v>25</v>
      </c>
      <c r="D266" s="4" t="s">
        <v>1474</v>
      </c>
      <c r="E266" s="4" t="s">
        <v>80</v>
      </c>
      <c r="F266" s="4" t="s">
        <v>2534</v>
      </c>
      <c r="G266" s="4" t="s">
        <v>2535</v>
      </c>
      <c r="H266" s="4" t="s">
        <v>2536</v>
      </c>
      <c r="I266" s="4" t="s">
        <v>2537</v>
      </c>
      <c r="J266" s="5">
        <v>24532.0</v>
      </c>
      <c r="K266" s="5">
        <v>8089.0</v>
      </c>
      <c r="L266" s="4">
        <v>101.0</v>
      </c>
      <c r="M266" s="4" t="s">
        <v>1425</v>
      </c>
      <c r="O266" s="5">
        <v>33390.0</v>
      </c>
      <c r="P266" s="5">
        <v>35915.0</v>
      </c>
      <c r="Q266" s="4" t="s">
        <v>31</v>
      </c>
      <c r="R266" s="4" t="s">
        <v>32</v>
      </c>
      <c r="S266" s="6" t="s">
        <v>2538</v>
      </c>
      <c r="T266" s="4" t="s">
        <v>2539</v>
      </c>
      <c r="U266" s="4">
        <v>6.0</v>
      </c>
      <c r="AD266" s="4" t="s">
        <v>1411</v>
      </c>
    </row>
    <row r="267">
      <c r="A267" s="4" t="s">
        <v>2540</v>
      </c>
      <c r="B267" s="4" t="s">
        <v>1473</v>
      </c>
      <c r="C267" s="4" t="s">
        <v>25</v>
      </c>
      <c r="D267" s="4" t="s">
        <v>1474</v>
      </c>
      <c r="E267" s="4" t="s">
        <v>26</v>
      </c>
      <c r="F267" s="4" t="s">
        <v>2534</v>
      </c>
      <c r="G267" s="4" t="s">
        <v>2541</v>
      </c>
      <c r="H267" s="4" t="s">
        <v>2542</v>
      </c>
      <c r="I267" s="4" t="s">
        <v>2543</v>
      </c>
      <c r="J267" s="5">
        <v>25750.0</v>
      </c>
      <c r="K267" s="5">
        <v>17623.0</v>
      </c>
      <c r="L267" s="4">
        <v>75.0</v>
      </c>
      <c r="M267" s="4" t="s">
        <v>1407</v>
      </c>
      <c r="N267" s="4" t="s">
        <v>1419</v>
      </c>
      <c r="O267" s="5">
        <v>37257.0</v>
      </c>
      <c r="P267" s="5">
        <v>37437.0</v>
      </c>
      <c r="Q267" s="4" t="s">
        <v>66</v>
      </c>
      <c r="R267" s="4" t="s">
        <v>32</v>
      </c>
      <c r="S267" s="6" t="s">
        <v>2544</v>
      </c>
      <c r="T267" s="4" t="s">
        <v>2545</v>
      </c>
      <c r="U267" s="4">
        <v>6.0</v>
      </c>
      <c r="V267" s="4" t="s">
        <v>1998</v>
      </c>
      <c r="W267" s="4">
        <v>35234.0</v>
      </c>
      <c r="X267" s="4" t="s">
        <v>58</v>
      </c>
      <c r="Y267" s="4" t="s">
        <v>59</v>
      </c>
      <c r="Z267" s="4" t="s">
        <v>1499</v>
      </c>
      <c r="AA267" s="4">
        <v>1975.0</v>
      </c>
      <c r="AB267" s="4" t="s">
        <v>58</v>
      </c>
      <c r="AC267" s="5">
        <v>27425.0</v>
      </c>
      <c r="AD267" s="4" t="s">
        <v>1411</v>
      </c>
    </row>
    <row r="268">
      <c r="A268" s="4" t="s">
        <v>39</v>
      </c>
      <c r="B268" s="4" t="s">
        <v>1430</v>
      </c>
      <c r="C268" s="4" t="s">
        <v>61</v>
      </c>
      <c r="D268" s="4" t="s">
        <v>1431</v>
      </c>
      <c r="E268" s="4" t="s">
        <v>26</v>
      </c>
      <c r="F268" s="4" t="s">
        <v>498</v>
      </c>
      <c r="G268" s="4" t="s">
        <v>499</v>
      </c>
      <c r="H268" s="4" t="s">
        <v>500</v>
      </c>
      <c r="I268" s="4" t="s">
        <v>501</v>
      </c>
      <c r="J268" s="5">
        <v>38477.0</v>
      </c>
      <c r="K268" s="5">
        <v>21399.0</v>
      </c>
      <c r="L268" s="4">
        <v>65.0</v>
      </c>
      <c r="M268" s="4" t="s">
        <v>1407</v>
      </c>
      <c r="N268" s="4" t="s">
        <v>1419</v>
      </c>
      <c r="O268" s="5">
        <v>42372.0</v>
      </c>
      <c r="P268" s="5">
        <v>73050.0</v>
      </c>
      <c r="Q268" s="4" t="s">
        <v>31</v>
      </c>
      <c r="R268" s="4" t="s">
        <v>32</v>
      </c>
      <c r="S268" s="6" t="s">
        <v>2546</v>
      </c>
      <c r="T268" s="4" t="s">
        <v>502</v>
      </c>
      <c r="U268" s="4">
        <v>44.0</v>
      </c>
      <c r="V268" s="4" t="s">
        <v>503</v>
      </c>
      <c r="W268" s="4">
        <v>38742.0</v>
      </c>
      <c r="X268" s="4" t="s">
        <v>506</v>
      </c>
      <c r="Y268" s="4" t="s">
        <v>59</v>
      </c>
      <c r="Z268" s="4" t="s">
        <v>2547</v>
      </c>
      <c r="AA268" s="4">
        <v>1987.0</v>
      </c>
      <c r="AB268" s="4" t="s">
        <v>287</v>
      </c>
      <c r="AC268" s="5">
        <v>31887.0</v>
      </c>
      <c r="AD268" s="4" t="s">
        <v>1411</v>
      </c>
      <c r="AE268" s="5">
        <v>41738.0</v>
      </c>
    </row>
    <row r="269">
      <c r="A269" s="4" t="s">
        <v>60</v>
      </c>
      <c r="B269" s="4" t="s">
        <v>1430</v>
      </c>
      <c r="C269" s="4" t="s">
        <v>61</v>
      </c>
      <c r="D269" s="4" t="s">
        <v>1431</v>
      </c>
      <c r="E269" s="4" t="s">
        <v>26</v>
      </c>
      <c r="F269" s="4" t="s">
        <v>498</v>
      </c>
      <c r="G269" s="4" t="s">
        <v>835</v>
      </c>
      <c r="H269" s="4" t="s">
        <v>836</v>
      </c>
      <c r="I269" s="4" t="s">
        <v>837</v>
      </c>
      <c r="J269" s="5">
        <v>40756.0</v>
      </c>
      <c r="K269" s="5">
        <v>26746.0</v>
      </c>
      <c r="L269" s="4">
        <v>50.0</v>
      </c>
      <c r="M269" s="4" t="s">
        <v>1425</v>
      </c>
      <c r="O269" s="5">
        <v>44927.0</v>
      </c>
      <c r="P269" s="5">
        <v>45291.0</v>
      </c>
      <c r="Q269" s="4" t="s">
        <v>66</v>
      </c>
      <c r="R269" s="4" t="s">
        <v>32</v>
      </c>
      <c r="S269" s="6" t="s">
        <v>2548</v>
      </c>
      <c r="T269" s="4" t="s">
        <v>838</v>
      </c>
      <c r="U269" s="4">
        <v>44.0</v>
      </c>
      <c r="V269" s="4" t="s">
        <v>34</v>
      </c>
      <c r="W269" s="4">
        <v>40543.0</v>
      </c>
      <c r="X269" s="4" t="s">
        <v>840</v>
      </c>
      <c r="Y269" s="4" t="s">
        <v>89</v>
      </c>
      <c r="Z269" s="4" t="s">
        <v>1427</v>
      </c>
      <c r="AA269" s="4">
        <v>1997.0</v>
      </c>
      <c r="AB269" s="4" t="s">
        <v>58</v>
      </c>
      <c r="AC269" s="5">
        <v>35731.0</v>
      </c>
      <c r="AD269" s="4" t="s">
        <v>1411</v>
      </c>
      <c r="AE269" s="5">
        <v>44139.0</v>
      </c>
    </row>
    <row r="270">
      <c r="A270" s="4" t="s">
        <v>1412</v>
      </c>
      <c r="B270" s="4" t="s">
        <v>1413</v>
      </c>
      <c r="C270" s="4" t="s">
        <v>1414</v>
      </c>
      <c r="D270" s="4" t="s">
        <v>1415</v>
      </c>
      <c r="E270" s="4" t="s">
        <v>26</v>
      </c>
      <c r="F270" s="4" t="s">
        <v>498</v>
      </c>
      <c r="G270" s="4" t="s">
        <v>2549</v>
      </c>
      <c r="H270" s="4" t="s">
        <v>2550</v>
      </c>
      <c r="I270" s="4" t="s">
        <v>2551</v>
      </c>
      <c r="J270" s="5">
        <v>35096.0</v>
      </c>
      <c r="K270" s="5">
        <v>22848.0</v>
      </c>
      <c r="L270" s="4">
        <v>61.0</v>
      </c>
      <c r="M270" s="4" t="s">
        <v>1407</v>
      </c>
      <c r="N270" s="4" t="s">
        <v>1419</v>
      </c>
      <c r="O270" s="5">
        <v>35096.0</v>
      </c>
      <c r="P270" s="5">
        <v>35338.0</v>
      </c>
      <c r="Q270" s="4" t="s">
        <v>66</v>
      </c>
      <c r="R270" s="4" t="s">
        <v>32</v>
      </c>
      <c r="S270" s="6" t="s">
        <v>2552</v>
      </c>
      <c r="T270" s="4" t="s">
        <v>2553</v>
      </c>
      <c r="U270" s="4">
        <v>6.0</v>
      </c>
      <c r="Z270" s="4" t="s">
        <v>1510</v>
      </c>
      <c r="AA270" s="4">
        <v>1993.0</v>
      </c>
      <c r="AB270" s="4" t="s">
        <v>58</v>
      </c>
      <c r="AC270" s="5">
        <v>34075.0</v>
      </c>
      <c r="AD270" s="4" t="s">
        <v>1411</v>
      </c>
    </row>
    <row r="271">
      <c r="A271" s="4" t="s">
        <v>1623</v>
      </c>
      <c r="B271" s="4" t="s">
        <v>1423</v>
      </c>
      <c r="C271" s="4" t="s">
        <v>109</v>
      </c>
      <c r="D271" s="4" t="s">
        <v>1424</v>
      </c>
      <c r="E271" s="4" t="s">
        <v>26</v>
      </c>
      <c r="F271" s="4" t="s">
        <v>498</v>
      </c>
      <c r="G271" s="4" t="s">
        <v>2554</v>
      </c>
      <c r="H271" s="4" t="s">
        <v>2555</v>
      </c>
      <c r="I271" s="4" t="s">
        <v>2556</v>
      </c>
      <c r="J271" s="5">
        <v>26481.0</v>
      </c>
      <c r="K271" s="5">
        <v>16015.0</v>
      </c>
      <c r="L271" s="4">
        <v>80.0</v>
      </c>
      <c r="M271" s="4" t="s">
        <v>1407</v>
      </c>
      <c r="O271" s="5">
        <v>37500.0</v>
      </c>
      <c r="P271" s="5">
        <v>39172.0</v>
      </c>
      <c r="Q271" s="4" t="s">
        <v>2557</v>
      </c>
      <c r="R271" s="4" t="s">
        <v>32</v>
      </c>
      <c r="S271" s="6" t="s">
        <v>2558</v>
      </c>
      <c r="T271" s="4" t="s">
        <v>2559</v>
      </c>
      <c r="U271" s="4">
        <v>0.0</v>
      </c>
      <c r="V271" s="4" t="s">
        <v>106</v>
      </c>
      <c r="W271" s="4">
        <v>26664.0</v>
      </c>
      <c r="X271" s="4" t="s">
        <v>2560</v>
      </c>
      <c r="Y271" s="4" t="s">
        <v>624</v>
      </c>
      <c r="Z271" s="4" t="s">
        <v>2561</v>
      </c>
      <c r="AA271" s="4">
        <v>1994.0</v>
      </c>
      <c r="AB271" s="4" t="s">
        <v>2562</v>
      </c>
      <c r="AC271" s="5">
        <v>34394.0</v>
      </c>
      <c r="AD271" s="4" t="s">
        <v>1411</v>
      </c>
    </row>
    <row r="272">
      <c r="A272" s="4" t="s">
        <v>1440</v>
      </c>
      <c r="B272" s="4" t="s">
        <v>1423</v>
      </c>
      <c r="C272" s="4" t="s">
        <v>109</v>
      </c>
      <c r="D272" s="4" t="s">
        <v>1424</v>
      </c>
      <c r="E272" s="4" t="s">
        <v>26</v>
      </c>
      <c r="F272" s="4" t="s">
        <v>498</v>
      </c>
      <c r="G272" s="4" t="s">
        <v>2554</v>
      </c>
      <c r="H272" s="4" t="s">
        <v>2555</v>
      </c>
      <c r="I272" s="4" t="s">
        <v>2556</v>
      </c>
      <c r="J272" s="5">
        <v>26481.0</v>
      </c>
      <c r="K272" s="5">
        <v>16015.0</v>
      </c>
      <c r="L272" s="4">
        <v>80.0</v>
      </c>
      <c r="M272" s="4" t="s">
        <v>1407</v>
      </c>
      <c r="O272" s="5">
        <v>39083.0</v>
      </c>
      <c r="P272" s="5">
        <v>39172.0</v>
      </c>
      <c r="Q272" s="4" t="s">
        <v>66</v>
      </c>
      <c r="R272" s="4" t="s">
        <v>32</v>
      </c>
      <c r="S272" s="6" t="s">
        <v>2558</v>
      </c>
      <c r="T272" s="4" t="s">
        <v>2559</v>
      </c>
      <c r="U272" s="4">
        <v>22.0</v>
      </c>
      <c r="V272" s="4" t="s">
        <v>106</v>
      </c>
      <c r="W272" s="4">
        <v>26664.0</v>
      </c>
      <c r="X272" s="4" t="s">
        <v>2560</v>
      </c>
      <c r="Y272" s="4" t="s">
        <v>624</v>
      </c>
      <c r="Z272" s="4" t="s">
        <v>2561</v>
      </c>
      <c r="AA272" s="4">
        <v>1994.0</v>
      </c>
      <c r="AB272" s="4" t="s">
        <v>2562</v>
      </c>
      <c r="AC272" s="5">
        <v>34394.0</v>
      </c>
      <c r="AD272" s="4" t="s">
        <v>1411</v>
      </c>
    </row>
    <row r="273">
      <c r="A273" s="4" t="s">
        <v>78</v>
      </c>
      <c r="B273" s="4" t="s">
        <v>1423</v>
      </c>
      <c r="C273" s="4" t="s">
        <v>109</v>
      </c>
      <c r="D273" s="4" t="s">
        <v>1424</v>
      </c>
      <c r="E273" s="4" t="s">
        <v>80</v>
      </c>
      <c r="F273" s="4" t="s">
        <v>2563</v>
      </c>
      <c r="G273" s="4" t="s">
        <v>2564</v>
      </c>
      <c r="H273" s="4" t="s">
        <v>1189</v>
      </c>
      <c r="I273" s="4" t="s">
        <v>2565</v>
      </c>
      <c r="J273" s="5">
        <v>43586.0</v>
      </c>
      <c r="K273" s="5">
        <v>31114.0</v>
      </c>
      <c r="L273" s="4">
        <v>38.0</v>
      </c>
      <c r="M273" s="4" t="s">
        <v>1425</v>
      </c>
      <c r="O273" s="5">
        <v>44927.0</v>
      </c>
      <c r="P273" s="5">
        <v>45291.0</v>
      </c>
      <c r="Q273" s="4" t="s">
        <v>66</v>
      </c>
      <c r="R273" s="4" t="s">
        <v>32</v>
      </c>
      <c r="S273" s="6" t="s">
        <v>2566</v>
      </c>
      <c r="T273" s="4" t="s">
        <v>2567</v>
      </c>
      <c r="U273" s="4">
        <v>44.0</v>
      </c>
      <c r="V273" s="4" t="s">
        <v>34</v>
      </c>
      <c r="W273" s="4">
        <v>42186.0</v>
      </c>
      <c r="X273" s="4" t="s">
        <v>2568</v>
      </c>
      <c r="Y273" s="4" t="s">
        <v>89</v>
      </c>
      <c r="Z273" s="4" t="s">
        <v>2569</v>
      </c>
      <c r="AA273" s="4">
        <v>1985.0</v>
      </c>
      <c r="AB273" s="4" t="s">
        <v>2570</v>
      </c>
      <c r="AC273" s="5">
        <v>31114.0</v>
      </c>
      <c r="AD273" s="4">
        <v>0.0</v>
      </c>
      <c r="AE273" s="5">
        <v>43565.0</v>
      </c>
    </row>
    <row r="274">
      <c r="A274" s="4" t="s">
        <v>1412</v>
      </c>
      <c r="B274" s="4" t="s">
        <v>1423</v>
      </c>
      <c r="C274" s="4" t="s">
        <v>109</v>
      </c>
      <c r="D274" s="4" t="s">
        <v>1424</v>
      </c>
      <c r="E274" s="4" t="s">
        <v>26</v>
      </c>
      <c r="F274" s="4" t="s">
        <v>498</v>
      </c>
      <c r="G274" s="4" t="s">
        <v>2529</v>
      </c>
      <c r="H274" s="4" t="s">
        <v>2571</v>
      </c>
      <c r="I274" s="4" t="s">
        <v>2572</v>
      </c>
      <c r="J274" s="5">
        <v>25020.0</v>
      </c>
      <c r="K274" s="5">
        <v>16477.0</v>
      </c>
      <c r="L274" s="4">
        <v>78.0</v>
      </c>
      <c r="M274" s="4" t="s">
        <v>1407</v>
      </c>
      <c r="O274" s="5">
        <v>35217.0</v>
      </c>
      <c r="P274" s="5">
        <v>38664.0</v>
      </c>
      <c r="Q274" s="4" t="s">
        <v>31</v>
      </c>
      <c r="R274" s="4" t="s">
        <v>32</v>
      </c>
      <c r="S274" s="6" t="s">
        <v>2573</v>
      </c>
      <c r="T274" s="4" t="s">
        <v>2574</v>
      </c>
      <c r="U274" s="4">
        <v>6.0</v>
      </c>
      <c r="V274" s="4" t="s">
        <v>34</v>
      </c>
      <c r="W274" s="4">
        <v>31777.0</v>
      </c>
      <c r="X274" s="4" t="s">
        <v>2111</v>
      </c>
      <c r="Y274" s="4" t="s">
        <v>89</v>
      </c>
      <c r="AD274" s="4" t="s">
        <v>1411</v>
      </c>
    </row>
    <row r="275">
      <c r="A275" s="4" t="s">
        <v>78</v>
      </c>
      <c r="B275" s="4" t="s">
        <v>1447</v>
      </c>
      <c r="C275" s="4" t="s">
        <v>1467</v>
      </c>
      <c r="D275" s="4" t="s">
        <v>1468</v>
      </c>
      <c r="E275" s="4" t="s">
        <v>26</v>
      </c>
      <c r="F275" s="4" t="s">
        <v>498</v>
      </c>
      <c r="G275" s="4" t="s">
        <v>2575</v>
      </c>
      <c r="H275" s="4" t="s">
        <v>2576</v>
      </c>
      <c r="I275" s="4" t="s">
        <v>2577</v>
      </c>
      <c r="J275" s="5">
        <v>42217.0</v>
      </c>
      <c r="K275" s="5">
        <v>27992.0</v>
      </c>
      <c r="L275" s="4">
        <v>47.0</v>
      </c>
      <c r="M275" s="4" t="s">
        <v>1425</v>
      </c>
      <c r="O275" s="5">
        <v>42370.0</v>
      </c>
      <c r="P275" s="5">
        <v>42735.0</v>
      </c>
      <c r="Q275" s="4" t="s">
        <v>66</v>
      </c>
      <c r="R275" s="4" t="s">
        <v>32</v>
      </c>
      <c r="S275" s="6" t="s">
        <v>2578</v>
      </c>
      <c r="T275" s="4" t="s">
        <v>2579</v>
      </c>
      <c r="U275" s="4">
        <v>21.0</v>
      </c>
      <c r="V275" s="4" t="s">
        <v>359</v>
      </c>
      <c r="W275" s="4">
        <v>41178.0</v>
      </c>
      <c r="X275" s="4" t="s">
        <v>287</v>
      </c>
      <c r="Y275" s="4" t="s">
        <v>59</v>
      </c>
      <c r="Z275" s="4" t="s">
        <v>1590</v>
      </c>
      <c r="AA275" s="4">
        <v>2007.0</v>
      </c>
      <c r="AB275" s="4" t="s">
        <v>58</v>
      </c>
      <c r="AC275" s="5">
        <v>39213.0</v>
      </c>
      <c r="AD275" s="4" t="s">
        <v>1411</v>
      </c>
      <c r="AE275" s="5">
        <v>41984.0</v>
      </c>
    </row>
    <row r="276">
      <c r="A276" s="4" t="s">
        <v>1465</v>
      </c>
      <c r="B276" s="4" t="s">
        <v>1423</v>
      </c>
      <c r="C276" s="4" t="s">
        <v>109</v>
      </c>
      <c r="D276" s="4" t="s">
        <v>1424</v>
      </c>
      <c r="E276" s="4" t="s">
        <v>26</v>
      </c>
      <c r="F276" s="4" t="s">
        <v>498</v>
      </c>
      <c r="G276" s="4" t="s">
        <v>528</v>
      </c>
      <c r="H276" s="4" t="s">
        <v>2580</v>
      </c>
      <c r="I276" s="4" t="s">
        <v>2581</v>
      </c>
      <c r="J276" s="5">
        <v>34060.0</v>
      </c>
      <c r="K276" s="5">
        <v>18849.0</v>
      </c>
      <c r="L276" s="4">
        <v>72.0</v>
      </c>
      <c r="M276" s="4" t="s">
        <v>1407</v>
      </c>
      <c r="N276" s="4" t="s">
        <v>1461</v>
      </c>
      <c r="O276" s="5">
        <v>35521.0</v>
      </c>
      <c r="P276" s="5">
        <v>37833.0</v>
      </c>
      <c r="Q276" s="4" t="s">
        <v>31</v>
      </c>
      <c r="R276" s="4" t="s">
        <v>32</v>
      </c>
      <c r="S276" s="6" t="s">
        <v>2582</v>
      </c>
      <c r="T276" s="4" t="s">
        <v>2583</v>
      </c>
      <c r="U276" s="4">
        <v>22.0</v>
      </c>
      <c r="V276" s="4" t="s">
        <v>34</v>
      </c>
      <c r="W276" s="4">
        <v>1.0</v>
      </c>
      <c r="X276" s="4" t="s">
        <v>58</v>
      </c>
      <c r="Y276" s="4" t="s">
        <v>59</v>
      </c>
      <c r="Z276" s="4" t="s">
        <v>2075</v>
      </c>
      <c r="AA276" s="4">
        <v>1996.0</v>
      </c>
      <c r="AB276" s="4" t="s">
        <v>58</v>
      </c>
      <c r="AC276" s="5">
        <v>35236.0</v>
      </c>
      <c r="AD276" s="4" t="s">
        <v>1411</v>
      </c>
    </row>
    <row r="277">
      <c r="A277" s="4" t="s">
        <v>1684</v>
      </c>
      <c r="B277" s="4" t="s">
        <v>1413</v>
      </c>
      <c r="C277" s="4" t="s">
        <v>1414</v>
      </c>
      <c r="D277" s="4" t="s">
        <v>1415</v>
      </c>
      <c r="E277" s="4" t="s">
        <v>26</v>
      </c>
      <c r="F277" s="4" t="s">
        <v>1397</v>
      </c>
      <c r="G277" s="4" t="s">
        <v>1107</v>
      </c>
      <c r="H277" s="4" t="s">
        <v>611</v>
      </c>
      <c r="I277" s="4" t="s">
        <v>2584</v>
      </c>
      <c r="J277" s="5">
        <v>38200.0</v>
      </c>
      <c r="K277" s="5">
        <v>25617.0</v>
      </c>
      <c r="L277" s="4">
        <v>53.0</v>
      </c>
      <c r="M277" s="4" t="s">
        <v>1425</v>
      </c>
      <c r="O277" s="5">
        <v>38200.0</v>
      </c>
      <c r="P277" s="5">
        <v>38352.0</v>
      </c>
      <c r="Q277" s="4" t="s">
        <v>66</v>
      </c>
      <c r="R277" s="4" t="s">
        <v>32</v>
      </c>
      <c r="S277" s="6" t="s">
        <v>2585</v>
      </c>
      <c r="T277" s="4" t="s">
        <v>2586</v>
      </c>
      <c r="U277" s="4">
        <v>3.0</v>
      </c>
      <c r="Z277" s="4" t="s">
        <v>1993</v>
      </c>
      <c r="AA277" s="4">
        <v>1990.0</v>
      </c>
      <c r="AB277" s="4" t="s">
        <v>2587</v>
      </c>
      <c r="AC277" s="5">
        <v>33177.0</v>
      </c>
      <c r="AD277" s="4" t="s">
        <v>1411</v>
      </c>
    </row>
    <row r="278">
      <c r="A278" s="4" t="s">
        <v>1412</v>
      </c>
      <c r="B278" s="4" t="s">
        <v>1540</v>
      </c>
      <c r="C278" s="4" t="s">
        <v>99</v>
      </c>
      <c r="D278" s="4" t="s">
        <v>1541</v>
      </c>
      <c r="E278" s="4" t="s">
        <v>26</v>
      </c>
      <c r="F278" s="4" t="s">
        <v>2588</v>
      </c>
      <c r="G278" s="4" t="s">
        <v>483</v>
      </c>
      <c r="H278" s="4" t="s">
        <v>2589</v>
      </c>
      <c r="I278" s="4" t="s">
        <v>2590</v>
      </c>
      <c r="J278" s="5">
        <v>27181.0</v>
      </c>
      <c r="K278" s="5">
        <v>16459.0</v>
      </c>
      <c r="L278" s="4">
        <v>78.0</v>
      </c>
      <c r="M278" s="4" t="s">
        <v>1407</v>
      </c>
      <c r="N278" s="4" t="s">
        <v>1419</v>
      </c>
      <c r="O278" s="5">
        <v>35556.0</v>
      </c>
      <c r="P278" s="5">
        <v>38472.0</v>
      </c>
      <c r="Q278" s="4" t="s">
        <v>31</v>
      </c>
      <c r="R278" s="4" t="s">
        <v>32</v>
      </c>
      <c r="S278" s="6" t="s">
        <v>2591</v>
      </c>
      <c r="T278" s="4" t="s">
        <v>2592</v>
      </c>
      <c r="U278" s="4">
        <v>0.0</v>
      </c>
      <c r="V278" s="4" t="s">
        <v>34</v>
      </c>
      <c r="W278" s="4">
        <v>33238.0</v>
      </c>
      <c r="X278" s="4" t="s">
        <v>196</v>
      </c>
      <c r="Y278" s="4" t="s">
        <v>89</v>
      </c>
      <c r="Z278" s="4" t="s">
        <v>1427</v>
      </c>
      <c r="AA278" s="4">
        <v>1993.0</v>
      </c>
      <c r="AB278" s="4" t="s">
        <v>661</v>
      </c>
      <c r="AC278" s="5">
        <v>34182.0</v>
      </c>
      <c r="AD278" s="4" t="s">
        <v>1411</v>
      </c>
    </row>
    <row r="279">
      <c r="A279" s="4" t="s">
        <v>1412</v>
      </c>
      <c r="B279" s="4" t="s">
        <v>1540</v>
      </c>
      <c r="C279" s="4" t="s">
        <v>99</v>
      </c>
      <c r="D279" s="4" t="s">
        <v>1541</v>
      </c>
      <c r="E279" s="4" t="s">
        <v>26</v>
      </c>
      <c r="F279" s="4" t="s">
        <v>2588</v>
      </c>
      <c r="G279" s="4" t="s">
        <v>483</v>
      </c>
      <c r="H279" s="4" t="s">
        <v>2589</v>
      </c>
      <c r="I279" s="4" t="s">
        <v>2590</v>
      </c>
      <c r="J279" s="5">
        <v>27181.0</v>
      </c>
      <c r="K279" s="5">
        <v>16459.0</v>
      </c>
      <c r="L279" s="4">
        <v>78.0</v>
      </c>
      <c r="M279" s="4" t="s">
        <v>1407</v>
      </c>
      <c r="N279" s="4" t="s">
        <v>1419</v>
      </c>
      <c r="O279" s="5">
        <v>38353.0</v>
      </c>
      <c r="P279" s="5">
        <v>38472.0</v>
      </c>
      <c r="Q279" s="4" t="s">
        <v>66</v>
      </c>
      <c r="R279" s="4" t="s">
        <v>32</v>
      </c>
      <c r="S279" s="6" t="s">
        <v>2591</v>
      </c>
      <c r="T279" s="4" t="s">
        <v>2592</v>
      </c>
      <c r="U279" s="4">
        <v>6.0</v>
      </c>
      <c r="V279" s="4" t="s">
        <v>34</v>
      </c>
      <c r="W279" s="4">
        <v>33238.0</v>
      </c>
      <c r="X279" s="4" t="s">
        <v>196</v>
      </c>
      <c r="Y279" s="4" t="s">
        <v>89</v>
      </c>
      <c r="Z279" s="4" t="s">
        <v>1427</v>
      </c>
      <c r="AA279" s="4">
        <v>1993.0</v>
      </c>
      <c r="AB279" s="4" t="s">
        <v>661</v>
      </c>
      <c r="AC279" s="5">
        <v>34182.0</v>
      </c>
      <c r="AD279" s="4" t="s">
        <v>1411</v>
      </c>
    </row>
    <row r="280">
      <c r="A280" s="4" t="s">
        <v>1440</v>
      </c>
      <c r="B280" s="4" t="s">
        <v>1423</v>
      </c>
      <c r="C280" s="4" t="s">
        <v>109</v>
      </c>
      <c r="D280" s="4" t="s">
        <v>1424</v>
      </c>
      <c r="E280" s="4" t="s">
        <v>26</v>
      </c>
      <c r="F280" s="4" t="s">
        <v>641</v>
      </c>
      <c r="G280" s="4" t="s">
        <v>711</v>
      </c>
      <c r="H280" s="4" t="s">
        <v>2593</v>
      </c>
      <c r="I280" s="4" t="s">
        <v>2594</v>
      </c>
      <c r="J280" s="5">
        <v>23682.0</v>
      </c>
      <c r="K280" s="5">
        <v>14621.0</v>
      </c>
      <c r="L280" s="4">
        <v>84.0</v>
      </c>
      <c r="M280" s="4" t="s">
        <v>1407</v>
      </c>
      <c r="O280" s="5">
        <v>34060.0</v>
      </c>
      <c r="P280" s="5">
        <v>37937.0</v>
      </c>
      <c r="Q280" s="4" t="s">
        <v>31</v>
      </c>
      <c r="R280" s="4" t="s">
        <v>32</v>
      </c>
      <c r="S280" s="6" t="s">
        <v>2595</v>
      </c>
      <c r="T280" s="4" t="s">
        <v>2596</v>
      </c>
      <c r="U280" s="4">
        <v>22.0</v>
      </c>
      <c r="V280" s="4" t="s">
        <v>1492</v>
      </c>
      <c r="W280" s="4">
        <v>24103.0</v>
      </c>
      <c r="X280" s="4" t="s">
        <v>58</v>
      </c>
      <c r="Y280" s="4" t="s">
        <v>59</v>
      </c>
      <c r="AD280" s="4" t="s">
        <v>1411</v>
      </c>
    </row>
    <row r="281">
      <c r="A281" s="4" t="s">
        <v>39</v>
      </c>
      <c r="B281" s="4" t="s">
        <v>1430</v>
      </c>
      <c r="C281" s="4" t="s">
        <v>61</v>
      </c>
      <c r="D281" s="4" t="s">
        <v>1431</v>
      </c>
      <c r="E281" s="4" t="s">
        <v>80</v>
      </c>
      <c r="F281" s="4" t="s">
        <v>482</v>
      </c>
      <c r="G281" s="4" t="s">
        <v>483</v>
      </c>
      <c r="H281" s="4" t="s">
        <v>484</v>
      </c>
      <c r="I281" s="4" t="s">
        <v>485</v>
      </c>
      <c r="J281" s="5">
        <v>38322.0</v>
      </c>
      <c r="K281" s="5">
        <v>24008.0</v>
      </c>
      <c r="L281" s="4">
        <v>58.0</v>
      </c>
      <c r="M281" s="4" t="s">
        <v>1425</v>
      </c>
      <c r="N281" s="4" t="s">
        <v>1419</v>
      </c>
      <c r="O281" s="5">
        <v>44564.0</v>
      </c>
      <c r="P281" s="5">
        <v>73050.0</v>
      </c>
      <c r="Q281" s="4" t="s">
        <v>31</v>
      </c>
      <c r="R281" s="4" t="s">
        <v>32</v>
      </c>
      <c r="S281" s="6" t="s">
        <v>2597</v>
      </c>
      <c r="T281" s="4" t="s">
        <v>486</v>
      </c>
      <c r="U281" s="4">
        <v>22.0</v>
      </c>
      <c r="V281" s="4" t="s">
        <v>55</v>
      </c>
      <c r="W281" s="4">
        <v>38174.0</v>
      </c>
      <c r="X281" s="4" t="s">
        <v>58</v>
      </c>
      <c r="Y281" s="4" t="s">
        <v>59</v>
      </c>
      <c r="Z281" s="4" t="s">
        <v>1587</v>
      </c>
      <c r="AA281" s="4">
        <v>1987.0</v>
      </c>
      <c r="AB281" s="4" t="s">
        <v>164</v>
      </c>
      <c r="AC281" s="5">
        <v>32104.0</v>
      </c>
      <c r="AD281" s="4" t="s">
        <v>1411</v>
      </c>
      <c r="AE281" s="5">
        <v>44524.0</v>
      </c>
    </row>
    <row r="282">
      <c r="A282" s="4" t="s">
        <v>39</v>
      </c>
      <c r="B282" s="4" t="s">
        <v>1430</v>
      </c>
      <c r="C282" s="4" t="s">
        <v>61</v>
      </c>
      <c r="D282" s="4" t="s">
        <v>1431</v>
      </c>
      <c r="E282" s="4" t="s">
        <v>80</v>
      </c>
      <c r="F282" s="4" t="s">
        <v>730</v>
      </c>
      <c r="G282" s="4" t="s">
        <v>731</v>
      </c>
      <c r="H282" s="4" t="s">
        <v>732</v>
      </c>
      <c r="I282" s="4" t="s">
        <v>733</v>
      </c>
      <c r="J282" s="5">
        <v>39765.0</v>
      </c>
      <c r="K282" s="5">
        <v>23551.0</v>
      </c>
      <c r="L282" s="4">
        <v>59.0</v>
      </c>
      <c r="M282" s="4" t="s">
        <v>1407</v>
      </c>
      <c r="O282" s="5">
        <v>44927.0</v>
      </c>
      <c r="P282" s="5">
        <v>45291.0</v>
      </c>
      <c r="Q282" s="4" t="s">
        <v>66</v>
      </c>
      <c r="R282" s="4" t="s">
        <v>32</v>
      </c>
      <c r="S282" s="6" t="s">
        <v>2598</v>
      </c>
      <c r="T282" s="4" t="s">
        <v>734</v>
      </c>
      <c r="U282" s="4">
        <v>44.0</v>
      </c>
      <c r="V282" s="4" t="s">
        <v>34</v>
      </c>
      <c r="W282" s="4">
        <v>42480.0</v>
      </c>
      <c r="X282" s="4" t="s">
        <v>736</v>
      </c>
      <c r="Y282" s="4" t="s">
        <v>89</v>
      </c>
      <c r="Z282" s="4" t="s">
        <v>1479</v>
      </c>
      <c r="AA282" s="4">
        <v>1986.0</v>
      </c>
      <c r="AB282" s="4" t="s">
        <v>2599</v>
      </c>
      <c r="AC282" s="5">
        <v>31765.0</v>
      </c>
      <c r="AD282" s="4" t="s">
        <v>1411</v>
      </c>
      <c r="AE282" s="5">
        <v>44587.0</v>
      </c>
    </row>
    <row r="283">
      <c r="A283" s="4" t="s">
        <v>78</v>
      </c>
      <c r="B283" s="4" t="s">
        <v>1540</v>
      </c>
      <c r="C283" s="4" t="s">
        <v>99</v>
      </c>
      <c r="D283" s="4" t="s">
        <v>1541</v>
      </c>
      <c r="E283" s="4" t="s">
        <v>26</v>
      </c>
      <c r="F283" s="4" t="s">
        <v>213</v>
      </c>
      <c r="G283" s="4" t="s">
        <v>295</v>
      </c>
      <c r="H283" s="4" t="s">
        <v>296</v>
      </c>
      <c r="I283" s="4" t="s">
        <v>297</v>
      </c>
      <c r="J283" s="5">
        <v>35977.0</v>
      </c>
      <c r="K283" s="5">
        <v>22812.0</v>
      </c>
      <c r="L283" s="4">
        <v>61.0</v>
      </c>
      <c r="M283" s="4" t="s">
        <v>1407</v>
      </c>
      <c r="O283" s="5">
        <v>42186.0</v>
      </c>
      <c r="P283" s="5">
        <v>73050.0</v>
      </c>
      <c r="Q283" s="4" t="s">
        <v>31</v>
      </c>
      <c r="R283" s="4" t="s">
        <v>32</v>
      </c>
      <c r="S283" s="6" t="s">
        <v>2600</v>
      </c>
      <c r="T283" s="4" t="s">
        <v>298</v>
      </c>
      <c r="U283" s="4">
        <v>12.0</v>
      </c>
      <c r="V283" s="4" t="s">
        <v>179</v>
      </c>
      <c r="W283" s="4">
        <v>37266.0</v>
      </c>
      <c r="X283" s="4" t="s">
        <v>58</v>
      </c>
      <c r="Y283" s="4" t="s">
        <v>59</v>
      </c>
      <c r="Z283" s="4" t="s">
        <v>2601</v>
      </c>
      <c r="AA283" s="4">
        <v>1985.0</v>
      </c>
      <c r="AB283" s="4" t="s">
        <v>2602</v>
      </c>
      <c r="AC283" s="5">
        <v>31218.0</v>
      </c>
      <c r="AD283" s="4" t="s">
        <v>1411</v>
      </c>
      <c r="AE283" s="5">
        <v>41745.0</v>
      </c>
    </row>
    <row r="284">
      <c r="A284" s="4" t="s">
        <v>60</v>
      </c>
      <c r="B284" s="4" t="s">
        <v>1405</v>
      </c>
      <c r="C284" s="4" t="s">
        <v>317</v>
      </c>
      <c r="D284" s="4" t="s">
        <v>1406</v>
      </c>
      <c r="E284" s="4" t="s">
        <v>26</v>
      </c>
      <c r="F284" s="4" t="s">
        <v>1076</v>
      </c>
      <c r="G284" s="4" t="s">
        <v>633</v>
      </c>
      <c r="H284" s="4" t="s">
        <v>1077</v>
      </c>
      <c r="I284" s="4" t="s">
        <v>1078</v>
      </c>
      <c r="J284" s="5">
        <v>43191.0</v>
      </c>
      <c r="K284" s="5">
        <v>25964.0</v>
      </c>
      <c r="L284" s="4">
        <v>52.0</v>
      </c>
      <c r="M284" s="4" t="s">
        <v>1407</v>
      </c>
      <c r="N284" s="4" t="s">
        <v>1419</v>
      </c>
      <c r="O284" s="5">
        <v>44927.0</v>
      </c>
      <c r="P284" s="5">
        <v>45291.0</v>
      </c>
      <c r="Q284" s="4" t="s">
        <v>66</v>
      </c>
      <c r="R284" s="4" t="s">
        <v>32</v>
      </c>
      <c r="S284" s="6" t="s">
        <v>2603</v>
      </c>
      <c r="T284" s="4" t="s">
        <v>1079</v>
      </c>
      <c r="U284" s="4">
        <v>21.0</v>
      </c>
      <c r="V284" s="4" t="s">
        <v>359</v>
      </c>
      <c r="W284" s="4">
        <v>39182.0</v>
      </c>
      <c r="X284" s="4" t="s">
        <v>58</v>
      </c>
      <c r="Y284" s="4" t="s">
        <v>59</v>
      </c>
      <c r="Z284" s="4" t="s">
        <v>1427</v>
      </c>
      <c r="AA284" s="4">
        <v>1999.0</v>
      </c>
      <c r="AB284" s="4" t="s">
        <v>1511</v>
      </c>
      <c r="AC284" s="5">
        <v>36244.0</v>
      </c>
      <c r="AD284" s="4" t="s">
        <v>1411</v>
      </c>
      <c r="AE284" s="5">
        <v>43201.0</v>
      </c>
    </row>
    <row r="285">
      <c r="A285" s="4" t="s">
        <v>60</v>
      </c>
      <c r="B285" s="4" t="s">
        <v>1447</v>
      </c>
      <c r="C285" s="4" t="s">
        <v>40</v>
      </c>
      <c r="D285" s="4" t="s">
        <v>1448</v>
      </c>
      <c r="E285" s="4" t="s">
        <v>26</v>
      </c>
      <c r="F285" s="4" t="s">
        <v>204</v>
      </c>
      <c r="G285" s="4" t="s">
        <v>205</v>
      </c>
      <c r="H285" s="4" t="s">
        <v>206</v>
      </c>
      <c r="I285" s="4" t="s">
        <v>207</v>
      </c>
      <c r="J285" s="5">
        <v>34121.0</v>
      </c>
      <c r="K285" s="5">
        <v>23471.0</v>
      </c>
      <c r="L285" s="4">
        <v>59.0</v>
      </c>
      <c r="M285" s="4" t="s">
        <v>1425</v>
      </c>
      <c r="O285" s="5">
        <v>42186.0</v>
      </c>
      <c r="P285" s="5">
        <v>73050.0</v>
      </c>
      <c r="Q285" s="4" t="s">
        <v>31</v>
      </c>
      <c r="R285" s="4" t="s">
        <v>32</v>
      </c>
      <c r="S285" s="6" t="s">
        <v>208</v>
      </c>
      <c r="T285" s="4" t="s">
        <v>208</v>
      </c>
      <c r="U285" s="4">
        <v>12.0</v>
      </c>
      <c r="V285" s="4" t="s">
        <v>55</v>
      </c>
      <c r="W285" s="4">
        <v>32413.0</v>
      </c>
      <c r="X285" s="4" t="s">
        <v>211</v>
      </c>
      <c r="Y285" s="4" t="s">
        <v>59</v>
      </c>
      <c r="Z285" s="4" t="s">
        <v>1993</v>
      </c>
      <c r="AA285" s="4">
        <v>1986.0</v>
      </c>
      <c r="AB285" s="4" t="s">
        <v>383</v>
      </c>
      <c r="AC285" s="5">
        <v>31413.0</v>
      </c>
      <c r="AD285" s="4" t="s">
        <v>1411</v>
      </c>
      <c r="AE285" s="5">
        <v>41476.0</v>
      </c>
    </row>
    <row r="286">
      <c r="A286" s="4" t="s">
        <v>1412</v>
      </c>
      <c r="B286" s="4" t="s">
        <v>1413</v>
      </c>
      <c r="C286" s="4" t="s">
        <v>1414</v>
      </c>
      <c r="D286" s="4" t="s">
        <v>1415</v>
      </c>
      <c r="E286" s="4" t="s">
        <v>26</v>
      </c>
      <c r="F286" s="4" t="s">
        <v>2604</v>
      </c>
      <c r="G286" s="4" t="s">
        <v>680</v>
      </c>
      <c r="H286" s="4" t="s">
        <v>2605</v>
      </c>
      <c r="I286" s="4" t="s">
        <v>2606</v>
      </c>
      <c r="J286" s="5">
        <v>39866.0</v>
      </c>
      <c r="K286" s="5">
        <v>30347.0</v>
      </c>
      <c r="L286" s="4">
        <v>40.0</v>
      </c>
      <c r="M286" s="4" t="s">
        <v>1425</v>
      </c>
      <c r="O286" s="5">
        <v>41275.0</v>
      </c>
      <c r="P286" s="5">
        <v>41639.0</v>
      </c>
      <c r="Q286" s="4" t="s">
        <v>66</v>
      </c>
      <c r="R286" s="4" t="s">
        <v>32</v>
      </c>
      <c r="S286" s="6" t="s">
        <v>2607</v>
      </c>
      <c r="T286" s="4" t="s">
        <v>2607</v>
      </c>
      <c r="U286" s="4">
        <v>2.0</v>
      </c>
      <c r="V286" s="4" t="s">
        <v>55</v>
      </c>
      <c r="W286" s="4">
        <v>39083.0</v>
      </c>
      <c r="X286" s="4" t="s">
        <v>58</v>
      </c>
      <c r="Y286" s="4" t="s">
        <v>59</v>
      </c>
      <c r="Z286" s="4" t="s">
        <v>1427</v>
      </c>
      <c r="AA286" s="4">
        <v>2007.0</v>
      </c>
      <c r="AB286" s="4" t="s">
        <v>58</v>
      </c>
      <c r="AC286" s="5">
        <v>39399.0</v>
      </c>
      <c r="AD286" s="4" t="s">
        <v>1411</v>
      </c>
      <c r="AE286" s="5">
        <v>39835.0</v>
      </c>
    </row>
    <row r="287">
      <c r="A287" s="4" t="s">
        <v>60</v>
      </c>
      <c r="B287" s="4" t="s">
        <v>1423</v>
      </c>
      <c r="C287" s="4" t="s">
        <v>109</v>
      </c>
      <c r="D287" s="4" t="s">
        <v>1424</v>
      </c>
      <c r="E287" s="4" t="s">
        <v>26</v>
      </c>
      <c r="F287" s="4" t="s">
        <v>2604</v>
      </c>
      <c r="G287" s="4" t="s">
        <v>2608</v>
      </c>
      <c r="H287" s="4" t="s">
        <v>2609</v>
      </c>
      <c r="I287" s="4" t="s">
        <v>2610</v>
      </c>
      <c r="J287" s="5">
        <v>25812.0</v>
      </c>
      <c r="K287" s="5">
        <v>16963.0</v>
      </c>
      <c r="L287" s="4">
        <v>77.0</v>
      </c>
      <c r="M287" s="4" t="s">
        <v>1407</v>
      </c>
      <c r="O287" s="5">
        <v>42186.0</v>
      </c>
      <c r="P287" s="5">
        <v>73050.0</v>
      </c>
      <c r="Q287" s="4" t="s">
        <v>31</v>
      </c>
      <c r="R287" s="4" t="s">
        <v>32</v>
      </c>
      <c r="S287" s="6" t="s">
        <v>2611</v>
      </c>
      <c r="T287" s="4" t="s">
        <v>2612</v>
      </c>
      <c r="U287" s="4">
        <v>12.0</v>
      </c>
      <c r="V287" s="4" t="s">
        <v>359</v>
      </c>
      <c r="W287" s="4">
        <v>40668.0</v>
      </c>
      <c r="X287" s="4" t="s">
        <v>323</v>
      </c>
      <c r="Y287" s="4" t="s">
        <v>59</v>
      </c>
      <c r="Z287" s="4" t="s">
        <v>1427</v>
      </c>
      <c r="AA287" s="4">
        <v>1994.0</v>
      </c>
      <c r="AB287" s="4" t="s">
        <v>58</v>
      </c>
      <c r="AC287" s="5">
        <v>34342.0</v>
      </c>
      <c r="AD287" s="4" t="s">
        <v>1411</v>
      </c>
      <c r="AE287" s="5">
        <v>38008.0</v>
      </c>
    </row>
    <row r="288">
      <c r="A288" s="4" t="s">
        <v>1412</v>
      </c>
      <c r="B288" s="4" t="s">
        <v>1413</v>
      </c>
      <c r="C288" s="4" t="s">
        <v>1414</v>
      </c>
      <c r="D288" s="4" t="s">
        <v>1415</v>
      </c>
      <c r="E288" s="4" t="s">
        <v>26</v>
      </c>
      <c r="F288" s="4" t="s">
        <v>2604</v>
      </c>
      <c r="G288" s="4" t="s">
        <v>2613</v>
      </c>
      <c r="H288" s="4" t="s">
        <v>2614</v>
      </c>
      <c r="I288" s="4" t="s">
        <v>2615</v>
      </c>
      <c r="J288" s="5">
        <v>36617.0</v>
      </c>
      <c r="K288" s="5">
        <v>23103.0</v>
      </c>
      <c r="L288" s="4">
        <v>60.0</v>
      </c>
      <c r="M288" s="4" t="s">
        <v>1407</v>
      </c>
      <c r="O288" s="5">
        <v>36617.0</v>
      </c>
      <c r="P288" s="5">
        <v>36799.0</v>
      </c>
      <c r="Q288" s="4" t="s">
        <v>66</v>
      </c>
      <c r="R288" s="4" t="s">
        <v>32</v>
      </c>
      <c r="S288" s="6" t="s">
        <v>2616</v>
      </c>
      <c r="T288" s="4" t="s">
        <v>2617</v>
      </c>
      <c r="U288" s="4">
        <v>6.0</v>
      </c>
      <c r="AD288" s="4" t="s">
        <v>1411</v>
      </c>
    </row>
    <row r="289">
      <c r="A289" s="4" t="s">
        <v>1434</v>
      </c>
      <c r="B289" s="4" t="s">
        <v>1423</v>
      </c>
      <c r="C289" s="4" t="s">
        <v>109</v>
      </c>
      <c r="D289" s="4" t="s">
        <v>1424</v>
      </c>
      <c r="E289" s="4" t="s">
        <v>26</v>
      </c>
      <c r="F289" s="4" t="s">
        <v>2618</v>
      </c>
      <c r="G289" s="4" t="s">
        <v>2619</v>
      </c>
      <c r="H289" s="4" t="s">
        <v>1837</v>
      </c>
      <c r="I289" s="4" t="s">
        <v>2620</v>
      </c>
      <c r="J289" s="5">
        <v>28185.0</v>
      </c>
      <c r="K289" s="5">
        <v>18927.0</v>
      </c>
      <c r="L289" s="4">
        <v>72.0</v>
      </c>
      <c r="M289" s="4" t="s">
        <v>1407</v>
      </c>
      <c r="O289" s="5">
        <v>38200.0</v>
      </c>
      <c r="P289" s="5">
        <v>38230.0</v>
      </c>
      <c r="Q289" s="4" t="s">
        <v>66</v>
      </c>
      <c r="R289" s="4" t="s">
        <v>32</v>
      </c>
      <c r="S289" s="6" t="s">
        <v>2621</v>
      </c>
      <c r="T289" s="4" t="s">
        <v>2622</v>
      </c>
      <c r="U289" s="4">
        <v>9.0</v>
      </c>
      <c r="V289" s="4" t="s">
        <v>34</v>
      </c>
      <c r="W289" s="4">
        <v>34699.0</v>
      </c>
      <c r="X289" s="4" t="s">
        <v>2560</v>
      </c>
      <c r="Y289" s="4" t="s">
        <v>624</v>
      </c>
      <c r="AD289" s="4" t="s">
        <v>1411</v>
      </c>
    </row>
    <row r="290">
      <c r="A290" s="4" t="s">
        <v>1434</v>
      </c>
      <c r="B290" s="4" t="s">
        <v>1423</v>
      </c>
      <c r="C290" s="4" t="s">
        <v>109</v>
      </c>
      <c r="D290" s="4" t="s">
        <v>1424</v>
      </c>
      <c r="E290" s="4" t="s">
        <v>26</v>
      </c>
      <c r="F290" s="4" t="s">
        <v>2623</v>
      </c>
      <c r="G290" s="4" t="s">
        <v>2624</v>
      </c>
      <c r="H290" s="4" t="s">
        <v>2625</v>
      </c>
      <c r="I290" s="4" t="s">
        <v>2626</v>
      </c>
      <c r="J290" s="5">
        <v>29830.0</v>
      </c>
      <c r="K290" s="5">
        <v>16011.0</v>
      </c>
      <c r="L290" s="4">
        <v>80.0</v>
      </c>
      <c r="M290" s="4" t="s">
        <v>1407</v>
      </c>
      <c r="O290" s="5">
        <v>32690.0</v>
      </c>
      <c r="P290" s="5">
        <v>35145.0</v>
      </c>
      <c r="Q290" s="4" t="s">
        <v>31</v>
      </c>
      <c r="R290" s="4" t="s">
        <v>32</v>
      </c>
      <c r="S290" s="6" t="s">
        <v>2627</v>
      </c>
      <c r="T290" s="4" t="s">
        <v>2628</v>
      </c>
      <c r="U290" s="4">
        <v>6.0</v>
      </c>
      <c r="AD290" s="4" t="s">
        <v>1411</v>
      </c>
    </row>
    <row r="291">
      <c r="A291" s="4" t="s">
        <v>1434</v>
      </c>
      <c r="B291" s="4" t="s">
        <v>1423</v>
      </c>
      <c r="C291" s="4" t="s">
        <v>109</v>
      </c>
      <c r="D291" s="4" t="s">
        <v>1424</v>
      </c>
      <c r="E291" s="4" t="s">
        <v>26</v>
      </c>
      <c r="F291" s="4" t="s">
        <v>2623</v>
      </c>
      <c r="G291" s="4" t="s">
        <v>2624</v>
      </c>
      <c r="H291" s="4" t="s">
        <v>2629</v>
      </c>
      <c r="I291" s="4" t="s">
        <v>2630</v>
      </c>
      <c r="J291" s="5">
        <v>32721.0</v>
      </c>
      <c r="K291" s="5">
        <v>18075.0</v>
      </c>
      <c r="L291" s="4">
        <v>74.0</v>
      </c>
      <c r="M291" s="4" t="s">
        <v>1407</v>
      </c>
      <c r="O291" s="5">
        <v>33848.0</v>
      </c>
      <c r="P291" s="5">
        <v>36981.0</v>
      </c>
      <c r="Q291" s="4" t="s">
        <v>31</v>
      </c>
      <c r="R291" s="4" t="s">
        <v>32</v>
      </c>
      <c r="S291" s="6" t="s">
        <v>2631</v>
      </c>
      <c r="T291" s="4" t="s">
        <v>2632</v>
      </c>
      <c r="U291" s="4">
        <v>6.0</v>
      </c>
      <c r="AD291" s="4" t="s">
        <v>1411</v>
      </c>
    </row>
    <row r="292">
      <c r="A292" s="4" t="s">
        <v>1434</v>
      </c>
      <c r="B292" s="4" t="s">
        <v>1413</v>
      </c>
      <c r="C292" s="4" t="s">
        <v>1414</v>
      </c>
      <c r="D292" s="4" t="s">
        <v>1415</v>
      </c>
      <c r="E292" s="4" t="s">
        <v>26</v>
      </c>
      <c r="F292" s="4" t="s">
        <v>2633</v>
      </c>
      <c r="G292" s="4" t="s">
        <v>680</v>
      </c>
      <c r="H292" s="4" t="s">
        <v>2634</v>
      </c>
      <c r="I292" s="4" t="s">
        <v>2635</v>
      </c>
      <c r="J292" s="5">
        <v>36220.0</v>
      </c>
      <c r="K292" s="5">
        <v>14027.0</v>
      </c>
      <c r="L292" s="4">
        <v>85.0</v>
      </c>
      <c r="M292" s="4" t="s">
        <v>1407</v>
      </c>
      <c r="O292" s="5">
        <v>38353.0</v>
      </c>
      <c r="P292" s="5">
        <v>38472.0</v>
      </c>
      <c r="Q292" s="4" t="s">
        <v>66</v>
      </c>
      <c r="R292" s="4" t="s">
        <v>32</v>
      </c>
      <c r="S292" s="6" t="s">
        <v>2636</v>
      </c>
      <c r="T292" s="4" t="s">
        <v>2637</v>
      </c>
      <c r="U292" s="4">
        <v>6.0</v>
      </c>
      <c r="V292" s="4" t="s">
        <v>1492</v>
      </c>
      <c r="W292" s="4">
        <v>27926.0</v>
      </c>
      <c r="X292" s="4" t="s">
        <v>58</v>
      </c>
      <c r="Y292" s="4" t="s">
        <v>59</v>
      </c>
      <c r="AD292" s="4" t="s">
        <v>1411</v>
      </c>
    </row>
    <row r="293">
      <c r="A293" s="4" t="s">
        <v>2540</v>
      </c>
      <c r="B293" s="4" t="s">
        <v>1473</v>
      </c>
      <c r="C293" s="4" t="s">
        <v>25</v>
      </c>
      <c r="D293" s="4" t="s">
        <v>1474</v>
      </c>
      <c r="E293" s="4" t="s">
        <v>26</v>
      </c>
      <c r="F293" s="4" t="s">
        <v>2633</v>
      </c>
      <c r="G293" s="4" t="s">
        <v>2638</v>
      </c>
      <c r="H293" s="4" t="s">
        <v>2639</v>
      </c>
      <c r="I293" s="4" t="s">
        <v>2640</v>
      </c>
      <c r="J293" s="5">
        <v>19815.0</v>
      </c>
      <c r="K293" s="5">
        <v>10485.0</v>
      </c>
      <c r="L293" s="4">
        <v>95.0</v>
      </c>
      <c r="M293" s="4" t="s">
        <v>1524</v>
      </c>
      <c r="O293" s="5">
        <v>37257.0</v>
      </c>
      <c r="P293" s="5">
        <v>37437.0</v>
      </c>
      <c r="Q293" s="4" t="s">
        <v>66</v>
      </c>
      <c r="R293" s="4" t="s">
        <v>32</v>
      </c>
      <c r="S293" s="6" t="s">
        <v>2641</v>
      </c>
      <c r="T293" s="4" t="s">
        <v>2642</v>
      </c>
      <c r="U293" s="4">
        <v>4.0</v>
      </c>
      <c r="V293" s="4" t="s">
        <v>34</v>
      </c>
      <c r="W293" s="4">
        <v>21550.0</v>
      </c>
      <c r="X293" s="4" t="s">
        <v>2643</v>
      </c>
      <c r="Y293" s="4" t="s">
        <v>227</v>
      </c>
      <c r="AD293" s="4" t="s">
        <v>1411</v>
      </c>
    </row>
    <row r="294">
      <c r="A294" s="4" t="s">
        <v>1465</v>
      </c>
      <c r="B294" s="4" t="s">
        <v>1423</v>
      </c>
      <c r="C294" s="4" t="s">
        <v>109</v>
      </c>
      <c r="D294" s="4" t="s">
        <v>1424</v>
      </c>
      <c r="E294" s="4" t="s">
        <v>80</v>
      </c>
      <c r="F294" s="4" t="s">
        <v>490</v>
      </c>
      <c r="G294" s="4" t="s">
        <v>377</v>
      </c>
      <c r="H294" s="4" t="s">
        <v>2644</v>
      </c>
      <c r="I294" s="4" t="s">
        <v>2645</v>
      </c>
      <c r="J294" s="5">
        <v>37622.0</v>
      </c>
      <c r="K294" s="5">
        <v>24118.0</v>
      </c>
      <c r="L294" s="4">
        <v>58.0</v>
      </c>
      <c r="M294" s="4" t="s">
        <v>1407</v>
      </c>
      <c r="N294" s="4" t="s">
        <v>1419</v>
      </c>
      <c r="O294" s="5">
        <v>37803.0</v>
      </c>
      <c r="P294" s="5">
        <v>37833.0</v>
      </c>
      <c r="Q294" s="4" t="s">
        <v>66</v>
      </c>
      <c r="R294" s="4" t="s">
        <v>32</v>
      </c>
      <c r="S294" s="6" t="s">
        <v>2646</v>
      </c>
      <c r="T294" s="4" t="s">
        <v>2647</v>
      </c>
      <c r="U294" s="4">
        <v>22.0</v>
      </c>
      <c r="V294" s="4" t="s">
        <v>2648</v>
      </c>
      <c r="W294" s="4">
        <v>40689.0</v>
      </c>
      <c r="X294" s="4" t="s">
        <v>2649</v>
      </c>
      <c r="Y294" s="4" t="s">
        <v>227</v>
      </c>
      <c r="Z294" s="4" t="s">
        <v>1519</v>
      </c>
      <c r="AA294" s="4">
        <v>1989.0</v>
      </c>
      <c r="AB294" s="4" t="s">
        <v>438</v>
      </c>
      <c r="AC294" s="5">
        <v>32615.0</v>
      </c>
      <c r="AD294" s="4" t="s">
        <v>1411</v>
      </c>
    </row>
    <row r="295">
      <c r="A295" s="4" t="s">
        <v>337</v>
      </c>
      <c r="B295" s="4" t="s">
        <v>1473</v>
      </c>
      <c r="C295" s="4" t="s">
        <v>25</v>
      </c>
      <c r="D295" s="4" t="s">
        <v>1474</v>
      </c>
      <c r="E295" s="4" t="s">
        <v>80</v>
      </c>
      <c r="F295" s="4" t="s">
        <v>490</v>
      </c>
      <c r="G295" s="4" t="s">
        <v>491</v>
      </c>
      <c r="H295" s="4" t="s">
        <v>492</v>
      </c>
      <c r="I295" s="4" t="s">
        <v>493</v>
      </c>
      <c r="J295" s="5">
        <v>38454.0</v>
      </c>
      <c r="K295" s="5">
        <v>20650.0</v>
      </c>
      <c r="L295" s="4">
        <v>67.0</v>
      </c>
      <c r="M295" s="4" t="s">
        <v>1425</v>
      </c>
      <c r="O295" s="5">
        <v>44743.0</v>
      </c>
      <c r="P295" s="5">
        <v>73050.0</v>
      </c>
      <c r="Q295" s="4" t="s">
        <v>31</v>
      </c>
      <c r="R295" s="4" t="s">
        <v>32</v>
      </c>
      <c r="S295" s="6" t="s">
        <v>2650</v>
      </c>
      <c r="T295" s="4" t="s">
        <v>494</v>
      </c>
      <c r="U295" s="4">
        <v>44.0</v>
      </c>
      <c r="V295" s="4" t="s">
        <v>34</v>
      </c>
      <c r="W295" s="4">
        <v>36616.0</v>
      </c>
      <c r="X295" s="4" t="s">
        <v>496</v>
      </c>
      <c r="Y295" s="4" t="s">
        <v>497</v>
      </c>
      <c r="Z295" s="4" t="s">
        <v>2156</v>
      </c>
      <c r="AA295" s="4">
        <v>1980.0</v>
      </c>
      <c r="AB295" s="4" t="s">
        <v>1007</v>
      </c>
      <c r="AC295" s="5">
        <v>29567.0</v>
      </c>
      <c r="AD295" s="4" t="s">
        <v>1411</v>
      </c>
      <c r="AE295" s="5">
        <v>44587.0</v>
      </c>
    </row>
    <row r="296">
      <c r="A296" s="4" t="s">
        <v>1440</v>
      </c>
      <c r="B296" s="4" t="s">
        <v>1423</v>
      </c>
      <c r="C296" s="4" t="s">
        <v>109</v>
      </c>
      <c r="D296" s="4" t="s">
        <v>1424</v>
      </c>
      <c r="E296" s="4" t="s">
        <v>26</v>
      </c>
      <c r="F296" s="4" t="s">
        <v>2651</v>
      </c>
      <c r="G296" s="4" t="s">
        <v>680</v>
      </c>
      <c r="H296" s="4" t="s">
        <v>2652</v>
      </c>
      <c r="I296" s="4" t="s">
        <v>2653</v>
      </c>
      <c r="J296" s="5">
        <v>39661.0</v>
      </c>
      <c r="K296" s="5">
        <v>27949.0</v>
      </c>
      <c r="L296" s="4">
        <v>47.0</v>
      </c>
      <c r="M296" s="4" t="s">
        <v>1407</v>
      </c>
      <c r="O296" s="5">
        <v>40544.0</v>
      </c>
      <c r="P296" s="5">
        <v>40574.0</v>
      </c>
      <c r="Q296" s="4" t="s">
        <v>66</v>
      </c>
      <c r="R296" s="4" t="s">
        <v>32</v>
      </c>
      <c r="S296" s="6" t="s">
        <v>2654</v>
      </c>
      <c r="T296" s="4" t="s">
        <v>2655</v>
      </c>
      <c r="U296" s="4">
        <v>12.0</v>
      </c>
      <c r="Z296" s="4" t="s">
        <v>1422</v>
      </c>
      <c r="AA296" s="4">
        <v>2003.0</v>
      </c>
      <c r="AB296" s="4" t="s">
        <v>58</v>
      </c>
      <c r="AC296" s="5">
        <v>37782.0</v>
      </c>
      <c r="AD296" s="4" t="s">
        <v>1411</v>
      </c>
      <c r="AE296" s="5">
        <v>39583.0</v>
      </c>
    </row>
    <row r="297">
      <c r="A297" s="4" t="s">
        <v>1434</v>
      </c>
      <c r="B297" s="4" t="s">
        <v>1849</v>
      </c>
      <c r="C297" s="4" t="s">
        <v>1850</v>
      </c>
      <c r="D297" s="4" t="s">
        <v>1851</v>
      </c>
      <c r="E297" s="4" t="s">
        <v>26</v>
      </c>
      <c r="F297" s="4" t="s">
        <v>1107</v>
      </c>
      <c r="G297" s="4" t="s">
        <v>2030</v>
      </c>
      <c r="H297" s="4" t="s">
        <v>2656</v>
      </c>
      <c r="I297" s="4" t="s">
        <v>2657</v>
      </c>
      <c r="J297" s="5">
        <v>34455.0</v>
      </c>
      <c r="K297" s="5">
        <v>24827.0</v>
      </c>
      <c r="L297" s="4">
        <v>56.0</v>
      </c>
      <c r="M297" s="4" t="s">
        <v>1425</v>
      </c>
      <c r="O297" s="5">
        <v>34455.0</v>
      </c>
      <c r="P297" s="5">
        <v>34668.0</v>
      </c>
      <c r="Q297" s="4" t="s">
        <v>66</v>
      </c>
      <c r="R297" s="4" t="s">
        <v>32</v>
      </c>
      <c r="S297" s="6" t="s">
        <v>2658</v>
      </c>
      <c r="T297" s="4" t="s">
        <v>2659</v>
      </c>
      <c r="U297" s="4">
        <v>22.0</v>
      </c>
      <c r="AD297" s="4" t="s">
        <v>1411</v>
      </c>
    </row>
    <row r="298">
      <c r="A298" s="4" t="s">
        <v>1434</v>
      </c>
      <c r="B298" s="4" t="s">
        <v>1423</v>
      </c>
      <c r="C298" s="4" t="s">
        <v>109</v>
      </c>
      <c r="D298" s="4" t="s">
        <v>1424</v>
      </c>
      <c r="E298" s="4" t="s">
        <v>26</v>
      </c>
      <c r="F298" s="4" t="s">
        <v>2529</v>
      </c>
      <c r="G298" s="4" t="s">
        <v>2461</v>
      </c>
      <c r="H298" s="4" t="s">
        <v>2660</v>
      </c>
      <c r="I298" s="4" t="s">
        <v>2661</v>
      </c>
      <c r="J298" s="5">
        <v>35521.0</v>
      </c>
      <c r="K298" s="5">
        <v>21116.0</v>
      </c>
      <c r="L298" s="4">
        <v>66.0</v>
      </c>
      <c r="M298" s="4" t="s">
        <v>1407</v>
      </c>
      <c r="O298" s="5">
        <v>38565.0</v>
      </c>
      <c r="P298" s="5">
        <v>38717.0</v>
      </c>
      <c r="Q298" s="4" t="s">
        <v>66</v>
      </c>
      <c r="R298" s="4" t="s">
        <v>32</v>
      </c>
      <c r="S298" s="6" t="s">
        <v>2662</v>
      </c>
      <c r="T298" s="4" t="s">
        <v>2663</v>
      </c>
      <c r="U298" s="4">
        <v>6.0</v>
      </c>
      <c r="V298" s="4" t="s">
        <v>34</v>
      </c>
      <c r="W298" s="4">
        <v>33603.0</v>
      </c>
      <c r="X298" s="4" t="s">
        <v>2664</v>
      </c>
      <c r="Y298" s="4" t="s">
        <v>227</v>
      </c>
      <c r="AD298" s="4" t="s">
        <v>1411</v>
      </c>
    </row>
    <row r="299">
      <c r="A299" s="4" t="s">
        <v>1465</v>
      </c>
      <c r="B299" s="4" t="s">
        <v>1423</v>
      </c>
      <c r="C299" s="4" t="s">
        <v>109</v>
      </c>
      <c r="D299" s="4" t="s">
        <v>1424</v>
      </c>
      <c r="E299" s="4" t="s">
        <v>26</v>
      </c>
      <c r="F299" s="4" t="s">
        <v>2529</v>
      </c>
      <c r="G299" s="4" t="s">
        <v>2665</v>
      </c>
      <c r="H299" s="4" t="s">
        <v>2666</v>
      </c>
      <c r="I299" s="4" t="s">
        <v>2667</v>
      </c>
      <c r="J299" s="5">
        <v>31260.0</v>
      </c>
      <c r="K299" s="5">
        <v>16968.0</v>
      </c>
      <c r="L299" s="4">
        <v>77.0</v>
      </c>
      <c r="M299" s="4" t="s">
        <v>1453</v>
      </c>
      <c r="O299" s="5">
        <v>35065.0</v>
      </c>
      <c r="P299" s="5">
        <v>37894.0</v>
      </c>
      <c r="Q299" s="4" t="s">
        <v>31</v>
      </c>
      <c r="R299" s="4" t="s">
        <v>32</v>
      </c>
      <c r="S299" s="6" t="s">
        <v>2668</v>
      </c>
      <c r="T299" s="4" t="s">
        <v>2669</v>
      </c>
      <c r="U299" s="4">
        <v>6.0</v>
      </c>
      <c r="V299" s="4" t="s">
        <v>1492</v>
      </c>
      <c r="W299" s="4">
        <v>29571.0</v>
      </c>
      <c r="X299" s="4" t="s">
        <v>58</v>
      </c>
      <c r="Y299" s="4" t="s">
        <v>59</v>
      </c>
      <c r="AD299" s="4" t="s">
        <v>1411</v>
      </c>
    </row>
    <row r="300">
      <c r="A300" s="4" t="s">
        <v>78</v>
      </c>
      <c r="B300" s="4" t="s">
        <v>1540</v>
      </c>
      <c r="C300" s="4" t="s">
        <v>99</v>
      </c>
      <c r="D300" s="4" t="s">
        <v>1541</v>
      </c>
      <c r="E300" s="4" t="s">
        <v>26</v>
      </c>
      <c r="F300" s="4" t="s">
        <v>625</v>
      </c>
      <c r="G300" s="4" t="s">
        <v>626</v>
      </c>
      <c r="H300" s="4" t="s">
        <v>627</v>
      </c>
      <c r="I300" s="4" t="s">
        <v>628</v>
      </c>
      <c r="J300" s="5">
        <v>39234.0</v>
      </c>
      <c r="K300" s="5">
        <v>26865.0</v>
      </c>
      <c r="L300" s="4">
        <v>50.0</v>
      </c>
      <c r="M300" s="4" t="s">
        <v>1407</v>
      </c>
      <c r="O300" s="5">
        <v>44927.0</v>
      </c>
      <c r="P300" s="5">
        <v>45291.0</v>
      </c>
      <c r="Q300" s="4" t="s">
        <v>66</v>
      </c>
      <c r="R300" s="4" t="s">
        <v>32</v>
      </c>
      <c r="S300" s="6" t="s">
        <v>2670</v>
      </c>
      <c r="T300" s="4" t="s">
        <v>629</v>
      </c>
      <c r="U300" s="4">
        <v>44.0</v>
      </c>
      <c r="V300" s="4" t="s">
        <v>630</v>
      </c>
      <c r="W300" s="4">
        <v>36809.0</v>
      </c>
      <c r="X300" s="4" t="s">
        <v>632</v>
      </c>
      <c r="Y300" s="4" t="s">
        <v>38</v>
      </c>
      <c r="Z300" s="4" t="s">
        <v>1433</v>
      </c>
      <c r="AA300" s="4">
        <v>1998.0</v>
      </c>
      <c r="AB300" s="4" t="s">
        <v>58</v>
      </c>
      <c r="AC300" s="5">
        <v>36007.0</v>
      </c>
      <c r="AD300" s="4" t="s">
        <v>1411</v>
      </c>
      <c r="AE300" s="5">
        <v>44139.0</v>
      </c>
    </row>
    <row r="301">
      <c r="A301" s="4" t="s">
        <v>78</v>
      </c>
      <c r="B301" s="4" t="s">
        <v>1540</v>
      </c>
      <c r="C301" s="4" t="s">
        <v>99</v>
      </c>
      <c r="D301" s="4" t="s">
        <v>1541</v>
      </c>
      <c r="E301" s="4" t="s">
        <v>26</v>
      </c>
      <c r="F301" s="4" t="s">
        <v>2671</v>
      </c>
      <c r="G301" s="4" t="s">
        <v>2672</v>
      </c>
      <c r="H301" s="4" t="s">
        <v>2673</v>
      </c>
      <c r="I301" s="4" t="s">
        <v>2674</v>
      </c>
      <c r="J301" s="5">
        <v>38292.0</v>
      </c>
      <c r="K301" s="5">
        <v>28438.0</v>
      </c>
      <c r="L301" s="4">
        <v>46.0</v>
      </c>
      <c r="M301" s="4" t="s">
        <v>1407</v>
      </c>
      <c r="O301" s="5">
        <v>42372.0</v>
      </c>
      <c r="P301" s="5">
        <v>43009.0</v>
      </c>
      <c r="Q301" s="4" t="s">
        <v>31</v>
      </c>
      <c r="R301" s="4" t="s">
        <v>32</v>
      </c>
      <c r="S301" s="6" t="s">
        <v>2675</v>
      </c>
      <c r="T301" s="4" t="s">
        <v>2675</v>
      </c>
      <c r="U301" s="4">
        <v>44.0</v>
      </c>
      <c r="V301" s="4" t="s">
        <v>34</v>
      </c>
      <c r="W301" s="4">
        <v>40786.0</v>
      </c>
      <c r="X301" s="4" t="s">
        <v>287</v>
      </c>
      <c r="Y301" s="4" t="s">
        <v>59</v>
      </c>
      <c r="Z301" s="4" t="s">
        <v>1590</v>
      </c>
      <c r="AA301" s="4">
        <v>2002.0</v>
      </c>
      <c r="AB301" s="4" t="s">
        <v>58</v>
      </c>
      <c r="AC301" s="5">
        <v>37512.0</v>
      </c>
      <c r="AD301" s="4" t="s">
        <v>2676</v>
      </c>
      <c r="AE301" s="5">
        <v>41892.0</v>
      </c>
    </row>
    <row r="302">
      <c r="A302" s="4" t="s">
        <v>1684</v>
      </c>
      <c r="B302" s="4" t="s">
        <v>1447</v>
      </c>
      <c r="C302" s="4" t="s">
        <v>40</v>
      </c>
      <c r="D302" s="4" t="s">
        <v>1448</v>
      </c>
      <c r="E302" s="4" t="s">
        <v>26</v>
      </c>
      <c r="F302" s="4" t="s">
        <v>2677</v>
      </c>
      <c r="G302" s="4" t="s">
        <v>2678</v>
      </c>
      <c r="H302" s="4" t="s">
        <v>2679</v>
      </c>
      <c r="I302" s="4" t="s">
        <v>2680</v>
      </c>
      <c r="J302" s="5">
        <v>20972.0</v>
      </c>
      <c r="K302" s="5">
        <v>11830.0</v>
      </c>
      <c r="L302" s="4">
        <v>91.0</v>
      </c>
      <c r="M302" s="4" t="s">
        <v>1407</v>
      </c>
      <c r="O302" s="5">
        <v>38718.0</v>
      </c>
      <c r="P302" s="5">
        <v>38895.0</v>
      </c>
      <c r="Q302" s="4" t="s">
        <v>104</v>
      </c>
      <c r="R302" s="4" t="s">
        <v>32</v>
      </c>
      <c r="S302" s="6" t="s">
        <v>2681</v>
      </c>
      <c r="T302" s="4" t="s">
        <v>2682</v>
      </c>
      <c r="U302" s="4">
        <v>6.0</v>
      </c>
      <c r="V302" s="4" t="s">
        <v>1492</v>
      </c>
      <c r="W302" s="4">
        <v>20820.0</v>
      </c>
      <c r="X302" s="4" t="s">
        <v>58</v>
      </c>
      <c r="Y302" s="4" t="s">
        <v>59</v>
      </c>
      <c r="Z302" s="4" t="s">
        <v>1587</v>
      </c>
      <c r="AA302" s="4">
        <v>1961.0</v>
      </c>
      <c r="AB302" s="4" t="s">
        <v>58</v>
      </c>
      <c r="AC302" s="5">
        <v>22355.0</v>
      </c>
      <c r="AD302" s="4" t="s">
        <v>1411</v>
      </c>
    </row>
    <row r="303">
      <c r="A303" s="4" t="s">
        <v>60</v>
      </c>
      <c r="B303" s="4" t="s">
        <v>1423</v>
      </c>
      <c r="C303" s="4" t="s">
        <v>317</v>
      </c>
      <c r="D303" s="4" t="s">
        <v>1406</v>
      </c>
      <c r="E303" s="4" t="s">
        <v>26</v>
      </c>
      <c r="F303" s="4" t="s">
        <v>151</v>
      </c>
      <c r="G303" s="4" t="s">
        <v>152</v>
      </c>
      <c r="H303" s="4" t="s">
        <v>153</v>
      </c>
      <c r="I303" s="4" t="s">
        <v>154</v>
      </c>
      <c r="J303" s="5">
        <v>33635.0</v>
      </c>
      <c r="K303" s="5">
        <v>22057.0</v>
      </c>
      <c r="L303" s="4">
        <v>63.0</v>
      </c>
      <c r="M303" s="4" t="s">
        <v>1407</v>
      </c>
      <c r="N303" s="4" t="s">
        <v>1419</v>
      </c>
      <c r="O303" s="5">
        <v>44927.0</v>
      </c>
      <c r="P303" s="5">
        <v>45291.0</v>
      </c>
      <c r="Q303" s="4" t="s">
        <v>66</v>
      </c>
      <c r="R303" s="4" t="s">
        <v>32</v>
      </c>
      <c r="S303" s="6" t="s">
        <v>2683</v>
      </c>
      <c r="T303" s="4" t="s">
        <v>155</v>
      </c>
      <c r="U303" s="4">
        <v>22.0</v>
      </c>
      <c r="V303" s="4" t="s">
        <v>34</v>
      </c>
      <c r="W303" s="4">
        <v>42818.0</v>
      </c>
      <c r="X303" s="4" t="s">
        <v>58</v>
      </c>
      <c r="Y303" s="4" t="s">
        <v>59</v>
      </c>
      <c r="Z303" s="4" t="s">
        <v>1427</v>
      </c>
      <c r="AA303" s="4">
        <v>1992.0</v>
      </c>
      <c r="AB303" s="4" t="s">
        <v>58</v>
      </c>
      <c r="AC303" s="5">
        <v>33627.0</v>
      </c>
      <c r="AD303" s="4" t="s">
        <v>1411</v>
      </c>
      <c r="AE303" s="5">
        <v>44312.0</v>
      </c>
    </row>
    <row r="304">
      <c r="A304" s="4" t="s">
        <v>1412</v>
      </c>
      <c r="B304" s="4" t="s">
        <v>1960</v>
      </c>
      <c r="C304" s="4" t="s">
        <v>109</v>
      </c>
      <c r="D304" s="4" t="s">
        <v>1424</v>
      </c>
      <c r="E304" s="4" t="s">
        <v>80</v>
      </c>
      <c r="F304" s="4" t="s">
        <v>2684</v>
      </c>
      <c r="G304" s="4" t="s">
        <v>2172</v>
      </c>
      <c r="H304" s="4" t="s">
        <v>2062</v>
      </c>
      <c r="I304" s="4" t="s">
        <v>2685</v>
      </c>
      <c r="J304" s="5">
        <v>30742.0</v>
      </c>
      <c r="K304" s="5">
        <v>21201.0</v>
      </c>
      <c r="L304" s="4">
        <v>66.0</v>
      </c>
      <c r="M304" s="4" t="s">
        <v>1585</v>
      </c>
      <c r="O304" s="5">
        <v>38047.0</v>
      </c>
      <c r="P304" s="5">
        <v>38664.0</v>
      </c>
      <c r="Q304" s="4" t="s">
        <v>31</v>
      </c>
      <c r="R304" s="4" t="s">
        <v>32</v>
      </c>
      <c r="S304" s="6" t="s">
        <v>2686</v>
      </c>
      <c r="T304" s="4" t="s">
        <v>2686</v>
      </c>
      <c r="U304" s="4">
        <v>2.0</v>
      </c>
      <c r="V304" s="4" t="s">
        <v>1492</v>
      </c>
      <c r="W304" s="4">
        <v>30515.0</v>
      </c>
      <c r="X304" s="4" t="s">
        <v>2466</v>
      </c>
      <c r="Y304" s="4" t="s">
        <v>59</v>
      </c>
      <c r="Z304" s="4" t="s">
        <v>1427</v>
      </c>
      <c r="AA304" s="4">
        <v>1983.0</v>
      </c>
      <c r="AB304" s="4" t="s">
        <v>2490</v>
      </c>
      <c r="AC304" s="5">
        <v>30515.0</v>
      </c>
      <c r="AD304" s="4" t="s">
        <v>1411</v>
      </c>
    </row>
    <row r="305">
      <c r="A305" s="4" t="s">
        <v>60</v>
      </c>
      <c r="B305" s="4" t="s">
        <v>1423</v>
      </c>
      <c r="C305" s="4" t="s">
        <v>109</v>
      </c>
      <c r="D305" s="4" t="s">
        <v>1424</v>
      </c>
      <c r="E305" s="4" t="s">
        <v>26</v>
      </c>
      <c r="F305" s="4" t="s">
        <v>911</v>
      </c>
      <c r="G305" s="4" t="s">
        <v>912</v>
      </c>
      <c r="H305" s="4" t="s">
        <v>913</v>
      </c>
      <c r="I305" s="4" t="s">
        <v>914</v>
      </c>
      <c r="J305" s="5">
        <v>41944.0</v>
      </c>
      <c r="K305" s="5">
        <v>29859.0</v>
      </c>
      <c r="L305" s="4">
        <v>42.0</v>
      </c>
      <c r="M305" s="4" t="s">
        <v>1524</v>
      </c>
      <c r="O305" s="5">
        <v>44927.0</v>
      </c>
      <c r="P305" s="5">
        <v>45291.0</v>
      </c>
      <c r="Q305" s="4" t="s">
        <v>66</v>
      </c>
      <c r="R305" s="4" t="s">
        <v>32</v>
      </c>
      <c r="S305" s="6" t="s">
        <v>915</v>
      </c>
      <c r="T305" s="4" t="s">
        <v>915</v>
      </c>
      <c r="U305" s="4">
        <v>44.0</v>
      </c>
      <c r="V305" s="4" t="s">
        <v>34</v>
      </c>
      <c r="W305" s="4">
        <v>40314.0</v>
      </c>
      <c r="X305" s="4" t="s">
        <v>917</v>
      </c>
      <c r="Y305" s="4" t="s">
        <v>227</v>
      </c>
      <c r="Z305" s="4" t="s">
        <v>1510</v>
      </c>
      <c r="AA305" s="4">
        <v>2007.0</v>
      </c>
      <c r="AB305" s="4" t="s">
        <v>58</v>
      </c>
      <c r="AC305" s="5">
        <v>39293.0</v>
      </c>
      <c r="AD305" s="4" t="s">
        <v>1411</v>
      </c>
      <c r="AE305" s="5">
        <v>42131.0</v>
      </c>
    </row>
    <row r="306">
      <c r="A306" s="4" t="s">
        <v>78</v>
      </c>
      <c r="B306" s="4" t="s">
        <v>1423</v>
      </c>
      <c r="C306" s="4" t="s">
        <v>109</v>
      </c>
      <c r="D306" s="4" t="s">
        <v>1424</v>
      </c>
      <c r="E306" s="4" t="s">
        <v>26</v>
      </c>
      <c r="F306" s="4" t="s">
        <v>986</v>
      </c>
      <c r="G306" s="4" t="s">
        <v>987</v>
      </c>
      <c r="H306" s="4" t="s">
        <v>988</v>
      </c>
      <c r="I306" s="4" t="s">
        <v>989</v>
      </c>
      <c r="J306" s="5">
        <v>42491.0</v>
      </c>
      <c r="K306" s="5">
        <v>24285.0</v>
      </c>
      <c r="L306" s="4">
        <v>57.0</v>
      </c>
      <c r="M306" s="4" t="s">
        <v>1407</v>
      </c>
      <c r="O306" s="5">
        <v>44927.0</v>
      </c>
      <c r="P306" s="5">
        <v>45291.0</v>
      </c>
      <c r="Q306" s="4" t="s">
        <v>66</v>
      </c>
      <c r="R306" s="4" t="s">
        <v>32</v>
      </c>
      <c r="S306" s="6" t="s">
        <v>2687</v>
      </c>
      <c r="T306" s="4" t="s">
        <v>990</v>
      </c>
      <c r="U306" s="4">
        <v>22.0</v>
      </c>
      <c r="V306" s="4" t="s">
        <v>34</v>
      </c>
      <c r="W306" s="4">
        <v>41040.0</v>
      </c>
      <c r="X306" s="4" t="s">
        <v>58</v>
      </c>
      <c r="Y306" s="4" t="s">
        <v>59</v>
      </c>
      <c r="Z306" s="4" t="s">
        <v>1897</v>
      </c>
      <c r="AA306" s="4">
        <v>1991.0</v>
      </c>
      <c r="AB306" s="4" t="s">
        <v>2688</v>
      </c>
      <c r="AC306" s="5">
        <v>33247.0</v>
      </c>
      <c r="AD306" s="4" t="s">
        <v>1411</v>
      </c>
      <c r="AE306" s="5">
        <v>42467.0</v>
      </c>
    </row>
    <row r="307">
      <c r="A307" s="4" t="s">
        <v>39</v>
      </c>
      <c r="B307" s="4" t="s">
        <v>1473</v>
      </c>
      <c r="C307" s="4" t="s">
        <v>25</v>
      </c>
      <c r="D307" s="4" t="s">
        <v>1474</v>
      </c>
      <c r="E307" s="4" t="s">
        <v>26</v>
      </c>
      <c r="F307" s="4" t="s">
        <v>680</v>
      </c>
      <c r="G307" s="4" t="s">
        <v>861</v>
      </c>
      <c r="H307" s="4" t="s">
        <v>862</v>
      </c>
      <c r="I307" s="4" t="s">
        <v>863</v>
      </c>
      <c r="J307" s="5">
        <v>41122.0</v>
      </c>
      <c r="K307" s="5">
        <v>26382.0</v>
      </c>
      <c r="L307" s="4">
        <v>51.0</v>
      </c>
      <c r="M307" s="4" t="s">
        <v>1407</v>
      </c>
      <c r="N307" s="4" t="s">
        <v>1419</v>
      </c>
      <c r="O307" s="5">
        <v>44743.0</v>
      </c>
      <c r="P307" s="5">
        <v>73050.0</v>
      </c>
      <c r="Q307" s="4" t="s">
        <v>31</v>
      </c>
      <c r="R307" s="4" t="s">
        <v>32</v>
      </c>
      <c r="S307" s="6" t="s">
        <v>2689</v>
      </c>
      <c r="T307" s="4" t="s">
        <v>864</v>
      </c>
      <c r="U307" s="4">
        <v>44.0</v>
      </c>
      <c r="V307" s="4" t="s">
        <v>34</v>
      </c>
      <c r="W307" s="4">
        <v>38124.0</v>
      </c>
      <c r="X307" s="4" t="s">
        <v>438</v>
      </c>
      <c r="Y307" s="4" t="s">
        <v>59</v>
      </c>
      <c r="Z307" s="4" t="s">
        <v>2690</v>
      </c>
      <c r="AA307" s="4">
        <v>1999.0</v>
      </c>
      <c r="AB307" s="4" t="s">
        <v>2691</v>
      </c>
      <c r="AC307" s="5">
        <v>36175.0</v>
      </c>
      <c r="AD307" s="4" t="s">
        <v>1411</v>
      </c>
      <c r="AE307" s="5">
        <v>44629.0</v>
      </c>
    </row>
    <row r="308">
      <c r="A308" s="4" t="s">
        <v>60</v>
      </c>
      <c r="B308" s="4" t="s">
        <v>1423</v>
      </c>
      <c r="C308" s="4" t="s">
        <v>109</v>
      </c>
      <c r="D308" s="4" t="s">
        <v>1424</v>
      </c>
      <c r="E308" s="4" t="s">
        <v>80</v>
      </c>
      <c r="F308" s="4" t="s">
        <v>680</v>
      </c>
      <c r="G308" s="4" t="s">
        <v>680</v>
      </c>
      <c r="H308" s="4" t="s">
        <v>681</v>
      </c>
      <c r="I308" s="4" t="s">
        <v>682</v>
      </c>
      <c r="J308" s="5">
        <v>39356.0</v>
      </c>
      <c r="K308" s="5">
        <v>28626.0</v>
      </c>
      <c r="L308" s="4">
        <v>45.0</v>
      </c>
      <c r="M308" s="4" t="s">
        <v>1407</v>
      </c>
      <c r="N308" s="4" t="s">
        <v>1419</v>
      </c>
      <c r="O308" s="5">
        <v>44927.0</v>
      </c>
      <c r="P308" s="5">
        <v>45291.0</v>
      </c>
      <c r="Q308" s="4" t="s">
        <v>66</v>
      </c>
      <c r="R308" s="4" t="s">
        <v>32</v>
      </c>
      <c r="S308" s="6" t="s">
        <v>2692</v>
      </c>
      <c r="T308" s="4" t="s">
        <v>683</v>
      </c>
      <c r="U308" s="4">
        <v>44.0</v>
      </c>
      <c r="V308" s="4" t="s">
        <v>34</v>
      </c>
      <c r="W308" s="4">
        <v>41115.0</v>
      </c>
      <c r="X308" s="4" t="s">
        <v>686</v>
      </c>
      <c r="Y308" s="4" t="s">
        <v>89</v>
      </c>
      <c r="Z308" s="4" t="s">
        <v>1427</v>
      </c>
      <c r="AA308" s="4">
        <v>2003.0</v>
      </c>
      <c r="AB308" s="4" t="s">
        <v>58</v>
      </c>
      <c r="AC308" s="5">
        <v>37939.0</v>
      </c>
      <c r="AD308" s="4" t="s">
        <v>1411</v>
      </c>
      <c r="AE308" s="5">
        <v>41666.0</v>
      </c>
    </row>
    <row r="309">
      <c r="A309" s="4" t="s">
        <v>1412</v>
      </c>
      <c r="B309" s="4" t="s">
        <v>1423</v>
      </c>
      <c r="C309" s="4" t="s">
        <v>109</v>
      </c>
      <c r="D309" s="4" t="s">
        <v>1424</v>
      </c>
      <c r="E309" s="4" t="s">
        <v>26</v>
      </c>
      <c r="F309" s="4" t="s">
        <v>2693</v>
      </c>
      <c r="G309" s="4" t="s">
        <v>2694</v>
      </c>
      <c r="H309" s="4" t="s">
        <v>2695</v>
      </c>
      <c r="I309" s="4" t="s">
        <v>2696</v>
      </c>
      <c r="J309" s="5">
        <v>28734.0</v>
      </c>
      <c r="K309" s="5">
        <v>18930.0</v>
      </c>
      <c r="L309" s="4">
        <v>72.0</v>
      </c>
      <c r="M309" s="4" t="s">
        <v>1407</v>
      </c>
      <c r="O309" s="5">
        <v>35431.0</v>
      </c>
      <c r="P309" s="5">
        <v>35673.0</v>
      </c>
      <c r="Q309" s="4" t="s">
        <v>66</v>
      </c>
      <c r="R309" s="4" t="s">
        <v>32</v>
      </c>
      <c r="S309" s="6" t="s">
        <v>2697</v>
      </c>
      <c r="T309" s="4" t="s">
        <v>2698</v>
      </c>
      <c r="U309" s="4">
        <v>12.0</v>
      </c>
      <c r="Z309" s="4" t="s">
        <v>2459</v>
      </c>
      <c r="AA309" s="4">
        <v>1992.0</v>
      </c>
      <c r="AB309" s="4" t="s">
        <v>2699</v>
      </c>
      <c r="AC309" s="5">
        <v>33957.0</v>
      </c>
      <c r="AD309" s="4" t="s">
        <v>1411</v>
      </c>
    </row>
    <row r="310">
      <c r="A310" s="4" t="s">
        <v>60</v>
      </c>
      <c r="B310" s="4" t="s">
        <v>1447</v>
      </c>
      <c r="C310" s="4" t="s">
        <v>40</v>
      </c>
      <c r="D310" s="4" t="s">
        <v>1448</v>
      </c>
      <c r="E310" s="4" t="s">
        <v>26</v>
      </c>
      <c r="F310" s="4" t="s">
        <v>70</v>
      </c>
      <c r="G310" s="4" t="s">
        <v>71</v>
      </c>
      <c r="H310" s="4" t="s">
        <v>72</v>
      </c>
      <c r="I310" s="4" t="s">
        <v>73</v>
      </c>
      <c r="J310" s="5">
        <v>25082.0</v>
      </c>
      <c r="K310" s="5">
        <v>16705.0</v>
      </c>
      <c r="L310" s="4">
        <v>78.0</v>
      </c>
      <c r="M310" s="4" t="s">
        <v>1407</v>
      </c>
      <c r="O310" s="5">
        <v>42186.0</v>
      </c>
      <c r="P310" s="5">
        <v>73050.0</v>
      </c>
      <c r="Q310" s="4" t="s">
        <v>31</v>
      </c>
      <c r="R310" s="4" t="s">
        <v>32</v>
      </c>
      <c r="S310" s="6" t="s">
        <v>2700</v>
      </c>
      <c r="T310" s="4" t="s">
        <v>74</v>
      </c>
      <c r="U310" s="4">
        <v>22.0</v>
      </c>
      <c r="V310" s="4" t="s">
        <v>34</v>
      </c>
      <c r="W310" s="4">
        <v>30681.0</v>
      </c>
      <c r="X310" s="4" t="s">
        <v>76</v>
      </c>
      <c r="Y310" s="4" t="s">
        <v>1859</v>
      </c>
      <c r="Z310" s="4" t="s">
        <v>1510</v>
      </c>
      <c r="AA310" s="4">
        <v>1973.0</v>
      </c>
      <c r="AB310" s="4" t="s">
        <v>58</v>
      </c>
      <c r="AC310" s="5">
        <v>26848.0</v>
      </c>
      <c r="AD310" s="4" t="s">
        <v>1411</v>
      </c>
      <c r="AE310" s="5">
        <v>40534.0</v>
      </c>
    </row>
    <row r="311">
      <c r="A311" s="4" t="s">
        <v>1412</v>
      </c>
      <c r="B311" s="4" t="s">
        <v>1430</v>
      </c>
      <c r="C311" s="4" t="s">
        <v>61</v>
      </c>
      <c r="D311" s="4" t="s">
        <v>1431</v>
      </c>
      <c r="E311" s="4" t="s">
        <v>80</v>
      </c>
      <c r="F311" s="4" t="s">
        <v>2701</v>
      </c>
      <c r="G311" s="4" t="s">
        <v>2702</v>
      </c>
      <c r="H311" s="4" t="s">
        <v>2703</v>
      </c>
      <c r="I311" s="4" t="s">
        <v>2704</v>
      </c>
      <c r="J311" s="5">
        <v>44136.0</v>
      </c>
      <c r="K311" s="5">
        <v>19790.0</v>
      </c>
      <c r="L311" s="4">
        <v>69.0</v>
      </c>
      <c r="M311" s="4" t="s">
        <v>1453</v>
      </c>
      <c r="N311" s="4" t="s">
        <v>1419</v>
      </c>
      <c r="O311" s="5">
        <v>41275.0</v>
      </c>
      <c r="P311" s="5">
        <v>42063.0</v>
      </c>
      <c r="Q311" s="4" t="s">
        <v>31</v>
      </c>
      <c r="R311" s="4" t="s">
        <v>32</v>
      </c>
      <c r="S311" s="6" t="s">
        <v>2705</v>
      </c>
      <c r="T311" s="4" t="s">
        <v>2706</v>
      </c>
      <c r="U311" s="4">
        <v>22.0</v>
      </c>
      <c r="V311" s="4" t="s">
        <v>34</v>
      </c>
      <c r="W311" s="4">
        <v>38720.0</v>
      </c>
      <c r="X311" s="4" t="s">
        <v>58</v>
      </c>
      <c r="Y311" s="4" t="s">
        <v>59</v>
      </c>
      <c r="Z311" s="4" t="s">
        <v>1427</v>
      </c>
      <c r="AA311" s="4">
        <v>1981.0</v>
      </c>
      <c r="AB311" s="4" t="s">
        <v>58</v>
      </c>
      <c r="AC311" s="5">
        <v>29784.0</v>
      </c>
      <c r="AD311" s="4" t="s">
        <v>1411</v>
      </c>
      <c r="AE311" s="5">
        <v>41017.0</v>
      </c>
    </row>
    <row r="312">
      <c r="A312" s="4" t="s">
        <v>78</v>
      </c>
      <c r="B312" s="4" t="s">
        <v>1473</v>
      </c>
      <c r="C312" s="4" t="s">
        <v>25</v>
      </c>
      <c r="D312" s="4" t="s">
        <v>1474</v>
      </c>
      <c r="E312" s="4" t="s">
        <v>80</v>
      </c>
      <c r="F312" s="4" t="s">
        <v>142</v>
      </c>
      <c r="G312" s="4" t="s">
        <v>143</v>
      </c>
      <c r="H312" s="4" t="s">
        <v>144</v>
      </c>
      <c r="I312" s="4" t="s">
        <v>145</v>
      </c>
      <c r="J312" s="5">
        <v>33543.0</v>
      </c>
      <c r="K312" s="5">
        <v>20040.0</v>
      </c>
      <c r="L312" s="4">
        <v>69.0</v>
      </c>
      <c r="M312" s="4" t="s">
        <v>1407</v>
      </c>
      <c r="O312" s="5">
        <v>42186.0</v>
      </c>
      <c r="P312" s="5">
        <v>73050.0</v>
      </c>
      <c r="Q312" s="4" t="s">
        <v>31</v>
      </c>
      <c r="R312" s="4" t="s">
        <v>32</v>
      </c>
      <c r="S312" s="6" t="s">
        <v>146</v>
      </c>
      <c r="T312" s="4" t="s">
        <v>146</v>
      </c>
      <c r="U312" s="4">
        <v>44.0</v>
      </c>
      <c r="V312" s="4" t="s">
        <v>34</v>
      </c>
      <c r="W312" s="4">
        <v>38991.0</v>
      </c>
      <c r="X312" s="4" t="s">
        <v>149</v>
      </c>
      <c r="Y312" s="4" t="s">
        <v>2122</v>
      </c>
      <c r="Z312" s="4" t="s">
        <v>1544</v>
      </c>
      <c r="AA312" s="4">
        <v>1980.0</v>
      </c>
      <c r="AB312" s="4" t="s">
        <v>58</v>
      </c>
      <c r="AC312" s="5">
        <v>29406.0</v>
      </c>
      <c r="AD312" s="4" t="s">
        <v>1411</v>
      </c>
      <c r="AE312" s="5">
        <v>40044.0</v>
      </c>
    </row>
    <row r="313">
      <c r="A313" s="4" t="s">
        <v>24</v>
      </c>
      <c r="B313" s="4" t="s">
        <v>1423</v>
      </c>
      <c r="C313" s="4" t="s">
        <v>109</v>
      </c>
      <c r="D313" s="4" t="s">
        <v>1424</v>
      </c>
      <c r="E313" s="4" t="s">
        <v>26</v>
      </c>
      <c r="F313" s="4" t="s">
        <v>1027</v>
      </c>
      <c r="G313" s="4" t="s">
        <v>1028</v>
      </c>
      <c r="H313" s="4" t="s">
        <v>1029</v>
      </c>
      <c r="I313" s="4" t="s">
        <v>1030</v>
      </c>
      <c r="J313" s="5">
        <v>42887.0</v>
      </c>
      <c r="K313" s="5">
        <v>29417.0</v>
      </c>
      <c r="L313" s="4">
        <v>43.0</v>
      </c>
      <c r="M313" s="4" t="s">
        <v>1524</v>
      </c>
      <c r="O313" s="5">
        <v>44927.0</v>
      </c>
      <c r="P313" s="5">
        <v>45291.0</v>
      </c>
      <c r="Q313" s="4" t="s">
        <v>66</v>
      </c>
      <c r="R313" s="4" t="s">
        <v>32</v>
      </c>
      <c r="S313" s="6" t="s">
        <v>2707</v>
      </c>
      <c r="T313" s="4" t="s">
        <v>1031</v>
      </c>
      <c r="U313" s="4">
        <v>22.0</v>
      </c>
      <c r="V313" s="4" t="s">
        <v>34</v>
      </c>
      <c r="W313" s="4">
        <v>41789.0</v>
      </c>
      <c r="X313" s="4" t="s">
        <v>1033</v>
      </c>
      <c r="Y313" s="4" t="s">
        <v>98</v>
      </c>
      <c r="Z313" s="4" t="s">
        <v>1422</v>
      </c>
      <c r="AA313" s="4">
        <v>2006.0</v>
      </c>
      <c r="AB313" s="4" t="s">
        <v>438</v>
      </c>
      <c r="AC313" s="5">
        <v>38730.0</v>
      </c>
      <c r="AD313" s="4">
        <v>0.0</v>
      </c>
      <c r="AE313" s="5">
        <v>42866.0</v>
      </c>
    </row>
    <row r="314">
      <c r="A314" s="4" t="s">
        <v>1440</v>
      </c>
      <c r="B314" s="4" t="s">
        <v>1540</v>
      </c>
      <c r="C314" s="4" t="s">
        <v>99</v>
      </c>
      <c r="D314" s="4" t="s">
        <v>1541</v>
      </c>
      <c r="E314" s="4" t="s">
        <v>80</v>
      </c>
      <c r="F314" s="4" t="s">
        <v>1027</v>
      </c>
      <c r="G314" s="4" t="s">
        <v>2708</v>
      </c>
      <c r="H314" s="4" t="s">
        <v>2709</v>
      </c>
      <c r="I314" s="4" t="s">
        <v>2710</v>
      </c>
      <c r="J314" s="5">
        <v>33695.0</v>
      </c>
      <c r="K314" s="5">
        <v>16285.0</v>
      </c>
      <c r="L314" s="4">
        <v>79.0</v>
      </c>
      <c r="M314" s="4" t="s">
        <v>1407</v>
      </c>
      <c r="N314" s="4" t="s">
        <v>1419</v>
      </c>
      <c r="O314" s="5">
        <v>35521.0</v>
      </c>
      <c r="P314" s="5">
        <v>38664.0</v>
      </c>
      <c r="Q314" s="4" t="s">
        <v>1694</v>
      </c>
      <c r="R314" s="4" t="s">
        <v>32</v>
      </c>
      <c r="S314" s="6" t="s">
        <v>2711</v>
      </c>
      <c r="T314" s="4" t="s">
        <v>2712</v>
      </c>
      <c r="U314" s="4">
        <v>2.0</v>
      </c>
      <c r="V314" s="4" t="s">
        <v>34</v>
      </c>
      <c r="W314" s="4">
        <v>29220.0</v>
      </c>
      <c r="X314" s="4" t="s">
        <v>2713</v>
      </c>
      <c r="Y314" s="4" t="s">
        <v>38</v>
      </c>
      <c r="Z314" s="4" t="s">
        <v>1422</v>
      </c>
      <c r="AA314" s="4">
        <v>1979.0</v>
      </c>
      <c r="AB314" s="4" t="s">
        <v>58</v>
      </c>
      <c r="AC314" s="5">
        <v>28957.0</v>
      </c>
      <c r="AD314" s="4" t="s">
        <v>1411</v>
      </c>
    </row>
    <row r="315">
      <c r="A315" s="4" t="s">
        <v>78</v>
      </c>
      <c r="B315" s="4" t="s">
        <v>1540</v>
      </c>
      <c r="C315" s="4" t="s">
        <v>99</v>
      </c>
      <c r="D315" s="4" t="s">
        <v>1541</v>
      </c>
      <c r="E315" s="4" t="s">
        <v>26</v>
      </c>
      <c r="F315" s="4" t="s">
        <v>849</v>
      </c>
      <c r="G315" s="4" t="s">
        <v>41</v>
      </c>
      <c r="H315" s="4" t="s">
        <v>850</v>
      </c>
      <c r="I315" s="4" t="s">
        <v>851</v>
      </c>
      <c r="J315" s="5">
        <v>36708.0</v>
      </c>
      <c r="K315" s="5">
        <v>24184.0</v>
      </c>
      <c r="L315" s="4">
        <v>57.0</v>
      </c>
      <c r="M315" s="4" t="s">
        <v>1407</v>
      </c>
      <c r="N315" s="4" t="s">
        <v>1419</v>
      </c>
      <c r="O315" s="5">
        <v>44927.0</v>
      </c>
      <c r="P315" s="5">
        <v>45291.0</v>
      </c>
      <c r="Q315" s="4" t="s">
        <v>66</v>
      </c>
      <c r="R315" s="4" t="s">
        <v>32</v>
      </c>
      <c r="S315" s="6" t="s">
        <v>2714</v>
      </c>
      <c r="T315" s="4" t="s">
        <v>852</v>
      </c>
      <c r="U315" s="4">
        <v>6.0</v>
      </c>
      <c r="V315" s="4" t="s">
        <v>34</v>
      </c>
      <c r="W315" s="4">
        <v>37761.0</v>
      </c>
      <c r="X315" s="4" t="s">
        <v>58</v>
      </c>
      <c r="Y315" s="4" t="s">
        <v>59</v>
      </c>
      <c r="Z315" s="4" t="s">
        <v>1934</v>
      </c>
      <c r="AA315" s="4">
        <v>1995.0</v>
      </c>
      <c r="AB315" s="4" t="s">
        <v>58</v>
      </c>
      <c r="AC315" s="5">
        <v>35048.0</v>
      </c>
      <c r="AD315" s="4" t="s">
        <v>1411</v>
      </c>
      <c r="AE315" s="5">
        <v>40688.0</v>
      </c>
    </row>
    <row r="316">
      <c r="A316" s="4" t="s">
        <v>1412</v>
      </c>
      <c r="B316" s="4" t="s">
        <v>1423</v>
      </c>
      <c r="C316" s="4" t="s">
        <v>109</v>
      </c>
      <c r="D316" s="4" t="s">
        <v>1424</v>
      </c>
      <c r="E316" s="4" t="s">
        <v>26</v>
      </c>
      <c r="F316" s="4" t="s">
        <v>347</v>
      </c>
      <c r="G316" s="4" t="s">
        <v>2715</v>
      </c>
      <c r="H316" s="4" t="s">
        <v>2716</v>
      </c>
      <c r="I316" s="4" t="s">
        <v>2717</v>
      </c>
      <c r="J316" s="5">
        <v>34759.0</v>
      </c>
      <c r="K316" s="5">
        <v>22237.0</v>
      </c>
      <c r="L316" s="4">
        <v>63.0</v>
      </c>
      <c r="M316" s="4" t="s">
        <v>1407</v>
      </c>
      <c r="N316" s="4" t="s">
        <v>1419</v>
      </c>
      <c r="O316" s="5">
        <v>36312.0</v>
      </c>
      <c r="P316" s="5">
        <v>38442.0</v>
      </c>
      <c r="Q316" s="4" t="s">
        <v>31</v>
      </c>
      <c r="R316" s="4" t="s">
        <v>32</v>
      </c>
      <c r="S316" s="6" t="s">
        <v>2718</v>
      </c>
      <c r="T316" s="4" t="s">
        <v>2718</v>
      </c>
      <c r="U316" s="4">
        <v>12.0</v>
      </c>
      <c r="V316" s="4" t="s">
        <v>1492</v>
      </c>
      <c r="W316" s="4">
        <v>32108.0</v>
      </c>
      <c r="X316" s="4" t="s">
        <v>2466</v>
      </c>
      <c r="Y316" s="4" t="s">
        <v>59</v>
      </c>
      <c r="Z316" s="4" t="s">
        <v>1427</v>
      </c>
      <c r="AA316" s="4">
        <v>1987.0</v>
      </c>
      <c r="AB316" s="4" t="s">
        <v>661</v>
      </c>
      <c r="AC316" s="5">
        <v>32108.0</v>
      </c>
      <c r="AD316" s="4" t="s">
        <v>1411</v>
      </c>
    </row>
    <row r="317">
      <c r="A317" s="4" t="s">
        <v>1440</v>
      </c>
      <c r="B317" s="4" t="s">
        <v>1447</v>
      </c>
      <c r="C317" s="4" t="s">
        <v>40</v>
      </c>
      <c r="D317" s="4" t="s">
        <v>1448</v>
      </c>
      <c r="E317" s="4" t="s">
        <v>26</v>
      </c>
      <c r="F317" s="4" t="s">
        <v>347</v>
      </c>
      <c r="G317" s="4" t="s">
        <v>347</v>
      </c>
      <c r="H317" s="4" t="s">
        <v>2719</v>
      </c>
      <c r="I317" s="4" t="s">
        <v>2720</v>
      </c>
      <c r="J317" s="5">
        <v>25112.0</v>
      </c>
      <c r="K317" s="5">
        <v>15104.0</v>
      </c>
      <c r="L317" s="4">
        <v>82.0</v>
      </c>
      <c r="M317" s="4" t="s">
        <v>1407</v>
      </c>
      <c r="O317" s="5">
        <v>39417.0</v>
      </c>
      <c r="P317" s="5">
        <v>40240.0</v>
      </c>
      <c r="Q317" s="4" t="s">
        <v>31</v>
      </c>
      <c r="R317" s="4" t="s">
        <v>32</v>
      </c>
      <c r="S317" s="6" t="s">
        <v>2721</v>
      </c>
      <c r="T317" s="4" t="s">
        <v>2722</v>
      </c>
      <c r="U317" s="4">
        <v>44.0</v>
      </c>
      <c r="V317" s="4" t="s">
        <v>1492</v>
      </c>
      <c r="W317" s="4">
        <v>25588.0</v>
      </c>
      <c r="X317" s="4" t="s">
        <v>58</v>
      </c>
      <c r="Y317" s="4" t="s">
        <v>59</v>
      </c>
      <c r="Z317" s="4" t="s">
        <v>1422</v>
      </c>
      <c r="AA317" s="4">
        <v>1970.0</v>
      </c>
      <c r="AB317" s="4" t="s">
        <v>58</v>
      </c>
      <c r="AC317" s="5">
        <v>25589.0</v>
      </c>
      <c r="AD317" s="4" t="s">
        <v>1411</v>
      </c>
      <c r="AE317" s="5">
        <v>39394.0</v>
      </c>
    </row>
    <row r="318">
      <c r="A318" s="4" t="s">
        <v>78</v>
      </c>
      <c r="B318" s="4" t="s">
        <v>1540</v>
      </c>
      <c r="C318" s="4" t="s">
        <v>99</v>
      </c>
      <c r="D318" s="4" t="s">
        <v>1541</v>
      </c>
      <c r="E318" s="4" t="s">
        <v>26</v>
      </c>
      <c r="F318" s="4" t="s">
        <v>347</v>
      </c>
      <c r="G318" s="4" t="s">
        <v>384</v>
      </c>
      <c r="H318" s="4" t="s">
        <v>2723</v>
      </c>
      <c r="I318" s="4" t="s">
        <v>2724</v>
      </c>
      <c r="J318" s="5">
        <v>37347.0</v>
      </c>
      <c r="K318" s="5">
        <v>24057.0</v>
      </c>
      <c r="L318" s="4">
        <v>58.0</v>
      </c>
      <c r="M318" s="4" t="s">
        <v>1425</v>
      </c>
      <c r="N318" s="4" t="s">
        <v>1419</v>
      </c>
      <c r="O318" s="5">
        <v>44927.0</v>
      </c>
      <c r="P318" s="5">
        <v>45291.0</v>
      </c>
      <c r="Q318" s="4" t="s">
        <v>66</v>
      </c>
      <c r="R318" s="4" t="s">
        <v>32</v>
      </c>
      <c r="S318" s="6" t="s">
        <v>2725</v>
      </c>
      <c r="T318" s="4" t="s">
        <v>387</v>
      </c>
      <c r="U318" s="4">
        <v>44.0</v>
      </c>
      <c r="V318" s="4" t="s">
        <v>34</v>
      </c>
      <c r="W318" s="4">
        <v>40284.0</v>
      </c>
      <c r="X318" s="4" t="s">
        <v>2726</v>
      </c>
      <c r="Y318" s="4" t="s">
        <v>98</v>
      </c>
      <c r="Z318" s="4" t="s">
        <v>1433</v>
      </c>
      <c r="AA318" s="4">
        <v>1997.0</v>
      </c>
      <c r="AB318" s="4" t="s">
        <v>58</v>
      </c>
      <c r="AC318" s="5">
        <v>35724.0</v>
      </c>
      <c r="AD318" s="4" t="s">
        <v>1411</v>
      </c>
      <c r="AE318" s="5">
        <v>44524.0</v>
      </c>
    </row>
    <row r="319">
      <c r="A319" s="4" t="s">
        <v>841</v>
      </c>
      <c r="B319" s="4" t="s">
        <v>1447</v>
      </c>
      <c r="C319" s="4" t="s">
        <v>40</v>
      </c>
      <c r="D319" s="4" t="s">
        <v>1448</v>
      </c>
      <c r="E319" s="4" t="s">
        <v>26</v>
      </c>
      <c r="F319" s="4" t="s">
        <v>347</v>
      </c>
      <c r="G319" s="4" t="s">
        <v>601</v>
      </c>
      <c r="H319" s="4" t="s">
        <v>1183</v>
      </c>
      <c r="I319" s="4" t="s">
        <v>1184</v>
      </c>
      <c r="J319" s="5">
        <v>43435.0</v>
      </c>
      <c r="K319" s="5">
        <v>30655.0</v>
      </c>
      <c r="L319" s="4">
        <v>40.0</v>
      </c>
      <c r="M319" s="4" t="s">
        <v>1407</v>
      </c>
      <c r="O319" s="5">
        <v>44927.0</v>
      </c>
      <c r="P319" s="5">
        <v>45291.0</v>
      </c>
      <c r="Q319" s="4" t="s">
        <v>66</v>
      </c>
      <c r="R319" s="4" t="s">
        <v>32</v>
      </c>
      <c r="S319" s="6" t="s">
        <v>2727</v>
      </c>
      <c r="T319" s="4" t="s">
        <v>1185</v>
      </c>
      <c r="U319" s="4">
        <v>21.0</v>
      </c>
      <c r="Z319" s="4" t="s">
        <v>1427</v>
      </c>
      <c r="AA319" s="4">
        <v>2008.0</v>
      </c>
      <c r="AB319" s="4" t="s">
        <v>1511</v>
      </c>
      <c r="AC319" s="5">
        <v>39615.0</v>
      </c>
      <c r="AD319" s="4" t="s">
        <v>1411</v>
      </c>
      <c r="AE319" s="5">
        <v>44328.0</v>
      </c>
    </row>
    <row r="320">
      <c r="A320" s="4" t="s">
        <v>337</v>
      </c>
      <c r="B320" s="4" t="s">
        <v>1423</v>
      </c>
      <c r="C320" s="4" t="s">
        <v>109</v>
      </c>
      <c r="D320" s="4" t="s">
        <v>1424</v>
      </c>
      <c r="E320" s="4" t="s">
        <v>80</v>
      </c>
      <c r="F320" s="4" t="s">
        <v>731</v>
      </c>
      <c r="G320" s="4" t="s">
        <v>1875</v>
      </c>
      <c r="H320" s="4" t="s">
        <v>2728</v>
      </c>
      <c r="I320" s="4" t="s">
        <v>2729</v>
      </c>
      <c r="J320" s="5">
        <v>43405.0</v>
      </c>
      <c r="K320" s="5">
        <v>30654.0</v>
      </c>
      <c r="L320" s="4">
        <v>40.0</v>
      </c>
      <c r="M320" s="4" t="s">
        <v>1425</v>
      </c>
      <c r="O320" s="5">
        <v>44197.0</v>
      </c>
      <c r="P320" s="5">
        <v>44286.0</v>
      </c>
      <c r="Q320" s="4" t="s">
        <v>66</v>
      </c>
      <c r="R320" s="4" t="s">
        <v>32</v>
      </c>
      <c r="S320" s="6" t="s">
        <v>2730</v>
      </c>
      <c r="T320" s="4" t="s">
        <v>2731</v>
      </c>
      <c r="U320" s="4">
        <v>44.0</v>
      </c>
      <c r="V320" s="4" t="s">
        <v>34</v>
      </c>
      <c r="W320" s="4">
        <v>42719.0</v>
      </c>
      <c r="X320" s="4" t="s">
        <v>2732</v>
      </c>
      <c r="Y320" s="4" t="s">
        <v>1859</v>
      </c>
      <c r="Z320" s="4" t="s">
        <v>2156</v>
      </c>
      <c r="AA320" s="4">
        <v>2007.0</v>
      </c>
      <c r="AB320" s="4" t="s">
        <v>1007</v>
      </c>
      <c r="AC320" s="5">
        <v>39273.0</v>
      </c>
      <c r="AD320" s="4" t="s">
        <v>1411</v>
      </c>
      <c r="AE320" s="5">
        <v>43334.0</v>
      </c>
    </row>
    <row r="321">
      <c r="A321" s="4" t="s">
        <v>1684</v>
      </c>
      <c r="B321" s="4" t="s">
        <v>1473</v>
      </c>
      <c r="C321" s="4" t="s">
        <v>25</v>
      </c>
      <c r="D321" s="4" t="s">
        <v>1474</v>
      </c>
      <c r="E321" s="4" t="s">
        <v>26</v>
      </c>
      <c r="F321" s="4" t="s">
        <v>2733</v>
      </c>
      <c r="G321" s="4" t="s">
        <v>143</v>
      </c>
      <c r="H321" s="4" t="s">
        <v>2734</v>
      </c>
      <c r="I321" s="4" t="s">
        <v>2735</v>
      </c>
      <c r="J321" s="5">
        <v>10349.0</v>
      </c>
      <c r="K321" s="5">
        <v>2000.0</v>
      </c>
      <c r="L321" s="4">
        <v>118.0</v>
      </c>
      <c r="M321" s="4" t="s">
        <v>1407</v>
      </c>
      <c r="O321" s="5">
        <v>29787.0</v>
      </c>
      <c r="P321" s="5">
        <v>34577.0</v>
      </c>
      <c r="Q321" s="4" t="s">
        <v>31</v>
      </c>
      <c r="R321" s="4" t="s">
        <v>32</v>
      </c>
      <c r="S321" s="6" t="s">
        <v>2736</v>
      </c>
      <c r="T321" s="4" t="s">
        <v>2736</v>
      </c>
      <c r="U321" s="4">
        <v>6.0</v>
      </c>
      <c r="AD321" s="4" t="s">
        <v>1411</v>
      </c>
    </row>
    <row r="322">
      <c r="A322" s="4" t="s">
        <v>1434</v>
      </c>
      <c r="B322" s="4" t="s">
        <v>1473</v>
      </c>
      <c r="C322" s="4" t="s">
        <v>25</v>
      </c>
      <c r="D322" s="4" t="s">
        <v>1474</v>
      </c>
      <c r="E322" s="4" t="s">
        <v>26</v>
      </c>
      <c r="F322" s="4" t="s">
        <v>2733</v>
      </c>
      <c r="G322" s="4" t="s">
        <v>2737</v>
      </c>
      <c r="H322" s="4" t="s">
        <v>2738</v>
      </c>
      <c r="I322" s="4" t="s">
        <v>2739</v>
      </c>
      <c r="J322" s="5">
        <v>21551.0</v>
      </c>
      <c r="K322" s="5">
        <v>12695.0</v>
      </c>
      <c r="L322" s="4">
        <v>89.0</v>
      </c>
      <c r="M322" s="4" t="s">
        <v>1407</v>
      </c>
      <c r="O322" s="5">
        <v>34304.0</v>
      </c>
      <c r="P322" s="5">
        <v>35117.0</v>
      </c>
      <c r="Q322" s="4" t="s">
        <v>1694</v>
      </c>
      <c r="R322" s="4" t="s">
        <v>32</v>
      </c>
      <c r="S322" s="6" t="s">
        <v>2740</v>
      </c>
      <c r="T322" s="4" t="s">
        <v>2741</v>
      </c>
      <c r="U322" s="4">
        <v>6.0</v>
      </c>
      <c r="AD322" s="4" t="s">
        <v>1411</v>
      </c>
    </row>
    <row r="323">
      <c r="A323" s="4" t="s">
        <v>337</v>
      </c>
      <c r="B323" s="4" t="s">
        <v>1540</v>
      </c>
      <c r="C323" s="4" t="s">
        <v>99</v>
      </c>
      <c r="D323" s="4" t="s">
        <v>1541</v>
      </c>
      <c r="E323" s="4" t="s">
        <v>80</v>
      </c>
      <c r="F323" s="4" t="s">
        <v>772</v>
      </c>
      <c r="G323" s="4" t="s">
        <v>1101</v>
      </c>
      <c r="H323" s="4" t="s">
        <v>1102</v>
      </c>
      <c r="I323" s="4" t="s">
        <v>1103</v>
      </c>
      <c r="J323" s="5">
        <v>43405.0</v>
      </c>
      <c r="K323" s="5">
        <v>29105.0</v>
      </c>
      <c r="L323" s="4">
        <v>44.0</v>
      </c>
      <c r="M323" s="4" t="s">
        <v>1407</v>
      </c>
      <c r="O323" s="5">
        <v>44866.0</v>
      </c>
      <c r="P323" s="5">
        <v>73050.0</v>
      </c>
      <c r="Q323" s="4" t="s">
        <v>31</v>
      </c>
      <c r="R323" s="4" t="s">
        <v>32</v>
      </c>
      <c r="S323" s="6" t="s">
        <v>2742</v>
      </c>
      <c r="T323" s="4" t="s">
        <v>1104</v>
      </c>
      <c r="U323" s="4">
        <v>44.0</v>
      </c>
      <c r="V323" s="4" t="s">
        <v>34</v>
      </c>
      <c r="W323" s="4">
        <v>42178.0</v>
      </c>
      <c r="X323" s="4" t="s">
        <v>1106</v>
      </c>
      <c r="Y323" s="4" t="s">
        <v>700</v>
      </c>
      <c r="Z323" s="4" t="s">
        <v>2156</v>
      </c>
      <c r="AA323" s="4">
        <v>2002.0</v>
      </c>
      <c r="AB323" s="4" t="s">
        <v>438</v>
      </c>
      <c r="AC323" s="5">
        <v>37532.0</v>
      </c>
      <c r="AD323" s="4" t="s">
        <v>1411</v>
      </c>
      <c r="AE323" s="5">
        <v>44657.0</v>
      </c>
    </row>
    <row r="324">
      <c r="A324" s="4" t="s">
        <v>1465</v>
      </c>
      <c r="B324" s="4" t="s">
        <v>1423</v>
      </c>
      <c r="C324" s="4" t="s">
        <v>109</v>
      </c>
      <c r="D324" s="4" t="s">
        <v>1424</v>
      </c>
      <c r="E324" s="4" t="s">
        <v>26</v>
      </c>
      <c r="F324" s="4" t="s">
        <v>772</v>
      </c>
      <c r="G324" s="4" t="s">
        <v>2743</v>
      </c>
      <c r="H324" s="4" t="s">
        <v>2744</v>
      </c>
      <c r="I324" s="4" t="s">
        <v>2745</v>
      </c>
      <c r="J324" s="5">
        <v>24320.0</v>
      </c>
      <c r="K324" s="5">
        <v>15902.0</v>
      </c>
      <c r="L324" s="4">
        <v>80.0</v>
      </c>
      <c r="M324" s="4" t="s">
        <v>1585</v>
      </c>
      <c r="N324" s="4" t="s">
        <v>1419</v>
      </c>
      <c r="O324" s="5">
        <v>37469.0</v>
      </c>
      <c r="P324" s="5">
        <v>37833.0</v>
      </c>
      <c r="Q324" s="4" t="s">
        <v>31</v>
      </c>
      <c r="R324" s="4" t="s">
        <v>32</v>
      </c>
      <c r="S324" s="6" t="s">
        <v>2746</v>
      </c>
      <c r="T324" s="4" t="s">
        <v>2747</v>
      </c>
      <c r="U324" s="4">
        <v>44.0</v>
      </c>
      <c r="V324" s="4" t="s">
        <v>106</v>
      </c>
      <c r="W324" s="4">
        <v>28855.0</v>
      </c>
      <c r="X324" s="4" t="s">
        <v>58</v>
      </c>
      <c r="Y324" s="4" t="s">
        <v>59</v>
      </c>
      <c r="Z324" s="4" t="s">
        <v>1519</v>
      </c>
      <c r="AA324" s="4">
        <v>1982.0</v>
      </c>
      <c r="AB324" s="4" t="s">
        <v>58</v>
      </c>
      <c r="AC324" s="5">
        <v>30025.0</v>
      </c>
      <c r="AD324" s="4" t="s">
        <v>1411</v>
      </c>
    </row>
    <row r="325">
      <c r="A325" s="4" t="s">
        <v>1440</v>
      </c>
      <c r="B325" s="4" t="s">
        <v>1423</v>
      </c>
      <c r="C325" s="4" t="s">
        <v>109</v>
      </c>
      <c r="D325" s="4" t="s">
        <v>1424</v>
      </c>
      <c r="E325" s="4" t="s">
        <v>80</v>
      </c>
      <c r="F325" s="4" t="s">
        <v>772</v>
      </c>
      <c r="G325" s="4" t="s">
        <v>288</v>
      </c>
      <c r="H325" s="4" t="s">
        <v>2748</v>
      </c>
      <c r="I325" s="4" t="s">
        <v>2749</v>
      </c>
      <c r="J325" s="5">
        <v>32509.0</v>
      </c>
      <c r="K325" s="5">
        <v>18403.0</v>
      </c>
      <c r="L325" s="4">
        <v>73.0</v>
      </c>
      <c r="M325" s="4" t="s">
        <v>1407</v>
      </c>
      <c r="O325" s="5">
        <v>33939.0</v>
      </c>
      <c r="P325" s="5">
        <v>38664.0</v>
      </c>
      <c r="Q325" s="4" t="s">
        <v>31</v>
      </c>
      <c r="R325" s="4" t="s">
        <v>32</v>
      </c>
      <c r="S325" s="6" t="s">
        <v>2750</v>
      </c>
      <c r="T325" s="4" t="s">
        <v>2751</v>
      </c>
      <c r="U325" s="4">
        <v>12.0</v>
      </c>
      <c r="V325" s="4" t="s">
        <v>34</v>
      </c>
      <c r="W325" s="4">
        <v>36739.0</v>
      </c>
      <c r="X325" s="4" t="s">
        <v>2752</v>
      </c>
      <c r="Y325" s="4" t="s">
        <v>227</v>
      </c>
      <c r="AD325" s="4" t="s">
        <v>1411</v>
      </c>
    </row>
    <row r="326">
      <c r="A326" s="4" t="s">
        <v>60</v>
      </c>
      <c r="B326" s="4" t="s">
        <v>1423</v>
      </c>
      <c r="C326" s="4" t="s">
        <v>109</v>
      </c>
      <c r="D326" s="4" t="s">
        <v>1424</v>
      </c>
      <c r="E326" s="4" t="s">
        <v>80</v>
      </c>
      <c r="F326" s="4" t="s">
        <v>1034</v>
      </c>
      <c r="G326" s="4" t="s">
        <v>2753</v>
      </c>
      <c r="H326" s="4" t="s">
        <v>2754</v>
      </c>
      <c r="I326" s="4" t="s">
        <v>2755</v>
      </c>
      <c r="J326" s="5">
        <v>35765.0</v>
      </c>
      <c r="K326" s="5">
        <v>26317.0</v>
      </c>
      <c r="L326" s="4">
        <v>51.0</v>
      </c>
      <c r="M326" s="4" t="s">
        <v>1425</v>
      </c>
      <c r="O326" s="5">
        <v>42186.0</v>
      </c>
      <c r="P326" s="5">
        <v>73050.0</v>
      </c>
      <c r="Q326" s="4" t="s">
        <v>31</v>
      </c>
      <c r="R326" s="4" t="s">
        <v>32</v>
      </c>
      <c r="S326" s="6" t="s">
        <v>2756</v>
      </c>
      <c r="T326" s="4" t="s">
        <v>2757</v>
      </c>
      <c r="U326" s="4">
        <v>22.0</v>
      </c>
      <c r="V326" s="4" t="s">
        <v>34</v>
      </c>
      <c r="W326" s="4">
        <v>43847.0</v>
      </c>
      <c r="X326" s="4" t="s">
        <v>2758</v>
      </c>
      <c r="Y326" s="4" t="s">
        <v>404</v>
      </c>
      <c r="Z326" s="4" t="s">
        <v>1427</v>
      </c>
      <c r="AA326" s="4">
        <v>2000.0</v>
      </c>
      <c r="AB326" s="4" t="s">
        <v>58</v>
      </c>
      <c r="AC326" s="5">
        <v>36795.0</v>
      </c>
      <c r="AD326" s="4" t="s">
        <v>1411</v>
      </c>
      <c r="AE326" s="5">
        <v>38820.0</v>
      </c>
    </row>
    <row r="327">
      <c r="A327" s="4" t="s">
        <v>24</v>
      </c>
      <c r="B327" s="4" t="s">
        <v>1423</v>
      </c>
      <c r="C327" s="4" t="s">
        <v>109</v>
      </c>
      <c r="D327" s="4" t="s">
        <v>1424</v>
      </c>
      <c r="E327" s="4" t="s">
        <v>80</v>
      </c>
      <c r="F327" s="4" t="s">
        <v>1034</v>
      </c>
      <c r="G327" s="4" t="s">
        <v>274</v>
      </c>
      <c r="H327" s="4" t="s">
        <v>1035</v>
      </c>
      <c r="I327" s="4" t="s">
        <v>1036</v>
      </c>
      <c r="J327" s="5">
        <v>42887.0</v>
      </c>
      <c r="K327" s="5">
        <v>29237.0</v>
      </c>
      <c r="L327" s="4">
        <v>43.0</v>
      </c>
      <c r="M327" s="4" t="s">
        <v>1425</v>
      </c>
      <c r="N327" s="4" t="s">
        <v>1461</v>
      </c>
      <c r="O327" s="5">
        <v>44927.0</v>
      </c>
      <c r="P327" s="5">
        <v>45291.0</v>
      </c>
      <c r="Q327" s="4" t="s">
        <v>66</v>
      </c>
      <c r="R327" s="4" t="s">
        <v>32</v>
      </c>
      <c r="S327" s="6" t="s">
        <v>2759</v>
      </c>
      <c r="T327" s="4" t="s">
        <v>1037</v>
      </c>
      <c r="U327" s="4">
        <v>44.0</v>
      </c>
      <c r="V327" s="4" t="s">
        <v>34</v>
      </c>
      <c r="W327" s="4">
        <v>42487.0</v>
      </c>
      <c r="X327" s="4" t="s">
        <v>188</v>
      </c>
      <c r="Y327" s="4" t="s">
        <v>89</v>
      </c>
      <c r="Z327" s="4" t="s">
        <v>1422</v>
      </c>
      <c r="AA327" s="4">
        <v>2008.0</v>
      </c>
      <c r="AB327" s="4" t="s">
        <v>58</v>
      </c>
      <c r="AC327" s="5">
        <v>39588.0</v>
      </c>
      <c r="AD327" s="4" t="s">
        <v>1411</v>
      </c>
      <c r="AE327" s="5">
        <v>42873.0</v>
      </c>
    </row>
    <row r="328">
      <c r="A328" s="4" t="s">
        <v>1440</v>
      </c>
      <c r="B328" s="4" t="s">
        <v>1540</v>
      </c>
      <c r="C328" s="4" t="s">
        <v>99</v>
      </c>
      <c r="D328" s="4" t="s">
        <v>1541</v>
      </c>
      <c r="E328" s="4" t="s">
        <v>26</v>
      </c>
      <c r="F328" s="4" t="s">
        <v>2760</v>
      </c>
      <c r="G328" s="4" t="s">
        <v>879</v>
      </c>
      <c r="H328" s="4" t="s">
        <v>2761</v>
      </c>
      <c r="I328" s="4" t="s">
        <v>2762</v>
      </c>
      <c r="J328" s="5">
        <v>22463.0</v>
      </c>
      <c r="K328" s="5">
        <v>11577.0</v>
      </c>
      <c r="L328" s="4">
        <v>92.0</v>
      </c>
      <c r="M328" s="4" t="s">
        <v>1407</v>
      </c>
      <c r="N328" s="4" t="s">
        <v>1419</v>
      </c>
      <c r="O328" s="5">
        <v>33909.0</v>
      </c>
      <c r="P328" s="5">
        <v>34699.0</v>
      </c>
      <c r="Q328" s="4" t="s">
        <v>31</v>
      </c>
      <c r="R328" s="4" t="s">
        <v>32</v>
      </c>
      <c r="S328" s="6" t="s">
        <v>2763</v>
      </c>
      <c r="T328" s="4" t="s">
        <v>2764</v>
      </c>
      <c r="U328" s="4">
        <v>6.0</v>
      </c>
      <c r="V328" s="4" t="s">
        <v>1492</v>
      </c>
      <c r="W328" s="4">
        <v>33442.0</v>
      </c>
      <c r="X328" s="4" t="s">
        <v>58</v>
      </c>
      <c r="Y328" s="4" t="s">
        <v>59</v>
      </c>
      <c r="Z328" s="4" t="s">
        <v>1422</v>
      </c>
      <c r="AA328" s="4">
        <v>1991.0</v>
      </c>
      <c r="AB328" s="4" t="s">
        <v>58</v>
      </c>
      <c r="AC328" s="5">
        <v>33442.0</v>
      </c>
      <c r="AD328" s="4" t="s">
        <v>1411</v>
      </c>
    </row>
    <row r="329">
      <c r="A329" s="4" t="s">
        <v>78</v>
      </c>
      <c r="B329" s="4" t="s">
        <v>1473</v>
      </c>
      <c r="C329" s="4" t="s">
        <v>25</v>
      </c>
      <c r="D329" s="4" t="s">
        <v>1474</v>
      </c>
      <c r="E329" s="4" t="s">
        <v>26</v>
      </c>
      <c r="F329" s="4" t="s">
        <v>1983</v>
      </c>
      <c r="G329" s="4" t="s">
        <v>2765</v>
      </c>
      <c r="H329" s="4" t="s">
        <v>2766</v>
      </c>
      <c r="I329" s="4" t="s">
        <v>2767</v>
      </c>
      <c r="J329" s="5">
        <v>24198.0</v>
      </c>
      <c r="K329" s="5">
        <v>16971.0</v>
      </c>
      <c r="L329" s="4">
        <v>77.0</v>
      </c>
      <c r="M329" s="4" t="s">
        <v>1407</v>
      </c>
      <c r="O329" s="5">
        <v>44927.0</v>
      </c>
      <c r="P329" s="5">
        <v>45291.0</v>
      </c>
      <c r="Q329" s="4" t="s">
        <v>104</v>
      </c>
      <c r="R329" s="4" t="s">
        <v>32</v>
      </c>
      <c r="S329" s="6" t="s">
        <v>2768</v>
      </c>
      <c r="T329" s="4" t="s">
        <v>2769</v>
      </c>
      <c r="U329" s="4">
        <v>6.0</v>
      </c>
      <c r="V329" s="4" t="s">
        <v>34</v>
      </c>
      <c r="W329" s="4">
        <v>25781.0</v>
      </c>
      <c r="X329" s="4" t="s">
        <v>2664</v>
      </c>
      <c r="Y329" s="4" t="s">
        <v>227</v>
      </c>
      <c r="AD329" s="4" t="s">
        <v>1411</v>
      </c>
      <c r="AE329" s="5">
        <v>34981.0</v>
      </c>
    </row>
    <row r="330">
      <c r="A330" s="4" t="s">
        <v>1434</v>
      </c>
      <c r="B330" s="4" t="s">
        <v>1982</v>
      </c>
      <c r="C330" s="4" t="s">
        <v>109</v>
      </c>
      <c r="D330" s="4" t="s">
        <v>1424</v>
      </c>
      <c r="E330" s="4" t="s">
        <v>80</v>
      </c>
      <c r="F330" s="4" t="s">
        <v>2770</v>
      </c>
      <c r="G330" s="4" t="s">
        <v>2771</v>
      </c>
      <c r="H330" s="4" t="s">
        <v>2772</v>
      </c>
      <c r="I330" s="4" t="s">
        <v>2773</v>
      </c>
      <c r="J330" s="5">
        <v>37316.0</v>
      </c>
      <c r="K330" s="5">
        <v>27467.0</v>
      </c>
      <c r="L330" s="4">
        <v>48.0</v>
      </c>
      <c r="M330" s="4" t="s">
        <v>1407</v>
      </c>
      <c r="N330" s="4" t="s">
        <v>1419</v>
      </c>
      <c r="O330" s="5">
        <v>39052.0</v>
      </c>
      <c r="P330" s="5">
        <v>39082.0</v>
      </c>
      <c r="Q330" s="4" t="s">
        <v>66</v>
      </c>
      <c r="R330" s="4" t="s">
        <v>32</v>
      </c>
      <c r="S330" s="6" t="s">
        <v>2774</v>
      </c>
      <c r="T330" s="4" t="s">
        <v>2774</v>
      </c>
      <c r="U330" s="4">
        <v>12.0</v>
      </c>
      <c r="V330" s="4" t="s">
        <v>1492</v>
      </c>
      <c r="W330" s="4">
        <v>36891.0</v>
      </c>
      <c r="X330" s="4" t="s">
        <v>58</v>
      </c>
      <c r="Y330" s="4" t="s">
        <v>59</v>
      </c>
      <c r="Z330" s="4" t="s">
        <v>1433</v>
      </c>
      <c r="AA330" s="4">
        <v>2000.0</v>
      </c>
      <c r="AB330" s="4" t="s">
        <v>58</v>
      </c>
      <c r="AC330" s="5">
        <v>36795.0</v>
      </c>
      <c r="AD330" s="4" t="s">
        <v>1411</v>
      </c>
      <c r="AE330" s="5">
        <v>39037.0</v>
      </c>
    </row>
    <row r="331">
      <c r="A331" s="4" t="s">
        <v>1465</v>
      </c>
      <c r="B331" s="4" t="s">
        <v>1423</v>
      </c>
      <c r="C331" s="4" t="s">
        <v>109</v>
      </c>
      <c r="D331" s="4" t="s">
        <v>1424</v>
      </c>
      <c r="E331" s="4" t="s">
        <v>26</v>
      </c>
      <c r="F331" s="4" t="s">
        <v>2775</v>
      </c>
      <c r="G331" s="4" t="s">
        <v>2776</v>
      </c>
      <c r="H331" s="4" t="s">
        <v>2777</v>
      </c>
      <c r="I331" s="4" t="s">
        <v>2778</v>
      </c>
      <c r="J331" s="5">
        <v>27273.0</v>
      </c>
      <c r="K331" s="5">
        <v>11062.0</v>
      </c>
      <c r="L331" s="4">
        <v>93.0</v>
      </c>
      <c r="M331" s="4" t="s">
        <v>1407</v>
      </c>
      <c r="O331" s="5">
        <v>31625.0</v>
      </c>
      <c r="P331" s="5">
        <v>34850.0</v>
      </c>
      <c r="Q331" s="4" t="s">
        <v>31</v>
      </c>
      <c r="R331" s="4" t="s">
        <v>32</v>
      </c>
      <c r="S331" s="6" t="s">
        <v>2779</v>
      </c>
      <c r="T331" s="4" t="s">
        <v>2780</v>
      </c>
      <c r="U331" s="4">
        <v>44.0</v>
      </c>
      <c r="AD331" s="4" t="s">
        <v>1411</v>
      </c>
    </row>
    <row r="332">
      <c r="A332" s="4" t="s">
        <v>24</v>
      </c>
      <c r="B332" s="4" t="s">
        <v>1405</v>
      </c>
      <c r="C332" s="4" t="s">
        <v>317</v>
      </c>
      <c r="D332" s="4" t="s">
        <v>1406</v>
      </c>
      <c r="E332" s="4" t="s">
        <v>26</v>
      </c>
      <c r="F332" s="4" t="s">
        <v>318</v>
      </c>
      <c r="G332" s="4" t="s">
        <v>319</v>
      </c>
      <c r="H332" s="4" t="s">
        <v>199</v>
      </c>
      <c r="I332" s="4" t="s">
        <v>320</v>
      </c>
      <c r="J332" s="5">
        <v>36312.0</v>
      </c>
      <c r="K332" s="5">
        <v>24490.0</v>
      </c>
      <c r="L332" s="4">
        <v>56.0</v>
      </c>
      <c r="M332" s="4" t="s">
        <v>1524</v>
      </c>
      <c r="O332" s="5">
        <v>44927.0</v>
      </c>
      <c r="P332" s="5">
        <v>45291.0</v>
      </c>
      <c r="Q332" s="4" t="s">
        <v>66</v>
      </c>
      <c r="R332" s="4" t="s">
        <v>32</v>
      </c>
      <c r="S332" s="6" t="s">
        <v>2781</v>
      </c>
      <c r="T332" s="4" t="s">
        <v>321</v>
      </c>
      <c r="U332" s="4">
        <v>44.0</v>
      </c>
      <c r="V332" s="4" t="s">
        <v>34</v>
      </c>
      <c r="W332" s="4">
        <v>41992.0</v>
      </c>
      <c r="X332" s="4" t="s">
        <v>323</v>
      </c>
      <c r="Y332" s="4" t="s">
        <v>59</v>
      </c>
      <c r="Z332" s="4" t="s">
        <v>1422</v>
      </c>
      <c r="AA332" s="4">
        <v>1996.0</v>
      </c>
      <c r="AB332" s="4" t="s">
        <v>58</v>
      </c>
      <c r="AC332" s="5">
        <v>35237.0</v>
      </c>
      <c r="AD332" s="4" t="s">
        <v>1411</v>
      </c>
      <c r="AE332" s="5">
        <v>44700.0</v>
      </c>
    </row>
    <row r="333">
      <c r="A333" s="4" t="s">
        <v>337</v>
      </c>
      <c r="B333" s="4" t="s">
        <v>1423</v>
      </c>
      <c r="C333" s="4" t="s">
        <v>109</v>
      </c>
      <c r="D333" s="4" t="s">
        <v>1424</v>
      </c>
      <c r="E333" s="4" t="s">
        <v>26</v>
      </c>
      <c r="F333" s="4" t="s">
        <v>1234</v>
      </c>
      <c r="G333" s="4" t="s">
        <v>1235</v>
      </c>
      <c r="H333" s="4" t="s">
        <v>1236</v>
      </c>
      <c r="I333" s="4" t="s">
        <v>1237</v>
      </c>
      <c r="J333" s="5">
        <v>44866.0</v>
      </c>
      <c r="K333" s="5">
        <v>30851.0</v>
      </c>
      <c r="L333" s="4">
        <v>39.0</v>
      </c>
      <c r="M333" s="4" t="s">
        <v>1407</v>
      </c>
      <c r="O333" s="5">
        <v>44927.0</v>
      </c>
      <c r="P333" s="5">
        <v>45291.0</v>
      </c>
      <c r="Q333" s="4" t="s">
        <v>66</v>
      </c>
      <c r="R333" s="4" t="s">
        <v>32</v>
      </c>
      <c r="S333" s="6" t="s">
        <v>2782</v>
      </c>
      <c r="T333" s="4" t="s">
        <v>1238</v>
      </c>
      <c r="U333" s="4">
        <v>44.0</v>
      </c>
      <c r="V333" s="4" t="s">
        <v>34</v>
      </c>
      <c r="W333" s="4">
        <v>43874.0</v>
      </c>
      <c r="X333" s="4" t="s">
        <v>1241</v>
      </c>
      <c r="Y333" s="4" t="s">
        <v>497</v>
      </c>
      <c r="Z333" s="4" t="s">
        <v>2156</v>
      </c>
      <c r="AA333" s="4">
        <v>2006.0</v>
      </c>
      <c r="AB333" s="4" t="s">
        <v>661</v>
      </c>
      <c r="AC333" s="5">
        <v>39014.0</v>
      </c>
      <c r="AD333" s="4" t="s">
        <v>1411</v>
      </c>
      <c r="AE333" s="5">
        <v>44845.0</v>
      </c>
    </row>
    <row r="334">
      <c r="A334" s="4" t="s">
        <v>1434</v>
      </c>
      <c r="B334" s="4" t="s">
        <v>1473</v>
      </c>
      <c r="C334" s="4" t="s">
        <v>25</v>
      </c>
      <c r="D334" s="4" t="s">
        <v>1474</v>
      </c>
      <c r="E334" s="4" t="s">
        <v>26</v>
      </c>
      <c r="F334" s="4" t="s">
        <v>1234</v>
      </c>
      <c r="G334" s="4" t="s">
        <v>274</v>
      </c>
      <c r="H334" s="4" t="s">
        <v>2783</v>
      </c>
      <c r="I334" s="4" t="s">
        <v>2784</v>
      </c>
      <c r="J334" s="5">
        <v>20576.0</v>
      </c>
      <c r="K334" s="5">
        <v>11269.0</v>
      </c>
      <c r="L334" s="4">
        <v>93.0</v>
      </c>
      <c r="M334" s="4" t="s">
        <v>1585</v>
      </c>
      <c r="O334" s="5">
        <v>37530.0</v>
      </c>
      <c r="P334" s="5">
        <v>37621.0</v>
      </c>
      <c r="Q334" s="4" t="s">
        <v>104</v>
      </c>
      <c r="R334" s="4" t="s">
        <v>32</v>
      </c>
      <c r="S334" s="6" t="s">
        <v>2785</v>
      </c>
      <c r="T334" s="4" t="s">
        <v>2786</v>
      </c>
      <c r="U334" s="4">
        <v>2.0</v>
      </c>
      <c r="V334" s="4" t="s">
        <v>55</v>
      </c>
      <c r="W334" s="4">
        <v>1.0</v>
      </c>
      <c r="X334" s="4" t="s">
        <v>1464</v>
      </c>
      <c r="Y334" s="4" t="s">
        <v>59</v>
      </c>
      <c r="Z334" s="4" t="s">
        <v>2075</v>
      </c>
      <c r="AA334" s="4">
        <v>1958.0</v>
      </c>
      <c r="AB334" s="4" t="s">
        <v>58</v>
      </c>
      <c r="AC334" s="5">
        <v>21536.0</v>
      </c>
      <c r="AD334" s="4" t="s">
        <v>1411</v>
      </c>
    </row>
    <row r="335">
      <c r="A335" s="4" t="s">
        <v>1465</v>
      </c>
      <c r="B335" s="4" t="s">
        <v>1423</v>
      </c>
      <c r="C335" s="4" t="s">
        <v>109</v>
      </c>
      <c r="D335" s="4" t="s">
        <v>1424</v>
      </c>
      <c r="E335" s="4" t="s">
        <v>80</v>
      </c>
      <c r="F335" s="4" t="s">
        <v>1234</v>
      </c>
      <c r="G335" s="4" t="s">
        <v>2787</v>
      </c>
      <c r="H335" s="4" t="s">
        <v>2788</v>
      </c>
      <c r="I335" s="4" t="s">
        <v>2789</v>
      </c>
      <c r="J335" s="5">
        <v>28795.0</v>
      </c>
      <c r="K335" s="5">
        <v>18218.0</v>
      </c>
      <c r="L335" s="4">
        <v>74.0</v>
      </c>
      <c r="M335" s="4" t="s">
        <v>1425</v>
      </c>
      <c r="O335" s="5">
        <v>34060.0</v>
      </c>
      <c r="P335" s="5">
        <v>34911.0</v>
      </c>
      <c r="Q335" s="4" t="s">
        <v>31</v>
      </c>
      <c r="R335" s="4" t="s">
        <v>32</v>
      </c>
      <c r="S335" s="6" t="s">
        <v>2790</v>
      </c>
      <c r="T335" s="4" t="s">
        <v>2791</v>
      </c>
      <c r="U335" s="4">
        <v>12.0</v>
      </c>
      <c r="AD335" s="4" t="s">
        <v>1411</v>
      </c>
    </row>
    <row r="336">
      <c r="A336" s="4" t="s">
        <v>1412</v>
      </c>
      <c r="B336" s="4" t="s">
        <v>1466</v>
      </c>
      <c r="C336" s="4" t="s">
        <v>1467</v>
      </c>
      <c r="D336" s="4" t="s">
        <v>1468</v>
      </c>
      <c r="E336" s="4" t="s">
        <v>80</v>
      </c>
      <c r="F336" s="4" t="s">
        <v>2792</v>
      </c>
      <c r="G336" s="4" t="s">
        <v>2793</v>
      </c>
      <c r="H336" s="4" t="s">
        <v>2794</v>
      </c>
      <c r="I336" s="4" t="s">
        <v>2795</v>
      </c>
      <c r="J336" s="5">
        <v>36495.0</v>
      </c>
      <c r="K336" s="5">
        <v>25270.0</v>
      </c>
      <c r="L336" s="4">
        <v>54.0</v>
      </c>
      <c r="M336" s="4" t="s">
        <v>1425</v>
      </c>
      <c r="O336" s="5">
        <v>36800.0</v>
      </c>
      <c r="P336" s="5">
        <v>36891.0</v>
      </c>
      <c r="Q336" s="4" t="s">
        <v>66</v>
      </c>
      <c r="R336" s="4" t="s">
        <v>32</v>
      </c>
      <c r="S336" s="6" t="s">
        <v>2796</v>
      </c>
      <c r="T336" s="4" t="s">
        <v>2797</v>
      </c>
      <c r="U336" s="4">
        <v>6.0</v>
      </c>
      <c r="AD336" s="4" t="s">
        <v>1866</v>
      </c>
    </row>
    <row r="337">
      <c r="A337" s="4" t="s">
        <v>60</v>
      </c>
      <c r="B337" s="4" t="s">
        <v>1423</v>
      </c>
      <c r="C337" s="4" t="s">
        <v>109</v>
      </c>
      <c r="D337" s="4" t="s">
        <v>1424</v>
      </c>
      <c r="E337" s="4" t="s">
        <v>26</v>
      </c>
      <c r="F337" s="4" t="s">
        <v>818</v>
      </c>
      <c r="G337" s="4" t="s">
        <v>1635</v>
      </c>
      <c r="H337" s="4" t="s">
        <v>2798</v>
      </c>
      <c r="I337" s="4" t="s">
        <v>2799</v>
      </c>
      <c r="J337" s="5">
        <v>40900.0</v>
      </c>
      <c r="K337" s="5">
        <v>27485.0</v>
      </c>
      <c r="L337" s="4">
        <v>48.0</v>
      </c>
      <c r="M337" s="4" t="s">
        <v>1425</v>
      </c>
      <c r="N337" s="4" t="s">
        <v>1419</v>
      </c>
      <c r="O337" s="5">
        <v>44197.0</v>
      </c>
      <c r="P337" s="5">
        <v>44255.0</v>
      </c>
      <c r="Q337" s="4" t="s">
        <v>66</v>
      </c>
      <c r="R337" s="4" t="s">
        <v>32</v>
      </c>
      <c r="S337" s="6" t="s">
        <v>2800</v>
      </c>
      <c r="T337" s="4" t="s">
        <v>2801</v>
      </c>
      <c r="U337" s="4">
        <v>44.0</v>
      </c>
      <c r="V337" s="4" t="s">
        <v>34</v>
      </c>
      <c r="W337" s="4">
        <v>42087.0</v>
      </c>
      <c r="X337" s="4" t="s">
        <v>58</v>
      </c>
      <c r="Y337" s="4" t="s">
        <v>59</v>
      </c>
      <c r="Z337" s="4" t="s">
        <v>1427</v>
      </c>
      <c r="AA337" s="4">
        <v>2000.0</v>
      </c>
      <c r="AB337" s="4" t="s">
        <v>2452</v>
      </c>
      <c r="AC337" s="5">
        <v>36692.0</v>
      </c>
      <c r="AD337" s="4" t="s">
        <v>1411</v>
      </c>
      <c r="AE337" s="5">
        <v>43537.0</v>
      </c>
    </row>
    <row r="338">
      <c r="A338" s="4" t="s">
        <v>78</v>
      </c>
      <c r="B338" s="4" t="s">
        <v>1430</v>
      </c>
      <c r="C338" s="4" t="s">
        <v>61</v>
      </c>
      <c r="D338" s="4" t="s">
        <v>1431</v>
      </c>
      <c r="E338" s="4" t="s">
        <v>26</v>
      </c>
      <c r="F338" s="4" t="s">
        <v>309</v>
      </c>
      <c r="G338" s="4" t="s">
        <v>310</v>
      </c>
      <c r="H338" s="4" t="s">
        <v>311</v>
      </c>
      <c r="I338" s="4" t="s">
        <v>312</v>
      </c>
      <c r="J338" s="5">
        <v>36039.0</v>
      </c>
      <c r="K338" s="5">
        <v>25120.0</v>
      </c>
      <c r="L338" s="4">
        <v>55.0</v>
      </c>
      <c r="M338" s="4" t="s">
        <v>1407</v>
      </c>
      <c r="O338" s="5">
        <v>42186.0</v>
      </c>
      <c r="P338" s="5">
        <v>73050.0</v>
      </c>
      <c r="Q338" s="4" t="s">
        <v>31</v>
      </c>
      <c r="R338" s="4" t="s">
        <v>32</v>
      </c>
      <c r="S338" s="6" t="s">
        <v>2802</v>
      </c>
      <c r="T338" s="4" t="s">
        <v>313</v>
      </c>
      <c r="U338" s="4">
        <v>22.0</v>
      </c>
      <c r="V338" s="4" t="s">
        <v>314</v>
      </c>
      <c r="W338" s="4">
        <v>37987.0</v>
      </c>
      <c r="X338" s="4" t="s">
        <v>58</v>
      </c>
      <c r="Y338" s="4" t="s">
        <v>59</v>
      </c>
      <c r="Z338" s="4" t="s">
        <v>1433</v>
      </c>
      <c r="AA338" s="4">
        <v>1993.0</v>
      </c>
      <c r="AB338" s="4" t="s">
        <v>58</v>
      </c>
      <c r="AC338" s="5">
        <v>34125.0</v>
      </c>
      <c r="AD338" s="4" t="s">
        <v>1411</v>
      </c>
      <c r="AE338" s="5">
        <v>40758.0</v>
      </c>
    </row>
    <row r="339">
      <c r="A339" s="4" t="s">
        <v>1412</v>
      </c>
      <c r="B339" s="4" t="s">
        <v>1423</v>
      </c>
      <c r="C339" s="4" t="s">
        <v>109</v>
      </c>
      <c r="D339" s="4" t="s">
        <v>1424</v>
      </c>
      <c r="E339" s="4" t="s">
        <v>26</v>
      </c>
      <c r="F339" s="4" t="s">
        <v>309</v>
      </c>
      <c r="G339" s="4" t="s">
        <v>2293</v>
      </c>
      <c r="H339" s="4" t="s">
        <v>2803</v>
      </c>
      <c r="I339" s="4" t="s">
        <v>2804</v>
      </c>
      <c r="J339" s="5">
        <v>25020.0</v>
      </c>
      <c r="K339" s="5">
        <v>16811.0</v>
      </c>
      <c r="L339" s="4">
        <v>78.0</v>
      </c>
      <c r="M339" s="4" t="s">
        <v>1407</v>
      </c>
      <c r="O339" s="5">
        <v>35156.0</v>
      </c>
      <c r="P339" s="5">
        <v>38101.0</v>
      </c>
      <c r="Q339" s="4" t="s">
        <v>31</v>
      </c>
      <c r="R339" s="4" t="s">
        <v>32</v>
      </c>
      <c r="S339" s="6" t="s">
        <v>2805</v>
      </c>
      <c r="T339" s="4" t="s">
        <v>2806</v>
      </c>
      <c r="U339" s="4">
        <v>12.0</v>
      </c>
      <c r="V339" s="4" t="s">
        <v>1492</v>
      </c>
      <c r="W339" s="4">
        <v>25655.0</v>
      </c>
      <c r="X339" s="4" t="s">
        <v>58</v>
      </c>
      <c r="Y339" s="4" t="s">
        <v>59</v>
      </c>
      <c r="AD339" s="4" t="s">
        <v>1411</v>
      </c>
    </row>
    <row r="340">
      <c r="A340" s="4" t="s">
        <v>1440</v>
      </c>
      <c r="B340" s="4" t="s">
        <v>1423</v>
      </c>
      <c r="C340" s="4" t="s">
        <v>109</v>
      </c>
      <c r="D340" s="4" t="s">
        <v>1424</v>
      </c>
      <c r="E340" s="4" t="s">
        <v>80</v>
      </c>
      <c r="F340" s="4" t="s">
        <v>309</v>
      </c>
      <c r="G340" s="4" t="s">
        <v>2807</v>
      </c>
      <c r="H340" s="4" t="s">
        <v>1956</v>
      </c>
      <c r="I340" s="4" t="s">
        <v>2808</v>
      </c>
      <c r="J340" s="5">
        <v>26115.0</v>
      </c>
      <c r="K340" s="5">
        <v>13237.0</v>
      </c>
      <c r="L340" s="4">
        <v>87.0</v>
      </c>
      <c r="M340" s="4" t="s">
        <v>1407</v>
      </c>
      <c r="O340" s="5">
        <v>34640.0</v>
      </c>
      <c r="P340" s="5">
        <v>34699.0</v>
      </c>
      <c r="Q340" s="4" t="s">
        <v>66</v>
      </c>
      <c r="R340" s="4" t="s">
        <v>32</v>
      </c>
      <c r="S340" s="6" t="s">
        <v>2809</v>
      </c>
      <c r="T340" s="4" t="s">
        <v>2810</v>
      </c>
      <c r="U340" s="4">
        <v>22.0</v>
      </c>
      <c r="V340" s="4" t="s">
        <v>106</v>
      </c>
      <c r="W340" s="4">
        <v>1.0</v>
      </c>
      <c r="X340" s="4" t="s">
        <v>1464</v>
      </c>
      <c r="Y340" s="4" t="s">
        <v>59</v>
      </c>
      <c r="AD340" s="4" t="s">
        <v>1411</v>
      </c>
    </row>
    <row r="341">
      <c r="A341" s="4" t="s">
        <v>78</v>
      </c>
      <c r="B341" s="4" t="s">
        <v>1540</v>
      </c>
      <c r="C341" s="4" t="s">
        <v>99</v>
      </c>
      <c r="D341" s="4" t="s">
        <v>1541</v>
      </c>
      <c r="E341" s="4" t="s">
        <v>80</v>
      </c>
      <c r="F341" s="4" t="s">
        <v>309</v>
      </c>
      <c r="G341" s="4" t="s">
        <v>462</v>
      </c>
      <c r="H341" s="4" t="s">
        <v>463</v>
      </c>
      <c r="I341" s="4" t="s">
        <v>464</v>
      </c>
      <c r="J341" s="5">
        <v>38292.0</v>
      </c>
      <c r="K341" s="5">
        <v>25877.0</v>
      </c>
      <c r="L341" s="4">
        <v>53.0</v>
      </c>
      <c r="M341" s="4" t="s">
        <v>1425</v>
      </c>
      <c r="N341" s="4" t="s">
        <v>1419</v>
      </c>
      <c r="O341" s="5">
        <v>42186.0</v>
      </c>
      <c r="P341" s="5">
        <v>73050.0</v>
      </c>
      <c r="Q341" s="4" t="s">
        <v>31</v>
      </c>
      <c r="R341" s="4" t="s">
        <v>32</v>
      </c>
      <c r="S341" s="6" t="s">
        <v>465</v>
      </c>
      <c r="T341" s="4" t="s">
        <v>465</v>
      </c>
      <c r="U341" s="4">
        <v>44.0</v>
      </c>
      <c r="V341" s="4" t="s">
        <v>34</v>
      </c>
      <c r="W341" s="4">
        <v>38002.0</v>
      </c>
      <c r="X341" s="4" t="s">
        <v>308</v>
      </c>
      <c r="Y341" s="4" t="s">
        <v>89</v>
      </c>
      <c r="Z341" s="4" t="s">
        <v>1433</v>
      </c>
      <c r="AA341" s="4">
        <v>1999.0</v>
      </c>
      <c r="AB341" s="4" t="s">
        <v>58</v>
      </c>
      <c r="AC341" s="5">
        <v>36392.0</v>
      </c>
      <c r="AD341" s="4" t="s">
        <v>1411</v>
      </c>
      <c r="AE341" s="5">
        <v>40163.0</v>
      </c>
    </row>
    <row r="342">
      <c r="A342" s="4" t="s">
        <v>1465</v>
      </c>
      <c r="B342" s="4" t="s">
        <v>1447</v>
      </c>
      <c r="C342" s="4" t="s">
        <v>40</v>
      </c>
      <c r="D342" s="4" t="s">
        <v>1448</v>
      </c>
      <c r="E342" s="4" t="s">
        <v>26</v>
      </c>
      <c r="F342" s="4" t="s">
        <v>1487</v>
      </c>
      <c r="G342" s="4" t="s">
        <v>2811</v>
      </c>
      <c r="H342" s="4" t="s">
        <v>2812</v>
      </c>
      <c r="I342" s="4" t="s">
        <v>2813</v>
      </c>
      <c r="J342" s="5">
        <v>36770.0</v>
      </c>
      <c r="K342" s="5">
        <v>22982.0</v>
      </c>
      <c r="L342" s="4">
        <v>61.0</v>
      </c>
      <c r="M342" s="4" t="s">
        <v>1407</v>
      </c>
      <c r="N342" s="4" t="s">
        <v>1419</v>
      </c>
      <c r="O342" s="5">
        <v>37803.0</v>
      </c>
      <c r="P342" s="5">
        <v>37833.0</v>
      </c>
      <c r="Q342" s="4" t="s">
        <v>66</v>
      </c>
      <c r="R342" s="4" t="s">
        <v>32</v>
      </c>
      <c r="S342" s="6" t="s">
        <v>2814</v>
      </c>
      <c r="T342" s="4" t="s">
        <v>2815</v>
      </c>
      <c r="U342" s="4">
        <v>21.0</v>
      </c>
      <c r="V342" s="4" t="s">
        <v>106</v>
      </c>
      <c r="W342" s="4">
        <v>1.0</v>
      </c>
      <c r="X342" s="4" t="s">
        <v>1899</v>
      </c>
      <c r="Y342" s="4" t="s">
        <v>59</v>
      </c>
      <c r="Z342" s="4" t="s">
        <v>2816</v>
      </c>
      <c r="AA342" s="4">
        <v>1987.0</v>
      </c>
      <c r="AB342" s="4" t="s">
        <v>58</v>
      </c>
      <c r="AC342" s="5">
        <v>31853.0</v>
      </c>
      <c r="AD342" s="4" t="s">
        <v>1411</v>
      </c>
    </row>
    <row r="343">
      <c r="A343" s="4" t="s">
        <v>1465</v>
      </c>
      <c r="B343" s="4" t="s">
        <v>1540</v>
      </c>
      <c r="C343" s="4" t="s">
        <v>99</v>
      </c>
      <c r="D343" s="4" t="s">
        <v>1541</v>
      </c>
      <c r="E343" s="4" t="s">
        <v>26</v>
      </c>
      <c r="F343" s="4" t="s">
        <v>158</v>
      </c>
      <c r="G343" s="4" t="s">
        <v>2817</v>
      </c>
      <c r="H343" s="4" t="s">
        <v>2818</v>
      </c>
      <c r="I343" s="4" t="s">
        <v>2819</v>
      </c>
      <c r="J343" s="5">
        <v>35034.0</v>
      </c>
      <c r="K343" s="5">
        <v>17875.0</v>
      </c>
      <c r="L343" s="4">
        <v>75.0</v>
      </c>
      <c r="M343" s="4" t="s">
        <v>1407</v>
      </c>
      <c r="O343" s="5">
        <v>36831.0</v>
      </c>
      <c r="P343" s="5">
        <v>37833.0</v>
      </c>
      <c r="Q343" s="4" t="s">
        <v>31</v>
      </c>
      <c r="R343" s="4" t="s">
        <v>32</v>
      </c>
      <c r="S343" s="6" t="s">
        <v>2820</v>
      </c>
      <c r="T343" s="4" t="s">
        <v>2821</v>
      </c>
      <c r="U343" s="4">
        <v>22.0</v>
      </c>
      <c r="V343" s="4" t="s">
        <v>46</v>
      </c>
      <c r="W343" s="4">
        <v>28490.0</v>
      </c>
      <c r="X343" s="4" t="s">
        <v>2822</v>
      </c>
      <c r="Y343" s="4" t="s">
        <v>624</v>
      </c>
      <c r="Z343" s="4" t="s">
        <v>2459</v>
      </c>
      <c r="AA343" s="4">
        <v>1973.0</v>
      </c>
      <c r="AB343" s="4" t="s">
        <v>438</v>
      </c>
      <c r="AC343" s="5">
        <v>26857.0</v>
      </c>
      <c r="AD343" s="4" t="s">
        <v>1411</v>
      </c>
    </row>
    <row r="344">
      <c r="A344" s="4" t="s">
        <v>1465</v>
      </c>
      <c r="B344" s="4" t="s">
        <v>1423</v>
      </c>
      <c r="C344" s="4" t="s">
        <v>109</v>
      </c>
      <c r="D344" s="4" t="s">
        <v>1424</v>
      </c>
      <c r="E344" s="4" t="s">
        <v>26</v>
      </c>
      <c r="F344" s="4" t="s">
        <v>2823</v>
      </c>
      <c r="G344" s="4" t="s">
        <v>2824</v>
      </c>
      <c r="H344" s="4" t="s">
        <v>2825</v>
      </c>
      <c r="I344" s="4" t="s">
        <v>2826</v>
      </c>
      <c r="J344" s="5">
        <v>36008.0</v>
      </c>
      <c r="K344" s="5">
        <v>14594.0</v>
      </c>
      <c r="L344" s="4">
        <v>84.0</v>
      </c>
      <c r="M344" s="4" t="s">
        <v>1453</v>
      </c>
      <c r="O344" s="5">
        <v>37803.0</v>
      </c>
      <c r="P344" s="5">
        <v>37833.0</v>
      </c>
      <c r="Q344" s="4" t="s">
        <v>66</v>
      </c>
      <c r="R344" s="4" t="s">
        <v>32</v>
      </c>
      <c r="S344" s="6" t="s">
        <v>2827</v>
      </c>
      <c r="T344" s="4" t="s">
        <v>2828</v>
      </c>
      <c r="U344" s="4">
        <v>22.0</v>
      </c>
      <c r="V344" s="4" t="s">
        <v>106</v>
      </c>
      <c r="W344" s="4">
        <v>1.0</v>
      </c>
      <c r="X344" s="4" t="s">
        <v>1464</v>
      </c>
      <c r="Y344" s="4" t="s">
        <v>59</v>
      </c>
      <c r="Z344" s="4" t="s">
        <v>1519</v>
      </c>
      <c r="AA344" s="4">
        <v>1976.0</v>
      </c>
      <c r="AB344" s="4" t="s">
        <v>58</v>
      </c>
      <c r="AC344" s="5">
        <v>27881.0</v>
      </c>
      <c r="AD344" s="4" t="s">
        <v>2829</v>
      </c>
    </row>
    <row r="345">
      <c r="A345" s="4" t="s">
        <v>1684</v>
      </c>
      <c r="B345" s="4" t="s">
        <v>1473</v>
      </c>
      <c r="C345" s="4" t="s">
        <v>25</v>
      </c>
      <c r="D345" s="4" t="s">
        <v>1474</v>
      </c>
      <c r="E345" s="4" t="s">
        <v>26</v>
      </c>
      <c r="F345" s="4" t="s">
        <v>2830</v>
      </c>
      <c r="G345" s="4" t="s">
        <v>2831</v>
      </c>
      <c r="H345" s="4" t="s">
        <v>2832</v>
      </c>
      <c r="I345" s="4" t="s">
        <v>2833</v>
      </c>
      <c r="J345" s="5">
        <v>25020.0</v>
      </c>
      <c r="K345" s="5">
        <v>16731.0</v>
      </c>
      <c r="L345" s="4">
        <v>78.0</v>
      </c>
      <c r="M345" s="4" t="s">
        <v>1407</v>
      </c>
      <c r="O345" s="5">
        <v>35955.0</v>
      </c>
      <c r="P345" s="5">
        <v>36604.0</v>
      </c>
      <c r="Q345" s="4" t="s">
        <v>31</v>
      </c>
      <c r="R345" s="4" t="s">
        <v>32</v>
      </c>
      <c r="S345" s="6" t="s">
        <v>2834</v>
      </c>
      <c r="T345" s="4" t="s">
        <v>2835</v>
      </c>
      <c r="U345" s="4">
        <v>44.0</v>
      </c>
      <c r="V345" s="4" t="s">
        <v>1492</v>
      </c>
      <c r="W345" s="4">
        <v>1.0</v>
      </c>
      <c r="X345" s="4" t="s">
        <v>1464</v>
      </c>
      <c r="Y345" s="4" t="s">
        <v>59</v>
      </c>
      <c r="AD345" s="4" t="s">
        <v>1411</v>
      </c>
    </row>
    <row r="346">
      <c r="A346" s="4" t="s">
        <v>1440</v>
      </c>
      <c r="B346" s="4" t="s">
        <v>1413</v>
      </c>
      <c r="C346" s="4" t="s">
        <v>1414</v>
      </c>
      <c r="D346" s="4" t="s">
        <v>1415</v>
      </c>
      <c r="E346" s="4" t="s">
        <v>80</v>
      </c>
      <c r="F346" s="4" t="s">
        <v>2836</v>
      </c>
      <c r="G346" s="4" t="s">
        <v>1227</v>
      </c>
      <c r="H346" s="4" t="s">
        <v>2837</v>
      </c>
      <c r="I346" s="4" t="s">
        <v>2838</v>
      </c>
      <c r="J346" s="5">
        <v>35096.0</v>
      </c>
      <c r="K346" s="5">
        <v>21182.0</v>
      </c>
      <c r="L346" s="4">
        <v>66.0</v>
      </c>
      <c r="M346" s="4" t="s">
        <v>1425</v>
      </c>
      <c r="O346" s="5">
        <v>35096.0</v>
      </c>
      <c r="P346" s="5">
        <v>37955.0</v>
      </c>
      <c r="Q346" s="4" t="s">
        <v>1694</v>
      </c>
      <c r="R346" s="4" t="s">
        <v>32</v>
      </c>
      <c r="S346" s="6" t="s">
        <v>2839</v>
      </c>
      <c r="T346" s="4" t="s">
        <v>2840</v>
      </c>
      <c r="U346" s="4">
        <v>6.0</v>
      </c>
      <c r="V346" s="4" t="s">
        <v>106</v>
      </c>
      <c r="W346" s="4">
        <v>34334.0</v>
      </c>
      <c r="X346" s="4" t="s">
        <v>2841</v>
      </c>
      <c r="Y346" s="4" t="s">
        <v>404</v>
      </c>
      <c r="AD346" s="4" t="s">
        <v>1411</v>
      </c>
    </row>
    <row r="347">
      <c r="A347" s="4" t="s">
        <v>1465</v>
      </c>
      <c r="B347" s="4" t="s">
        <v>1413</v>
      </c>
      <c r="C347" s="4" t="s">
        <v>1414</v>
      </c>
      <c r="D347" s="4" t="s">
        <v>1415</v>
      </c>
      <c r="E347" s="4" t="s">
        <v>26</v>
      </c>
      <c r="F347" s="4" t="s">
        <v>2842</v>
      </c>
      <c r="G347" s="4" t="s">
        <v>2843</v>
      </c>
      <c r="H347" s="4" t="s">
        <v>2002</v>
      </c>
      <c r="I347" s="4" t="s">
        <v>2844</v>
      </c>
      <c r="J347" s="5">
        <v>33298.0</v>
      </c>
      <c r="K347" s="5">
        <v>18100.0</v>
      </c>
      <c r="L347" s="4">
        <v>74.0</v>
      </c>
      <c r="M347" s="4" t="s">
        <v>1407</v>
      </c>
      <c r="O347" s="5">
        <v>33298.0</v>
      </c>
      <c r="P347" s="5">
        <v>35885.0</v>
      </c>
      <c r="Q347" s="4" t="s">
        <v>31</v>
      </c>
      <c r="R347" s="4" t="s">
        <v>32</v>
      </c>
      <c r="S347" s="6" t="s">
        <v>2845</v>
      </c>
      <c r="T347" s="4" t="s">
        <v>2846</v>
      </c>
      <c r="U347" s="4">
        <v>6.0</v>
      </c>
      <c r="AD347" s="4" t="s">
        <v>1411</v>
      </c>
    </row>
    <row r="348">
      <c r="A348" s="4" t="s">
        <v>1684</v>
      </c>
      <c r="B348" s="4" t="s">
        <v>1447</v>
      </c>
      <c r="C348" s="4" t="s">
        <v>40</v>
      </c>
      <c r="D348" s="4" t="s">
        <v>1448</v>
      </c>
      <c r="E348" s="4" t="s">
        <v>80</v>
      </c>
      <c r="F348" s="4" t="s">
        <v>2847</v>
      </c>
      <c r="G348" s="4" t="s">
        <v>2848</v>
      </c>
      <c r="H348" s="4" t="s">
        <v>2849</v>
      </c>
      <c r="I348" s="4" t="s">
        <v>2850</v>
      </c>
      <c r="J348" s="5">
        <v>38292.0</v>
      </c>
      <c r="K348" s="5">
        <v>15319.0</v>
      </c>
      <c r="L348" s="4">
        <v>82.0</v>
      </c>
      <c r="M348" s="4" t="s">
        <v>1425</v>
      </c>
      <c r="N348" s="4" t="s">
        <v>1419</v>
      </c>
      <c r="O348" s="5">
        <v>39448.0</v>
      </c>
      <c r="P348" s="5">
        <v>39568.0</v>
      </c>
      <c r="Q348" s="4" t="s">
        <v>66</v>
      </c>
      <c r="R348" s="4" t="s">
        <v>32</v>
      </c>
      <c r="S348" s="6" t="s">
        <v>2851</v>
      </c>
      <c r="T348" s="4" t="s">
        <v>2851</v>
      </c>
      <c r="U348" s="4">
        <v>9.0</v>
      </c>
      <c r="Z348" s="4" t="s">
        <v>1647</v>
      </c>
      <c r="AA348" s="4">
        <v>1967.0</v>
      </c>
      <c r="AB348" s="4" t="s">
        <v>58</v>
      </c>
      <c r="AC348" s="5">
        <v>24833.0</v>
      </c>
      <c r="AD348" s="4" t="s">
        <v>1411</v>
      </c>
      <c r="AE348" s="5">
        <v>38190.0</v>
      </c>
    </row>
    <row r="349">
      <c r="A349" s="4" t="s">
        <v>1684</v>
      </c>
      <c r="B349" s="4" t="s">
        <v>1447</v>
      </c>
      <c r="C349" s="4" t="s">
        <v>40</v>
      </c>
      <c r="D349" s="4" t="s">
        <v>1448</v>
      </c>
      <c r="E349" s="4" t="s">
        <v>80</v>
      </c>
      <c r="F349" s="4" t="s">
        <v>2847</v>
      </c>
      <c r="G349" s="4" t="s">
        <v>2848</v>
      </c>
      <c r="H349" s="4" t="s">
        <v>2849</v>
      </c>
      <c r="I349" s="4" t="s">
        <v>2850</v>
      </c>
      <c r="J349" s="5">
        <v>38292.0</v>
      </c>
      <c r="K349" s="5">
        <v>15319.0</v>
      </c>
      <c r="L349" s="4">
        <v>82.0</v>
      </c>
      <c r="M349" s="4" t="s">
        <v>1425</v>
      </c>
      <c r="N349" s="4" t="s">
        <v>1419</v>
      </c>
      <c r="O349" s="5">
        <v>39448.0</v>
      </c>
      <c r="P349" s="5">
        <v>39568.0</v>
      </c>
      <c r="Q349" s="4" t="s">
        <v>66</v>
      </c>
      <c r="R349" s="4" t="s">
        <v>32</v>
      </c>
      <c r="S349" s="6" t="s">
        <v>2851</v>
      </c>
      <c r="T349" s="4" t="s">
        <v>2851</v>
      </c>
      <c r="U349" s="4">
        <v>10.0</v>
      </c>
      <c r="Z349" s="4" t="s">
        <v>1647</v>
      </c>
      <c r="AA349" s="4">
        <v>1967.0</v>
      </c>
      <c r="AB349" s="4" t="s">
        <v>58</v>
      </c>
      <c r="AC349" s="5">
        <v>24833.0</v>
      </c>
      <c r="AD349" s="4" t="s">
        <v>1411</v>
      </c>
      <c r="AE349" s="5">
        <v>38190.0</v>
      </c>
    </row>
    <row r="350">
      <c r="A350" s="4" t="s">
        <v>1412</v>
      </c>
      <c r="B350" s="4" t="s">
        <v>1413</v>
      </c>
      <c r="C350" s="4" t="s">
        <v>1414</v>
      </c>
      <c r="D350" s="4" t="s">
        <v>1415</v>
      </c>
      <c r="E350" s="4" t="s">
        <v>80</v>
      </c>
      <c r="F350" s="4" t="s">
        <v>212</v>
      </c>
      <c r="G350" s="4" t="s">
        <v>2101</v>
      </c>
      <c r="H350" s="4" t="s">
        <v>2852</v>
      </c>
      <c r="I350" s="4" t="s">
        <v>2853</v>
      </c>
      <c r="J350" s="5">
        <v>43040.0</v>
      </c>
      <c r="K350" s="5">
        <v>28502.0</v>
      </c>
      <c r="L350" s="4">
        <v>45.0</v>
      </c>
      <c r="M350" s="4" t="s">
        <v>1453</v>
      </c>
      <c r="N350" s="4" t="s">
        <v>1419</v>
      </c>
      <c r="O350" s="5">
        <v>42005.0</v>
      </c>
      <c r="P350" s="5">
        <v>42369.0</v>
      </c>
      <c r="Q350" s="4" t="s">
        <v>66</v>
      </c>
      <c r="R350" s="4" t="s">
        <v>32</v>
      </c>
      <c r="S350" s="6" t="s">
        <v>2854</v>
      </c>
      <c r="T350" s="4" t="s">
        <v>2855</v>
      </c>
      <c r="U350" s="4">
        <v>2.0</v>
      </c>
      <c r="V350" s="4" t="s">
        <v>55</v>
      </c>
      <c r="W350" s="4">
        <v>37622.0</v>
      </c>
      <c r="X350" s="4" t="s">
        <v>58</v>
      </c>
      <c r="Y350" s="4" t="s">
        <v>59</v>
      </c>
      <c r="Z350" s="4" t="s">
        <v>1427</v>
      </c>
      <c r="AA350" s="4">
        <v>2003.0</v>
      </c>
      <c r="AB350" s="4" t="s">
        <v>58</v>
      </c>
      <c r="AC350" s="5">
        <v>37925.0</v>
      </c>
      <c r="AD350" s="4" t="s">
        <v>1411</v>
      </c>
      <c r="AE350" s="5">
        <v>39289.0</v>
      </c>
    </row>
    <row r="351">
      <c r="A351" s="4" t="s">
        <v>60</v>
      </c>
      <c r="B351" s="4" t="s">
        <v>1540</v>
      </c>
      <c r="C351" s="4" t="s">
        <v>99</v>
      </c>
      <c r="D351" s="4" t="s">
        <v>1541</v>
      </c>
      <c r="E351" s="4" t="s">
        <v>80</v>
      </c>
      <c r="F351" s="4" t="s">
        <v>212</v>
      </c>
      <c r="G351" s="4" t="s">
        <v>213</v>
      </c>
      <c r="H351" s="4" t="s">
        <v>214</v>
      </c>
      <c r="I351" s="4" t="s">
        <v>215</v>
      </c>
      <c r="J351" s="5">
        <v>34425.0</v>
      </c>
      <c r="K351" s="5">
        <v>21081.0</v>
      </c>
      <c r="L351" s="4">
        <v>66.0</v>
      </c>
      <c r="M351" s="4" t="s">
        <v>1425</v>
      </c>
      <c r="N351" s="4" t="s">
        <v>1419</v>
      </c>
      <c r="O351" s="5">
        <v>42186.0</v>
      </c>
      <c r="P351" s="5">
        <v>73050.0</v>
      </c>
      <c r="Q351" s="4" t="s">
        <v>31</v>
      </c>
      <c r="R351" s="4" t="s">
        <v>32</v>
      </c>
      <c r="S351" s="6" t="s">
        <v>2856</v>
      </c>
      <c r="T351" s="4" t="s">
        <v>216</v>
      </c>
      <c r="U351" s="4">
        <v>44.0</v>
      </c>
      <c r="V351" s="4" t="s">
        <v>34</v>
      </c>
      <c r="W351" s="4">
        <v>39024.0</v>
      </c>
      <c r="X351" s="4" t="s">
        <v>58</v>
      </c>
      <c r="Y351" s="4" t="s">
        <v>59</v>
      </c>
      <c r="Z351" s="4" t="s">
        <v>1510</v>
      </c>
      <c r="AA351" s="4">
        <v>1984.0</v>
      </c>
      <c r="AB351" s="4" t="s">
        <v>58</v>
      </c>
      <c r="AC351" s="5">
        <v>31044.0</v>
      </c>
      <c r="AD351" s="4" t="s">
        <v>1411</v>
      </c>
      <c r="AE351" s="5">
        <v>40611.0</v>
      </c>
    </row>
    <row r="352">
      <c r="A352" s="4" t="s">
        <v>1412</v>
      </c>
      <c r="B352" s="4" t="s">
        <v>1423</v>
      </c>
      <c r="C352" s="4" t="s">
        <v>109</v>
      </c>
      <c r="D352" s="4" t="s">
        <v>1424</v>
      </c>
      <c r="E352" s="4" t="s">
        <v>80</v>
      </c>
      <c r="F352" s="4" t="s">
        <v>2857</v>
      </c>
      <c r="G352" s="4" t="s">
        <v>51</v>
      </c>
      <c r="H352" s="4" t="s">
        <v>2858</v>
      </c>
      <c r="I352" s="4" t="s">
        <v>2859</v>
      </c>
      <c r="J352" s="5">
        <v>19725.0</v>
      </c>
      <c r="K352" s="5">
        <v>10961.0</v>
      </c>
      <c r="L352" s="4">
        <v>94.0</v>
      </c>
      <c r="M352" s="4" t="s">
        <v>1407</v>
      </c>
      <c r="O352" s="5">
        <v>27699.0</v>
      </c>
      <c r="P352" s="5">
        <v>38664.0</v>
      </c>
      <c r="Q352" s="4" t="s">
        <v>31</v>
      </c>
      <c r="R352" s="4" t="s">
        <v>32</v>
      </c>
      <c r="S352" s="6" t="s">
        <v>2860</v>
      </c>
      <c r="T352" s="4" t="s">
        <v>2861</v>
      </c>
      <c r="U352" s="4">
        <v>6.0</v>
      </c>
      <c r="V352" s="4" t="s">
        <v>1492</v>
      </c>
      <c r="W352" s="4">
        <v>19673.0</v>
      </c>
      <c r="X352" s="4" t="s">
        <v>58</v>
      </c>
      <c r="Y352" s="4" t="s">
        <v>59</v>
      </c>
      <c r="AD352" s="4" t="s">
        <v>1411</v>
      </c>
    </row>
    <row r="353">
      <c r="A353" s="4" t="s">
        <v>1412</v>
      </c>
      <c r="B353" s="4" t="s">
        <v>1473</v>
      </c>
      <c r="C353" s="4" t="s">
        <v>25</v>
      </c>
      <c r="D353" s="4" t="s">
        <v>1474</v>
      </c>
      <c r="E353" s="4" t="s">
        <v>26</v>
      </c>
      <c r="F353" s="4" t="s">
        <v>2857</v>
      </c>
      <c r="G353" s="4" t="s">
        <v>2862</v>
      </c>
      <c r="H353" s="4" t="s">
        <v>2863</v>
      </c>
      <c r="I353" s="4" t="s">
        <v>2864</v>
      </c>
      <c r="J353" s="5">
        <v>22737.0</v>
      </c>
      <c r="K353" s="5">
        <v>13335.0</v>
      </c>
      <c r="L353" s="4">
        <v>87.0</v>
      </c>
      <c r="M353" s="4" t="s">
        <v>1407</v>
      </c>
      <c r="N353" s="4" t="s">
        <v>1419</v>
      </c>
      <c r="O353" s="5">
        <v>33909.0</v>
      </c>
      <c r="P353" s="5">
        <v>37772.0</v>
      </c>
      <c r="Q353" s="4" t="s">
        <v>31</v>
      </c>
      <c r="R353" s="4" t="s">
        <v>32</v>
      </c>
      <c r="S353" s="6" t="s">
        <v>2865</v>
      </c>
      <c r="T353" s="4" t="s">
        <v>2866</v>
      </c>
      <c r="U353" s="4">
        <v>6.0</v>
      </c>
      <c r="V353" s="4" t="s">
        <v>1492</v>
      </c>
      <c r="W353" s="4">
        <v>22404.0</v>
      </c>
      <c r="X353" s="4" t="s">
        <v>58</v>
      </c>
      <c r="Y353" s="4" t="s">
        <v>59</v>
      </c>
      <c r="Z353" s="4" t="s">
        <v>1499</v>
      </c>
      <c r="AA353" s="4">
        <v>1961.0</v>
      </c>
      <c r="AB353" s="4" t="s">
        <v>58</v>
      </c>
      <c r="AC353" s="5">
        <v>22404.0</v>
      </c>
      <c r="AD353" s="4" t="s">
        <v>1411</v>
      </c>
    </row>
    <row r="354">
      <c r="A354" s="4" t="s">
        <v>39</v>
      </c>
      <c r="B354" s="4" t="s">
        <v>1466</v>
      </c>
      <c r="C354" s="4" t="s">
        <v>1467</v>
      </c>
      <c r="D354" s="4" t="s">
        <v>1468</v>
      </c>
      <c r="E354" s="4" t="s">
        <v>80</v>
      </c>
      <c r="F354" s="4" t="s">
        <v>2867</v>
      </c>
      <c r="G354" s="4" t="s">
        <v>1034</v>
      </c>
      <c r="H354" s="4" t="s">
        <v>2868</v>
      </c>
      <c r="I354" s="4" t="s">
        <v>2869</v>
      </c>
      <c r="J354" s="5">
        <v>37257.0</v>
      </c>
      <c r="K354" s="5">
        <v>19221.0</v>
      </c>
      <c r="L354" s="4">
        <v>71.0</v>
      </c>
      <c r="M354" s="4" t="s">
        <v>1585</v>
      </c>
      <c r="N354" s="4" t="s">
        <v>1419</v>
      </c>
      <c r="O354" s="5">
        <v>43678.0</v>
      </c>
      <c r="P354" s="5">
        <v>43708.0</v>
      </c>
      <c r="Q354" s="4" t="s">
        <v>66</v>
      </c>
      <c r="R354" s="4" t="s">
        <v>32</v>
      </c>
      <c r="S354" s="6" t="s">
        <v>2870</v>
      </c>
      <c r="T354" s="4" t="s">
        <v>2871</v>
      </c>
      <c r="U354" s="4">
        <v>12.0</v>
      </c>
      <c r="V354" s="4" t="s">
        <v>375</v>
      </c>
      <c r="W354" s="4">
        <v>39581.0</v>
      </c>
      <c r="X354" s="4" t="s">
        <v>58</v>
      </c>
      <c r="Y354" s="4" t="s">
        <v>59</v>
      </c>
      <c r="Z354" s="4" t="s">
        <v>2872</v>
      </c>
      <c r="AA354" s="4">
        <v>2001.0</v>
      </c>
      <c r="AB354" s="4" t="s">
        <v>58</v>
      </c>
      <c r="AC354" s="5">
        <v>37208.0</v>
      </c>
      <c r="AD354" s="4" t="s">
        <v>1411</v>
      </c>
      <c r="AE354" s="5">
        <v>39674.0</v>
      </c>
    </row>
    <row r="355">
      <c r="A355" s="4" t="s">
        <v>1434</v>
      </c>
      <c r="B355" s="4" t="s">
        <v>1423</v>
      </c>
      <c r="C355" s="4" t="s">
        <v>109</v>
      </c>
      <c r="D355" s="4" t="s">
        <v>1424</v>
      </c>
      <c r="E355" s="4" t="s">
        <v>26</v>
      </c>
      <c r="F355" s="4" t="s">
        <v>2873</v>
      </c>
      <c r="G355" s="4" t="s">
        <v>711</v>
      </c>
      <c r="H355" s="4" t="s">
        <v>2874</v>
      </c>
      <c r="I355" s="4" t="s">
        <v>2875</v>
      </c>
      <c r="J355" s="5">
        <v>30164.0</v>
      </c>
      <c r="K355" s="5">
        <v>18920.0</v>
      </c>
      <c r="L355" s="4">
        <v>72.0</v>
      </c>
      <c r="M355" s="4" t="s">
        <v>1407</v>
      </c>
      <c r="O355" s="5">
        <v>38718.0</v>
      </c>
      <c r="P355" s="5">
        <v>39082.0</v>
      </c>
      <c r="Q355" s="4" t="s">
        <v>66</v>
      </c>
      <c r="R355" s="4" t="s">
        <v>32</v>
      </c>
      <c r="S355" s="6" t="s">
        <v>2876</v>
      </c>
      <c r="T355" s="4" t="s">
        <v>2877</v>
      </c>
      <c r="U355" s="4">
        <v>12.0</v>
      </c>
      <c r="V355" s="4" t="s">
        <v>34</v>
      </c>
      <c r="W355" s="4">
        <v>1.0</v>
      </c>
      <c r="X355" s="4" t="s">
        <v>1464</v>
      </c>
      <c r="Y355" s="4" t="s">
        <v>59</v>
      </c>
      <c r="Z355" s="4" t="s">
        <v>2878</v>
      </c>
      <c r="AA355" s="4">
        <v>1981.0</v>
      </c>
      <c r="AB355" s="4" t="s">
        <v>58</v>
      </c>
      <c r="AC355" s="5">
        <v>29910.0</v>
      </c>
      <c r="AD355" s="4" t="s">
        <v>1411</v>
      </c>
    </row>
    <row r="356">
      <c r="A356" s="4" t="s">
        <v>1434</v>
      </c>
      <c r="B356" s="4" t="s">
        <v>1423</v>
      </c>
      <c r="C356" s="4" t="s">
        <v>109</v>
      </c>
      <c r="D356" s="4" t="s">
        <v>1424</v>
      </c>
      <c r="E356" s="4" t="s">
        <v>26</v>
      </c>
      <c r="F356" s="4" t="s">
        <v>2873</v>
      </c>
      <c r="G356" s="4" t="s">
        <v>711</v>
      </c>
      <c r="H356" s="4" t="s">
        <v>2874</v>
      </c>
      <c r="I356" s="4" t="s">
        <v>2875</v>
      </c>
      <c r="J356" s="5">
        <v>30164.0</v>
      </c>
      <c r="K356" s="5">
        <v>18920.0</v>
      </c>
      <c r="L356" s="4">
        <v>72.0</v>
      </c>
      <c r="M356" s="4" t="s">
        <v>1407</v>
      </c>
      <c r="O356" s="5">
        <v>38808.0</v>
      </c>
      <c r="P356" s="5">
        <v>39082.0</v>
      </c>
      <c r="Q356" s="4" t="s">
        <v>66</v>
      </c>
      <c r="R356" s="4" t="s">
        <v>32</v>
      </c>
      <c r="S356" s="6" t="s">
        <v>2876</v>
      </c>
      <c r="T356" s="4" t="s">
        <v>2877</v>
      </c>
      <c r="U356" s="4">
        <v>12.0</v>
      </c>
      <c r="V356" s="4" t="s">
        <v>34</v>
      </c>
      <c r="W356" s="4">
        <v>1.0</v>
      </c>
      <c r="X356" s="4" t="s">
        <v>1464</v>
      </c>
      <c r="Y356" s="4" t="s">
        <v>59</v>
      </c>
      <c r="Z356" s="4" t="s">
        <v>2878</v>
      </c>
      <c r="AA356" s="4">
        <v>1981.0</v>
      </c>
      <c r="AB356" s="4" t="s">
        <v>58</v>
      </c>
      <c r="AC356" s="5">
        <v>29910.0</v>
      </c>
      <c r="AD356" s="4" t="s">
        <v>1411</v>
      </c>
    </row>
    <row r="357">
      <c r="A357" s="4" t="s">
        <v>1412</v>
      </c>
      <c r="B357" s="4" t="s">
        <v>1423</v>
      </c>
      <c r="C357" s="4" t="s">
        <v>109</v>
      </c>
      <c r="D357" s="4" t="s">
        <v>1424</v>
      </c>
      <c r="E357" s="4" t="s">
        <v>80</v>
      </c>
      <c r="F357" s="4" t="s">
        <v>2873</v>
      </c>
      <c r="G357" s="4" t="s">
        <v>28</v>
      </c>
      <c r="H357" s="4" t="s">
        <v>2304</v>
      </c>
      <c r="I357" s="4" t="s">
        <v>2879</v>
      </c>
      <c r="J357" s="5">
        <v>27851.0</v>
      </c>
      <c r="K357" s="5">
        <v>14152.0</v>
      </c>
      <c r="L357" s="4">
        <v>85.0</v>
      </c>
      <c r="M357" s="4" t="s">
        <v>1425</v>
      </c>
      <c r="O357" s="5">
        <v>33878.0</v>
      </c>
      <c r="P357" s="5">
        <v>35124.0</v>
      </c>
      <c r="Q357" s="4" t="s">
        <v>31</v>
      </c>
      <c r="R357" s="4" t="s">
        <v>32</v>
      </c>
      <c r="S357" s="6" t="s">
        <v>2880</v>
      </c>
      <c r="T357" s="4" t="s">
        <v>2881</v>
      </c>
      <c r="U357" s="4">
        <v>6.0</v>
      </c>
      <c r="AD357" s="4" t="s">
        <v>1411</v>
      </c>
    </row>
    <row r="358">
      <c r="A358" s="4" t="s">
        <v>1684</v>
      </c>
      <c r="B358" s="4" t="s">
        <v>1423</v>
      </c>
      <c r="C358" s="4" t="s">
        <v>109</v>
      </c>
      <c r="D358" s="4" t="s">
        <v>1424</v>
      </c>
      <c r="E358" s="4" t="s">
        <v>80</v>
      </c>
      <c r="F358" s="4" t="s">
        <v>2030</v>
      </c>
      <c r="G358" s="4" t="s">
        <v>2882</v>
      </c>
      <c r="H358" s="4" t="s">
        <v>1698</v>
      </c>
      <c r="I358" s="4" t="s">
        <v>2883</v>
      </c>
      <c r="J358" s="5">
        <v>38869.0</v>
      </c>
      <c r="K358" s="5">
        <v>17165.0</v>
      </c>
      <c r="L358" s="4">
        <v>77.0</v>
      </c>
      <c r="M358" s="4" t="s">
        <v>1453</v>
      </c>
      <c r="O358" s="5">
        <v>40725.0</v>
      </c>
      <c r="P358" s="5">
        <v>40751.0</v>
      </c>
      <c r="Q358" s="4" t="s">
        <v>66</v>
      </c>
      <c r="R358" s="4" t="s">
        <v>32</v>
      </c>
      <c r="S358" s="6" t="s">
        <v>2884</v>
      </c>
      <c r="T358" s="4" t="s">
        <v>2885</v>
      </c>
      <c r="U358" s="4">
        <v>22.0</v>
      </c>
      <c r="V358" s="4" t="s">
        <v>34</v>
      </c>
      <c r="W358" s="4">
        <v>38720.0</v>
      </c>
      <c r="X358" s="4" t="s">
        <v>58</v>
      </c>
      <c r="Y358" s="4" t="s">
        <v>59</v>
      </c>
      <c r="Z358" s="4" t="s">
        <v>2156</v>
      </c>
      <c r="AA358" s="4">
        <v>1972.0</v>
      </c>
      <c r="AB358" s="4" t="s">
        <v>58</v>
      </c>
      <c r="AC358" s="5">
        <v>26366.0</v>
      </c>
      <c r="AD358" s="4" t="s">
        <v>1411</v>
      </c>
      <c r="AE358" s="5">
        <v>38862.0</v>
      </c>
    </row>
    <row r="359">
      <c r="A359" s="4" t="s">
        <v>78</v>
      </c>
      <c r="B359" s="4" t="s">
        <v>1423</v>
      </c>
      <c r="C359" s="4" t="s">
        <v>109</v>
      </c>
      <c r="D359" s="4" t="s">
        <v>1424</v>
      </c>
      <c r="E359" s="4" t="s">
        <v>26</v>
      </c>
      <c r="F359" s="4" t="s">
        <v>2886</v>
      </c>
      <c r="G359" s="4" t="s">
        <v>2887</v>
      </c>
      <c r="H359" s="4" t="s">
        <v>1359</v>
      </c>
      <c r="I359" s="4" t="s">
        <v>2888</v>
      </c>
      <c r="J359" s="5">
        <v>41030.0</v>
      </c>
      <c r="K359" s="5">
        <v>26750.0</v>
      </c>
      <c r="L359" s="4">
        <v>50.0</v>
      </c>
      <c r="M359" s="4" t="s">
        <v>1407</v>
      </c>
      <c r="O359" s="5">
        <v>44197.0</v>
      </c>
      <c r="P359" s="5">
        <v>44198.0</v>
      </c>
      <c r="Q359" s="4" t="s">
        <v>66</v>
      </c>
      <c r="R359" s="4" t="s">
        <v>32</v>
      </c>
      <c r="S359" s="6" t="s">
        <v>2889</v>
      </c>
      <c r="T359" s="4" t="s">
        <v>2890</v>
      </c>
      <c r="U359" s="4">
        <v>6.0</v>
      </c>
      <c r="V359" s="4" t="s">
        <v>55</v>
      </c>
      <c r="W359" s="4">
        <v>36795.0</v>
      </c>
      <c r="X359" s="4" t="s">
        <v>58</v>
      </c>
      <c r="Y359" s="4" t="s">
        <v>59</v>
      </c>
      <c r="Z359" s="4" t="s">
        <v>1590</v>
      </c>
      <c r="AA359" s="4">
        <v>2007.0</v>
      </c>
      <c r="AB359" s="4" t="s">
        <v>58</v>
      </c>
      <c r="AC359" s="5">
        <v>39392.0</v>
      </c>
      <c r="AD359" s="4" t="s">
        <v>1411</v>
      </c>
      <c r="AE359" s="5">
        <v>42222.0</v>
      </c>
    </row>
    <row r="360">
      <c r="A360" s="4" t="s">
        <v>1434</v>
      </c>
      <c r="B360" s="4" t="s">
        <v>1413</v>
      </c>
      <c r="C360" s="4" t="s">
        <v>1414</v>
      </c>
      <c r="D360" s="4" t="s">
        <v>1415</v>
      </c>
      <c r="E360" s="4" t="s">
        <v>80</v>
      </c>
      <c r="F360" s="4" t="s">
        <v>2891</v>
      </c>
      <c r="G360" s="4" t="s">
        <v>879</v>
      </c>
      <c r="H360" s="4" t="s">
        <v>2892</v>
      </c>
      <c r="I360" s="4" t="s">
        <v>2893</v>
      </c>
      <c r="J360" s="5">
        <v>39934.0</v>
      </c>
      <c r="K360" s="5">
        <v>30086.0</v>
      </c>
      <c r="L360" s="4">
        <v>41.0</v>
      </c>
      <c r="M360" s="4" t="s">
        <v>1425</v>
      </c>
      <c r="O360" s="5">
        <v>40909.0</v>
      </c>
      <c r="P360" s="5">
        <v>40999.0</v>
      </c>
      <c r="Q360" s="4" t="s">
        <v>66</v>
      </c>
      <c r="R360" s="4" t="s">
        <v>32</v>
      </c>
      <c r="S360" s="6" t="s">
        <v>2894</v>
      </c>
      <c r="T360" s="4" t="s">
        <v>2895</v>
      </c>
      <c r="U360" s="4">
        <v>6.0</v>
      </c>
      <c r="Z360" s="4" t="s">
        <v>1433</v>
      </c>
      <c r="AA360" s="4">
        <v>2009.0</v>
      </c>
      <c r="AB360" s="4" t="s">
        <v>58</v>
      </c>
      <c r="AC360" s="5">
        <v>39924.0</v>
      </c>
      <c r="AD360" s="4" t="s">
        <v>1411</v>
      </c>
      <c r="AE360" s="5">
        <v>39891.0</v>
      </c>
    </row>
    <row r="361">
      <c r="A361" s="4" t="s">
        <v>24</v>
      </c>
      <c r="B361" s="4" t="s">
        <v>1423</v>
      </c>
      <c r="C361" s="4" t="s">
        <v>109</v>
      </c>
      <c r="D361" s="4" t="s">
        <v>1424</v>
      </c>
      <c r="E361" s="4" t="s">
        <v>26</v>
      </c>
      <c r="F361" s="4" t="s">
        <v>528</v>
      </c>
      <c r="G361" s="4" t="s">
        <v>51</v>
      </c>
      <c r="H361" s="4" t="s">
        <v>1220</v>
      </c>
      <c r="I361" s="4" t="s">
        <v>1221</v>
      </c>
      <c r="J361" s="5">
        <v>44774.0</v>
      </c>
      <c r="K361" s="5">
        <v>30864.0</v>
      </c>
      <c r="L361" s="4">
        <v>39.0</v>
      </c>
      <c r="M361" s="4" t="s">
        <v>1425</v>
      </c>
      <c r="N361" s="4" t="s">
        <v>1419</v>
      </c>
      <c r="O361" s="5">
        <v>44927.0</v>
      </c>
      <c r="P361" s="5">
        <v>45291.0</v>
      </c>
      <c r="Q361" s="4" t="s">
        <v>66</v>
      </c>
      <c r="R361" s="4" t="s">
        <v>32</v>
      </c>
      <c r="S361" s="6" t="s">
        <v>2896</v>
      </c>
      <c r="T361" s="4" t="s">
        <v>1222</v>
      </c>
      <c r="U361" s="4">
        <v>44.0</v>
      </c>
      <c r="V361" s="4" t="s">
        <v>34</v>
      </c>
      <c r="W361" s="4">
        <v>44728.0</v>
      </c>
      <c r="X361" s="4" t="s">
        <v>1225</v>
      </c>
      <c r="Y361" s="4" t="s">
        <v>227</v>
      </c>
      <c r="Z361" s="4" t="s">
        <v>1422</v>
      </c>
      <c r="AA361" s="4">
        <v>2008.0</v>
      </c>
      <c r="AB361" s="4" t="s">
        <v>58</v>
      </c>
      <c r="AC361" s="5">
        <v>39556.0</v>
      </c>
      <c r="AD361" s="4" t="s">
        <v>1411</v>
      </c>
      <c r="AE361" s="5">
        <v>44700.0</v>
      </c>
    </row>
    <row r="362">
      <c r="A362" s="4" t="s">
        <v>78</v>
      </c>
      <c r="B362" s="4" t="s">
        <v>1423</v>
      </c>
      <c r="C362" s="4" t="s">
        <v>109</v>
      </c>
      <c r="D362" s="4" t="s">
        <v>1424</v>
      </c>
      <c r="E362" s="4" t="s">
        <v>80</v>
      </c>
      <c r="F362" s="4" t="s">
        <v>2897</v>
      </c>
      <c r="G362" s="4" t="s">
        <v>2898</v>
      </c>
      <c r="H362" s="4" t="s">
        <v>2899</v>
      </c>
      <c r="I362" s="4" t="s">
        <v>2900</v>
      </c>
      <c r="J362" s="5">
        <v>42644.0</v>
      </c>
      <c r="K362" s="5">
        <v>31552.0</v>
      </c>
      <c r="L362" s="4">
        <v>37.0</v>
      </c>
      <c r="M362" s="4" t="s">
        <v>1524</v>
      </c>
      <c r="O362" s="5">
        <v>44562.0</v>
      </c>
      <c r="P362" s="5">
        <v>44804.0</v>
      </c>
      <c r="Q362" s="4" t="s">
        <v>66</v>
      </c>
      <c r="R362" s="4" t="s">
        <v>32</v>
      </c>
      <c r="S362" s="6" t="s">
        <v>2901</v>
      </c>
      <c r="T362" s="4" t="s">
        <v>2902</v>
      </c>
      <c r="U362" s="4">
        <v>44.0</v>
      </c>
      <c r="V362" s="4" t="s">
        <v>34</v>
      </c>
      <c r="W362" s="4">
        <v>42622.0</v>
      </c>
      <c r="X362" s="4" t="s">
        <v>2903</v>
      </c>
      <c r="Y362" s="4" t="s">
        <v>89</v>
      </c>
      <c r="AD362" s="4">
        <v>0.0</v>
      </c>
      <c r="AE362" s="5">
        <v>42887.0</v>
      </c>
    </row>
    <row r="363">
      <c r="A363" s="4" t="s">
        <v>1684</v>
      </c>
      <c r="B363" s="4" t="s">
        <v>1842</v>
      </c>
      <c r="C363" s="4" t="s">
        <v>99</v>
      </c>
      <c r="D363" s="4" t="s">
        <v>1541</v>
      </c>
      <c r="E363" s="4" t="s">
        <v>26</v>
      </c>
      <c r="F363" s="4" t="s">
        <v>528</v>
      </c>
      <c r="G363" s="4" t="s">
        <v>2157</v>
      </c>
      <c r="H363" s="4" t="s">
        <v>2904</v>
      </c>
      <c r="I363" s="4" t="s">
        <v>2905</v>
      </c>
      <c r="J363" s="5">
        <v>23012.0</v>
      </c>
      <c r="K363" s="5">
        <v>13796.0</v>
      </c>
      <c r="L363" s="4">
        <v>86.0</v>
      </c>
      <c r="M363" s="4" t="s">
        <v>1407</v>
      </c>
      <c r="O363" s="5">
        <v>39083.0</v>
      </c>
      <c r="P363" s="5">
        <v>39141.0</v>
      </c>
      <c r="Q363" s="4" t="s">
        <v>66</v>
      </c>
      <c r="R363" s="4" t="s">
        <v>32</v>
      </c>
      <c r="S363" s="6" t="s">
        <v>2906</v>
      </c>
      <c r="T363" s="4" t="s">
        <v>2906</v>
      </c>
      <c r="U363" s="4">
        <v>22.0</v>
      </c>
      <c r="V363" s="4" t="s">
        <v>106</v>
      </c>
      <c r="W363" s="4">
        <v>29586.0</v>
      </c>
      <c r="X363" s="4" t="s">
        <v>438</v>
      </c>
      <c r="Y363" s="4" t="s">
        <v>59</v>
      </c>
      <c r="Z363" s="4" t="s">
        <v>1727</v>
      </c>
      <c r="AA363" s="4">
        <v>1963.0</v>
      </c>
      <c r="AB363" s="4" t="s">
        <v>58</v>
      </c>
      <c r="AC363" s="5">
        <v>23012.0</v>
      </c>
      <c r="AD363" s="4" t="s">
        <v>1411</v>
      </c>
    </row>
    <row r="364">
      <c r="A364" s="4" t="s">
        <v>39</v>
      </c>
      <c r="B364" s="4" t="s">
        <v>1430</v>
      </c>
      <c r="C364" s="4" t="s">
        <v>61</v>
      </c>
      <c r="D364" s="4" t="s">
        <v>1431</v>
      </c>
      <c r="E364" s="4" t="s">
        <v>26</v>
      </c>
      <c r="F364" s="4" t="s">
        <v>528</v>
      </c>
      <c r="G364" s="4" t="s">
        <v>528</v>
      </c>
      <c r="H364" s="4" t="s">
        <v>687</v>
      </c>
      <c r="I364" s="4" t="s">
        <v>688</v>
      </c>
      <c r="J364" s="5">
        <v>39417.0</v>
      </c>
      <c r="K364" s="5">
        <v>26088.0</v>
      </c>
      <c r="L364" s="4">
        <v>52.0</v>
      </c>
      <c r="M364" s="4" t="s">
        <v>1425</v>
      </c>
      <c r="N364" s="4" t="s">
        <v>1419</v>
      </c>
      <c r="O364" s="5">
        <v>44927.0</v>
      </c>
      <c r="P364" s="5">
        <v>45291.0</v>
      </c>
      <c r="Q364" s="4" t="s">
        <v>66</v>
      </c>
      <c r="R364" s="4" t="s">
        <v>32</v>
      </c>
      <c r="S364" s="6" t="s">
        <v>2907</v>
      </c>
      <c r="T364" s="4" t="s">
        <v>689</v>
      </c>
      <c r="U364" s="4">
        <v>21.0</v>
      </c>
      <c r="V364" s="4" t="s">
        <v>375</v>
      </c>
      <c r="W364" s="4">
        <v>39083.0</v>
      </c>
      <c r="X364" s="4" t="s">
        <v>58</v>
      </c>
      <c r="Y364" s="4" t="s">
        <v>59</v>
      </c>
      <c r="Z364" s="4" t="s">
        <v>2459</v>
      </c>
      <c r="AA364" s="4">
        <v>1997.0</v>
      </c>
      <c r="AB364" s="4" t="s">
        <v>661</v>
      </c>
      <c r="AC364" s="5">
        <v>35734.0</v>
      </c>
      <c r="AD364" s="4" t="s">
        <v>1411</v>
      </c>
      <c r="AE364" s="5">
        <v>44048.0</v>
      </c>
    </row>
    <row r="365">
      <c r="A365" s="4" t="s">
        <v>337</v>
      </c>
      <c r="B365" s="4" t="s">
        <v>1540</v>
      </c>
      <c r="C365" s="4" t="s">
        <v>99</v>
      </c>
      <c r="D365" s="4" t="s">
        <v>1541</v>
      </c>
      <c r="E365" s="4" t="s">
        <v>80</v>
      </c>
      <c r="F365" s="4" t="s">
        <v>528</v>
      </c>
      <c r="G365" s="4" t="s">
        <v>1087</v>
      </c>
      <c r="H365" s="4" t="s">
        <v>1088</v>
      </c>
      <c r="I365" s="4" t="s">
        <v>1089</v>
      </c>
      <c r="J365" s="5">
        <v>43405.0</v>
      </c>
      <c r="K365" s="5">
        <v>29382.0</v>
      </c>
      <c r="L365" s="4">
        <v>43.0</v>
      </c>
      <c r="M365" s="4" t="s">
        <v>1407</v>
      </c>
      <c r="O365" s="5">
        <v>44866.0</v>
      </c>
      <c r="P365" s="5">
        <v>73050.0</v>
      </c>
      <c r="Q365" s="4" t="s">
        <v>31</v>
      </c>
      <c r="R365" s="4" t="s">
        <v>32</v>
      </c>
      <c r="S365" s="6" t="s">
        <v>2908</v>
      </c>
      <c r="T365" s="4" t="s">
        <v>1090</v>
      </c>
      <c r="U365" s="4">
        <v>44.0</v>
      </c>
      <c r="V365" s="4" t="s">
        <v>34</v>
      </c>
      <c r="W365" s="4">
        <v>41760.0</v>
      </c>
      <c r="X365" s="4" t="s">
        <v>1092</v>
      </c>
      <c r="Y365" s="4" t="s">
        <v>791</v>
      </c>
      <c r="Z365" s="4" t="s">
        <v>2156</v>
      </c>
      <c r="AA365" s="4">
        <v>2002.0</v>
      </c>
      <c r="AB365" s="4" t="s">
        <v>438</v>
      </c>
      <c r="AC365" s="5">
        <v>37532.0</v>
      </c>
      <c r="AD365" s="4" t="s">
        <v>1411</v>
      </c>
      <c r="AE365" s="5">
        <v>44657.0</v>
      </c>
    </row>
    <row r="366">
      <c r="A366" s="4" t="s">
        <v>1412</v>
      </c>
      <c r="B366" s="4" t="s">
        <v>2909</v>
      </c>
      <c r="C366" s="4" t="s">
        <v>2910</v>
      </c>
      <c r="D366" s="4" t="s">
        <v>2911</v>
      </c>
      <c r="E366" s="4" t="s">
        <v>26</v>
      </c>
      <c r="F366" s="4" t="s">
        <v>528</v>
      </c>
      <c r="G366" s="4" t="s">
        <v>295</v>
      </c>
      <c r="H366" s="4" t="s">
        <v>2912</v>
      </c>
      <c r="I366" s="4" t="s">
        <v>2913</v>
      </c>
      <c r="J366" s="5">
        <v>37653.0</v>
      </c>
      <c r="K366" s="5">
        <v>20003.0</v>
      </c>
      <c r="L366" s="4">
        <v>69.0</v>
      </c>
      <c r="M366" s="4" t="s">
        <v>1425</v>
      </c>
      <c r="N366" s="4" t="s">
        <v>1419</v>
      </c>
      <c r="O366" s="5">
        <v>34304.0</v>
      </c>
      <c r="P366" s="5">
        <v>35489.0</v>
      </c>
      <c r="Q366" s="4" t="s">
        <v>1694</v>
      </c>
      <c r="R366" s="4" t="s">
        <v>32</v>
      </c>
      <c r="S366" s="6" t="s">
        <v>2914</v>
      </c>
      <c r="T366" s="4" t="s">
        <v>2915</v>
      </c>
      <c r="U366" s="4">
        <v>6.0</v>
      </c>
      <c r="V366" s="4" t="s">
        <v>46</v>
      </c>
      <c r="W366" s="4">
        <v>28986.0</v>
      </c>
      <c r="X366" s="4" t="s">
        <v>58</v>
      </c>
      <c r="Y366" s="4" t="s">
        <v>59</v>
      </c>
      <c r="Z366" s="4" t="s">
        <v>2916</v>
      </c>
      <c r="AA366" s="4">
        <v>1979.0</v>
      </c>
      <c r="AB366" s="4" t="s">
        <v>58</v>
      </c>
      <c r="AC366" s="5">
        <v>28986.0</v>
      </c>
      <c r="AD366" s="4" t="s">
        <v>1411</v>
      </c>
    </row>
    <row r="367">
      <c r="A367" s="4" t="s">
        <v>1412</v>
      </c>
      <c r="B367" s="4" t="s">
        <v>1413</v>
      </c>
      <c r="C367" s="4" t="s">
        <v>1414</v>
      </c>
      <c r="D367" s="4" t="s">
        <v>1415</v>
      </c>
      <c r="E367" s="4" t="s">
        <v>26</v>
      </c>
      <c r="F367" s="4" t="s">
        <v>528</v>
      </c>
      <c r="G367" s="4" t="s">
        <v>295</v>
      </c>
      <c r="H367" s="4" t="s">
        <v>2912</v>
      </c>
      <c r="I367" s="4" t="s">
        <v>2913</v>
      </c>
      <c r="J367" s="5">
        <v>37653.0</v>
      </c>
      <c r="K367" s="5">
        <v>20003.0</v>
      </c>
      <c r="L367" s="4">
        <v>69.0</v>
      </c>
      <c r="M367" s="4" t="s">
        <v>1425</v>
      </c>
      <c r="N367" s="4" t="s">
        <v>1419</v>
      </c>
      <c r="O367" s="5">
        <v>35431.0</v>
      </c>
      <c r="P367" s="5">
        <v>35489.0</v>
      </c>
      <c r="Q367" s="4" t="s">
        <v>66</v>
      </c>
      <c r="R367" s="4" t="s">
        <v>32</v>
      </c>
      <c r="S367" s="6" t="s">
        <v>2914</v>
      </c>
      <c r="T367" s="4" t="s">
        <v>2915</v>
      </c>
      <c r="U367" s="4">
        <v>6.0</v>
      </c>
      <c r="V367" s="4" t="s">
        <v>46</v>
      </c>
      <c r="W367" s="4">
        <v>28986.0</v>
      </c>
      <c r="X367" s="4" t="s">
        <v>58</v>
      </c>
      <c r="Y367" s="4" t="s">
        <v>59</v>
      </c>
      <c r="Z367" s="4" t="s">
        <v>2916</v>
      </c>
      <c r="AA367" s="4">
        <v>1979.0</v>
      </c>
      <c r="AB367" s="4" t="s">
        <v>58</v>
      </c>
      <c r="AC367" s="5">
        <v>28986.0</v>
      </c>
      <c r="AD367" s="4" t="s">
        <v>1411</v>
      </c>
    </row>
    <row r="368">
      <c r="A368" s="4" t="s">
        <v>60</v>
      </c>
      <c r="B368" s="4" t="s">
        <v>1423</v>
      </c>
      <c r="C368" s="4" t="s">
        <v>109</v>
      </c>
      <c r="D368" s="4" t="s">
        <v>1424</v>
      </c>
      <c r="E368" s="4" t="s">
        <v>80</v>
      </c>
      <c r="F368" s="4" t="s">
        <v>528</v>
      </c>
      <c r="G368" s="4" t="s">
        <v>529</v>
      </c>
      <c r="H368" s="4" t="s">
        <v>530</v>
      </c>
      <c r="I368" s="4" t="s">
        <v>531</v>
      </c>
      <c r="J368" s="5">
        <v>38838.0</v>
      </c>
      <c r="K368" s="5">
        <v>27109.0</v>
      </c>
      <c r="L368" s="4">
        <v>49.0</v>
      </c>
      <c r="M368" s="4" t="s">
        <v>1407</v>
      </c>
      <c r="N368" s="4" t="s">
        <v>1419</v>
      </c>
      <c r="O368" s="5">
        <v>42186.0</v>
      </c>
      <c r="P368" s="5">
        <v>73050.0</v>
      </c>
      <c r="Q368" s="4" t="s">
        <v>31</v>
      </c>
      <c r="R368" s="4" t="s">
        <v>32</v>
      </c>
      <c r="S368" s="6" t="s">
        <v>2917</v>
      </c>
      <c r="T368" s="4" t="s">
        <v>532</v>
      </c>
      <c r="U368" s="4">
        <v>22.0</v>
      </c>
      <c r="V368" s="4" t="s">
        <v>34</v>
      </c>
      <c r="W368" s="4">
        <v>37716.0</v>
      </c>
      <c r="X368" s="4" t="s">
        <v>534</v>
      </c>
      <c r="Y368" s="4" t="s">
        <v>481</v>
      </c>
      <c r="Z368" s="4" t="s">
        <v>1427</v>
      </c>
      <c r="AA368" s="4">
        <v>2000.0</v>
      </c>
      <c r="AB368" s="4" t="s">
        <v>58</v>
      </c>
      <c r="AC368" s="5">
        <v>36879.0</v>
      </c>
      <c r="AD368" s="4" t="s">
        <v>1411</v>
      </c>
      <c r="AE368" s="5">
        <v>38799.0</v>
      </c>
    </row>
    <row r="369">
      <c r="A369" s="4" t="s">
        <v>24</v>
      </c>
      <c r="B369" s="4" t="s">
        <v>1430</v>
      </c>
      <c r="C369" s="4" t="s">
        <v>61</v>
      </c>
      <c r="D369" s="4" t="s">
        <v>1431</v>
      </c>
      <c r="E369" s="4" t="s">
        <v>80</v>
      </c>
      <c r="F369" s="4" t="s">
        <v>573</v>
      </c>
      <c r="G369" s="4" t="s">
        <v>1114</v>
      </c>
      <c r="H369" s="4" t="s">
        <v>574</v>
      </c>
      <c r="I369" s="4" t="s">
        <v>2918</v>
      </c>
      <c r="J369" s="5">
        <v>38899.0</v>
      </c>
      <c r="K369" s="5">
        <v>22815.0</v>
      </c>
      <c r="L369" s="4">
        <v>61.0</v>
      </c>
      <c r="M369" s="4" t="s">
        <v>1524</v>
      </c>
      <c r="N369" s="4" t="s">
        <v>1419</v>
      </c>
      <c r="O369" s="5">
        <v>44927.0</v>
      </c>
      <c r="P369" s="5">
        <v>45291.0</v>
      </c>
      <c r="Q369" s="4" t="s">
        <v>66</v>
      </c>
      <c r="R369" s="4" t="s">
        <v>32</v>
      </c>
      <c r="S369" s="6" t="s">
        <v>2919</v>
      </c>
      <c r="T369" s="4" t="s">
        <v>576</v>
      </c>
      <c r="U369" s="4">
        <v>12.0</v>
      </c>
      <c r="V369" s="4" t="s">
        <v>34</v>
      </c>
      <c r="W369" s="4">
        <v>41920.0</v>
      </c>
      <c r="X369" s="4" t="s">
        <v>383</v>
      </c>
      <c r="Y369" s="4" t="s">
        <v>59</v>
      </c>
      <c r="Z369" s="4" t="s">
        <v>1422</v>
      </c>
      <c r="AA369" s="4">
        <v>2006.0</v>
      </c>
      <c r="AB369" s="4" t="s">
        <v>323</v>
      </c>
      <c r="AC369" s="5">
        <v>39038.0</v>
      </c>
      <c r="AD369" s="4" t="s">
        <v>1411</v>
      </c>
      <c r="AE369" s="5">
        <v>44041.0</v>
      </c>
    </row>
    <row r="370">
      <c r="A370" s="4" t="s">
        <v>60</v>
      </c>
      <c r="B370" s="4" t="s">
        <v>1540</v>
      </c>
      <c r="C370" s="4" t="s">
        <v>99</v>
      </c>
      <c r="D370" s="4" t="s">
        <v>1541</v>
      </c>
      <c r="E370" s="4" t="s">
        <v>80</v>
      </c>
      <c r="F370" s="4" t="s">
        <v>174</v>
      </c>
      <c r="G370" s="4" t="s">
        <v>175</v>
      </c>
      <c r="H370" s="4" t="s">
        <v>176</v>
      </c>
      <c r="I370" s="4" t="s">
        <v>177</v>
      </c>
      <c r="J370" s="5">
        <v>33970.0</v>
      </c>
      <c r="K370" s="5">
        <v>21374.0</v>
      </c>
      <c r="L370" s="4">
        <v>65.0</v>
      </c>
      <c r="M370" s="4" t="s">
        <v>1425</v>
      </c>
      <c r="N370" s="4" t="s">
        <v>1419</v>
      </c>
      <c r="O370" s="5">
        <v>42186.0</v>
      </c>
      <c r="P370" s="5">
        <v>73050.0</v>
      </c>
      <c r="Q370" s="4" t="s">
        <v>31</v>
      </c>
      <c r="R370" s="4" t="s">
        <v>32</v>
      </c>
      <c r="S370" s="6" t="s">
        <v>178</v>
      </c>
      <c r="T370" s="4" t="s">
        <v>178</v>
      </c>
      <c r="U370" s="4">
        <v>6.0</v>
      </c>
      <c r="V370" s="4" t="s">
        <v>179</v>
      </c>
      <c r="W370" s="4">
        <v>33949.0</v>
      </c>
      <c r="X370" s="4" t="s">
        <v>58</v>
      </c>
      <c r="Y370" s="4" t="s">
        <v>59</v>
      </c>
      <c r="Z370" s="4" t="s">
        <v>2920</v>
      </c>
      <c r="AA370" s="4">
        <v>1992.0</v>
      </c>
      <c r="AB370" s="4" t="s">
        <v>58</v>
      </c>
      <c r="AC370" s="5">
        <v>33949.0</v>
      </c>
      <c r="AD370" s="4" t="s">
        <v>1411</v>
      </c>
      <c r="AE370" s="5">
        <v>37258.0</v>
      </c>
    </row>
    <row r="371">
      <c r="A371" s="4" t="s">
        <v>1412</v>
      </c>
      <c r="B371" s="4" t="s">
        <v>1540</v>
      </c>
      <c r="C371" s="4" t="s">
        <v>99</v>
      </c>
      <c r="D371" s="4" t="s">
        <v>1541</v>
      </c>
      <c r="E371" s="4" t="s">
        <v>80</v>
      </c>
      <c r="F371" s="4" t="s">
        <v>371</v>
      </c>
      <c r="G371" s="4" t="s">
        <v>2921</v>
      </c>
      <c r="H371" s="4" t="s">
        <v>2922</v>
      </c>
      <c r="I371" s="4" t="s">
        <v>2923</v>
      </c>
      <c r="J371" s="5">
        <v>38047.0</v>
      </c>
      <c r="K371" s="5">
        <v>14670.0</v>
      </c>
      <c r="L371" s="4">
        <v>83.0</v>
      </c>
      <c r="M371" s="4" t="s">
        <v>1585</v>
      </c>
      <c r="O371" s="5">
        <v>38565.0</v>
      </c>
      <c r="P371" s="5">
        <v>38717.0</v>
      </c>
      <c r="Q371" s="4" t="s">
        <v>66</v>
      </c>
      <c r="R371" s="4" t="s">
        <v>32</v>
      </c>
      <c r="S371" s="6" t="s">
        <v>2924</v>
      </c>
      <c r="T371" s="4" t="s">
        <v>2925</v>
      </c>
      <c r="U371" s="4">
        <v>6.0</v>
      </c>
      <c r="Z371" s="4" t="s">
        <v>1427</v>
      </c>
      <c r="AA371" s="4">
        <v>1963.0</v>
      </c>
      <c r="AB371" s="4" t="s">
        <v>58</v>
      </c>
      <c r="AC371" s="5">
        <v>23368.0</v>
      </c>
      <c r="AD371" s="4" t="s">
        <v>1411</v>
      </c>
    </row>
    <row r="372">
      <c r="A372" s="4" t="s">
        <v>1412</v>
      </c>
      <c r="B372" s="4" t="s">
        <v>1473</v>
      </c>
      <c r="C372" s="4" t="s">
        <v>25</v>
      </c>
      <c r="D372" s="4" t="s">
        <v>1474</v>
      </c>
      <c r="E372" s="4" t="s">
        <v>80</v>
      </c>
      <c r="F372" s="4" t="s">
        <v>371</v>
      </c>
      <c r="G372" s="4" t="s">
        <v>2926</v>
      </c>
      <c r="H372" s="4" t="s">
        <v>2927</v>
      </c>
      <c r="I372" s="4" t="s">
        <v>2928</v>
      </c>
      <c r="J372" s="5">
        <v>18780.0</v>
      </c>
      <c r="K372" s="5">
        <v>7766.0</v>
      </c>
      <c r="L372" s="4">
        <v>102.0</v>
      </c>
      <c r="M372" s="4" t="s">
        <v>1425</v>
      </c>
      <c r="O372" s="5">
        <v>33725.0</v>
      </c>
      <c r="P372" s="5">
        <v>38107.0</v>
      </c>
      <c r="Q372" s="4" t="s">
        <v>31</v>
      </c>
      <c r="R372" s="4" t="s">
        <v>32</v>
      </c>
      <c r="S372" s="6" t="s">
        <v>2929</v>
      </c>
      <c r="T372" s="4" t="s">
        <v>2930</v>
      </c>
      <c r="U372" s="4">
        <v>6.0</v>
      </c>
      <c r="V372" s="4" t="s">
        <v>1492</v>
      </c>
      <c r="W372" s="4">
        <v>27394.0</v>
      </c>
      <c r="X372" s="4" t="s">
        <v>58</v>
      </c>
      <c r="Y372" s="4" t="s">
        <v>59</v>
      </c>
      <c r="AD372" s="4" t="s">
        <v>1411</v>
      </c>
    </row>
    <row r="373">
      <c r="A373" s="4" t="s">
        <v>60</v>
      </c>
      <c r="B373" s="4" t="s">
        <v>1540</v>
      </c>
      <c r="C373" s="4" t="s">
        <v>99</v>
      </c>
      <c r="D373" s="4" t="s">
        <v>1541</v>
      </c>
      <c r="E373" s="4" t="s">
        <v>80</v>
      </c>
      <c r="F373" s="4" t="s">
        <v>586</v>
      </c>
      <c r="G373" s="4" t="s">
        <v>587</v>
      </c>
      <c r="H373" s="4" t="s">
        <v>588</v>
      </c>
      <c r="I373" s="4" t="s">
        <v>589</v>
      </c>
      <c r="J373" s="5">
        <v>38915.0</v>
      </c>
      <c r="K373" s="5">
        <v>24976.0</v>
      </c>
      <c r="L373" s="4">
        <v>55.0</v>
      </c>
      <c r="M373" s="4" t="s">
        <v>1407</v>
      </c>
      <c r="O373" s="5">
        <v>42186.0</v>
      </c>
      <c r="P373" s="5">
        <v>73050.0</v>
      </c>
      <c r="Q373" s="4" t="s">
        <v>31</v>
      </c>
      <c r="R373" s="4" t="s">
        <v>32</v>
      </c>
      <c r="S373" s="6" t="s">
        <v>2931</v>
      </c>
      <c r="T373" s="4" t="s">
        <v>590</v>
      </c>
      <c r="U373" s="4">
        <v>44.0</v>
      </c>
      <c r="V373" s="4" t="s">
        <v>34</v>
      </c>
      <c r="W373" s="4">
        <v>38322.0</v>
      </c>
      <c r="X373" s="4" t="s">
        <v>592</v>
      </c>
      <c r="Y373" s="4" t="s">
        <v>89</v>
      </c>
      <c r="Z373" s="4" t="s">
        <v>1427</v>
      </c>
      <c r="AA373" s="4">
        <v>1994.0</v>
      </c>
      <c r="AB373" s="4" t="s">
        <v>1511</v>
      </c>
      <c r="AC373" s="5">
        <v>34557.0</v>
      </c>
      <c r="AD373" s="4" t="s">
        <v>1411</v>
      </c>
      <c r="AE373" s="5">
        <v>40863.0</v>
      </c>
    </row>
    <row r="374">
      <c r="A374" s="4" t="s">
        <v>39</v>
      </c>
      <c r="B374" s="4" t="s">
        <v>1405</v>
      </c>
      <c r="C374" s="4" t="s">
        <v>317</v>
      </c>
      <c r="D374" s="4" t="s">
        <v>1406</v>
      </c>
      <c r="E374" s="4" t="s">
        <v>80</v>
      </c>
      <c r="F374" s="4" t="s">
        <v>2932</v>
      </c>
      <c r="G374" s="4" t="s">
        <v>424</v>
      </c>
      <c r="H374" s="4" t="s">
        <v>2933</v>
      </c>
      <c r="I374" s="4" t="s">
        <v>2934</v>
      </c>
      <c r="J374" s="5">
        <v>43374.0</v>
      </c>
      <c r="K374" s="5">
        <v>29401.0</v>
      </c>
      <c r="L374" s="4">
        <v>43.0</v>
      </c>
      <c r="M374" s="4" t="s">
        <v>1407</v>
      </c>
      <c r="O374" s="5">
        <v>43466.0</v>
      </c>
      <c r="P374" s="5">
        <v>43585.0</v>
      </c>
      <c r="Q374" s="4" t="s">
        <v>66</v>
      </c>
      <c r="R374" s="4" t="s">
        <v>32</v>
      </c>
      <c r="S374" s="6" t="s">
        <v>2935</v>
      </c>
      <c r="T374" s="4" t="s">
        <v>2936</v>
      </c>
      <c r="U374" s="4">
        <v>44.0</v>
      </c>
      <c r="V374" s="4" t="s">
        <v>34</v>
      </c>
      <c r="W374" s="4">
        <v>43070.0</v>
      </c>
      <c r="X374" s="4" t="s">
        <v>438</v>
      </c>
      <c r="Y374" s="4" t="s">
        <v>59</v>
      </c>
      <c r="Z374" s="4" t="s">
        <v>1479</v>
      </c>
      <c r="AA374" s="4">
        <v>2003.0</v>
      </c>
      <c r="AB374" s="4" t="s">
        <v>661</v>
      </c>
      <c r="AC374" s="5">
        <v>37649.0</v>
      </c>
      <c r="AD374" s="4" t="s">
        <v>1411</v>
      </c>
      <c r="AE374" s="5">
        <v>43376.0</v>
      </c>
    </row>
    <row r="375">
      <c r="A375" s="4" t="s">
        <v>1684</v>
      </c>
      <c r="B375" s="4" t="s">
        <v>1473</v>
      </c>
      <c r="C375" s="4" t="s">
        <v>25</v>
      </c>
      <c r="D375" s="4" t="s">
        <v>1474</v>
      </c>
      <c r="E375" s="4" t="s">
        <v>26</v>
      </c>
      <c r="F375" s="4" t="s">
        <v>2932</v>
      </c>
      <c r="G375" s="4" t="s">
        <v>2932</v>
      </c>
      <c r="H375" s="4" t="s">
        <v>2937</v>
      </c>
      <c r="I375" s="4" t="s">
        <v>2938</v>
      </c>
      <c r="J375" s="5">
        <v>17258.0</v>
      </c>
      <c r="K375" s="5">
        <v>8215.0</v>
      </c>
      <c r="L375" s="4">
        <v>101.0</v>
      </c>
      <c r="M375" s="4" t="s">
        <v>1407</v>
      </c>
      <c r="O375" s="5">
        <v>36892.0</v>
      </c>
      <c r="P375" s="5">
        <v>41891.0</v>
      </c>
      <c r="Q375" s="4" t="s">
        <v>1694</v>
      </c>
      <c r="R375" s="4" t="s">
        <v>32</v>
      </c>
      <c r="S375" s="6" t="s">
        <v>2939</v>
      </c>
      <c r="T375" s="4" t="s">
        <v>2940</v>
      </c>
      <c r="U375" s="4">
        <v>6.0</v>
      </c>
      <c r="V375" s="4" t="s">
        <v>34</v>
      </c>
      <c r="W375" s="4">
        <v>18994.0</v>
      </c>
      <c r="X375" s="4" t="s">
        <v>58</v>
      </c>
      <c r="Y375" s="4" t="s">
        <v>59</v>
      </c>
      <c r="Z375" s="4" t="s">
        <v>1897</v>
      </c>
      <c r="AA375" s="4">
        <v>1949.0</v>
      </c>
      <c r="AB375" s="4" t="s">
        <v>58</v>
      </c>
      <c r="AC375" s="5">
        <v>17899.0</v>
      </c>
      <c r="AD375" s="4" t="s">
        <v>1411</v>
      </c>
      <c r="AE375" s="5">
        <v>31351.0</v>
      </c>
    </row>
    <row r="376">
      <c r="A376" s="4" t="s">
        <v>1412</v>
      </c>
      <c r="B376" s="4" t="s">
        <v>1540</v>
      </c>
      <c r="C376" s="4" t="s">
        <v>99</v>
      </c>
      <c r="D376" s="4" t="s">
        <v>1541</v>
      </c>
      <c r="E376" s="4" t="s">
        <v>26</v>
      </c>
      <c r="F376" s="4" t="s">
        <v>2932</v>
      </c>
      <c r="G376" s="4" t="s">
        <v>219</v>
      </c>
      <c r="H376" s="4" t="s">
        <v>2941</v>
      </c>
      <c r="I376" s="4" t="s">
        <v>2942</v>
      </c>
      <c r="J376" s="5">
        <v>35278.0</v>
      </c>
      <c r="K376" s="5">
        <v>18751.0</v>
      </c>
      <c r="L376" s="4">
        <v>72.0</v>
      </c>
      <c r="M376" s="4" t="s">
        <v>1407</v>
      </c>
      <c r="O376" s="5">
        <v>35278.0</v>
      </c>
      <c r="P376" s="5">
        <v>38672.0</v>
      </c>
      <c r="Q376" s="4" t="s">
        <v>31</v>
      </c>
      <c r="R376" s="4" t="s">
        <v>32</v>
      </c>
      <c r="S376" s="6" t="s">
        <v>2943</v>
      </c>
      <c r="T376" s="4" t="s">
        <v>2944</v>
      </c>
      <c r="U376" s="4">
        <v>12.0</v>
      </c>
      <c r="V376" s="4" t="s">
        <v>34</v>
      </c>
      <c r="W376" s="4">
        <v>33603.0</v>
      </c>
      <c r="X376" s="4" t="s">
        <v>2945</v>
      </c>
      <c r="Y376" s="4" t="s">
        <v>227</v>
      </c>
      <c r="AD376" s="4" t="s">
        <v>1411</v>
      </c>
    </row>
    <row r="377">
      <c r="A377" s="4" t="s">
        <v>1465</v>
      </c>
      <c r="B377" s="4" t="s">
        <v>1423</v>
      </c>
      <c r="C377" s="4" t="s">
        <v>109</v>
      </c>
      <c r="D377" s="4" t="s">
        <v>1424</v>
      </c>
      <c r="E377" s="4" t="s">
        <v>26</v>
      </c>
      <c r="F377" s="4" t="s">
        <v>1134</v>
      </c>
      <c r="G377" s="4" t="s">
        <v>557</v>
      </c>
      <c r="H377" s="4" t="s">
        <v>2946</v>
      </c>
      <c r="I377" s="4" t="s">
        <v>2947</v>
      </c>
      <c r="J377" s="5">
        <v>26390.0</v>
      </c>
      <c r="K377" s="5">
        <v>17886.0</v>
      </c>
      <c r="L377" s="4">
        <v>75.0</v>
      </c>
      <c r="M377" s="4" t="s">
        <v>1407</v>
      </c>
      <c r="O377" s="5">
        <v>34335.0</v>
      </c>
      <c r="P377" s="5">
        <v>34699.0</v>
      </c>
      <c r="Q377" s="4" t="s">
        <v>66</v>
      </c>
      <c r="R377" s="4" t="s">
        <v>32</v>
      </c>
      <c r="S377" s="6" t="s">
        <v>2948</v>
      </c>
      <c r="T377" s="4" t="s">
        <v>2949</v>
      </c>
      <c r="U377" s="4">
        <v>4.0</v>
      </c>
      <c r="AD377" s="4" t="s">
        <v>1411</v>
      </c>
    </row>
    <row r="378">
      <c r="A378" s="4" t="s">
        <v>1465</v>
      </c>
      <c r="B378" s="4" t="s">
        <v>1447</v>
      </c>
      <c r="C378" s="4" t="s">
        <v>40</v>
      </c>
      <c r="D378" s="4" t="s">
        <v>1448</v>
      </c>
      <c r="E378" s="4" t="s">
        <v>80</v>
      </c>
      <c r="F378" s="4" t="s">
        <v>2950</v>
      </c>
      <c r="G378" s="4" t="s">
        <v>2951</v>
      </c>
      <c r="H378" s="4" t="s">
        <v>2952</v>
      </c>
      <c r="I378" s="4" t="s">
        <v>2953</v>
      </c>
      <c r="J378" s="5">
        <v>36039.0</v>
      </c>
      <c r="K378" s="5">
        <v>19052.0</v>
      </c>
      <c r="L378" s="4">
        <v>71.0</v>
      </c>
      <c r="M378" s="4" t="s">
        <v>1407</v>
      </c>
      <c r="N378" s="4" t="s">
        <v>1419</v>
      </c>
      <c r="O378" s="5">
        <v>36526.0</v>
      </c>
      <c r="P378" s="5">
        <v>36584.0</v>
      </c>
      <c r="Q378" s="4" t="s">
        <v>66</v>
      </c>
      <c r="R378" s="4" t="s">
        <v>32</v>
      </c>
      <c r="S378" s="6" t="s">
        <v>2954</v>
      </c>
      <c r="T378" s="4" t="s">
        <v>2955</v>
      </c>
      <c r="U378" s="4">
        <v>12.0</v>
      </c>
      <c r="Z378" s="4" t="s">
        <v>1519</v>
      </c>
      <c r="AA378" s="4">
        <v>1974.0</v>
      </c>
      <c r="AB378" s="4" t="s">
        <v>58</v>
      </c>
      <c r="AC378" s="5">
        <v>27178.0</v>
      </c>
      <c r="AD378" s="4" t="s">
        <v>1411</v>
      </c>
    </row>
    <row r="379">
      <c r="A379" s="4" t="s">
        <v>60</v>
      </c>
      <c r="B379" s="4" t="s">
        <v>1405</v>
      </c>
      <c r="C379" s="4" t="s">
        <v>317</v>
      </c>
      <c r="D379" s="4" t="s">
        <v>1406</v>
      </c>
      <c r="E379" s="4" t="s">
        <v>80</v>
      </c>
      <c r="F379" s="4" t="s">
        <v>2956</v>
      </c>
      <c r="G379" s="4" t="s">
        <v>2957</v>
      </c>
      <c r="H379" s="4" t="s">
        <v>2958</v>
      </c>
      <c r="I379" s="4" t="s">
        <v>2959</v>
      </c>
      <c r="J379" s="5">
        <v>39919.0</v>
      </c>
      <c r="K379" s="5">
        <v>30058.0</v>
      </c>
      <c r="L379" s="4">
        <v>41.0</v>
      </c>
      <c r="M379" s="4" t="s">
        <v>1453</v>
      </c>
      <c r="O379" s="5">
        <v>43466.0</v>
      </c>
      <c r="P379" s="5">
        <v>43524.0</v>
      </c>
      <c r="Q379" s="4" t="s">
        <v>66</v>
      </c>
      <c r="R379" s="4" t="s">
        <v>32</v>
      </c>
      <c r="S379" s="6" t="s">
        <v>2960</v>
      </c>
      <c r="T379" s="4" t="s">
        <v>2961</v>
      </c>
      <c r="U379" s="4">
        <v>18.0</v>
      </c>
      <c r="V379" s="4" t="s">
        <v>359</v>
      </c>
      <c r="W379" s="4">
        <v>41108.0</v>
      </c>
      <c r="X379" s="4" t="s">
        <v>2962</v>
      </c>
      <c r="Y379" s="4" t="s">
        <v>59</v>
      </c>
      <c r="Z379" s="4" t="s">
        <v>1427</v>
      </c>
      <c r="AA379" s="4">
        <v>2006.0</v>
      </c>
      <c r="AB379" s="4" t="s">
        <v>58</v>
      </c>
      <c r="AC379" s="5">
        <v>38898.0</v>
      </c>
      <c r="AD379" s="4" t="s">
        <v>1411</v>
      </c>
      <c r="AE379" s="5">
        <v>42278.0</v>
      </c>
    </row>
    <row r="380">
      <c r="A380" s="4" t="s">
        <v>78</v>
      </c>
      <c r="B380" s="4" t="s">
        <v>1405</v>
      </c>
      <c r="C380" s="4" t="s">
        <v>317</v>
      </c>
      <c r="D380" s="4" t="s">
        <v>1406</v>
      </c>
      <c r="E380" s="4" t="s">
        <v>26</v>
      </c>
      <c r="F380" s="4" t="s">
        <v>2963</v>
      </c>
      <c r="G380" s="4" t="s">
        <v>2964</v>
      </c>
      <c r="H380" s="4" t="s">
        <v>2965</v>
      </c>
      <c r="I380" s="4" t="s">
        <v>2966</v>
      </c>
      <c r="J380" s="5">
        <v>39521.0</v>
      </c>
      <c r="K380" s="5">
        <v>28543.0</v>
      </c>
      <c r="L380" s="4">
        <v>45.0</v>
      </c>
      <c r="M380" s="4" t="s">
        <v>1425</v>
      </c>
      <c r="O380" s="5">
        <v>44562.0</v>
      </c>
      <c r="P380" s="5">
        <v>44773.0</v>
      </c>
      <c r="Q380" s="4" t="s">
        <v>66</v>
      </c>
      <c r="R380" s="4" t="s">
        <v>32</v>
      </c>
      <c r="S380" s="6" t="s">
        <v>2967</v>
      </c>
      <c r="T380" s="4" t="s">
        <v>2968</v>
      </c>
      <c r="U380" s="4">
        <v>12.0</v>
      </c>
      <c r="V380" s="4" t="s">
        <v>55</v>
      </c>
      <c r="W380" s="4">
        <v>39003.0</v>
      </c>
      <c r="X380" s="4" t="s">
        <v>58</v>
      </c>
      <c r="Y380" s="4" t="s">
        <v>59</v>
      </c>
      <c r="Z380" s="4" t="s">
        <v>1433</v>
      </c>
      <c r="AA380" s="4">
        <v>2006.0</v>
      </c>
      <c r="AB380" s="4" t="s">
        <v>58</v>
      </c>
      <c r="AC380" s="5">
        <v>39014.0</v>
      </c>
      <c r="AD380" s="4" t="s">
        <v>1411</v>
      </c>
      <c r="AE380" s="5">
        <v>42228.0</v>
      </c>
    </row>
    <row r="381">
      <c r="A381" s="4" t="s">
        <v>1465</v>
      </c>
      <c r="B381" s="4" t="s">
        <v>1540</v>
      </c>
      <c r="C381" s="4" t="s">
        <v>99</v>
      </c>
      <c r="D381" s="4" t="s">
        <v>1541</v>
      </c>
      <c r="E381" s="4" t="s">
        <v>26</v>
      </c>
      <c r="F381" s="4" t="s">
        <v>2969</v>
      </c>
      <c r="G381" s="4" t="s">
        <v>2970</v>
      </c>
      <c r="H381" s="4" t="s">
        <v>2971</v>
      </c>
      <c r="I381" s="4" t="s">
        <v>2972</v>
      </c>
      <c r="J381" s="5">
        <v>33117.0</v>
      </c>
      <c r="K381" s="5">
        <v>14566.0</v>
      </c>
      <c r="L381" s="4">
        <v>84.0</v>
      </c>
      <c r="M381" s="4" t="s">
        <v>1407</v>
      </c>
      <c r="N381" s="4" t="s">
        <v>1419</v>
      </c>
      <c r="O381" s="5">
        <v>34578.0</v>
      </c>
      <c r="P381" s="5">
        <v>34758.0</v>
      </c>
      <c r="Q381" s="4" t="s">
        <v>31</v>
      </c>
      <c r="R381" s="4" t="s">
        <v>32</v>
      </c>
      <c r="S381" s="6" t="s">
        <v>2973</v>
      </c>
      <c r="T381" s="4" t="s">
        <v>2974</v>
      </c>
      <c r="U381" s="4">
        <v>12.0</v>
      </c>
      <c r="Z381" s="4" t="s">
        <v>2975</v>
      </c>
      <c r="AA381" s="4">
        <v>1962.0</v>
      </c>
      <c r="AB381" s="4" t="s">
        <v>58</v>
      </c>
      <c r="AC381" s="5">
        <v>23006.0</v>
      </c>
      <c r="AD381" s="4" t="s">
        <v>1411</v>
      </c>
    </row>
    <row r="382">
      <c r="A382" s="4" t="s">
        <v>39</v>
      </c>
      <c r="B382" s="4" t="s">
        <v>1447</v>
      </c>
      <c r="C382" s="4" t="s">
        <v>40</v>
      </c>
      <c r="D382" s="4" t="s">
        <v>1448</v>
      </c>
      <c r="E382" s="4" t="s">
        <v>80</v>
      </c>
      <c r="F382" s="4" t="s">
        <v>1242</v>
      </c>
      <c r="G382" s="4" t="s">
        <v>406</v>
      </c>
      <c r="H382" s="4" t="s">
        <v>1243</v>
      </c>
      <c r="I382" s="4" t="s">
        <v>1244</v>
      </c>
      <c r="J382" s="5">
        <v>44866.0</v>
      </c>
      <c r="K382" s="5">
        <v>29340.0</v>
      </c>
      <c r="L382" s="4">
        <v>43.0</v>
      </c>
      <c r="M382" s="4" t="s">
        <v>1407</v>
      </c>
      <c r="N382" s="4" t="s">
        <v>1419</v>
      </c>
      <c r="O382" s="5">
        <v>44927.0</v>
      </c>
      <c r="P382" s="5">
        <v>45291.0</v>
      </c>
      <c r="Q382" s="4" t="s">
        <v>66</v>
      </c>
      <c r="R382" s="4" t="s">
        <v>32</v>
      </c>
      <c r="S382" s="6" t="s">
        <v>2976</v>
      </c>
      <c r="T382" s="4" t="s">
        <v>1245</v>
      </c>
      <c r="U382" s="4">
        <v>21.0</v>
      </c>
      <c r="V382" s="4" t="s">
        <v>34</v>
      </c>
      <c r="W382" s="4">
        <v>44603.0</v>
      </c>
      <c r="X382" s="4" t="s">
        <v>1248</v>
      </c>
      <c r="Y382" s="4" t="s">
        <v>89</v>
      </c>
      <c r="Z382" s="4" t="s">
        <v>1479</v>
      </c>
      <c r="AA382" s="4">
        <v>2007.0</v>
      </c>
      <c r="AB382" s="4" t="s">
        <v>1007</v>
      </c>
      <c r="AC382" s="5">
        <v>39099.0</v>
      </c>
      <c r="AD382" s="4" t="s">
        <v>1411</v>
      </c>
      <c r="AE382" s="5">
        <v>44845.0</v>
      </c>
    </row>
    <row r="383">
      <c r="A383" s="4" t="s">
        <v>1684</v>
      </c>
      <c r="B383" s="4" t="s">
        <v>1447</v>
      </c>
      <c r="C383" s="4" t="s">
        <v>40</v>
      </c>
      <c r="D383" s="4" t="s">
        <v>1448</v>
      </c>
      <c r="E383" s="4" t="s">
        <v>80</v>
      </c>
      <c r="F383" s="4" t="s">
        <v>2977</v>
      </c>
      <c r="G383" s="4" t="s">
        <v>2978</v>
      </c>
      <c r="H383" s="4" t="s">
        <v>2979</v>
      </c>
      <c r="I383" s="4" t="s">
        <v>2980</v>
      </c>
      <c r="J383" s="5">
        <v>35309.0</v>
      </c>
      <c r="K383" s="5">
        <v>18407.0</v>
      </c>
      <c r="L383" s="4">
        <v>73.0</v>
      </c>
      <c r="M383" s="4" t="s">
        <v>1407</v>
      </c>
      <c r="O383" s="5">
        <v>37987.0</v>
      </c>
      <c r="P383" s="5">
        <v>38046.0</v>
      </c>
      <c r="Q383" s="4" t="s">
        <v>66</v>
      </c>
      <c r="R383" s="4" t="s">
        <v>32</v>
      </c>
      <c r="S383" s="6" t="s">
        <v>2981</v>
      </c>
      <c r="T383" s="4" t="s">
        <v>2982</v>
      </c>
      <c r="U383" s="4">
        <v>12.0</v>
      </c>
      <c r="V383" s="4" t="s">
        <v>34</v>
      </c>
      <c r="W383" s="4">
        <v>30316.0</v>
      </c>
      <c r="X383" s="4" t="s">
        <v>2983</v>
      </c>
      <c r="Y383" s="4" t="s">
        <v>38</v>
      </c>
      <c r="AD383" s="4" t="s">
        <v>1411</v>
      </c>
    </row>
    <row r="384">
      <c r="A384" s="4" t="s">
        <v>1465</v>
      </c>
      <c r="B384" s="4" t="s">
        <v>1466</v>
      </c>
      <c r="C384" s="4" t="s">
        <v>1467</v>
      </c>
      <c r="D384" s="4" t="s">
        <v>1468</v>
      </c>
      <c r="E384" s="4" t="s">
        <v>26</v>
      </c>
      <c r="F384" s="4" t="s">
        <v>2984</v>
      </c>
      <c r="G384" s="4" t="s">
        <v>219</v>
      </c>
      <c r="H384" s="4" t="s">
        <v>2985</v>
      </c>
      <c r="I384" s="4" t="s">
        <v>2986</v>
      </c>
      <c r="J384" s="5">
        <v>34121.0</v>
      </c>
      <c r="K384" s="5">
        <v>25033.0</v>
      </c>
      <c r="L384" s="4">
        <v>55.0</v>
      </c>
      <c r="M384" s="4" t="s">
        <v>1453</v>
      </c>
      <c r="O384" s="5">
        <v>35735.0</v>
      </c>
      <c r="P384" s="5">
        <v>37833.0</v>
      </c>
      <c r="Q384" s="4" t="s">
        <v>31</v>
      </c>
      <c r="R384" s="4" t="s">
        <v>32</v>
      </c>
      <c r="S384" s="6" t="s">
        <v>2987</v>
      </c>
      <c r="T384" s="4" t="s">
        <v>2987</v>
      </c>
      <c r="U384" s="4">
        <v>12.0</v>
      </c>
      <c r="V384" s="4" t="s">
        <v>106</v>
      </c>
      <c r="W384" s="4">
        <v>1.0</v>
      </c>
      <c r="X384" s="4" t="s">
        <v>2988</v>
      </c>
      <c r="Y384" s="4" t="s">
        <v>89</v>
      </c>
      <c r="Z384" s="4" t="s">
        <v>1519</v>
      </c>
      <c r="AA384" s="4">
        <v>1992.0</v>
      </c>
      <c r="AB384" s="4" t="s">
        <v>58</v>
      </c>
      <c r="AC384" s="5">
        <v>33872.0</v>
      </c>
      <c r="AD384" s="4" t="s">
        <v>1411</v>
      </c>
    </row>
    <row r="385">
      <c r="A385" s="4" t="s">
        <v>1465</v>
      </c>
      <c r="B385" s="4" t="s">
        <v>1423</v>
      </c>
      <c r="C385" s="4" t="s">
        <v>109</v>
      </c>
      <c r="D385" s="4" t="s">
        <v>1424</v>
      </c>
      <c r="E385" s="4" t="s">
        <v>80</v>
      </c>
      <c r="F385" s="4" t="s">
        <v>432</v>
      </c>
      <c r="G385" s="4" t="s">
        <v>2604</v>
      </c>
      <c r="H385" s="4" t="s">
        <v>2989</v>
      </c>
      <c r="I385" s="4" t="s">
        <v>2990</v>
      </c>
      <c r="J385" s="5">
        <v>27120.0</v>
      </c>
      <c r="K385" s="5">
        <v>13197.0</v>
      </c>
      <c r="L385" s="4">
        <v>87.0</v>
      </c>
      <c r="M385" s="4" t="s">
        <v>1407</v>
      </c>
      <c r="O385" s="5">
        <v>33909.0</v>
      </c>
      <c r="P385" s="5">
        <v>34789.0</v>
      </c>
      <c r="Q385" s="4" t="s">
        <v>31</v>
      </c>
      <c r="R385" s="4" t="s">
        <v>32</v>
      </c>
      <c r="S385" s="6" t="s">
        <v>2991</v>
      </c>
      <c r="T385" s="4" t="s">
        <v>2992</v>
      </c>
      <c r="U385" s="4">
        <v>16.0</v>
      </c>
      <c r="AD385" s="4" t="s">
        <v>1411</v>
      </c>
    </row>
    <row r="386">
      <c r="A386" s="4" t="s">
        <v>60</v>
      </c>
      <c r="B386" s="4" t="s">
        <v>1423</v>
      </c>
      <c r="C386" s="4" t="s">
        <v>109</v>
      </c>
      <c r="D386" s="4" t="s">
        <v>1424</v>
      </c>
      <c r="E386" s="4" t="s">
        <v>80</v>
      </c>
      <c r="F386" s="4" t="s">
        <v>432</v>
      </c>
      <c r="G386" s="4" t="s">
        <v>433</v>
      </c>
      <c r="H386" s="4" t="s">
        <v>2993</v>
      </c>
      <c r="I386" s="4" t="s">
        <v>2994</v>
      </c>
      <c r="J386" s="5">
        <v>38200.0</v>
      </c>
      <c r="K386" s="5">
        <v>28843.0</v>
      </c>
      <c r="L386" s="4">
        <v>45.0</v>
      </c>
      <c r="M386" s="4" t="s">
        <v>1425</v>
      </c>
      <c r="O386" s="5">
        <v>44927.0</v>
      </c>
      <c r="P386" s="5">
        <v>45291.0</v>
      </c>
      <c r="Q386" s="4" t="s">
        <v>66</v>
      </c>
      <c r="R386" s="4" t="s">
        <v>32</v>
      </c>
      <c r="S386" s="6" t="s">
        <v>2995</v>
      </c>
      <c r="T386" s="4" t="s">
        <v>436</v>
      </c>
      <c r="U386" s="4">
        <v>44.0</v>
      </c>
      <c r="V386" s="4" t="s">
        <v>34</v>
      </c>
      <c r="W386" s="4">
        <v>42676.0</v>
      </c>
      <c r="X386" s="4" t="s">
        <v>438</v>
      </c>
      <c r="Y386" s="4" t="s">
        <v>59</v>
      </c>
      <c r="Z386" s="4" t="s">
        <v>1427</v>
      </c>
      <c r="AA386" s="4">
        <v>2003.0</v>
      </c>
      <c r="AB386" s="4" t="s">
        <v>58</v>
      </c>
      <c r="AC386" s="5">
        <v>37985.0</v>
      </c>
      <c r="AD386" s="4" t="s">
        <v>1411</v>
      </c>
      <c r="AE386" s="5">
        <v>43376.0</v>
      </c>
    </row>
    <row r="387">
      <c r="A387" s="4" t="s">
        <v>60</v>
      </c>
      <c r="B387" s="4" t="s">
        <v>1423</v>
      </c>
      <c r="C387" s="4" t="s">
        <v>109</v>
      </c>
      <c r="D387" s="4" t="s">
        <v>1424</v>
      </c>
      <c r="E387" s="4" t="s">
        <v>80</v>
      </c>
      <c r="F387" s="4" t="s">
        <v>973</v>
      </c>
      <c r="G387" s="4" t="s">
        <v>933</v>
      </c>
      <c r="H387" s="4" t="s">
        <v>974</v>
      </c>
      <c r="I387" s="4" t="s">
        <v>975</v>
      </c>
      <c r="J387" s="5">
        <v>42370.0</v>
      </c>
      <c r="K387" s="5">
        <v>30096.0</v>
      </c>
      <c r="L387" s="4">
        <v>41.0</v>
      </c>
      <c r="M387" s="4" t="s">
        <v>1425</v>
      </c>
      <c r="O387" s="5">
        <v>44927.0</v>
      </c>
      <c r="P387" s="5">
        <v>45291.0</v>
      </c>
      <c r="Q387" s="4" t="s">
        <v>66</v>
      </c>
      <c r="R387" s="4" t="s">
        <v>32</v>
      </c>
      <c r="S387" s="6" t="s">
        <v>2996</v>
      </c>
      <c r="T387" s="4" t="s">
        <v>976</v>
      </c>
      <c r="U387" s="4">
        <v>44.0</v>
      </c>
      <c r="V387" s="4" t="s">
        <v>34</v>
      </c>
      <c r="W387" s="4">
        <v>41887.0</v>
      </c>
      <c r="X387" s="4" t="s">
        <v>979</v>
      </c>
      <c r="Y387" s="4" t="s">
        <v>624</v>
      </c>
      <c r="Z387" s="4" t="s">
        <v>1427</v>
      </c>
      <c r="AA387" s="4">
        <v>2015.0</v>
      </c>
      <c r="AB387" s="4" t="s">
        <v>58</v>
      </c>
      <c r="AC387" s="5">
        <v>42367.0</v>
      </c>
      <c r="AD387" s="4" t="s">
        <v>1411</v>
      </c>
      <c r="AE387" s="5">
        <v>42228.0</v>
      </c>
    </row>
    <row r="388">
      <c r="A388" s="4" t="s">
        <v>78</v>
      </c>
      <c r="B388" s="4" t="s">
        <v>1423</v>
      </c>
      <c r="C388" s="4" t="s">
        <v>109</v>
      </c>
      <c r="D388" s="4" t="s">
        <v>1424</v>
      </c>
      <c r="E388" s="4" t="s">
        <v>26</v>
      </c>
      <c r="F388" s="4" t="s">
        <v>973</v>
      </c>
      <c r="G388" s="4" t="s">
        <v>633</v>
      </c>
      <c r="H388" s="4" t="s">
        <v>2997</v>
      </c>
      <c r="I388" s="4" t="s">
        <v>2998</v>
      </c>
      <c r="J388" s="5">
        <v>41736.0</v>
      </c>
      <c r="K388" s="5">
        <v>26578.0</v>
      </c>
      <c r="L388" s="4">
        <v>51.0</v>
      </c>
      <c r="M388" s="4" t="s">
        <v>1425</v>
      </c>
      <c r="O388" s="5">
        <v>42186.0</v>
      </c>
      <c r="P388" s="5">
        <v>42352.0</v>
      </c>
      <c r="Q388" s="4" t="s">
        <v>66</v>
      </c>
      <c r="R388" s="4" t="s">
        <v>32</v>
      </c>
      <c r="S388" s="6" t="s">
        <v>2999</v>
      </c>
      <c r="T388" s="4" t="s">
        <v>3000</v>
      </c>
      <c r="U388" s="4">
        <v>44.0</v>
      </c>
      <c r="V388" s="4" t="s">
        <v>34</v>
      </c>
      <c r="W388" s="4">
        <v>39897.0</v>
      </c>
      <c r="X388" s="4" t="s">
        <v>2568</v>
      </c>
      <c r="Y388" s="4" t="s">
        <v>89</v>
      </c>
      <c r="Z388" s="4" t="s">
        <v>1433</v>
      </c>
      <c r="AA388" s="4">
        <v>1997.0</v>
      </c>
      <c r="AB388" s="4" t="s">
        <v>3001</v>
      </c>
      <c r="AC388" s="5">
        <v>35643.0</v>
      </c>
      <c r="AD388" s="4" t="s">
        <v>3002</v>
      </c>
      <c r="AE388" s="5">
        <v>41886.0</v>
      </c>
    </row>
    <row r="389">
      <c r="A389" s="4" t="s">
        <v>60</v>
      </c>
      <c r="B389" s="4" t="s">
        <v>1405</v>
      </c>
      <c r="C389" s="4" t="s">
        <v>317</v>
      </c>
      <c r="D389" s="4" t="s">
        <v>1406</v>
      </c>
      <c r="E389" s="4" t="s">
        <v>80</v>
      </c>
      <c r="F389" s="4" t="s">
        <v>817</v>
      </c>
      <c r="G389" s="4" t="s">
        <v>818</v>
      </c>
      <c r="H389" s="4" t="s">
        <v>819</v>
      </c>
      <c r="I389" s="4" t="s">
        <v>820</v>
      </c>
      <c r="J389" s="5">
        <v>40299.0</v>
      </c>
      <c r="K389" s="5">
        <v>26385.0</v>
      </c>
      <c r="L389" s="4">
        <v>51.0</v>
      </c>
      <c r="M389" s="4" t="s">
        <v>1407</v>
      </c>
      <c r="O389" s="5">
        <v>44927.0</v>
      </c>
      <c r="P389" s="5">
        <v>45291.0</v>
      </c>
      <c r="Q389" s="4" t="s">
        <v>66</v>
      </c>
      <c r="R389" s="4" t="s">
        <v>32</v>
      </c>
      <c r="S389" s="6" t="s">
        <v>3003</v>
      </c>
      <c r="T389" s="4" t="s">
        <v>821</v>
      </c>
      <c r="U389" s="4">
        <v>12.0</v>
      </c>
      <c r="V389" s="4" t="s">
        <v>359</v>
      </c>
      <c r="W389" s="4">
        <v>40141.0</v>
      </c>
      <c r="X389" s="4" t="s">
        <v>58</v>
      </c>
      <c r="Y389" s="4" t="s">
        <v>59</v>
      </c>
      <c r="Z389" s="4" t="s">
        <v>1427</v>
      </c>
      <c r="AA389" s="4">
        <v>1997.0</v>
      </c>
      <c r="AB389" s="4" t="s">
        <v>58</v>
      </c>
      <c r="AC389" s="5">
        <v>35654.0</v>
      </c>
      <c r="AD389" s="4" t="s">
        <v>1411</v>
      </c>
      <c r="AE389" s="5">
        <v>40199.0</v>
      </c>
    </row>
    <row r="390">
      <c r="A390" s="4" t="s">
        <v>78</v>
      </c>
      <c r="B390" s="4" t="s">
        <v>1423</v>
      </c>
      <c r="C390" s="4" t="s">
        <v>109</v>
      </c>
      <c r="D390" s="4" t="s">
        <v>1424</v>
      </c>
      <c r="E390" s="4" t="s">
        <v>26</v>
      </c>
      <c r="F390" s="4" t="s">
        <v>110</v>
      </c>
      <c r="G390" s="4" t="s">
        <v>111</v>
      </c>
      <c r="H390" s="4" t="s">
        <v>112</v>
      </c>
      <c r="I390" s="4" t="s">
        <v>113</v>
      </c>
      <c r="J390" s="5">
        <v>28946.0</v>
      </c>
      <c r="K390" s="5">
        <v>19745.0</v>
      </c>
      <c r="L390" s="4">
        <v>69.0</v>
      </c>
      <c r="M390" s="4" t="s">
        <v>1407</v>
      </c>
      <c r="O390" s="5">
        <v>42186.0</v>
      </c>
      <c r="P390" s="5">
        <v>73050.0</v>
      </c>
      <c r="Q390" s="4" t="s">
        <v>31</v>
      </c>
      <c r="R390" s="4" t="s">
        <v>32</v>
      </c>
      <c r="S390" s="6" t="s">
        <v>3004</v>
      </c>
      <c r="T390" s="4" t="s">
        <v>114</v>
      </c>
      <c r="U390" s="4">
        <v>12.0</v>
      </c>
      <c r="Z390" s="4" t="s">
        <v>1544</v>
      </c>
      <c r="AA390" s="4">
        <v>1978.0</v>
      </c>
      <c r="AB390" s="4" t="s">
        <v>58</v>
      </c>
      <c r="AC390" s="5">
        <v>28811.0</v>
      </c>
      <c r="AD390" s="4" t="s">
        <v>1411</v>
      </c>
      <c r="AE390" s="5">
        <v>31230.0</v>
      </c>
    </row>
    <row r="391">
      <c r="A391" s="4" t="s">
        <v>1684</v>
      </c>
      <c r="B391" s="4" t="s">
        <v>1423</v>
      </c>
      <c r="C391" s="4" t="s">
        <v>109</v>
      </c>
      <c r="D391" s="4" t="s">
        <v>1424</v>
      </c>
      <c r="E391" s="4" t="s">
        <v>80</v>
      </c>
      <c r="F391" s="4" t="s">
        <v>110</v>
      </c>
      <c r="G391" s="4" t="s">
        <v>110</v>
      </c>
      <c r="H391" s="4" t="s">
        <v>3005</v>
      </c>
      <c r="I391" s="4" t="s">
        <v>3006</v>
      </c>
      <c r="J391" s="5">
        <v>38899.0</v>
      </c>
      <c r="K391" s="5">
        <v>25742.0</v>
      </c>
      <c r="L391" s="4">
        <v>53.0</v>
      </c>
      <c r="M391" s="4" t="s">
        <v>1407</v>
      </c>
      <c r="O391" s="5">
        <v>41091.0</v>
      </c>
      <c r="P391" s="5">
        <v>41121.0</v>
      </c>
      <c r="Q391" s="4" t="s">
        <v>66</v>
      </c>
      <c r="R391" s="4" t="s">
        <v>32</v>
      </c>
      <c r="S391" s="6" t="s">
        <v>3007</v>
      </c>
      <c r="T391" s="4" t="s">
        <v>3008</v>
      </c>
      <c r="U391" s="4">
        <v>12.0</v>
      </c>
      <c r="V391" s="4" t="s">
        <v>375</v>
      </c>
      <c r="W391" s="4">
        <v>37957.0</v>
      </c>
      <c r="X391" s="4" t="s">
        <v>58</v>
      </c>
      <c r="Y391" s="4" t="s">
        <v>59</v>
      </c>
      <c r="Z391" s="4" t="s">
        <v>1727</v>
      </c>
      <c r="AA391" s="4">
        <v>1993.0</v>
      </c>
      <c r="AB391" s="4" t="s">
        <v>1564</v>
      </c>
      <c r="AC391" s="5">
        <v>34211.0</v>
      </c>
      <c r="AD391" s="4" t="s">
        <v>1411</v>
      </c>
      <c r="AE391" s="5">
        <v>38887.0</v>
      </c>
    </row>
    <row r="392">
      <c r="A392" s="4" t="s">
        <v>60</v>
      </c>
      <c r="B392" s="4" t="s">
        <v>1413</v>
      </c>
      <c r="C392" s="4" t="s">
        <v>1414</v>
      </c>
      <c r="D392" s="4" t="s">
        <v>1415</v>
      </c>
      <c r="E392" s="4" t="s">
        <v>26</v>
      </c>
      <c r="F392" s="4" t="s">
        <v>110</v>
      </c>
      <c r="G392" s="4" t="s">
        <v>2708</v>
      </c>
      <c r="H392" s="4" t="s">
        <v>2444</v>
      </c>
      <c r="I392" s="4" t="s">
        <v>3009</v>
      </c>
      <c r="J392" s="5">
        <v>39417.0</v>
      </c>
      <c r="K392" s="5">
        <v>27852.0</v>
      </c>
      <c r="L392" s="4">
        <v>47.0</v>
      </c>
      <c r="M392" s="4" t="s">
        <v>1407</v>
      </c>
      <c r="O392" s="5">
        <v>42736.0</v>
      </c>
      <c r="P392" s="5">
        <v>42855.0</v>
      </c>
      <c r="Q392" s="4" t="s">
        <v>66</v>
      </c>
      <c r="R392" s="4" t="s">
        <v>32</v>
      </c>
      <c r="S392" s="6" t="s">
        <v>3010</v>
      </c>
      <c r="T392" s="4" t="s">
        <v>3011</v>
      </c>
      <c r="U392" s="4">
        <v>2.0</v>
      </c>
      <c r="V392" s="4" t="s">
        <v>106</v>
      </c>
      <c r="W392" s="4">
        <v>39150.0</v>
      </c>
      <c r="X392" s="4" t="s">
        <v>58</v>
      </c>
      <c r="Y392" s="4" t="s">
        <v>59</v>
      </c>
      <c r="Z392" s="4" t="s">
        <v>1427</v>
      </c>
      <c r="AA392" s="4">
        <v>2004.0</v>
      </c>
      <c r="AB392" s="4" t="s">
        <v>797</v>
      </c>
      <c r="AC392" s="5">
        <v>38069.0</v>
      </c>
      <c r="AD392" s="4" t="s">
        <v>1411</v>
      </c>
      <c r="AE392" s="5">
        <v>39359.0</v>
      </c>
    </row>
    <row r="393">
      <c r="A393" s="4" t="s">
        <v>60</v>
      </c>
      <c r="B393" s="4" t="s">
        <v>1430</v>
      </c>
      <c r="C393" s="4" t="s">
        <v>61</v>
      </c>
      <c r="D393" s="4" t="s">
        <v>1431</v>
      </c>
      <c r="E393" s="4" t="s">
        <v>26</v>
      </c>
      <c r="F393" s="4" t="s">
        <v>549</v>
      </c>
      <c r="G393" s="4" t="s">
        <v>550</v>
      </c>
      <c r="H393" s="4" t="s">
        <v>551</v>
      </c>
      <c r="I393" s="4" t="s">
        <v>552</v>
      </c>
      <c r="J393" s="5">
        <v>38838.0</v>
      </c>
      <c r="K393" s="5">
        <v>26095.0</v>
      </c>
      <c r="L393" s="4">
        <v>52.0</v>
      </c>
      <c r="M393" s="4" t="s">
        <v>1425</v>
      </c>
      <c r="O393" s="5">
        <v>42186.0</v>
      </c>
      <c r="P393" s="5">
        <v>73050.0</v>
      </c>
      <c r="Q393" s="4" t="s">
        <v>31</v>
      </c>
      <c r="R393" s="4" t="s">
        <v>32</v>
      </c>
      <c r="S393" s="6" t="s">
        <v>3012</v>
      </c>
      <c r="T393" s="4" t="s">
        <v>553</v>
      </c>
      <c r="U393" s="4">
        <v>44.0</v>
      </c>
      <c r="V393" s="4" t="s">
        <v>34</v>
      </c>
      <c r="W393" s="4">
        <v>38546.0</v>
      </c>
      <c r="X393" s="4" t="s">
        <v>556</v>
      </c>
      <c r="Y393" s="4" t="s">
        <v>38</v>
      </c>
      <c r="Z393" s="4" t="s">
        <v>2129</v>
      </c>
      <c r="AA393" s="4">
        <v>1994.0</v>
      </c>
      <c r="AB393" s="4" t="s">
        <v>58</v>
      </c>
      <c r="AC393" s="5">
        <v>34547.0</v>
      </c>
      <c r="AD393" s="4" t="s">
        <v>1411</v>
      </c>
      <c r="AE393" s="5">
        <v>41717.0</v>
      </c>
    </row>
    <row r="394">
      <c r="A394" s="4" t="s">
        <v>1434</v>
      </c>
      <c r="B394" s="4" t="s">
        <v>1423</v>
      </c>
      <c r="C394" s="4" t="s">
        <v>109</v>
      </c>
      <c r="D394" s="4" t="s">
        <v>1424</v>
      </c>
      <c r="E394" s="4" t="s">
        <v>26</v>
      </c>
      <c r="F394" s="4" t="s">
        <v>3013</v>
      </c>
      <c r="G394" s="4" t="s">
        <v>3014</v>
      </c>
      <c r="H394" s="4" t="s">
        <v>3015</v>
      </c>
      <c r="I394" s="4" t="s">
        <v>3016</v>
      </c>
      <c r="J394" s="5">
        <v>33543.0</v>
      </c>
      <c r="K394" s="5">
        <v>22441.0</v>
      </c>
      <c r="L394" s="4">
        <v>62.0</v>
      </c>
      <c r="M394" s="4" t="s">
        <v>1407</v>
      </c>
      <c r="O394" s="5">
        <v>41640.0</v>
      </c>
      <c r="P394" s="5">
        <v>41912.0</v>
      </c>
      <c r="Q394" s="4" t="s">
        <v>66</v>
      </c>
      <c r="R394" s="4" t="s">
        <v>32</v>
      </c>
      <c r="S394" s="6" t="s">
        <v>3017</v>
      </c>
      <c r="T394" s="4" t="s">
        <v>3018</v>
      </c>
      <c r="U394" s="4">
        <v>12.0</v>
      </c>
      <c r="V394" s="4" t="s">
        <v>106</v>
      </c>
      <c r="W394" s="4">
        <v>36646.0</v>
      </c>
      <c r="X394" s="4" t="s">
        <v>211</v>
      </c>
      <c r="Y394" s="4" t="s">
        <v>59</v>
      </c>
      <c r="Z394" s="4" t="s">
        <v>1433</v>
      </c>
      <c r="AA394" s="4">
        <v>1990.0</v>
      </c>
      <c r="AB394" s="4" t="s">
        <v>58</v>
      </c>
      <c r="AC394" s="5">
        <v>33162.0</v>
      </c>
      <c r="AD394" s="4" t="s">
        <v>1411</v>
      </c>
      <c r="AE394" s="5">
        <v>35809.0</v>
      </c>
    </row>
    <row r="395">
      <c r="A395" s="4" t="s">
        <v>78</v>
      </c>
      <c r="B395" s="4" t="s">
        <v>1430</v>
      </c>
      <c r="C395" s="4" t="s">
        <v>61</v>
      </c>
      <c r="D395" s="4" t="s">
        <v>1431</v>
      </c>
      <c r="E395" s="4" t="s">
        <v>26</v>
      </c>
      <c r="F395" s="4" t="s">
        <v>701</v>
      </c>
      <c r="G395" s="4" t="s">
        <v>702</v>
      </c>
      <c r="H395" s="4" t="s">
        <v>703</v>
      </c>
      <c r="I395" s="4" t="s">
        <v>704</v>
      </c>
      <c r="J395" s="5">
        <v>39661.0</v>
      </c>
      <c r="K395" s="5">
        <v>21517.0</v>
      </c>
      <c r="L395" s="4">
        <v>65.0</v>
      </c>
      <c r="M395" s="4" t="s">
        <v>1407</v>
      </c>
      <c r="O395" s="5">
        <v>43556.0</v>
      </c>
      <c r="P395" s="5">
        <v>73050.0</v>
      </c>
      <c r="Q395" s="4" t="s">
        <v>31</v>
      </c>
      <c r="R395" s="4" t="s">
        <v>32</v>
      </c>
      <c r="S395" s="6" t="s">
        <v>705</v>
      </c>
      <c r="T395" s="4" t="s">
        <v>705</v>
      </c>
      <c r="U395" s="4">
        <v>22.0</v>
      </c>
      <c r="V395" s="4" t="s">
        <v>34</v>
      </c>
      <c r="W395" s="4">
        <v>43255.0</v>
      </c>
      <c r="X395" s="4" t="s">
        <v>708</v>
      </c>
      <c r="Y395" s="4" t="s">
        <v>709</v>
      </c>
      <c r="Z395" s="4" t="s">
        <v>1433</v>
      </c>
      <c r="AA395" s="4">
        <v>1986.0</v>
      </c>
      <c r="AB395" s="4" t="s">
        <v>58</v>
      </c>
      <c r="AC395" s="5">
        <v>31678.0</v>
      </c>
      <c r="AD395" s="4" t="s">
        <v>1411</v>
      </c>
      <c r="AE395" s="5">
        <v>41717.0</v>
      </c>
    </row>
    <row r="396">
      <c r="A396" s="4" t="s">
        <v>1465</v>
      </c>
      <c r="B396" s="4" t="s">
        <v>1423</v>
      </c>
      <c r="C396" s="4" t="s">
        <v>109</v>
      </c>
      <c r="D396" s="4" t="s">
        <v>1424</v>
      </c>
      <c r="E396" s="4" t="s">
        <v>80</v>
      </c>
      <c r="F396" s="4" t="s">
        <v>3019</v>
      </c>
      <c r="G396" s="4" t="s">
        <v>310</v>
      </c>
      <c r="H396" s="4" t="s">
        <v>1271</v>
      </c>
      <c r="I396" s="4" t="s">
        <v>3020</v>
      </c>
      <c r="J396" s="5">
        <v>35265.0</v>
      </c>
      <c r="K396" s="5">
        <v>18478.0</v>
      </c>
      <c r="L396" s="4">
        <v>73.0</v>
      </c>
      <c r="M396" s="4" t="s">
        <v>1425</v>
      </c>
      <c r="N396" s="4" t="s">
        <v>1419</v>
      </c>
      <c r="O396" s="5">
        <v>35977.0</v>
      </c>
      <c r="P396" s="5">
        <v>37833.0</v>
      </c>
      <c r="Q396" s="4" t="s">
        <v>31</v>
      </c>
      <c r="R396" s="4" t="s">
        <v>32</v>
      </c>
      <c r="S396" s="6" t="s">
        <v>3021</v>
      </c>
      <c r="T396" s="4" t="s">
        <v>3022</v>
      </c>
      <c r="U396" s="4">
        <v>44.0</v>
      </c>
      <c r="V396" s="4" t="s">
        <v>1335</v>
      </c>
      <c r="W396" s="4">
        <v>38173.0</v>
      </c>
      <c r="X396" s="4" t="s">
        <v>3023</v>
      </c>
      <c r="Y396" s="4" t="s">
        <v>89</v>
      </c>
      <c r="Z396" s="4" t="s">
        <v>1519</v>
      </c>
      <c r="AA396" s="4">
        <v>1972.0</v>
      </c>
      <c r="AB396" s="4" t="s">
        <v>438</v>
      </c>
      <c r="AC396" s="5">
        <v>26506.0</v>
      </c>
      <c r="AD396" s="4" t="s">
        <v>1411</v>
      </c>
    </row>
    <row r="397">
      <c r="A397" s="4" t="s">
        <v>1434</v>
      </c>
      <c r="B397" s="4" t="s">
        <v>1540</v>
      </c>
      <c r="C397" s="4" t="s">
        <v>99</v>
      </c>
      <c r="D397" s="4" t="s">
        <v>1541</v>
      </c>
      <c r="E397" s="4" t="s">
        <v>26</v>
      </c>
      <c r="F397" s="4" t="s">
        <v>3024</v>
      </c>
      <c r="G397" s="4" t="s">
        <v>3025</v>
      </c>
      <c r="H397" s="4" t="s">
        <v>3026</v>
      </c>
      <c r="I397" s="4" t="s">
        <v>3027</v>
      </c>
      <c r="J397" s="5">
        <v>26390.0</v>
      </c>
      <c r="K397" s="5">
        <v>11681.0</v>
      </c>
      <c r="L397" s="4">
        <v>92.0</v>
      </c>
      <c r="M397" s="4" t="s">
        <v>1425</v>
      </c>
      <c r="O397" s="5">
        <v>39083.0</v>
      </c>
      <c r="P397" s="5">
        <v>39141.0</v>
      </c>
      <c r="Q397" s="4" t="s">
        <v>66</v>
      </c>
      <c r="R397" s="4" t="s">
        <v>32</v>
      </c>
      <c r="S397" s="6" t="s">
        <v>3028</v>
      </c>
      <c r="T397" s="4" t="s">
        <v>3029</v>
      </c>
      <c r="U397" s="4">
        <v>22.0</v>
      </c>
      <c r="V397" s="4" t="s">
        <v>55</v>
      </c>
      <c r="W397" s="4">
        <v>29049.0</v>
      </c>
      <c r="X397" s="4" t="s">
        <v>58</v>
      </c>
      <c r="Y397" s="4" t="s">
        <v>59</v>
      </c>
      <c r="Z397" s="4" t="s">
        <v>1544</v>
      </c>
      <c r="AA397" s="4">
        <v>1979.0</v>
      </c>
      <c r="AB397" s="4" t="s">
        <v>58</v>
      </c>
      <c r="AC397" s="5">
        <v>29049.0</v>
      </c>
      <c r="AD397" s="4" t="s">
        <v>1411</v>
      </c>
    </row>
    <row r="398">
      <c r="A398" s="4" t="s">
        <v>60</v>
      </c>
      <c r="B398" s="4" t="s">
        <v>1473</v>
      </c>
      <c r="C398" s="4" t="s">
        <v>25</v>
      </c>
      <c r="D398" s="4" t="s">
        <v>1474</v>
      </c>
      <c r="E398" s="4" t="s">
        <v>26</v>
      </c>
      <c r="F398" s="4" t="s">
        <v>243</v>
      </c>
      <c r="G398" s="4" t="s">
        <v>244</v>
      </c>
      <c r="H398" s="4" t="s">
        <v>245</v>
      </c>
      <c r="I398" s="4" t="s">
        <v>246</v>
      </c>
      <c r="J398" s="5">
        <v>35068.0</v>
      </c>
      <c r="K398" s="5">
        <v>21071.0</v>
      </c>
      <c r="L398" s="4">
        <v>66.0</v>
      </c>
      <c r="M398" s="4" t="s">
        <v>1407</v>
      </c>
      <c r="N398" s="4" t="s">
        <v>1419</v>
      </c>
      <c r="O398" s="5">
        <v>43831.0</v>
      </c>
      <c r="P398" s="5">
        <v>73050.0</v>
      </c>
      <c r="Q398" s="4" t="s">
        <v>31</v>
      </c>
      <c r="R398" s="4" t="s">
        <v>32</v>
      </c>
      <c r="S398" s="6" t="s">
        <v>3030</v>
      </c>
      <c r="T398" s="4" t="s">
        <v>247</v>
      </c>
      <c r="U398" s="4">
        <v>44.0</v>
      </c>
      <c r="V398" s="4" t="s">
        <v>34</v>
      </c>
      <c r="W398" s="4">
        <v>34699.0</v>
      </c>
      <c r="X398" s="4" t="s">
        <v>250</v>
      </c>
      <c r="Y398" s="4" t="s">
        <v>89</v>
      </c>
      <c r="Z398" s="4" t="s">
        <v>1427</v>
      </c>
      <c r="AA398" s="4">
        <v>1996.0</v>
      </c>
      <c r="AB398" s="4" t="s">
        <v>58</v>
      </c>
      <c r="AC398" s="5">
        <v>35209.0</v>
      </c>
      <c r="AD398" s="4" t="s">
        <v>1411</v>
      </c>
      <c r="AE398" s="5">
        <v>41724.0</v>
      </c>
    </row>
    <row r="399">
      <c r="A399" s="4" t="s">
        <v>337</v>
      </c>
      <c r="B399" s="4" t="s">
        <v>1423</v>
      </c>
      <c r="C399" s="4" t="s">
        <v>109</v>
      </c>
      <c r="D399" s="4" t="s">
        <v>1424</v>
      </c>
      <c r="E399" s="4" t="s">
        <v>80</v>
      </c>
      <c r="F399" s="4" t="s">
        <v>1152</v>
      </c>
      <c r="G399" s="4" t="s">
        <v>1153</v>
      </c>
      <c r="H399" s="4" t="s">
        <v>1154</v>
      </c>
      <c r="I399" s="4" t="s">
        <v>1155</v>
      </c>
      <c r="J399" s="5">
        <v>43709.0</v>
      </c>
      <c r="K399" s="5">
        <v>28764.0</v>
      </c>
      <c r="L399" s="4">
        <v>45.0</v>
      </c>
      <c r="M399" s="4" t="s">
        <v>1407</v>
      </c>
      <c r="O399" s="5">
        <v>44927.0</v>
      </c>
      <c r="P399" s="5">
        <v>45291.0</v>
      </c>
      <c r="Q399" s="4" t="s">
        <v>66</v>
      </c>
      <c r="R399" s="4" t="s">
        <v>32</v>
      </c>
      <c r="S399" s="6" t="s">
        <v>3031</v>
      </c>
      <c r="T399" s="4" t="s">
        <v>1156</v>
      </c>
      <c r="U399" s="4">
        <v>44.0</v>
      </c>
      <c r="V399" s="4" t="s">
        <v>34</v>
      </c>
      <c r="W399" s="4">
        <v>42036.0</v>
      </c>
      <c r="X399" s="4" t="s">
        <v>1159</v>
      </c>
      <c r="Y399" s="4" t="s">
        <v>227</v>
      </c>
      <c r="Z399" s="4" t="s">
        <v>3032</v>
      </c>
      <c r="AA399" s="4">
        <v>2003.0</v>
      </c>
      <c r="AB399" s="4" t="s">
        <v>3033</v>
      </c>
      <c r="AC399" s="5">
        <v>37935.0</v>
      </c>
      <c r="AD399" s="4" t="s">
        <v>1411</v>
      </c>
      <c r="AE399" s="5">
        <v>43677.0</v>
      </c>
    </row>
    <row r="400">
      <c r="A400" s="4" t="s">
        <v>78</v>
      </c>
      <c r="B400" s="4" t="s">
        <v>1405</v>
      </c>
      <c r="C400" s="4" t="s">
        <v>317</v>
      </c>
      <c r="D400" s="4" t="s">
        <v>1406</v>
      </c>
      <c r="E400" s="4" t="s">
        <v>26</v>
      </c>
      <c r="F400" s="4" t="s">
        <v>601</v>
      </c>
      <c r="G400" s="4" t="s">
        <v>602</v>
      </c>
      <c r="H400" s="4" t="s">
        <v>603</v>
      </c>
      <c r="I400" s="4" t="s">
        <v>604</v>
      </c>
      <c r="J400" s="5">
        <v>38961.0</v>
      </c>
      <c r="K400" s="5">
        <v>28555.0</v>
      </c>
      <c r="L400" s="4">
        <v>45.0</v>
      </c>
      <c r="M400" s="4" t="s">
        <v>1425</v>
      </c>
      <c r="O400" s="5">
        <v>44866.0</v>
      </c>
      <c r="P400" s="5">
        <v>73050.0</v>
      </c>
      <c r="Q400" s="4" t="s">
        <v>31</v>
      </c>
      <c r="R400" s="4" t="s">
        <v>32</v>
      </c>
      <c r="S400" s="6" t="s">
        <v>3034</v>
      </c>
      <c r="T400" s="4" t="s">
        <v>605</v>
      </c>
      <c r="U400" s="4">
        <v>22.0</v>
      </c>
      <c r="V400" s="4" t="s">
        <v>34</v>
      </c>
      <c r="W400" s="4">
        <v>42914.0</v>
      </c>
      <c r="X400" s="4" t="s">
        <v>607</v>
      </c>
      <c r="Y400" s="4" t="s">
        <v>1859</v>
      </c>
      <c r="Z400" s="4" t="s">
        <v>1433</v>
      </c>
      <c r="AA400" s="4">
        <v>2006.0</v>
      </c>
      <c r="AB400" s="4" t="s">
        <v>58</v>
      </c>
      <c r="AC400" s="5">
        <v>38842.0</v>
      </c>
      <c r="AD400" s="4" t="s">
        <v>1411</v>
      </c>
      <c r="AE400" s="5">
        <v>44845.0</v>
      </c>
    </row>
    <row r="401">
      <c r="A401" s="4" t="s">
        <v>60</v>
      </c>
      <c r="B401" s="4" t="s">
        <v>1540</v>
      </c>
      <c r="C401" s="4" t="s">
        <v>99</v>
      </c>
      <c r="D401" s="4" t="s">
        <v>1541</v>
      </c>
      <c r="E401" s="4" t="s">
        <v>80</v>
      </c>
      <c r="F401" s="4" t="s">
        <v>633</v>
      </c>
      <c r="G401" s="4" t="s">
        <v>634</v>
      </c>
      <c r="H401" s="4" t="s">
        <v>635</v>
      </c>
      <c r="I401" s="4" t="s">
        <v>636</v>
      </c>
      <c r="J401" s="5">
        <v>39234.0</v>
      </c>
      <c r="K401" s="5">
        <v>27202.0</v>
      </c>
      <c r="L401" s="4">
        <v>49.0</v>
      </c>
      <c r="M401" s="4" t="s">
        <v>1425</v>
      </c>
      <c r="O401" s="5">
        <v>44927.0</v>
      </c>
      <c r="P401" s="5">
        <v>45291.0</v>
      </c>
      <c r="Q401" s="4" t="s">
        <v>66</v>
      </c>
      <c r="R401" s="4" t="s">
        <v>32</v>
      </c>
      <c r="S401" s="6" t="s">
        <v>3035</v>
      </c>
      <c r="T401" s="4" t="s">
        <v>637</v>
      </c>
      <c r="U401" s="4">
        <v>44.0</v>
      </c>
      <c r="V401" s="4" t="s">
        <v>34</v>
      </c>
      <c r="W401" s="4">
        <v>40015.0</v>
      </c>
      <c r="X401" s="4" t="s">
        <v>3036</v>
      </c>
      <c r="Y401" s="4" t="s">
        <v>89</v>
      </c>
      <c r="Z401" s="4" t="s">
        <v>1427</v>
      </c>
      <c r="AA401" s="4">
        <v>2000.0</v>
      </c>
      <c r="AB401" s="4" t="s">
        <v>58</v>
      </c>
      <c r="AC401" s="5">
        <v>36683.0</v>
      </c>
      <c r="AD401" s="4" t="s">
        <v>1411</v>
      </c>
      <c r="AE401" s="5">
        <v>43551.0</v>
      </c>
    </row>
    <row r="402">
      <c r="A402" s="4" t="s">
        <v>1412</v>
      </c>
      <c r="B402" s="4" t="s">
        <v>1423</v>
      </c>
      <c r="C402" s="4" t="s">
        <v>109</v>
      </c>
      <c r="D402" s="4" t="s">
        <v>1424</v>
      </c>
      <c r="E402" s="4" t="s">
        <v>26</v>
      </c>
      <c r="F402" s="4" t="s">
        <v>633</v>
      </c>
      <c r="G402" s="4" t="s">
        <v>453</v>
      </c>
      <c r="H402" s="4" t="s">
        <v>3037</v>
      </c>
      <c r="I402" s="4" t="s">
        <v>3038</v>
      </c>
      <c r="J402" s="5">
        <v>26299.0</v>
      </c>
      <c r="K402" s="5">
        <v>17056.0</v>
      </c>
      <c r="L402" s="4">
        <v>77.0</v>
      </c>
      <c r="M402" s="4" t="s">
        <v>1407</v>
      </c>
      <c r="O402" s="5">
        <v>32690.0</v>
      </c>
      <c r="P402" s="5">
        <v>34789.0</v>
      </c>
      <c r="Q402" s="4" t="s">
        <v>31</v>
      </c>
      <c r="R402" s="4" t="s">
        <v>32</v>
      </c>
      <c r="S402" s="6" t="s">
        <v>3039</v>
      </c>
      <c r="T402" s="4" t="s">
        <v>3040</v>
      </c>
      <c r="U402" s="4">
        <v>44.0</v>
      </c>
      <c r="AD402" s="4" t="s">
        <v>1411</v>
      </c>
    </row>
    <row r="403">
      <c r="A403" s="4" t="s">
        <v>1465</v>
      </c>
      <c r="B403" s="4" t="s">
        <v>1413</v>
      </c>
      <c r="C403" s="4" t="s">
        <v>1414</v>
      </c>
      <c r="D403" s="4" t="s">
        <v>1415</v>
      </c>
      <c r="E403" s="4" t="s">
        <v>26</v>
      </c>
      <c r="F403" s="4" t="s">
        <v>633</v>
      </c>
      <c r="G403" s="4" t="s">
        <v>2008</v>
      </c>
      <c r="H403" s="4" t="s">
        <v>3041</v>
      </c>
      <c r="I403" s="4" t="s">
        <v>3042</v>
      </c>
      <c r="J403" s="5">
        <v>33756.0</v>
      </c>
      <c r="K403" s="5">
        <v>19774.0</v>
      </c>
      <c r="L403" s="4">
        <v>69.0</v>
      </c>
      <c r="M403" s="4" t="s">
        <v>1407</v>
      </c>
      <c r="O403" s="5">
        <v>34213.0</v>
      </c>
      <c r="P403" s="5">
        <v>34789.0</v>
      </c>
      <c r="Q403" s="4" t="s">
        <v>31</v>
      </c>
      <c r="R403" s="4" t="s">
        <v>32</v>
      </c>
      <c r="S403" s="6" t="s">
        <v>3043</v>
      </c>
      <c r="T403" s="4" t="s">
        <v>3044</v>
      </c>
      <c r="U403" s="4">
        <v>12.0</v>
      </c>
      <c r="AD403" s="4" t="s">
        <v>1411</v>
      </c>
    </row>
    <row r="404">
      <c r="A404" s="4" t="s">
        <v>60</v>
      </c>
      <c r="B404" s="4" t="s">
        <v>1423</v>
      </c>
      <c r="C404" s="4" t="s">
        <v>109</v>
      </c>
      <c r="D404" s="4" t="s">
        <v>1424</v>
      </c>
      <c r="E404" s="4" t="s">
        <v>26</v>
      </c>
      <c r="F404" s="4" t="s">
        <v>633</v>
      </c>
      <c r="G404" s="4" t="s">
        <v>528</v>
      </c>
      <c r="H404" s="4" t="s">
        <v>830</v>
      </c>
      <c r="I404" s="4" t="s">
        <v>1082</v>
      </c>
      <c r="J404" s="5">
        <v>43191.0</v>
      </c>
      <c r="K404" s="5">
        <v>30180.0</v>
      </c>
      <c r="L404" s="4">
        <v>41.0</v>
      </c>
      <c r="M404" s="4" t="s">
        <v>1407</v>
      </c>
      <c r="O404" s="5">
        <v>44927.0</v>
      </c>
      <c r="P404" s="5">
        <v>45291.0</v>
      </c>
      <c r="Q404" s="4" t="s">
        <v>66</v>
      </c>
      <c r="R404" s="4" t="s">
        <v>32</v>
      </c>
      <c r="S404" s="6" t="s">
        <v>3045</v>
      </c>
      <c r="T404" s="4" t="s">
        <v>1083</v>
      </c>
      <c r="U404" s="4">
        <v>21.0</v>
      </c>
      <c r="V404" s="4" t="s">
        <v>34</v>
      </c>
      <c r="W404" s="4">
        <v>42688.0</v>
      </c>
      <c r="X404" s="4" t="s">
        <v>1086</v>
      </c>
      <c r="Y404" s="4" t="s">
        <v>38</v>
      </c>
      <c r="Z404" s="4" t="s">
        <v>1510</v>
      </c>
      <c r="AA404" s="4">
        <v>2006.0</v>
      </c>
      <c r="AB404" s="4" t="s">
        <v>661</v>
      </c>
      <c r="AC404" s="5">
        <v>39042.0</v>
      </c>
      <c r="AD404" s="4" t="s">
        <v>1411</v>
      </c>
      <c r="AE404" s="5">
        <v>43125.0</v>
      </c>
    </row>
    <row r="405">
      <c r="A405" s="4" t="s">
        <v>1440</v>
      </c>
      <c r="B405" s="4" t="s">
        <v>1423</v>
      </c>
      <c r="C405" s="4" t="s">
        <v>109</v>
      </c>
      <c r="D405" s="4" t="s">
        <v>1424</v>
      </c>
      <c r="E405" s="4" t="s">
        <v>26</v>
      </c>
      <c r="F405" s="4" t="s">
        <v>267</v>
      </c>
      <c r="G405" s="4" t="s">
        <v>578</v>
      </c>
      <c r="H405" s="4" t="s">
        <v>3046</v>
      </c>
      <c r="I405" s="4" t="s">
        <v>3047</v>
      </c>
      <c r="J405" s="5">
        <v>26146.0</v>
      </c>
      <c r="K405" s="5">
        <v>17299.0</v>
      </c>
      <c r="L405" s="4">
        <v>76.0</v>
      </c>
      <c r="M405" s="4" t="s">
        <v>1585</v>
      </c>
      <c r="O405" s="5">
        <v>33390.0</v>
      </c>
      <c r="P405" s="5">
        <v>34789.0</v>
      </c>
      <c r="Q405" s="4" t="s">
        <v>31</v>
      </c>
      <c r="R405" s="4" t="s">
        <v>32</v>
      </c>
      <c r="S405" s="6" t="s">
        <v>3048</v>
      </c>
      <c r="T405" s="4" t="s">
        <v>3049</v>
      </c>
      <c r="U405" s="4">
        <v>4.0</v>
      </c>
      <c r="AD405" s="4" t="s">
        <v>1411</v>
      </c>
    </row>
    <row r="406">
      <c r="A406" s="4" t="s">
        <v>1440</v>
      </c>
      <c r="B406" s="4" t="s">
        <v>1423</v>
      </c>
      <c r="C406" s="4" t="s">
        <v>109</v>
      </c>
      <c r="D406" s="4" t="s">
        <v>1424</v>
      </c>
      <c r="E406" s="4" t="s">
        <v>26</v>
      </c>
      <c r="F406" s="4" t="s">
        <v>267</v>
      </c>
      <c r="G406" s="4" t="s">
        <v>578</v>
      </c>
      <c r="H406" s="4" t="s">
        <v>3046</v>
      </c>
      <c r="I406" s="4" t="s">
        <v>3047</v>
      </c>
      <c r="J406" s="5">
        <v>26146.0</v>
      </c>
      <c r="K406" s="5">
        <v>17299.0</v>
      </c>
      <c r="L406" s="4">
        <v>76.0</v>
      </c>
      <c r="M406" s="4" t="s">
        <v>1585</v>
      </c>
      <c r="O406" s="5">
        <v>33451.0</v>
      </c>
      <c r="P406" s="5">
        <v>34789.0</v>
      </c>
      <c r="Q406" s="4" t="s">
        <v>31</v>
      </c>
      <c r="R406" s="4" t="s">
        <v>32</v>
      </c>
      <c r="S406" s="6" t="s">
        <v>3048</v>
      </c>
      <c r="T406" s="4" t="s">
        <v>3049</v>
      </c>
      <c r="U406" s="4">
        <v>4.0</v>
      </c>
      <c r="AD406" s="4" t="s">
        <v>1411</v>
      </c>
    </row>
    <row r="407">
      <c r="A407" s="4" t="s">
        <v>1412</v>
      </c>
      <c r="B407" s="4" t="s">
        <v>1849</v>
      </c>
      <c r="C407" s="4" t="s">
        <v>1850</v>
      </c>
      <c r="D407" s="4" t="s">
        <v>1851</v>
      </c>
      <c r="E407" s="4" t="s">
        <v>80</v>
      </c>
      <c r="F407" s="4" t="s">
        <v>267</v>
      </c>
      <c r="G407" s="4" t="s">
        <v>212</v>
      </c>
      <c r="H407" s="4" t="s">
        <v>3050</v>
      </c>
      <c r="I407" s="4" t="s">
        <v>3051</v>
      </c>
      <c r="J407" s="5">
        <v>35400.0</v>
      </c>
      <c r="K407" s="5">
        <v>24538.0</v>
      </c>
      <c r="L407" s="4">
        <v>56.0</v>
      </c>
      <c r="M407" s="4" t="s">
        <v>1407</v>
      </c>
      <c r="O407" s="5">
        <v>36526.0</v>
      </c>
      <c r="P407" s="5">
        <v>36769.0</v>
      </c>
      <c r="Q407" s="4" t="s">
        <v>66</v>
      </c>
      <c r="R407" s="4" t="s">
        <v>32</v>
      </c>
      <c r="S407" s="6" t="s">
        <v>3052</v>
      </c>
      <c r="T407" s="4" t="s">
        <v>3053</v>
      </c>
      <c r="U407" s="4">
        <v>6.0</v>
      </c>
      <c r="AD407" s="4" t="s">
        <v>1411</v>
      </c>
    </row>
    <row r="408">
      <c r="A408" s="4" t="s">
        <v>1684</v>
      </c>
      <c r="B408" s="4" t="s">
        <v>1405</v>
      </c>
      <c r="C408" s="4" t="s">
        <v>317</v>
      </c>
      <c r="D408" s="4" t="s">
        <v>1406</v>
      </c>
      <c r="E408" s="4" t="s">
        <v>80</v>
      </c>
      <c r="F408" s="4" t="s">
        <v>267</v>
      </c>
      <c r="G408" s="4" t="s">
        <v>2708</v>
      </c>
      <c r="H408" s="4" t="s">
        <v>3054</v>
      </c>
      <c r="I408" s="4" t="s">
        <v>3055</v>
      </c>
      <c r="J408" s="5">
        <v>38869.0</v>
      </c>
      <c r="K408" s="5">
        <v>19019.0</v>
      </c>
      <c r="L408" s="4">
        <v>71.0</v>
      </c>
      <c r="M408" s="4" t="s">
        <v>1407</v>
      </c>
      <c r="O408" s="5">
        <v>39083.0</v>
      </c>
      <c r="P408" s="5">
        <v>39294.0</v>
      </c>
      <c r="Q408" s="4" t="s">
        <v>66</v>
      </c>
      <c r="R408" s="4" t="s">
        <v>32</v>
      </c>
      <c r="S408" s="6" t="s">
        <v>3056</v>
      </c>
      <c r="T408" s="4" t="s">
        <v>3057</v>
      </c>
      <c r="U408" s="4">
        <v>12.0</v>
      </c>
      <c r="Z408" s="4" t="s">
        <v>3058</v>
      </c>
      <c r="AA408" s="4">
        <v>1994.0</v>
      </c>
      <c r="AB408" s="4" t="s">
        <v>661</v>
      </c>
      <c r="AC408" s="5">
        <v>34634.0</v>
      </c>
      <c r="AD408" s="4" t="s">
        <v>1411</v>
      </c>
      <c r="AE408" s="5">
        <v>38862.0</v>
      </c>
    </row>
    <row r="409">
      <c r="A409" s="4" t="s">
        <v>39</v>
      </c>
      <c r="B409" s="4" t="s">
        <v>1405</v>
      </c>
      <c r="C409" s="4" t="s">
        <v>317</v>
      </c>
      <c r="D409" s="4" t="s">
        <v>1406</v>
      </c>
      <c r="E409" s="4" t="s">
        <v>80</v>
      </c>
      <c r="F409" s="4" t="s">
        <v>281</v>
      </c>
      <c r="G409" s="4" t="s">
        <v>3059</v>
      </c>
      <c r="H409" s="4" t="s">
        <v>3060</v>
      </c>
      <c r="I409" s="4" t="s">
        <v>3061</v>
      </c>
      <c r="J409" s="5">
        <v>38899.0</v>
      </c>
      <c r="K409" s="5">
        <v>26787.0</v>
      </c>
      <c r="L409" s="4">
        <v>50.0</v>
      </c>
      <c r="M409" s="4" t="s">
        <v>1425</v>
      </c>
      <c r="O409" s="5">
        <v>42736.0</v>
      </c>
      <c r="P409" s="5">
        <v>43100.0</v>
      </c>
      <c r="Q409" s="4" t="s">
        <v>66</v>
      </c>
      <c r="R409" s="4" t="s">
        <v>32</v>
      </c>
      <c r="S409" s="6" t="s">
        <v>3062</v>
      </c>
      <c r="T409" s="4" t="s">
        <v>3062</v>
      </c>
      <c r="U409" s="4">
        <v>44.0</v>
      </c>
      <c r="V409" s="4" t="s">
        <v>375</v>
      </c>
      <c r="W409" s="4">
        <v>37987.0</v>
      </c>
      <c r="X409" s="4" t="s">
        <v>58</v>
      </c>
      <c r="Y409" s="4" t="s">
        <v>59</v>
      </c>
      <c r="Z409" s="4" t="s">
        <v>1479</v>
      </c>
      <c r="AA409" s="4">
        <v>1997.0</v>
      </c>
      <c r="AB409" s="4" t="s">
        <v>3063</v>
      </c>
      <c r="AC409" s="5">
        <v>35492.0</v>
      </c>
      <c r="AD409" s="4" t="s">
        <v>1411</v>
      </c>
      <c r="AE409" s="5">
        <v>38897.0</v>
      </c>
    </row>
    <row r="410">
      <c r="A410" s="4" t="s">
        <v>1412</v>
      </c>
      <c r="B410" s="4" t="s">
        <v>1423</v>
      </c>
      <c r="C410" s="4" t="s">
        <v>109</v>
      </c>
      <c r="D410" s="4" t="s">
        <v>1424</v>
      </c>
      <c r="E410" s="4" t="s">
        <v>26</v>
      </c>
      <c r="F410" s="4" t="s">
        <v>281</v>
      </c>
      <c r="G410" s="4" t="s">
        <v>3064</v>
      </c>
      <c r="H410" s="4" t="s">
        <v>3065</v>
      </c>
      <c r="I410" s="4" t="s">
        <v>3066</v>
      </c>
      <c r="J410" s="5">
        <v>30225.0</v>
      </c>
      <c r="K410" s="5">
        <v>18897.0</v>
      </c>
      <c r="L410" s="4">
        <v>72.0</v>
      </c>
      <c r="M410" s="4" t="s">
        <v>1407</v>
      </c>
      <c r="O410" s="5">
        <v>36617.0</v>
      </c>
      <c r="P410" s="5">
        <v>41578.0</v>
      </c>
      <c r="Q410" s="4" t="s">
        <v>31</v>
      </c>
      <c r="R410" s="4" t="s">
        <v>32</v>
      </c>
      <c r="S410" s="6" t="s">
        <v>3067</v>
      </c>
      <c r="T410" s="4" t="s">
        <v>3068</v>
      </c>
      <c r="U410" s="4">
        <v>6.0</v>
      </c>
      <c r="V410" s="4" t="s">
        <v>106</v>
      </c>
      <c r="W410" s="4">
        <v>36160.0</v>
      </c>
      <c r="X410" s="4" t="s">
        <v>3069</v>
      </c>
      <c r="Y410" s="4" t="s">
        <v>481</v>
      </c>
      <c r="Z410" s="4" t="s">
        <v>1499</v>
      </c>
      <c r="AA410" s="4">
        <v>1979.0</v>
      </c>
      <c r="AB410" s="4" t="s">
        <v>58</v>
      </c>
      <c r="AC410" s="5">
        <v>29112.0</v>
      </c>
      <c r="AD410" s="4" t="s">
        <v>1411</v>
      </c>
      <c r="AE410" s="5">
        <v>34822.0</v>
      </c>
    </row>
    <row r="411">
      <c r="A411" s="4" t="s">
        <v>60</v>
      </c>
      <c r="B411" s="4" t="s">
        <v>1405</v>
      </c>
      <c r="C411" s="4" t="s">
        <v>317</v>
      </c>
      <c r="D411" s="4" t="s">
        <v>1406</v>
      </c>
      <c r="E411" s="4" t="s">
        <v>26</v>
      </c>
      <c r="F411" s="4" t="s">
        <v>3070</v>
      </c>
      <c r="G411" s="4" t="s">
        <v>3071</v>
      </c>
      <c r="H411" s="4" t="s">
        <v>3072</v>
      </c>
      <c r="I411" s="4" t="s">
        <v>3073</v>
      </c>
      <c r="J411" s="5">
        <v>34973.0</v>
      </c>
      <c r="K411" s="5">
        <v>20754.0</v>
      </c>
      <c r="L411" s="4">
        <v>67.0</v>
      </c>
      <c r="M411" s="4" t="s">
        <v>1407</v>
      </c>
      <c r="O411" s="5">
        <v>42186.0</v>
      </c>
      <c r="P411" s="5">
        <v>43677.0</v>
      </c>
      <c r="Q411" s="4" t="s">
        <v>31</v>
      </c>
      <c r="R411" s="4" t="s">
        <v>32</v>
      </c>
      <c r="S411" s="6" t="s">
        <v>3074</v>
      </c>
      <c r="T411" s="4" t="s">
        <v>3075</v>
      </c>
      <c r="U411" s="4">
        <v>12.0</v>
      </c>
      <c r="V411" s="4" t="s">
        <v>359</v>
      </c>
      <c r="W411" s="4">
        <v>40508.0</v>
      </c>
      <c r="X411" s="4" t="s">
        <v>3076</v>
      </c>
      <c r="Y411" s="4" t="s">
        <v>700</v>
      </c>
      <c r="Z411" s="4" t="s">
        <v>1427</v>
      </c>
      <c r="AA411" s="4">
        <v>1984.0</v>
      </c>
      <c r="AB411" s="4" t="s">
        <v>58</v>
      </c>
      <c r="AC411" s="5">
        <v>31037.0</v>
      </c>
      <c r="AD411" s="4" t="s">
        <v>1411</v>
      </c>
      <c r="AE411" s="5">
        <v>38610.0</v>
      </c>
    </row>
    <row r="412">
      <c r="A412" s="4" t="s">
        <v>1684</v>
      </c>
      <c r="B412" s="4" t="s">
        <v>1473</v>
      </c>
      <c r="C412" s="4" t="s">
        <v>25</v>
      </c>
      <c r="D412" s="4" t="s">
        <v>1474</v>
      </c>
      <c r="E412" s="4" t="s">
        <v>26</v>
      </c>
      <c r="F412" s="4" t="s">
        <v>3077</v>
      </c>
      <c r="G412" s="4" t="s">
        <v>405</v>
      </c>
      <c r="H412" s="4" t="s">
        <v>3078</v>
      </c>
      <c r="I412" s="4" t="s">
        <v>3079</v>
      </c>
      <c r="J412" s="5">
        <v>28430.0</v>
      </c>
      <c r="K412" s="5">
        <v>17581.0</v>
      </c>
      <c r="L412" s="4">
        <v>75.0</v>
      </c>
      <c r="M412" s="4" t="s">
        <v>1407</v>
      </c>
      <c r="O412" s="5">
        <v>35217.0</v>
      </c>
      <c r="P412" s="5">
        <v>41502.0</v>
      </c>
      <c r="Q412" s="4" t="s">
        <v>31</v>
      </c>
      <c r="R412" s="4" t="s">
        <v>32</v>
      </c>
      <c r="S412" s="6" t="s">
        <v>3080</v>
      </c>
      <c r="T412" s="4" t="s">
        <v>3081</v>
      </c>
      <c r="U412" s="4">
        <v>2.0</v>
      </c>
      <c r="V412" s="4" t="s">
        <v>34</v>
      </c>
      <c r="W412" s="4">
        <v>31777.0</v>
      </c>
      <c r="X412" s="4" t="s">
        <v>2664</v>
      </c>
      <c r="Y412" s="4" t="s">
        <v>227</v>
      </c>
      <c r="Z412" s="4" t="s">
        <v>1897</v>
      </c>
      <c r="AA412" s="4">
        <v>1975.0</v>
      </c>
      <c r="AB412" s="4" t="s">
        <v>3082</v>
      </c>
      <c r="AC412" s="5">
        <v>27472.0</v>
      </c>
      <c r="AD412" s="4" t="s">
        <v>1411</v>
      </c>
      <c r="AE412" s="5">
        <v>31548.0</v>
      </c>
    </row>
    <row r="413">
      <c r="A413" s="4" t="s">
        <v>78</v>
      </c>
      <c r="B413" s="4" t="s">
        <v>1423</v>
      </c>
      <c r="C413" s="4" t="s">
        <v>109</v>
      </c>
      <c r="D413" s="4" t="s">
        <v>1424</v>
      </c>
      <c r="E413" s="4" t="s">
        <v>80</v>
      </c>
      <c r="F413" s="4" t="s">
        <v>274</v>
      </c>
      <c r="G413" s="4" t="s">
        <v>1202</v>
      </c>
      <c r="H413" s="4" t="s">
        <v>1203</v>
      </c>
      <c r="I413" s="4" t="s">
        <v>3083</v>
      </c>
      <c r="J413" s="5">
        <v>44287.0</v>
      </c>
      <c r="K413" s="5">
        <v>28073.0</v>
      </c>
      <c r="L413" s="4">
        <v>47.0</v>
      </c>
      <c r="M413" s="4" t="s">
        <v>1407</v>
      </c>
      <c r="O413" s="5">
        <v>44927.0</v>
      </c>
      <c r="P413" s="5">
        <v>45291.0</v>
      </c>
      <c r="Q413" s="4" t="s">
        <v>66</v>
      </c>
      <c r="R413" s="4" t="s">
        <v>32</v>
      </c>
      <c r="S413" s="6" t="s">
        <v>3084</v>
      </c>
      <c r="T413" s="4" t="s">
        <v>1205</v>
      </c>
      <c r="U413" s="4">
        <v>44.0</v>
      </c>
      <c r="V413" s="4" t="s">
        <v>34</v>
      </c>
      <c r="W413" s="4">
        <v>41313.0</v>
      </c>
      <c r="X413" s="4" t="s">
        <v>1207</v>
      </c>
      <c r="Y413" s="4" t="s">
        <v>1208</v>
      </c>
      <c r="Z413" s="4" t="s">
        <v>1433</v>
      </c>
      <c r="AA413" s="4">
        <v>2001.0</v>
      </c>
      <c r="AB413" s="4" t="s">
        <v>3085</v>
      </c>
      <c r="AC413" s="5">
        <v>37099.0</v>
      </c>
      <c r="AD413" s="4" t="s">
        <v>3086</v>
      </c>
      <c r="AE413" s="5">
        <v>44551.0</v>
      </c>
    </row>
    <row r="414">
      <c r="A414" s="4" t="s">
        <v>1684</v>
      </c>
      <c r="B414" s="4" t="s">
        <v>1413</v>
      </c>
      <c r="C414" s="4" t="s">
        <v>1414</v>
      </c>
      <c r="D414" s="4" t="s">
        <v>1415</v>
      </c>
      <c r="E414" s="4" t="s">
        <v>80</v>
      </c>
      <c r="F414" s="4" t="s">
        <v>274</v>
      </c>
      <c r="G414" s="4" t="s">
        <v>432</v>
      </c>
      <c r="H414" s="4" t="s">
        <v>3087</v>
      </c>
      <c r="I414" s="4" t="s">
        <v>3088</v>
      </c>
      <c r="J414" s="5">
        <v>38899.0</v>
      </c>
      <c r="K414" s="5">
        <v>18256.0</v>
      </c>
      <c r="L414" s="4">
        <v>74.0</v>
      </c>
      <c r="M414" s="4" t="s">
        <v>1407</v>
      </c>
      <c r="O414" s="5">
        <v>39661.0</v>
      </c>
      <c r="P414" s="5">
        <v>39691.0</v>
      </c>
      <c r="Q414" s="4" t="s">
        <v>66</v>
      </c>
      <c r="R414" s="4" t="s">
        <v>32</v>
      </c>
      <c r="S414" s="6" t="s">
        <v>3089</v>
      </c>
      <c r="T414" s="4" t="s">
        <v>3090</v>
      </c>
      <c r="U414" s="4">
        <v>6.0</v>
      </c>
      <c r="V414" s="4" t="s">
        <v>375</v>
      </c>
      <c r="W414" s="4">
        <v>37106.0</v>
      </c>
      <c r="X414" s="4" t="s">
        <v>58</v>
      </c>
      <c r="Y414" s="4" t="s">
        <v>59</v>
      </c>
      <c r="Z414" s="4" t="s">
        <v>1479</v>
      </c>
      <c r="AA414" s="4">
        <v>1985.0</v>
      </c>
      <c r="AB414" s="4" t="s">
        <v>287</v>
      </c>
      <c r="AC414" s="5">
        <v>31194.0</v>
      </c>
      <c r="AD414" s="4" t="s">
        <v>1411</v>
      </c>
      <c r="AE414" s="5">
        <v>38883.0</v>
      </c>
    </row>
    <row r="415">
      <c r="A415" s="4" t="s">
        <v>1440</v>
      </c>
      <c r="B415" s="4" t="s">
        <v>1423</v>
      </c>
      <c r="C415" s="4" t="s">
        <v>109</v>
      </c>
      <c r="D415" s="4" t="s">
        <v>1424</v>
      </c>
      <c r="E415" s="4" t="s">
        <v>26</v>
      </c>
      <c r="F415" s="4" t="s">
        <v>3091</v>
      </c>
      <c r="G415" s="4" t="s">
        <v>3092</v>
      </c>
      <c r="H415" s="4" t="s">
        <v>3093</v>
      </c>
      <c r="I415" s="4" t="s">
        <v>3094</v>
      </c>
      <c r="J415" s="5">
        <v>24654.0</v>
      </c>
      <c r="K415" s="5">
        <v>15474.0</v>
      </c>
      <c r="L415" s="4">
        <v>81.0</v>
      </c>
      <c r="M415" s="4" t="s">
        <v>1425</v>
      </c>
      <c r="O415" s="5">
        <v>31472.0</v>
      </c>
      <c r="P415" s="5">
        <v>38664.0</v>
      </c>
      <c r="Q415" s="4" t="s">
        <v>31</v>
      </c>
      <c r="R415" s="4" t="s">
        <v>32</v>
      </c>
      <c r="S415" s="6" t="s">
        <v>3095</v>
      </c>
      <c r="T415" s="4" t="s">
        <v>3096</v>
      </c>
      <c r="U415" s="4">
        <v>44.0</v>
      </c>
      <c r="V415" s="4" t="s">
        <v>34</v>
      </c>
      <c r="W415" s="4">
        <v>31413.0</v>
      </c>
      <c r="X415" s="4" t="s">
        <v>3097</v>
      </c>
      <c r="Y415" s="4" t="s">
        <v>791</v>
      </c>
      <c r="AD415" s="4" t="s">
        <v>1411</v>
      </c>
    </row>
    <row r="416">
      <c r="A416" s="4" t="s">
        <v>1465</v>
      </c>
      <c r="B416" s="4" t="s">
        <v>1413</v>
      </c>
      <c r="C416" s="4" t="s">
        <v>1414</v>
      </c>
      <c r="D416" s="4" t="s">
        <v>1415</v>
      </c>
      <c r="E416" s="4" t="s">
        <v>80</v>
      </c>
      <c r="F416" s="4" t="s">
        <v>425</v>
      </c>
      <c r="G416" s="4" t="s">
        <v>3098</v>
      </c>
      <c r="H416" s="4" t="s">
        <v>3099</v>
      </c>
      <c r="I416" s="4" t="s">
        <v>3100</v>
      </c>
      <c r="J416" s="5">
        <v>32356.0</v>
      </c>
      <c r="K416" s="5">
        <v>21179.0</v>
      </c>
      <c r="L416" s="4">
        <v>66.0</v>
      </c>
      <c r="M416" s="4" t="s">
        <v>1425</v>
      </c>
      <c r="O416" s="5">
        <v>33420.0</v>
      </c>
      <c r="P416" s="5">
        <v>34758.0</v>
      </c>
      <c r="Q416" s="4" t="s">
        <v>31</v>
      </c>
      <c r="R416" s="4" t="s">
        <v>32</v>
      </c>
      <c r="S416" s="6" t="s">
        <v>3101</v>
      </c>
      <c r="T416" s="4" t="s">
        <v>3102</v>
      </c>
      <c r="U416" s="4">
        <v>12.0</v>
      </c>
      <c r="AD416" s="4" t="s">
        <v>1411</v>
      </c>
    </row>
    <row r="417">
      <c r="A417" s="4" t="s">
        <v>1412</v>
      </c>
      <c r="B417" s="4" t="s">
        <v>1982</v>
      </c>
      <c r="C417" s="4" t="s">
        <v>109</v>
      </c>
      <c r="D417" s="4" t="s">
        <v>1424</v>
      </c>
      <c r="E417" s="4" t="s">
        <v>80</v>
      </c>
      <c r="F417" s="4" t="s">
        <v>425</v>
      </c>
      <c r="G417" s="4" t="s">
        <v>3103</v>
      </c>
      <c r="H417" s="4" t="s">
        <v>3104</v>
      </c>
      <c r="I417" s="4" t="s">
        <v>3105</v>
      </c>
      <c r="J417" s="5">
        <v>26085.0</v>
      </c>
      <c r="K417" s="5">
        <v>16924.0</v>
      </c>
      <c r="L417" s="4">
        <v>77.0</v>
      </c>
      <c r="M417" s="4" t="s">
        <v>1407</v>
      </c>
      <c r="N417" s="4" t="s">
        <v>1419</v>
      </c>
      <c r="O417" s="5">
        <v>39661.0</v>
      </c>
      <c r="P417" s="5">
        <v>39813.0</v>
      </c>
      <c r="Q417" s="4" t="s">
        <v>66</v>
      </c>
      <c r="R417" s="4" t="s">
        <v>32</v>
      </c>
      <c r="S417" s="6" t="s">
        <v>3106</v>
      </c>
      <c r="T417" s="4" t="s">
        <v>3106</v>
      </c>
      <c r="U417" s="4">
        <v>6.0</v>
      </c>
      <c r="V417" s="4" t="s">
        <v>1492</v>
      </c>
      <c r="W417" s="4">
        <v>26296.0</v>
      </c>
      <c r="X417" s="4" t="s">
        <v>58</v>
      </c>
      <c r="Y417" s="4" t="s">
        <v>59</v>
      </c>
      <c r="Z417" s="4" t="s">
        <v>1427</v>
      </c>
      <c r="AA417" s="4">
        <v>1971.0</v>
      </c>
      <c r="AB417" s="4" t="s">
        <v>58</v>
      </c>
      <c r="AC417" s="5">
        <v>26296.0</v>
      </c>
      <c r="AD417" s="4" t="s">
        <v>1411</v>
      </c>
      <c r="AE417" s="5">
        <v>32127.0</v>
      </c>
    </row>
    <row r="418">
      <c r="A418" s="4" t="s">
        <v>60</v>
      </c>
      <c r="B418" s="4" t="s">
        <v>1405</v>
      </c>
      <c r="C418" s="4" t="s">
        <v>317</v>
      </c>
      <c r="D418" s="4" t="s">
        <v>1406</v>
      </c>
      <c r="E418" s="4" t="s">
        <v>26</v>
      </c>
      <c r="F418" s="4" t="s">
        <v>425</v>
      </c>
      <c r="G418" s="4" t="s">
        <v>829</v>
      </c>
      <c r="H418" s="4" t="s">
        <v>830</v>
      </c>
      <c r="I418" s="4" t="s">
        <v>831</v>
      </c>
      <c r="J418" s="5">
        <v>40544.0</v>
      </c>
      <c r="K418" s="5">
        <v>27211.0</v>
      </c>
      <c r="L418" s="4">
        <v>49.0</v>
      </c>
      <c r="M418" s="4" t="s">
        <v>1425</v>
      </c>
      <c r="O418" s="5">
        <v>44927.0</v>
      </c>
      <c r="P418" s="5">
        <v>45291.0</v>
      </c>
      <c r="Q418" s="4" t="s">
        <v>66</v>
      </c>
      <c r="R418" s="4" t="s">
        <v>32</v>
      </c>
      <c r="S418" s="6" t="s">
        <v>3107</v>
      </c>
      <c r="T418" s="4" t="s">
        <v>832</v>
      </c>
      <c r="U418" s="4">
        <v>21.0</v>
      </c>
      <c r="V418" s="4" t="s">
        <v>34</v>
      </c>
      <c r="W418" s="4">
        <v>43301.0</v>
      </c>
      <c r="X418" s="4" t="s">
        <v>58</v>
      </c>
      <c r="Y418" s="4" t="s">
        <v>59</v>
      </c>
      <c r="Z418" s="4" t="s">
        <v>1427</v>
      </c>
      <c r="AA418" s="4">
        <v>1999.0</v>
      </c>
      <c r="AB418" s="4" t="s">
        <v>1511</v>
      </c>
      <c r="AC418" s="5">
        <v>36392.0</v>
      </c>
      <c r="AD418" s="4" t="s">
        <v>1411</v>
      </c>
      <c r="AE418" s="5">
        <v>41088.0</v>
      </c>
    </row>
    <row r="419">
      <c r="A419" s="4" t="s">
        <v>60</v>
      </c>
      <c r="B419" s="4" t="s">
        <v>1447</v>
      </c>
      <c r="C419" s="4" t="s">
        <v>40</v>
      </c>
      <c r="D419" s="4" t="s">
        <v>1448</v>
      </c>
      <c r="E419" s="4" t="s">
        <v>26</v>
      </c>
      <c r="F419" s="4" t="s">
        <v>425</v>
      </c>
      <c r="G419" s="4" t="s">
        <v>3108</v>
      </c>
      <c r="H419" s="4" t="s">
        <v>3109</v>
      </c>
      <c r="I419" s="4" t="s">
        <v>3110</v>
      </c>
      <c r="J419" s="5">
        <v>34943.0</v>
      </c>
      <c r="K419" s="5">
        <v>19635.0</v>
      </c>
      <c r="L419" s="4">
        <v>70.0</v>
      </c>
      <c r="M419" s="4" t="s">
        <v>1407</v>
      </c>
      <c r="O419" s="5">
        <v>42186.0</v>
      </c>
      <c r="P419" s="5">
        <v>42582.0</v>
      </c>
      <c r="Q419" s="4" t="s">
        <v>31</v>
      </c>
      <c r="R419" s="4" t="s">
        <v>32</v>
      </c>
      <c r="S419" s="6" t="s">
        <v>3111</v>
      </c>
      <c r="T419" s="4" t="s">
        <v>3112</v>
      </c>
      <c r="U419" s="4">
        <v>12.0</v>
      </c>
      <c r="V419" s="4" t="s">
        <v>55</v>
      </c>
      <c r="W419" s="4">
        <v>29536.0</v>
      </c>
      <c r="X419" s="4" t="s">
        <v>58</v>
      </c>
      <c r="Y419" s="4" t="s">
        <v>59</v>
      </c>
      <c r="Z419" s="4" t="s">
        <v>1510</v>
      </c>
      <c r="AA419" s="4">
        <v>1980.0</v>
      </c>
      <c r="AB419" s="4" t="s">
        <v>58</v>
      </c>
      <c r="AC419" s="5">
        <v>29536.0</v>
      </c>
      <c r="AD419" s="4" t="s">
        <v>1411</v>
      </c>
      <c r="AE419" s="5">
        <v>41379.0</v>
      </c>
    </row>
    <row r="420">
      <c r="A420" s="4" t="s">
        <v>1412</v>
      </c>
      <c r="B420" s="4" t="s">
        <v>1413</v>
      </c>
      <c r="C420" s="4" t="s">
        <v>1414</v>
      </c>
      <c r="D420" s="4" t="s">
        <v>1415</v>
      </c>
      <c r="E420" s="4" t="s">
        <v>80</v>
      </c>
      <c r="F420" s="4" t="s">
        <v>425</v>
      </c>
      <c r="G420" s="4" t="s">
        <v>3113</v>
      </c>
      <c r="H420" s="4" t="s">
        <v>3114</v>
      </c>
      <c r="I420" s="4" t="s">
        <v>3115</v>
      </c>
      <c r="J420" s="5">
        <v>39326.0</v>
      </c>
      <c r="K420" s="5">
        <v>27506.0</v>
      </c>
      <c r="L420" s="4">
        <v>48.0</v>
      </c>
      <c r="M420" s="4" t="s">
        <v>1453</v>
      </c>
      <c r="O420" s="5">
        <v>41275.0</v>
      </c>
      <c r="P420" s="5">
        <v>41639.0</v>
      </c>
      <c r="Q420" s="4" t="s">
        <v>66</v>
      </c>
      <c r="R420" s="4" t="s">
        <v>32</v>
      </c>
      <c r="S420" s="6" t="s">
        <v>3116</v>
      </c>
      <c r="T420" s="4" t="s">
        <v>3117</v>
      </c>
      <c r="U420" s="4">
        <v>2.0</v>
      </c>
      <c r="V420" s="4" t="s">
        <v>55</v>
      </c>
      <c r="W420" s="4">
        <v>39083.0</v>
      </c>
      <c r="X420" s="4" t="s">
        <v>58</v>
      </c>
      <c r="Y420" s="4" t="s">
        <v>59</v>
      </c>
      <c r="Z420" s="4" t="s">
        <v>3118</v>
      </c>
      <c r="AA420" s="4">
        <v>1999.0</v>
      </c>
      <c r="AB420" s="4" t="s">
        <v>661</v>
      </c>
      <c r="AC420" s="5">
        <v>36360.0</v>
      </c>
      <c r="AD420" s="4" t="s">
        <v>1411</v>
      </c>
      <c r="AE420" s="5">
        <v>39268.0</v>
      </c>
    </row>
    <row r="421">
      <c r="A421" s="4" t="s">
        <v>1684</v>
      </c>
      <c r="B421" s="4" t="s">
        <v>1473</v>
      </c>
      <c r="C421" s="4" t="s">
        <v>25</v>
      </c>
      <c r="D421" s="4" t="s">
        <v>1474</v>
      </c>
      <c r="E421" s="4" t="s">
        <v>80</v>
      </c>
      <c r="F421" s="4" t="s">
        <v>3119</v>
      </c>
      <c r="G421" s="4" t="s">
        <v>3120</v>
      </c>
      <c r="H421" s="4" t="s">
        <v>3121</v>
      </c>
      <c r="I421" s="4" t="s">
        <v>3122</v>
      </c>
      <c r="J421" s="5">
        <v>25689.0</v>
      </c>
      <c r="K421" s="5">
        <v>14615.0</v>
      </c>
      <c r="L421" s="4">
        <v>84.0</v>
      </c>
      <c r="M421" s="4" t="s">
        <v>1585</v>
      </c>
      <c r="O421" s="5">
        <v>39083.0</v>
      </c>
      <c r="P421" s="5">
        <v>39141.0</v>
      </c>
      <c r="Q421" s="4" t="s">
        <v>66</v>
      </c>
      <c r="R421" s="4" t="s">
        <v>32</v>
      </c>
      <c r="S421" s="6" t="s">
        <v>3123</v>
      </c>
      <c r="T421" s="4" t="s">
        <v>3124</v>
      </c>
      <c r="U421" s="4">
        <v>22.0</v>
      </c>
      <c r="V421" s="4" t="s">
        <v>106</v>
      </c>
      <c r="W421" s="4">
        <v>29220.0</v>
      </c>
      <c r="X421" s="4" t="s">
        <v>438</v>
      </c>
      <c r="Y421" s="4" t="s">
        <v>59</v>
      </c>
      <c r="Z421" s="4" t="s">
        <v>1727</v>
      </c>
      <c r="AA421" s="4">
        <v>6100.0</v>
      </c>
      <c r="AB421" s="4" t="s">
        <v>58</v>
      </c>
      <c r="AC421" s="5">
        <v>1534367.0</v>
      </c>
      <c r="AD421" s="4" t="s">
        <v>1411</v>
      </c>
    </row>
    <row r="422">
      <c r="A422" s="4" t="s">
        <v>1434</v>
      </c>
      <c r="B422" s="4" t="s">
        <v>1473</v>
      </c>
      <c r="C422" s="4" t="s">
        <v>25</v>
      </c>
      <c r="D422" s="4" t="s">
        <v>1474</v>
      </c>
      <c r="E422" s="4" t="s">
        <v>26</v>
      </c>
      <c r="F422" s="4" t="s">
        <v>3125</v>
      </c>
      <c r="G422" s="4" t="s">
        <v>3126</v>
      </c>
      <c r="H422" s="4" t="s">
        <v>3127</v>
      </c>
      <c r="I422" s="4" t="s">
        <v>3128</v>
      </c>
      <c r="J422" s="5">
        <v>25385.0</v>
      </c>
      <c r="K422" s="5">
        <v>10563.0</v>
      </c>
      <c r="L422" s="4">
        <v>95.0</v>
      </c>
      <c r="M422" s="4" t="s">
        <v>1407</v>
      </c>
      <c r="O422" s="5">
        <v>38808.0</v>
      </c>
      <c r="P422" s="5">
        <v>38868.0</v>
      </c>
      <c r="Q422" s="4" t="s">
        <v>66</v>
      </c>
      <c r="R422" s="4" t="s">
        <v>32</v>
      </c>
      <c r="S422" s="6" t="s">
        <v>3129</v>
      </c>
      <c r="T422" s="4" t="s">
        <v>3130</v>
      </c>
      <c r="U422" s="4">
        <v>44.0</v>
      </c>
      <c r="V422" s="4" t="s">
        <v>55</v>
      </c>
      <c r="W422" s="4">
        <v>24213.0</v>
      </c>
      <c r="X422" s="4" t="s">
        <v>58</v>
      </c>
      <c r="Y422" s="4" t="s">
        <v>59</v>
      </c>
      <c r="Z422" s="4" t="s">
        <v>2816</v>
      </c>
      <c r="AA422" s="4">
        <v>1994.0</v>
      </c>
      <c r="AB422" s="4" t="s">
        <v>2664</v>
      </c>
      <c r="AC422" s="5">
        <v>34450.0</v>
      </c>
      <c r="AD422" s="4" t="s">
        <v>3131</v>
      </c>
    </row>
    <row r="423">
      <c r="A423" s="4" t="s">
        <v>1434</v>
      </c>
      <c r="B423" s="4" t="s">
        <v>1423</v>
      </c>
      <c r="C423" s="4" t="s">
        <v>109</v>
      </c>
      <c r="D423" s="4" t="s">
        <v>1424</v>
      </c>
      <c r="E423" s="4" t="s">
        <v>80</v>
      </c>
      <c r="F423" s="4" t="s">
        <v>3132</v>
      </c>
      <c r="G423" s="4" t="s">
        <v>3133</v>
      </c>
      <c r="H423" s="4" t="s">
        <v>3134</v>
      </c>
      <c r="I423" s="4" t="s">
        <v>3135</v>
      </c>
      <c r="J423" s="5">
        <v>41091.0</v>
      </c>
      <c r="K423" s="5">
        <v>26789.0</v>
      </c>
      <c r="L423" s="4">
        <v>50.0</v>
      </c>
      <c r="M423" s="4" t="s">
        <v>1585</v>
      </c>
      <c r="N423" s="4" t="s">
        <v>1419</v>
      </c>
      <c r="O423" s="5">
        <v>38838.0</v>
      </c>
      <c r="P423" s="5">
        <v>39141.0</v>
      </c>
      <c r="Q423" s="4" t="s">
        <v>31</v>
      </c>
      <c r="R423" s="4" t="s">
        <v>32</v>
      </c>
      <c r="S423" s="6" t="s">
        <v>3136</v>
      </c>
      <c r="T423" s="4" t="s">
        <v>3137</v>
      </c>
      <c r="U423" s="4">
        <v>44.0</v>
      </c>
      <c r="Z423" s="4" t="s">
        <v>1433</v>
      </c>
      <c r="AA423" s="4">
        <v>1998.0</v>
      </c>
      <c r="AB423" s="4" t="s">
        <v>58</v>
      </c>
      <c r="AC423" s="5">
        <v>36144.0</v>
      </c>
      <c r="AD423" s="4" t="s">
        <v>1411</v>
      </c>
      <c r="AE423" s="5">
        <v>38834.0</v>
      </c>
    </row>
    <row r="424">
      <c r="A424" s="4" t="s">
        <v>1412</v>
      </c>
      <c r="B424" s="4" t="s">
        <v>1413</v>
      </c>
      <c r="C424" s="4" t="s">
        <v>1414</v>
      </c>
      <c r="D424" s="4" t="s">
        <v>1415</v>
      </c>
      <c r="E424" s="4" t="s">
        <v>80</v>
      </c>
      <c r="F424" s="4" t="s">
        <v>655</v>
      </c>
      <c r="G424" s="4" t="s">
        <v>3138</v>
      </c>
      <c r="H424" s="4" t="s">
        <v>3139</v>
      </c>
      <c r="I424" s="4" t="s">
        <v>3140</v>
      </c>
      <c r="J424" s="5">
        <v>39295.0</v>
      </c>
      <c r="K424" s="5">
        <v>29738.0</v>
      </c>
      <c r="L424" s="4">
        <v>42.0</v>
      </c>
      <c r="M424" s="4" t="s">
        <v>1425</v>
      </c>
      <c r="O424" s="5">
        <v>41275.0</v>
      </c>
      <c r="P424" s="5">
        <v>41639.0</v>
      </c>
      <c r="Q424" s="4" t="s">
        <v>66</v>
      </c>
      <c r="R424" s="4" t="s">
        <v>32</v>
      </c>
      <c r="S424" s="6" t="s">
        <v>3141</v>
      </c>
      <c r="T424" s="4" t="s">
        <v>3141</v>
      </c>
      <c r="U424" s="4">
        <v>2.0</v>
      </c>
      <c r="V424" s="4" t="s">
        <v>55</v>
      </c>
      <c r="W424" s="4">
        <v>38353.0</v>
      </c>
      <c r="X424" s="4" t="s">
        <v>58</v>
      </c>
      <c r="Y424" s="4" t="s">
        <v>59</v>
      </c>
      <c r="Z424" s="4" t="s">
        <v>2129</v>
      </c>
      <c r="AA424" s="4">
        <v>2006.0</v>
      </c>
      <c r="AB424" s="4" t="s">
        <v>58</v>
      </c>
      <c r="AC424" s="5">
        <v>39045.0</v>
      </c>
      <c r="AD424" s="4" t="s">
        <v>1411</v>
      </c>
      <c r="AE424" s="5">
        <v>39289.0</v>
      </c>
    </row>
    <row r="425">
      <c r="A425" s="4" t="s">
        <v>60</v>
      </c>
      <c r="B425" s="4" t="s">
        <v>1413</v>
      </c>
      <c r="C425" s="4" t="s">
        <v>1414</v>
      </c>
      <c r="D425" s="4" t="s">
        <v>1415</v>
      </c>
      <c r="E425" s="4" t="s">
        <v>26</v>
      </c>
      <c r="F425" s="4" t="s">
        <v>655</v>
      </c>
      <c r="G425" s="4" t="s">
        <v>656</v>
      </c>
      <c r="H425" s="4" t="s">
        <v>657</v>
      </c>
      <c r="I425" s="4" t="s">
        <v>658</v>
      </c>
      <c r="J425" s="5">
        <v>39295.0</v>
      </c>
      <c r="K425" s="5">
        <v>29012.0</v>
      </c>
      <c r="L425" s="4">
        <v>44.0</v>
      </c>
      <c r="M425" s="4" t="s">
        <v>1425</v>
      </c>
      <c r="O425" s="5">
        <v>44927.0</v>
      </c>
      <c r="P425" s="5">
        <v>45291.0</v>
      </c>
      <c r="Q425" s="4" t="s">
        <v>66</v>
      </c>
      <c r="R425" s="4" t="s">
        <v>32</v>
      </c>
      <c r="S425" s="6" t="s">
        <v>3142</v>
      </c>
      <c r="T425" s="4" t="s">
        <v>659</v>
      </c>
      <c r="U425" s="4">
        <v>12.0</v>
      </c>
      <c r="V425" s="4" t="s">
        <v>55</v>
      </c>
      <c r="W425" s="4">
        <v>37681.0</v>
      </c>
      <c r="X425" s="4" t="s">
        <v>58</v>
      </c>
      <c r="Y425" s="4" t="s">
        <v>59</v>
      </c>
      <c r="Z425" s="4" t="s">
        <v>1427</v>
      </c>
      <c r="AA425" s="4">
        <v>2007.0</v>
      </c>
      <c r="AB425" s="4" t="s">
        <v>58</v>
      </c>
      <c r="AC425" s="5">
        <v>39206.0</v>
      </c>
      <c r="AD425" s="4" t="s">
        <v>1411</v>
      </c>
      <c r="AE425" s="5">
        <v>39282.0</v>
      </c>
    </row>
    <row r="426">
      <c r="A426" s="4" t="s">
        <v>60</v>
      </c>
      <c r="B426" s="4" t="s">
        <v>1430</v>
      </c>
      <c r="C426" s="4" t="s">
        <v>61</v>
      </c>
      <c r="D426" s="4" t="s">
        <v>1431</v>
      </c>
      <c r="E426" s="4" t="s">
        <v>26</v>
      </c>
      <c r="F426" s="4" t="s">
        <v>157</v>
      </c>
      <c r="G426" s="4" t="s">
        <v>158</v>
      </c>
      <c r="H426" s="4" t="s">
        <v>159</v>
      </c>
      <c r="I426" s="4" t="s">
        <v>160</v>
      </c>
      <c r="J426" s="5">
        <v>33664.0</v>
      </c>
      <c r="K426" s="5">
        <v>20183.0</v>
      </c>
      <c r="L426" s="4">
        <v>68.0</v>
      </c>
      <c r="M426" s="4" t="s">
        <v>1407</v>
      </c>
      <c r="O426" s="5">
        <v>42186.0</v>
      </c>
      <c r="P426" s="5">
        <v>73050.0</v>
      </c>
      <c r="Q426" s="4" t="s">
        <v>31</v>
      </c>
      <c r="R426" s="4" t="s">
        <v>32</v>
      </c>
      <c r="S426" s="6" t="s">
        <v>3143</v>
      </c>
      <c r="T426" s="4" t="s">
        <v>161</v>
      </c>
      <c r="U426" s="4">
        <v>44.0</v>
      </c>
      <c r="V426" s="4" t="s">
        <v>34</v>
      </c>
      <c r="W426" s="4">
        <v>42986.0</v>
      </c>
      <c r="X426" s="4" t="s">
        <v>164</v>
      </c>
      <c r="Y426" s="4" t="s">
        <v>59</v>
      </c>
      <c r="Z426" s="4" t="s">
        <v>1510</v>
      </c>
      <c r="AA426" s="4">
        <v>1980.0</v>
      </c>
      <c r="AB426" s="4" t="s">
        <v>58</v>
      </c>
      <c r="AC426" s="5">
        <v>29550.0</v>
      </c>
      <c r="AD426" s="4" t="s">
        <v>1411</v>
      </c>
      <c r="AE426" s="5">
        <v>39638.0</v>
      </c>
    </row>
    <row r="427">
      <c r="A427" s="4" t="s">
        <v>337</v>
      </c>
      <c r="B427" s="4" t="s">
        <v>1540</v>
      </c>
      <c r="C427" s="4" t="s">
        <v>99</v>
      </c>
      <c r="D427" s="4" t="s">
        <v>1541</v>
      </c>
      <c r="E427" s="4" t="s">
        <v>80</v>
      </c>
      <c r="F427" s="4" t="s">
        <v>338</v>
      </c>
      <c r="G427" s="4" t="s">
        <v>339</v>
      </c>
      <c r="H427" s="4" t="s">
        <v>340</v>
      </c>
      <c r="I427" s="4" t="s">
        <v>341</v>
      </c>
      <c r="J427" s="5">
        <v>36526.0</v>
      </c>
      <c r="K427" s="5">
        <v>26755.0</v>
      </c>
      <c r="L427" s="4">
        <v>50.0</v>
      </c>
      <c r="M427" s="4" t="s">
        <v>1407</v>
      </c>
      <c r="N427" s="4" t="s">
        <v>1419</v>
      </c>
      <c r="O427" s="5">
        <v>44927.0</v>
      </c>
      <c r="P427" s="5">
        <v>45291.0</v>
      </c>
      <c r="Q427" s="4" t="s">
        <v>66</v>
      </c>
      <c r="R427" s="4" t="s">
        <v>32</v>
      </c>
      <c r="S427" s="6" t="s">
        <v>3144</v>
      </c>
      <c r="T427" s="4" t="s">
        <v>342</v>
      </c>
      <c r="U427" s="4">
        <v>44.0</v>
      </c>
      <c r="V427" s="4" t="s">
        <v>34</v>
      </c>
      <c r="W427" s="4">
        <v>40198.0</v>
      </c>
      <c r="X427" s="4" t="s">
        <v>345</v>
      </c>
      <c r="Y427" s="4" t="s">
        <v>89</v>
      </c>
      <c r="Z427" s="4" t="s">
        <v>2156</v>
      </c>
      <c r="AA427" s="4">
        <v>1995.0</v>
      </c>
      <c r="AB427" s="4" t="s">
        <v>438</v>
      </c>
      <c r="AC427" s="5">
        <v>35033.0</v>
      </c>
      <c r="AD427" s="4" t="s">
        <v>1411</v>
      </c>
      <c r="AE427" s="5">
        <v>42494.0</v>
      </c>
    </row>
    <row r="428">
      <c r="A428" s="4" t="s">
        <v>24</v>
      </c>
      <c r="B428" s="4" t="s">
        <v>1540</v>
      </c>
      <c r="C428" s="4" t="s">
        <v>99</v>
      </c>
      <c r="D428" s="4" t="s">
        <v>1541</v>
      </c>
      <c r="E428" s="4" t="s">
        <v>26</v>
      </c>
      <c r="F428" s="4" t="s">
        <v>390</v>
      </c>
      <c r="G428" s="4" t="s">
        <v>391</v>
      </c>
      <c r="H428" s="4" t="s">
        <v>392</v>
      </c>
      <c r="I428" s="4" t="s">
        <v>393</v>
      </c>
      <c r="J428" s="5">
        <v>37377.0</v>
      </c>
      <c r="K428" s="5">
        <v>23585.0</v>
      </c>
      <c r="L428" s="4">
        <v>59.0</v>
      </c>
      <c r="M428" s="4" t="s">
        <v>1524</v>
      </c>
      <c r="O428" s="5">
        <v>42430.0</v>
      </c>
      <c r="P428" s="5">
        <v>73050.0</v>
      </c>
      <c r="Q428" s="4" t="s">
        <v>31</v>
      </c>
      <c r="R428" s="4" t="s">
        <v>32</v>
      </c>
      <c r="S428" s="6" t="s">
        <v>3145</v>
      </c>
      <c r="T428" s="4" t="s">
        <v>394</v>
      </c>
      <c r="U428" s="4">
        <v>44.0</v>
      </c>
      <c r="V428" s="4" t="s">
        <v>34</v>
      </c>
      <c r="W428" s="4">
        <v>41733.0</v>
      </c>
      <c r="X428" s="4" t="s">
        <v>58</v>
      </c>
      <c r="Y428" s="4" t="s">
        <v>59</v>
      </c>
      <c r="Z428" s="4" t="s">
        <v>1422</v>
      </c>
      <c r="AA428" s="4">
        <v>1997.0</v>
      </c>
      <c r="AB428" s="4" t="s">
        <v>58</v>
      </c>
      <c r="AC428" s="5">
        <v>35794.0</v>
      </c>
      <c r="AD428" s="4" t="s">
        <v>1411</v>
      </c>
      <c r="AE428" s="5">
        <v>42291.0</v>
      </c>
    </row>
    <row r="429">
      <c r="A429" s="4" t="s">
        <v>60</v>
      </c>
      <c r="B429" s="4" t="s">
        <v>1423</v>
      </c>
      <c r="C429" s="4" t="s">
        <v>109</v>
      </c>
      <c r="D429" s="4" t="s">
        <v>1424</v>
      </c>
      <c r="E429" s="4" t="s">
        <v>80</v>
      </c>
      <c r="F429" s="4" t="s">
        <v>390</v>
      </c>
      <c r="G429" s="4" t="s">
        <v>514</v>
      </c>
      <c r="H429" s="4" t="s">
        <v>515</v>
      </c>
      <c r="I429" s="4" t="s">
        <v>516</v>
      </c>
      <c r="J429" s="5">
        <v>38838.0</v>
      </c>
      <c r="K429" s="5">
        <v>26971.0</v>
      </c>
      <c r="L429" s="4">
        <v>50.0</v>
      </c>
      <c r="M429" s="4" t="s">
        <v>1425</v>
      </c>
      <c r="O429" s="5">
        <v>42186.0</v>
      </c>
      <c r="P429" s="5">
        <v>73050.0</v>
      </c>
      <c r="Q429" s="4" t="s">
        <v>31</v>
      </c>
      <c r="R429" s="4" t="s">
        <v>32</v>
      </c>
      <c r="S429" s="6" t="s">
        <v>3146</v>
      </c>
      <c r="T429" s="4" t="s">
        <v>517</v>
      </c>
      <c r="U429" s="4">
        <v>44.0</v>
      </c>
      <c r="V429" s="4" t="s">
        <v>34</v>
      </c>
      <c r="W429" s="4">
        <v>43539.0</v>
      </c>
      <c r="X429" s="4" t="s">
        <v>520</v>
      </c>
      <c r="Y429" s="4" t="s">
        <v>38</v>
      </c>
      <c r="Z429" s="4" t="s">
        <v>2129</v>
      </c>
      <c r="AA429" s="4">
        <v>1998.0</v>
      </c>
      <c r="AB429" s="4" t="s">
        <v>58</v>
      </c>
      <c r="AC429" s="5">
        <v>35902.0</v>
      </c>
      <c r="AD429" s="4" t="s">
        <v>1411</v>
      </c>
      <c r="AE429" s="5">
        <v>38820.0</v>
      </c>
    </row>
    <row r="430">
      <c r="A430" s="4" t="s">
        <v>1684</v>
      </c>
      <c r="B430" s="4" t="s">
        <v>1447</v>
      </c>
      <c r="C430" s="4" t="s">
        <v>40</v>
      </c>
      <c r="D430" s="4" t="s">
        <v>1448</v>
      </c>
      <c r="E430" s="4" t="s">
        <v>26</v>
      </c>
      <c r="F430" s="4" t="s">
        <v>3147</v>
      </c>
      <c r="G430" s="4" t="s">
        <v>3147</v>
      </c>
      <c r="H430" s="4" t="s">
        <v>3148</v>
      </c>
      <c r="I430" s="4" t="s">
        <v>3149</v>
      </c>
      <c r="J430" s="5">
        <v>37530.0</v>
      </c>
      <c r="K430" s="5">
        <v>15708.0</v>
      </c>
      <c r="L430" s="4">
        <v>81.0</v>
      </c>
      <c r="M430" s="4" t="s">
        <v>1407</v>
      </c>
      <c r="N430" s="4" t="s">
        <v>1419</v>
      </c>
      <c r="O430" s="5">
        <v>37530.0</v>
      </c>
      <c r="P430" s="5">
        <v>38664.0</v>
      </c>
      <c r="Q430" s="4" t="s">
        <v>31</v>
      </c>
      <c r="R430" s="4" t="s">
        <v>32</v>
      </c>
      <c r="S430" s="6" t="s">
        <v>3150</v>
      </c>
      <c r="T430" s="4" t="s">
        <v>3151</v>
      </c>
      <c r="U430" s="4">
        <v>12.0</v>
      </c>
      <c r="V430" s="4" t="s">
        <v>34</v>
      </c>
      <c r="W430" s="4">
        <v>30316.0</v>
      </c>
      <c r="X430" s="4" t="s">
        <v>3152</v>
      </c>
      <c r="Y430" s="4" t="s">
        <v>624</v>
      </c>
      <c r="Z430" s="4" t="s">
        <v>3153</v>
      </c>
      <c r="AA430" s="4">
        <v>1968.0</v>
      </c>
      <c r="AB430" s="4" t="s">
        <v>3154</v>
      </c>
      <c r="AC430" s="5">
        <v>25093.0</v>
      </c>
      <c r="AD430" s="4" t="s">
        <v>1411</v>
      </c>
    </row>
    <row r="431">
      <c r="A431" s="4" t="s">
        <v>1465</v>
      </c>
      <c r="B431" s="4" t="s">
        <v>1423</v>
      </c>
      <c r="C431" s="4" t="s">
        <v>109</v>
      </c>
      <c r="D431" s="4" t="s">
        <v>1424</v>
      </c>
      <c r="E431" s="4" t="s">
        <v>26</v>
      </c>
      <c r="F431" s="4" t="s">
        <v>2708</v>
      </c>
      <c r="G431" s="4" t="s">
        <v>439</v>
      </c>
      <c r="H431" s="4" t="s">
        <v>3155</v>
      </c>
      <c r="I431" s="4" t="s">
        <v>3156</v>
      </c>
      <c r="J431" s="5">
        <v>37591.0</v>
      </c>
      <c r="K431" s="5">
        <v>24895.0</v>
      </c>
      <c r="L431" s="4">
        <v>55.0</v>
      </c>
      <c r="M431" s="4" t="s">
        <v>1425</v>
      </c>
      <c r="O431" s="5">
        <v>37803.0</v>
      </c>
      <c r="P431" s="5">
        <v>37833.0</v>
      </c>
      <c r="Q431" s="4" t="s">
        <v>66</v>
      </c>
      <c r="R431" s="4" t="s">
        <v>32</v>
      </c>
      <c r="S431" s="6" t="s">
        <v>3157</v>
      </c>
      <c r="T431" s="4" t="s">
        <v>3158</v>
      </c>
      <c r="U431" s="4">
        <v>44.0</v>
      </c>
      <c r="V431" s="4" t="s">
        <v>359</v>
      </c>
      <c r="W431" s="4">
        <v>41516.0</v>
      </c>
      <c r="X431" s="4" t="s">
        <v>58</v>
      </c>
      <c r="Y431" s="4" t="s">
        <v>59</v>
      </c>
      <c r="Z431" s="4" t="s">
        <v>1519</v>
      </c>
      <c r="AA431" s="4">
        <v>1998.0</v>
      </c>
      <c r="AB431" s="4" t="s">
        <v>1899</v>
      </c>
      <c r="AC431" s="5">
        <v>36147.0</v>
      </c>
      <c r="AD431" s="4" t="s">
        <v>1411</v>
      </c>
    </row>
    <row r="432">
      <c r="A432" s="4" t="s">
        <v>1412</v>
      </c>
      <c r="B432" s="4" t="s">
        <v>1473</v>
      </c>
      <c r="C432" s="4" t="s">
        <v>25</v>
      </c>
      <c r="D432" s="4" t="s">
        <v>1474</v>
      </c>
      <c r="E432" s="4" t="s">
        <v>80</v>
      </c>
      <c r="F432" s="4" t="s">
        <v>2708</v>
      </c>
      <c r="G432" s="4" t="s">
        <v>3159</v>
      </c>
      <c r="H432" s="4" t="s">
        <v>3160</v>
      </c>
      <c r="I432" s="4" t="s">
        <v>3161</v>
      </c>
      <c r="J432" s="5">
        <v>21855.0</v>
      </c>
      <c r="K432" s="5">
        <v>11498.0</v>
      </c>
      <c r="L432" s="4">
        <v>92.0</v>
      </c>
      <c r="M432" s="4" t="s">
        <v>1407</v>
      </c>
      <c r="O432" s="5">
        <v>39083.0</v>
      </c>
      <c r="P432" s="5">
        <v>39141.0</v>
      </c>
      <c r="Q432" s="4" t="s">
        <v>66</v>
      </c>
      <c r="R432" s="4" t="s">
        <v>32</v>
      </c>
      <c r="S432" s="6" t="s">
        <v>3162</v>
      </c>
      <c r="T432" s="4" t="s">
        <v>3162</v>
      </c>
      <c r="U432" s="4">
        <v>22.0</v>
      </c>
      <c r="V432" s="4" t="s">
        <v>34</v>
      </c>
      <c r="W432" s="4">
        <v>26298.0</v>
      </c>
      <c r="X432" s="4" t="s">
        <v>3163</v>
      </c>
      <c r="Y432" s="4" t="s">
        <v>227</v>
      </c>
      <c r="AD432" s="4" t="s">
        <v>3164</v>
      </c>
    </row>
    <row r="433">
      <c r="A433" s="4" t="s">
        <v>78</v>
      </c>
      <c r="B433" s="4" t="s">
        <v>1423</v>
      </c>
      <c r="C433" s="4" t="s">
        <v>109</v>
      </c>
      <c r="D433" s="4" t="s">
        <v>1424</v>
      </c>
      <c r="E433" s="4" t="s">
        <v>80</v>
      </c>
      <c r="F433" s="4" t="s">
        <v>3165</v>
      </c>
      <c r="G433" s="4" t="s">
        <v>3166</v>
      </c>
      <c r="H433" s="4" t="s">
        <v>3167</v>
      </c>
      <c r="I433" s="4" t="s">
        <v>3168</v>
      </c>
      <c r="J433" s="5">
        <v>38838.0</v>
      </c>
      <c r="K433" s="5">
        <v>27403.0</v>
      </c>
      <c r="L433" s="4">
        <v>49.0</v>
      </c>
      <c r="M433" s="4" t="s">
        <v>1407</v>
      </c>
      <c r="N433" s="4" t="s">
        <v>1419</v>
      </c>
      <c r="O433" s="5">
        <v>42736.0</v>
      </c>
      <c r="P433" s="5">
        <v>43100.0</v>
      </c>
      <c r="Q433" s="4" t="s">
        <v>66</v>
      </c>
      <c r="R433" s="4" t="s">
        <v>32</v>
      </c>
      <c r="S433" s="6" t="s">
        <v>3169</v>
      </c>
      <c r="T433" s="4" t="s">
        <v>3170</v>
      </c>
      <c r="U433" s="4">
        <v>12.0</v>
      </c>
      <c r="V433" s="4" t="s">
        <v>106</v>
      </c>
      <c r="W433" s="4">
        <v>38927.0</v>
      </c>
      <c r="X433" s="4" t="s">
        <v>3171</v>
      </c>
      <c r="Y433" s="4" t="s">
        <v>1859</v>
      </c>
      <c r="Z433" s="4" t="s">
        <v>1433</v>
      </c>
      <c r="AA433" s="4">
        <v>2004.0</v>
      </c>
      <c r="AB433" s="4" t="s">
        <v>58</v>
      </c>
      <c r="AC433" s="5">
        <v>38233.0</v>
      </c>
      <c r="AD433" s="4" t="s">
        <v>1411</v>
      </c>
      <c r="AE433" s="5">
        <v>38883.0</v>
      </c>
    </row>
    <row r="434">
      <c r="A434" s="4" t="s">
        <v>1440</v>
      </c>
      <c r="B434" s="4" t="s">
        <v>1423</v>
      </c>
      <c r="C434" s="4" t="s">
        <v>109</v>
      </c>
      <c r="D434" s="4" t="s">
        <v>1424</v>
      </c>
      <c r="E434" s="4" t="s">
        <v>26</v>
      </c>
      <c r="F434" s="4" t="s">
        <v>3172</v>
      </c>
      <c r="G434" s="4" t="s">
        <v>309</v>
      </c>
      <c r="H434" s="4" t="s">
        <v>3173</v>
      </c>
      <c r="I434" s="4" t="s">
        <v>3174</v>
      </c>
      <c r="J434" s="5">
        <v>27120.0</v>
      </c>
      <c r="K434" s="5">
        <v>17152.0</v>
      </c>
      <c r="L434" s="4">
        <v>77.0</v>
      </c>
      <c r="M434" s="4" t="s">
        <v>1407</v>
      </c>
      <c r="N434" s="4" t="s">
        <v>1419</v>
      </c>
      <c r="O434" s="5">
        <v>34820.0</v>
      </c>
      <c r="P434" s="5">
        <v>36129.0</v>
      </c>
      <c r="Q434" s="4" t="s">
        <v>31</v>
      </c>
      <c r="R434" s="4" t="s">
        <v>32</v>
      </c>
      <c r="S434" s="6" t="s">
        <v>3175</v>
      </c>
      <c r="T434" s="4" t="s">
        <v>3175</v>
      </c>
      <c r="U434" s="4">
        <v>3.0</v>
      </c>
      <c r="Z434" s="4" t="s">
        <v>1597</v>
      </c>
      <c r="AA434" s="4">
        <v>1978.0</v>
      </c>
      <c r="AB434" s="4" t="s">
        <v>58</v>
      </c>
      <c r="AC434" s="5">
        <v>28503.0</v>
      </c>
      <c r="AD434" s="4" t="s">
        <v>1411</v>
      </c>
    </row>
    <row r="435">
      <c r="A435" s="4" t="s">
        <v>78</v>
      </c>
      <c r="B435" s="4" t="s">
        <v>1540</v>
      </c>
      <c r="C435" s="4" t="s">
        <v>99</v>
      </c>
      <c r="D435" s="4" t="s">
        <v>1541</v>
      </c>
      <c r="E435" s="4" t="s">
        <v>26</v>
      </c>
      <c r="F435" s="4" t="s">
        <v>288</v>
      </c>
      <c r="G435" s="4" t="s">
        <v>289</v>
      </c>
      <c r="H435" s="4" t="s">
        <v>290</v>
      </c>
      <c r="I435" s="4" t="s">
        <v>291</v>
      </c>
      <c r="J435" s="5">
        <v>35956.0</v>
      </c>
      <c r="K435" s="5">
        <v>26752.0</v>
      </c>
      <c r="L435" s="4">
        <v>50.0</v>
      </c>
      <c r="M435" s="4" t="s">
        <v>1425</v>
      </c>
      <c r="O435" s="5">
        <v>42491.0</v>
      </c>
      <c r="P435" s="5">
        <v>73050.0</v>
      </c>
      <c r="Q435" s="4" t="s">
        <v>31</v>
      </c>
      <c r="R435" s="4" t="s">
        <v>32</v>
      </c>
      <c r="S435" s="6" t="s">
        <v>3176</v>
      </c>
      <c r="T435" s="4" t="s">
        <v>292</v>
      </c>
      <c r="U435" s="4">
        <v>22.0</v>
      </c>
      <c r="V435" s="4" t="s">
        <v>106</v>
      </c>
      <c r="W435" s="4">
        <v>37596.0</v>
      </c>
      <c r="X435" s="4" t="s">
        <v>58</v>
      </c>
      <c r="Y435" s="4" t="s">
        <v>59</v>
      </c>
      <c r="Z435" s="4" t="s">
        <v>1433</v>
      </c>
      <c r="AA435" s="4">
        <v>2000.0</v>
      </c>
      <c r="AB435" s="4" t="s">
        <v>58</v>
      </c>
      <c r="AC435" s="5">
        <v>36865.0</v>
      </c>
      <c r="AD435" s="4" t="s">
        <v>1411</v>
      </c>
      <c r="AE435" s="5">
        <v>42480.0</v>
      </c>
    </row>
    <row r="436">
      <c r="A436" s="4" t="s">
        <v>78</v>
      </c>
      <c r="B436" s="4" t="s">
        <v>1423</v>
      </c>
      <c r="C436" s="4" t="s">
        <v>109</v>
      </c>
      <c r="D436" s="4" t="s">
        <v>1424</v>
      </c>
      <c r="E436" s="4" t="s">
        <v>26</v>
      </c>
      <c r="F436" s="4" t="s">
        <v>1209</v>
      </c>
      <c r="G436" s="4" t="s">
        <v>41</v>
      </c>
      <c r="H436" s="4" t="s">
        <v>1210</v>
      </c>
      <c r="I436" s="4" t="s">
        <v>1211</v>
      </c>
      <c r="J436" s="5">
        <v>44287.0</v>
      </c>
      <c r="K436" s="5">
        <v>31517.0</v>
      </c>
      <c r="L436" s="4">
        <v>37.0</v>
      </c>
      <c r="M436" s="4" t="s">
        <v>1425</v>
      </c>
      <c r="O436" s="5">
        <v>44927.0</v>
      </c>
      <c r="P436" s="5">
        <v>45291.0</v>
      </c>
      <c r="Q436" s="4" t="s">
        <v>66</v>
      </c>
      <c r="R436" s="4" t="s">
        <v>32</v>
      </c>
      <c r="S436" s="6" t="s">
        <v>3177</v>
      </c>
      <c r="T436" s="4" t="s">
        <v>1212</v>
      </c>
      <c r="U436" s="4">
        <v>44.0</v>
      </c>
      <c r="V436" s="4" t="s">
        <v>34</v>
      </c>
      <c r="W436" s="4">
        <v>43799.0</v>
      </c>
      <c r="X436" s="4" t="s">
        <v>686</v>
      </c>
      <c r="Y436" s="4" t="s">
        <v>89</v>
      </c>
      <c r="Z436" s="4" t="s">
        <v>1433</v>
      </c>
      <c r="AA436" s="4">
        <v>2010.0</v>
      </c>
      <c r="AB436" s="4" t="s">
        <v>1007</v>
      </c>
      <c r="AC436" s="5">
        <v>40288.0</v>
      </c>
      <c r="AD436" s="4">
        <v>0.0</v>
      </c>
      <c r="AE436" s="5">
        <v>44462.0</v>
      </c>
    </row>
    <row r="437">
      <c r="A437" s="4" t="s">
        <v>78</v>
      </c>
      <c r="B437" s="4" t="s">
        <v>1423</v>
      </c>
      <c r="C437" s="4" t="s">
        <v>109</v>
      </c>
      <c r="D437" s="4" t="s">
        <v>1424</v>
      </c>
      <c r="E437" s="4" t="s">
        <v>26</v>
      </c>
      <c r="F437" s="4" t="s">
        <v>467</v>
      </c>
      <c r="G437" s="4" t="s">
        <v>578</v>
      </c>
      <c r="H437" s="4" t="s">
        <v>1120</v>
      </c>
      <c r="I437" s="4" t="s">
        <v>3178</v>
      </c>
      <c r="J437" s="5">
        <v>36281.0</v>
      </c>
      <c r="K437" s="5">
        <v>24766.0</v>
      </c>
      <c r="L437" s="4">
        <v>56.0</v>
      </c>
      <c r="M437" s="4" t="s">
        <v>1407</v>
      </c>
      <c r="N437" s="4" t="s">
        <v>1419</v>
      </c>
      <c r="O437" s="5">
        <v>42736.0</v>
      </c>
      <c r="P437" s="5">
        <v>42766.0</v>
      </c>
      <c r="Q437" s="4" t="s">
        <v>66</v>
      </c>
      <c r="R437" s="4" t="s">
        <v>32</v>
      </c>
      <c r="S437" s="6" t="s">
        <v>3179</v>
      </c>
      <c r="T437" s="4" t="s">
        <v>3180</v>
      </c>
      <c r="U437" s="4">
        <v>12.0</v>
      </c>
      <c r="V437" s="4" t="s">
        <v>359</v>
      </c>
      <c r="W437" s="4">
        <v>40388.0</v>
      </c>
      <c r="X437" s="4" t="s">
        <v>58</v>
      </c>
      <c r="Y437" s="4" t="s">
        <v>59</v>
      </c>
      <c r="Z437" s="4" t="s">
        <v>3181</v>
      </c>
      <c r="AA437" s="4">
        <v>1991.0</v>
      </c>
      <c r="AB437" s="4" t="s">
        <v>58</v>
      </c>
      <c r="AC437" s="5">
        <v>33582.0</v>
      </c>
      <c r="AD437" s="4" t="s">
        <v>1411</v>
      </c>
      <c r="AE437" s="5">
        <v>38904.0</v>
      </c>
    </row>
    <row r="438">
      <c r="A438" s="4" t="s">
        <v>60</v>
      </c>
      <c r="B438" s="4" t="s">
        <v>1405</v>
      </c>
      <c r="C438" s="4" t="s">
        <v>317</v>
      </c>
      <c r="D438" s="4" t="s">
        <v>1406</v>
      </c>
      <c r="E438" s="4" t="s">
        <v>80</v>
      </c>
      <c r="F438" s="4" t="s">
        <v>467</v>
      </c>
      <c r="G438" s="4" t="s">
        <v>468</v>
      </c>
      <c r="H438" s="4" t="s">
        <v>3182</v>
      </c>
      <c r="I438" s="4" t="s">
        <v>3183</v>
      </c>
      <c r="J438" s="5">
        <v>38292.0</v>
      </c>
      <c r="K438" s="5">
        <v>23232.0</v>
      </c>
      <c r="L438" s="4">
        <v>60.0</v>
      </c>
      <c r="M438" s="4" t="s">
        <v>1407</v>
      </c>
      <c r="O438" s="5">
        <v>44927.0</v>
      </c>
      <c r="P438" s="5">
        <v>45291.0</v>
      </c>
      <c r="Q438" s="4" t="s">
        <v>66</v>
      </c>
      <c r="R438" s="4" t="s">
        <v>32</v>
      </c>
      <c r="S438" s="6" t="s">
        <v>3184</v>
      </c>
      <c r="T438" s="4" t="s">
        <v>471</v>
      </c>
      <c r="U438" s="4">
        <v>44.0</v>
      </c>
      <c r="V438" s="4" t="s">
        <v>34</v>
      </c>
      <c r="W438" s="4">
        <v>40022.0</v>
      </c>
      <c r="X438" s="4" t="s">
        <v>58</v>
      </c>
      <c r="Y438" s="4" t="s">
        <v>59</v>
      </c>
      <c r="Z438" s="4" t="s">
        <v>1427</v>
      </c>
      <c r="AA438" s="4">
        <v>1991.0</v>
      </c>
      <c r="AB438" s="4" t="s">
        <v>2452</v>
      </c>
      <c r="AC438" s="5">
        <v>33602.0</v>
      </c>
      <c r="AD438" s="4" t="s">
        <v>1411</v>
      </c>
      <c r="AE438" s="5">
        <v>44293.0</v>
      </c>
    </row>
    <row r="439">
      <c r="A439" s="4" t="s">
        <v>1412</v>
      </c>
      <c r="B439" s="4" t="s">
        <v>1413</v>
      </c>
      <c r="C439" s="4" t="s">
        <v>1414</v>
      </c>
      <c r="D439" s="4" t="s">
        <v>1415</v>
      </c>
      <c r="E439" s="4" t="s">
        <v>26</v>
      </c>
      <c r="F439" s="4" t="s">
        <v>1053</v>
      </c>
      <c r="G439" s="4" t="s">
        <v>3185</v>
      </c>
      <c r="H439" s="4" t="s">
        <v>3186</v>
      </c>
      <c r="I439" s="4" t="s">
        <v>3187</v>
      </c>
      <c r="J439" s="5">
        <v>34243.0</v>
      </c>
      <c r="K439" s="5">
        <v>18448.0</v>
      </c>
      <c r="L439" s="4">
        <v>73.0</v>
      </c>
      <c r="M439" s="4" t="s">
        <v>1407</v>
      </c>
      <c r="O439" s="5">
        <v>34700.0</v>
      </c>
      <c r="P439" s="5">
        <v>34758.0</v>
      </c>
      <c r="Q439" s="4" t="s">
        <v>66</v>
      </c>
      <c r="R439" s="4" t="s">
        <v>32</v>
      </c>
      <c r="S439" s="6" t="s">
        <v>3188</v>
      </c>
      <c r="T439" s="4" t="s">
        <v>3189</v>
      </c>
      <c r="U439" s="4">
        <v>12.0</v>
      </c>
      <c r="AD439" s="4" t="s">
        <v>1411</v>
      </c>
    </row>
    <row r="440">
      <c r="A440" s="4" t="s">
        <v>1684</v>
      </c>
      <c r="B440" s="4" t="s">
        <v>1413</v>
      </c>
      <c r="C440" s="4" t="s">
        <v>1414</v>
      </c>
      <c r="D440" s="4" t="s">
        <v>1415</v>
      </c>
      <c r="E440" s="4" t="s">
        <v>80</v>
      </c>
      <c r="F440" s="4" t="s">
        <v>1053</v>
      </c>
      <c r="G440" s="4" t="s">
        <v>785</v>
      </c>
      <c r="H440" s="4" t="s">
        <v>2849</v>
      </c>
      <c r="I440" s="4" t="s">
        <v>3190</v>
      </c>
      <c r="J440" s="5">
        <v>40238.0</v>
      </c>
      <c r="K440" s="5">
        <v>17261.0</v>
      </c>
      <c r="L440" s="4">
        <v>76.0</v>
      </c>
      <c r="M440" s="4" t="s">
        <v>1425</v>
      </c>
      <c r="N440" s="4" t="s">
        <v>1419</v>
      </c>
      <c r="O440" s="5">
        <v>41091.0</v>
      </c>
      <c r="P440" s="5">
        <v>41274.0</v>
      </c>
      <c r="Q440" s="4" t="s">
        <v>66</v>
      </c>
      <c r="R440" s="4" t="s">
        <v>32</v>
      </c>
      <c r="S440" s="6" t="s">
        <v>3191</v>
      </c>
      <c r="T440" s="4" t="s">
        <v>3192</v>
      </c>
      <c r="U440" s="4">
        <v>6.0</v>
      </c>
      <c r="V440" s="4" t="s">
        <v>106</v>
      </c>
      <c r="W440" s="4">
        <v>34320.0</v>
      </c>
      <c r="X440" s="4" t="s">
        <v>1721</v>
      </c>
      <c r="Y440" s="4" t="s">
        <v>59</v>
      </c>
      <c r="Z440" s="4" t="s">
        <v>1897</v>
      </c>
      <c r="AA440" s="4">
        <v>1974.0</v>
      </c>
      <c r="AB440" s="4" t="s">
        <v>58</v>
      </c>
      <c r="AC440" s="5">
        <v>27115.0</v>
      </c>
      <c r="AD440" s="4" t="s">
        <v>1411</v>
      </c>
      <c r="AE440" s="5">
        <v>40143.0</v>
      </c>
    </row>
    <row r="441">
      <c r="A441" s="4" t="s">
        <v>1434</v>
      </c>
      <c r="B441" s="4" t="s">
        <v>1473</v>
      </c>
      <c r="C441" s="4" t="s">
        <v>25</v>
      </c>
      <c r="D441" s="4" t="s">
        <v>1474</v>
      </c>
      <c r="E441" s="4" t="s">
        <v>26</v>
      </c>
      <c r="F441" s="4" t="s">
        <v>219</v>
      </c>
      <c r="G441" s="4" t="s">
        <v>3193</v>
      </c>
      <c r="H441" s="4" t="s">
        <v>3194</v>
      </c>
      <c r="I441" s="4" t="s">
        <v>3195</v>
      </c>
      <c r="J441" s="5">
        <v>21337.0</v>
      </c>
      <c r="K441" s="5">
        <v>13724.0</v>
      </c>
      <c r="L441" s="4">
        <v>86.0</v>
      </c>
      <c r="M441" s="4" t="s">
        <v>1407</v>
      </c>
      <c r="O441" s="5">
        <v>35551.0</v>
      </c>
      <c r="P441" s="5">
        <v>37680.0</v>
      </c>
      <c r="Q441" s="4" t="s">
        <v>31</v>
      </c>
      <c r="R441" s="4" t="s">
        <v>32</v>
      </c>
      <c r="S441" s="6" t="s">
        <v>3196</v>
      </c>
      <c r="T441" s="4" t="s">
        <v>3197</v>
      </c>
      <c r="U441" s="4">
        <v>12.0</v>
      </c>
      <c r="V441" s="4" t="s">
        <v>34</v>
      </c>
      <c r="W441" s="4">
        <v>25933.0</v>
      </c>
      <c r="X441" s="4" t="s">
        <v>3198</v>
      </c>
      <c r="Y441" s="4" t="s">
        <v>3199</v>
      </c>
      <c r="Z441" s="4" t="s">
        <v>1727</v>
      </c>
      <c r="AA441" s="4">
        <v>1974.0</v>
      </c>
      <c r="AB441" s="4" t="s">
        <v>58</v>
      </c>
      <c r="AC441" s="5">
        <v>27381.0</v>
      </c>
      <c r="AD441" s="4" t="s">
        <v>1411</v>
      </c>
    </row>
    <row r="442">
      <c r="A442" s="4" t="s">
        <v>60</v>
      </c>
      <c r="B442" s="4" t="s">
        <v>1405</v>
      </c>
      <c r="C442" s="4" t="s">
        <v>317</v>
      </c>
      <c r="D442" s="4" t="s">
        <v>1406</v>
      </c>
      <c r="E442" s="4" t="s">
        <v>26</v>
      </c>
      <c r="F442" s="4" t="s">
        <v>219</v>
      </c>
      <c r="G442" s="4" t="s">
        <v>668</v>
      </c>
      <c r="H442" s="4" t="s">
        <v>3200</v>
      </c>
      <c r="I442" s="4" t="s">
        <v>3201</v>
      </c>
      <c r="J442" s="5">
        <v>39326.0</v>
      </c>
      <c r="K442" s="5">
        <v>24045.0</v>
      </c>
      <c r="L442" s="4">
        <v>58.0</v>
      </c>
      <c r="M442" s="4" t="s">
        <v>1425</v>
      </c>
      <c r="N442" s="4" t="s">
        <v>1419</v>
      </c>
      <c r="O442" s="5">
        <v>44927.0</v>
      </c>
      <c r="P442" s="5">
        <v>45291.0</v>
      </c>
      <c r="Q442" s="4" t="s">
        <v>66</v>
      </c>
      <c r="R442" s="4" t="s">
        <v>32</v>
      </c>
      <c r="S442" s="6" t="s">
        <v>3202</v>
      </c>
      <c r="T442" s="4" t="s">
        <v>671</v>
      </c>
      <c r="U442" s="4">
        <v>12.0</v>
      </c>
      <c r="V442" s="4" t="s">
        <v>55</v>
      </c>
      <c r="W442" s="4">
        <v>35878.0</v>
      </c>
      <c r="X442" s="4" t="s">
        <v>58</v>
      </c>
      <c r="Y442" s="4" t="s">
        <v>59</v>
      </c>
      <c r="AD442" s="4" t="s">
        <v>1411</v>
      </c>
      <c r="AE442" s="5">
        <v>42138.0</v>
      </c>
    </row>
    <row r="443">
      <c r="A443" s="4" t="s">
        <v>39</v>
      </c>
      <c r="B443" s="4" t="s">
        <v>1405</v>
      </c>
      <c r="C443" s="4" t="s">
        <v>317</v>
      </c>
      <c r="D443" s="4" t="s">
        <v>1406</v>
      </c>
      <c r="E443" s="4" t="s">
        <v>26</v>
      </c>
      <c r="F443" s="4" t="s">
        <v>219</v>
      </c>
      <c r="G443" s="4" t="s">
        <v>668</v>
      </c>
      <c r="H443" s="4" t="s">
        <v>3200</v>
      </c>
      <c r="I443" s="4" t="s">
        <v>3201</v>
      </c>
      <c r="J443" s="5">
        <v>39326.0</v>
      </c>
      <c r="K443" s="5">
        <v>24045.0</v>
      </c>
      <c r="L443" s="4">
        <v>58.0</v>
      </c>
      <c r="M443" s="4" t="s">
        <v>1425</v>
      </c>
      <c r="N443" s="4" t="s">
        <v>1419</v>
      </c>
      <c r="O443" s="5">
        <v>44927.0</v>
      </c>
      <c r="P443" s="5">
        <v>45291.0</v>
      </c>
      <c r="Q443" s="4" t="s">
        <v>66</v>
      </c>
      <c r="R443" s="4" t="s">
        <v>32</v>
      </c>
      <c r="S443" s="6" t="s">
        <v>3202</v>
      </c>
      <c r="T443" s="4" t="s">
        <v>671</v>
      </c>
      <c r="U443" s="4">
        <v>12.0</v>
      </c>
      <c r="V443" s="4" t="s">
        <v>55</v>
      </c>
      <c r="W443" s="4">
        <v>35878.0</v>
      </c>
      <c r="X443" s="4" t="s">
        <v>58</v>
      </c>
      <c r="Y443" s="4" t="s">
        <v>59</v>
      </c>
      <c r="AD443" s="4" t="s">
        <v>1411</v>
      </c>
      <c r="AE443" s="5">
        <v>42138.0</v>
      </c>
    </row>
    <row r="444">
      <c r="A444" s="4" t="s">
        <v>1465</v>
      </c>
      <c r="B444" s="4" t="s">
        <v>1473</v>
      </c>
      <c r="C444" s="4" t="s">
        <v>25</v>
      </c>
      <c r="D444" s="4" t="s">
        <v>1474</v>
      </c>
      <c r="E444" s="4" t="s">
        <v>26</v>
      </c>
      <c r="F444" s="4" t="s">
        <v>219</v>
      </c>
      <c r="G444" s="4" t="s">
        <v>310</v>
      </c>
      <c r="H444" s="4" t="s">
        <v>3203</v>
      </c>
      <c r="I444" s="4" t="s">
        <v>3204</v>
      </c>
      <c r="J444" s="5">
        <v>26724.0</v>
      </c>
      <c r="K444" s="5">
        <v>16046.0</v>
      </c>
      <c r="L444" s="4">
        <v>80.0</v>
      </c>
      <c r="M444" s="4" t="s">
        <v>1407</v>
      </c>
      <c r="N444" s="4" t="s">
        <v>1419</v>
      </c>
      <c r="O444" s="5">
        <v>33420.0</v>
      </c>
      <c r="P444" s="5">
        <v>34789.0</v>
      </c>
      <c r="Q444" s="4" t="s">
        <v>31</v>
      </c>
      <c r="R444" s="4" t="s">
        <v>32</v>
      </c>
      <c r="S444" s="6" t="s">
        <v>3205</v>
      </c>
      <c r="T444" s="4" t="s">
        <v>3205</v>
      </c>
      <c r="U444" s="4">
        <v>6.0</v>
      </c>
      <c r="V444" s="4" t="s">
        <v>1784</v>
      </c>
      <c r="W444" s="4">
        <v>28631.0</v>
      </c>
      <c r="X444" s="4" t="s">
        <v>3206</v>
      </c>
      <c r="Y444" s="4" t="s">
        <v>227</v>
      </c>
      <c r="Z444" s="4" t="s">
        <v>2459</v>
      </c>
      <c r="AA444" s="4">
        <v>1967.0</v>
      </c>
      <c r="AB444" s="4" t="s">
        <v>1546</v>
      </c>
      <c r="AC444" s="5">
        <v>24832.0</v>
      </c>
      <c r="AD444" s="4" t="s">
        <v>1411</v>
      </c>
    </row>
    <row r="445">
      <c r="A445" s="4" t="s">
        <v>39</v>
      </c>
      <c r="B445" s="4" t="s">
        <v>1473</v>
      </c>
      <c r="C445" s="4" t="s">
        <v>25</v>
      </c>
      <c r="D445" s="4" t="s">
        <v>1474</v>
      </c>
      <c r="E445" s="4" t="s">
        <v>26</v>
      </c>
      <c r="F445" s="4" t="s">
        <v>219</v>
      </c>
      <c r="G445" s="4" t="s">
        <v>220</v>
      </c>
      <c r="H445" s="4" t="s">
        <v>221</v>
      </c>
      <c r="I445" s="4" t="s">
        <v>222</v>
      </c>
      <c r="J445" s="5">
        <v>34455.0</v>
      </c>
      <c r="K445" s="5">
        <v>21233.0</v>
      </c>
      <c r="L445" s="4">
        <v>65.0</v>
      </c>
      <c r="M445" s="4" t="s">
        <v>1407</v>
      </c>
      <c r="N445" s="4" t="s">
        <v>1419</v>
      </c>
      <c r="O445" s="5">
        <v>42186.0</v>
      </c>
      <c r="P445" s="5">
        <v>73050.0</v>
      </c>
      <c r="Q445" s="4" t="s">
        <v>31</v>
      </c>
      <c r="R445" s="4" t="s">
        <v>32</v>
      </c>
      <c r="S445" s="6" t="s">
        <v>223</v>
      </c>
      <c r="T445" s="4" t="s">
        <v>223</v>
      </c>
      <c r="U445" s="4">
        <v>12.0</v>
      </c>
      <c r="V445" s="4" t="s">
        <v>34</v>
      </c>
      <c r="W445" s="4">
        <v>31182.0</v>
      </c>
      <c r="X445" s="4" t="s">
        <v>226</v>
      </c>
      <c r="Y445" s="4" t="s">
        <v>227</v>
      </c>
      <c r="Z445" s="4" t="s">
        <v>1571</v>
      </c>
      <c r="AA445" s="4">
        <v>1979.0</v>
      </c>
      <c r="AB445" s="4" t="s">
        <v>438</v>
      </c>
      <c r="AC445" s="5">
        <v>29195.0</v>
      </c>
      <c r="AD445" s="4" t="s">
        <v>1411</v>
      </c>
      <c r="AE445" s="5">
        <v>40184.0</v>
      </c>
    </row>
    <row r="446">
      <c r="A446" s="4" t="s">
        <v>78</v>
      </c>
      <c r="B446" s="4" t="s">
        <v>1423</v>
      </c>
      <c r="C446" s="4" t="s">
        <v>109</v>
      </c>
      <c r="D446" s="4" t="s">
        <v>1424</v>
      </c>
      <c r="E446" s="4" t="s">
        <v>26</v>
      </c>
      <c r="F446" s="4" t="s">
        <v>219</v>
      </c>
      <c r="G446" s="4" t="s">
        <v>1875</v>
      </c>
      <c r="H446" s="4" t="s">
        <v>3207</v>
      </c>
      <c r="I446" s="4" t="s">
        <v>3208</v>
      </c>
      <c r="J446" s="5">
        <v>34516.0</v>
      </c>
      <c r="K446" s="5">
        <v>24715.0</v>
      </c>
      <c r="L446" s="4">
        <v>56.0</v>
      </c>
      <c r="M446" s="4" t="s">
        <v>1524</v>
      </c>
      <c r="O446" s="5">
        <v>42186.0</v>
      </c>
      <c r="P446" s="5">
        <v>73050.0</v>
      </c>
      <c r="Q446" s="4" t="s">
        <v>31</v>
      </c>
      <c r="R446" s="4" t="s">
        <v>32</v>
      </c>
      <c r="S446" s="6" t="s">
        <v>3209</v>
      </c>
      <c r="T446" s="4" t="s">
        <v>3210</v>
      </c>
      <c r="U446" s="4">
        <v>6.0</v>
      </c>
      <c r="V446" s="4" t="s">
        <v>106</v>
      </c>
      <c r="W446" s="4">
        <v>38068.0</v>
      </c>
      <c r="X446" s="4" t="s">
        <v>58</v>
      </c>
      <c r="Y446" s="4" t="s">
        <v>59</v>
      </c>
      <c r="AD446" s="4" t="s">
        <v>1411</v>
      </c>
      <c r="AE446" s="5">
        <v>39632.0</v>
      </c>
    </row>
    <row r="447">
      <c r="A447" s="4" t="s">
        <v>1440</v>
      </c>
      <c r="B447" s="4" t="s">
        <v>1982</v>
      </c>
      <c r="C447" s="4" t="s">
        <v>109</v>
      </c>
      <c r="D447" s="4" t="s">
        <v>1424</v>
      </c>
      <c r="E447" s="4" t="s">
        <v>26</v>
      </c>
      <c r="F447" s="4" t="s">
        <v>3211</v>
      </c>
      <c r="G447" s="4" t="s">
        <v>213</v>
      </c>
      <c r="H447" s="4" t="s">
        <v>3212</v>
      </c>
      <c r="I447" s="4" t="s">
        <v>3213</v>
      </c>
      <c r="J447" s="5">
        <v>38915.0</v>
      </c>
      <c r="K447" s="5">
        <v>21136.0</v>
      </c>
      <c r="L447" s="4">
        <v>66.0</v>
      </c>
      <c r="M447" s="4" t="s">
        <v>1407</v>
      </c>
      <c r="N447" s="4" t="s">
        <v>1419</v>
      </c>
      <c r="O447" s="5">
        <v>38915.0</v>
      </c>
      <c r="P447" s="5">
        <v>39141.0</v>
      </c>
      <c r="Q447" s="4" t="s">
        <v>31</v>
      </c>
      <c r="R447" s="4" t="s">
        <v>32</v>
      </c>
      <c r="S447" s="6" t="s">
        <v>3214</v>
      </c>
      <c r="T447" s="4" t="s">
        <v>3215</v>
      </c>
      <c r="U447" s="4">
        <v>22.0</v>
      </c>
      <c r="Z447" s="4" t="s">
        <v>2156</v>
      </c>
      <c r="AA447" s="4">
        <v>1983.0</v>
      </c>
      <c r="AB447" s="4" t="s">
        <v>58</v>
      </c>
      <c r="AC447" s="5">
        <v>30334.0</v>
      </c>
      <c r="AD447" s="4" t="s">
        <v>1411</v>
      </c>
      <c r="AE447" s="5">
        <v>38915.0</v>
      </c>
    </row>
    <row r="448">
      <c r="A448" s="4" t="s">
        <v>39</v>
      </c>
      <c r="B448" s="4" t="s">
        <v>1473</v>
      </c>
      <c r="C448" s="4" t="s">
        <v>25</v>
      </c>
      <c r="D448" s="4" t="s">
        <v>1474</v>
      </c>
      <c r="E448" s="4" t="s">
        <v>80</v>
      </c>
      <c r="F448" s="4" t="s">
        <v>280</v>
      </c>
      <c r="G448" s="4" t="s">
        <v>717</v>
      </c>
      <c r="H448" s="4" t="s">
        <v>1178</v>
      </c>
      <c r="I448" s="4" t="s">
        <v>1179</v>
      </c>
      <c r="J448" s="5">
        <v>44075.0</v>
      </c>
      <c r="K448" s="5">
        <v>26737.0</v>
      </c>
      <c r="L448" s="4">
        <v>50.0</v>
      </c>
      <c r="M448" s="4" t="s">
        <v>1407</v>
      </c>
      <c r="N448" s="4" t="s">
        <v>1419</v>
      </c>
      <c r="O448" s="5">
        <v>44927.0</v>
      </c>
      <c r="P448" s="5">
        <v>45291.0</v>
      </c>
      <c r="Q448" s="4" t="s">
        <v>66</v>
      </c>
      <c r="R448" s="4" t="s">
        <v>32</v>
      </c>
      <c r="S448" s="6" t="s">
        <v>3216</v>
      </c>
      <c r="T448" s="4" t="s">
        <v>1180</v>
      </c>
      <c r="U448" s="4">
        <v>44.0</v>
      </c>
      <c r="V448" s="4" t="s">
        <v>34</v>
      </c>
      <c r="W448" s="4">
        <v>40554.0</v>
      </c>
      <c r="X448" s="4" t="s">
        <v>1182</v>
      </c>
      <c r="Y448" s="4" t="s">
        <v>89</v>
      </c>
      <c r="Z448" s="4" t="s">
        <v>1479</v>
      </c>
      <c r="AA448" s="4">
        <v>2006.0</v>
      </c>
      <c r="AB448" s="4" t="s">
        <v>2490</v>
      </c>
      <c r="AC448" s="5">
        <v>38915.0</v>
      </c>
      <c r="AD448" s="4" t="s">
        <v>1411</v>
      </c>
      <c r="AE448" s="5">
        <v>44034.0</v>
      </c>
    </row>
    <row r="449">
      <c r="A449" s="4" t="s">
        <v>337</v>
      </c>
      <c r="B449" s="4" t="s">
        <v>1540</v>
      </c>
      <c r="C449" s="4" t="s">
        <v>99</v>
      </c>
      <c r="D449" s="4" t="s">
        <v>1541</v>
      </c>
      <c r="E449" s="4" t="s">
        <v>26</v>
      </c>
      <c r="F449" s="4" t="s">
        <v>280</v>
      </c>
      <c r="G449" s="4" t="s">
        <v>3217</v>
      </c>
      <c r="H449" s="4" t="s">
        <v>3218</v>
      </c>
      <c r="I449" s="4" t="s">
        <v>3219</v>
      </c>
      <c r="J449" s="5">
        <v>42675.0</v>
      </c>
      <c r="K449" s="5">
        <v>29103.0</v>
      </c>
      <c r="L449" s="4">
        <v>44.0</v>
      </c>
      <c r="M449" s="4" t="s">
        <v>1407</v>
      </c>
      <c r="N449" s="4" t="s">
        <v>1419</v>
      </c>
      <c r="O449" s="5">
        <v>44927.0</v>
      </c>
      <c r="P449" s="5">
        <v>45291.0</v>
      </c>
      <c r="Q449" s="4" t="s">
        <v>66</v>
      </c>
      <c r="R449" s="4" t="s">
        <v>32</v>
      </c>
      <c r="S449" s="6" t="s">
        <v>3220</v>
      </c>
      <c r="T449" s="4" t="s">
        <v>3221</v>
      </c>
      <c r="U449" s="4">
        <v>15.0</v>
      </c>
      <c r="V449" s="4" t="s">
        <v>34</v>
      </c>
      <c r="W449" s="4">
        <v>41987.0</v>
      </c>
      <c r="X449" s="4" t="s">
        <v>3222</v>
      </c>
      <c r="Y449" s="4" t="s">
        <v>227</v>
      </c>
      <c r="Z449" s="4" t="s">
        <v>2156</v>
      </c>
      <c r="AA449" s="4">
        <v>2003.0</v>
      </c>
      <c r="AB449" s="4" t="s">
        <v>438</v>
      </c>
      <c r="AC449" s="5">
        <v>37641.0</v>
      </c>
      <c r="AD449" s="4" t="s">
        <v>1411</v>
      </c>
      <c r="AE449" s="5">
        <v>44048.0</v>
      </c>
    </row>
    <row r="450">
      <c r="A450" s="4" t="s">
        <v>60</v>
      </c>
      <c r="B450" s="4" t="s">
        <v>1413</v>
      </c>
      <c r="C450" s="4" t="s">
        <v>1414</v>
      </c>
      <c r="D450" s="4" t="s">
        <v>1415</v>
      </c>
      <c r="E450" s="4" t="s">
        <v>26</v>
      </c>
      <c r="F450" s="4" t="s">
        <v>280</v>
      </c>
      <c r="G450" s="4" t="s">
        <v>948</v>
      </c>
      <c r="H450" s="4" t="s">
        <v>949</v>
      </c>
      <c r="I450" s="4" t="s">
        <v>950</v>
      </c>
      <c r="J450" s="5">
        <v>42248.0</v>
      </c>
      <c r="K450" s="5">
        <v>30306.0</v>
      </c>
      <c r="L450" s="4">
        <v>41.0</v>
      </c>
      <c r="M450" s="4" t="s">
        <v>1425</v>
      </c>
      <c r="N450" s="4" t="s">
        <v>1419</v>
      </c>
      <c r="O450" s="5">
        <v>44927.0</v>
      </c>
      <c r="P450" s="5">
        <v>45291.0</v>
      </c>
      <c r="Q450" s="4" t="s">
        <v>66</v>
      </c>
      <c r="R450" s="4" t="s">
        <v>32</v>
      </c>
      <c r="S450" s="6" t="s">
        <v>3223</v>
      </c>
      <c r="T450" s="4" t="s">
        <v>951</v>
      </c>
      <c r="U450" s="4">
        <v>21.0</v>
      </c>
      <c r="V450" s="4" t="s">
        <v>359</v>
      </c>
      <c r="W450" s="4">
        <v>42213.0</v>
      </c>
      <c r="X450" s="4" t="s">
        <v>58</v>
      </c>
      <c r="Y450" s="4" t="s">
        <v>59</v>
      </c>
      <c r="Z450" s="4" t="s">
        <v>1427</v>
      </c>
      <c r="AA450" s="4">
        <v>2009.0</v>
      </c>
      <c r="AB450" s="4" t="s">
        <v>58</v>
      </c>
      <c r="AC450" s="5">
        <v>39980.0</v>
      </c>
      <c r="AD450" s="4" t="s">
        <v>1411</v>
      </c>
      <c r="AE450" s="5">
        <v>42229.0</v>
      </c>
    </row>
    <row r="451">
      <c r="A451" s="4" t="s">
        <v>78</v>
      </c>
      <c r="B451" s="4" t="s">
        <v>1540</v>
      </c>
      <c r="C451" s="4" t="s">
        <v>99</v>
      </c>
      <c r="D451" s="4" t="s">
        <v>1541</v>
      </c>
      <c r="E451" s="4" t="s">
        <v>80</v>
      </c>
      <c r="F451" s="4" t="s">
        <v>280</v>
      </c>
      <c r="G451" s="4" t="s">
        <v>281</v>
      </c>
      <c r="H451" s="4" t="s">
        <v>282</v>
      </c>
      <c r="I451" s="4" t="s">
        <v>283</v>
      </c>
      <c r="J451" s="5">
        <v>35947.0</v>
      </c>
      <c r="K451" s="5">
        <v>26100.0</v>
      </c>
      <c r="L451" s="4">
        <v>52.0</v>
      </c>
      <c r="M451" s="4" t="s">
        <v>1407</v>
      </c>
      <c r="O451" s="5">
        <v>42644.0</v>
      </c>
      <c r="P451" s="5">
        <v>73050.0</v>
      </c>
      <c r="Q451" s="4" t="s">
        <v>31</v>
      </c>
      <c r="R451" s="4" t="s">
        <v>32</v>
      </c>
      <c r="S451" s="6" t="s">
        <v>3224</v>
      </c>
      <c r="T451" s="4" t="s">
        <v>284</v>
      </c>
      <c r="U451" s="4">
        <v>44.0</v>
      </c>
      <c r="V451" s="4" t="s">
        <v>34</v>
      </c>
      <c r="W451" s="4">
        <v>41824.0</v>
      </c>
      <c r="X451" s="4" t="s">
        <v>287</v>
      </c>
      <c r="Y451" s="4" t="s">
        <v>59</v>
      </c>
      <c r="Z451" s="4" t="s">
        <v>1590</v>
      </c>
      <c r="AA451" s="4">
        <v>1997.0</v>
      </c>
      <c r="AB451" s="4" t="s">
        <v>58</v>
      </c>
      <c r="AC451" s="5">
        <v>35724.0</v>
      </c>
      <c r="AD451" s="4" t="s">
        <v>1411</v>
      </c>
      <c r="AE451" s="5">
        <v>42606.0</v>
      </c>
    </row>
    <row r="452">
      <c r="A452" s="4" t="s">
        <v>1465</v>
      </c>
      <c r="B452" s="4" t="s">
        <v>1423</v>
      </c>
      <c r="C452" s="4" t="s">
        <v>109</v>
      </c>
      <c r="D452" s="4" t="s">
        <v>1424</v>
      </c>
      <c r="E452" s="4" t="s">
        <v>26</v>
      </c>
      <c r="F452" s="4" t="s">
        <v>3225</v>
      </c>
      <c r="G452" s="4" t="s">
        <v>3226</v>
      </c>
      <c r="H452" s="4" t="s">
        <v>3227</v>
      </c>
      <c r="I452" s="4" t="s">
        <v>3228</v>
      </c>
      <c r="J452" s="5">
        <v>36708.0</v>
      </c>
      <c r="K452" s="5">
        <v>18307.0</v>
      </c>
      <c r="L452" s="4">
        <v>73.0</v>
      </c>
      <c r="M452" s="4" t="s">
        <v>1524</v>
      </c>
      <c r="N452" s="4" t="s">
        <v>1419</v>
      </c>
      <c r="O452" s="5">
        <v>37803.0</v>
      </c>
      <c r="P452" s="5">
        <v>37833.0</v>
      </c>
      <c r="Q452" s="4" t="s">
        <v>66</v>
      </c>
      <c r="R452" s="4" t="s">
        <v>32</v>
      </c>
      <c r="S452" s="6" t="s">
        <v>3229</v>
      </c>
      <c r="T452" s="4" t="s">
        <v>3230</v>
      </c>
      <c r="U452" s="4">
        <v>22.0</v>
      </c>
      <c r="Z452" s="4" t="s">
        <v>1519</v>
      </c>
      <c r="AA452" s="4">
        <v>1970.0</v>
      </c>
      <c r="AB452" s="4" t="s">
        <v>438</v>
      </c>
      <c r="AC452" s="5">
        <v>25689.0</v>
      </c>
      <c r="AD452" s="4" t="s">
        <v>1411</v>
      </c>
    </row>
    <row r="453">
      <c r="A453" s="4" t="s">
        <v>1412</v>
      </c>
      <c r="B453" s="4" t="s">
        <v>1540</v>
      </c>
      <c r="C453" s="4" t="s">
        <v>99</v>
      </c>
      <c r="D453" s="4" t="s">
        <v>1541</v>
      </c>
      <c r="E453" s="4" t="s">
        <v>26</v>
      </c>
      <c r="F453" s="4" t="s">
        <v>3225</v>
      </c>
      <c r="G453" s="4" t="s">
        <v>498</v>
      </c>
      <c r="H453" s="4" t="s">
        <v>2112</v>
      </c>
      <c r="I453" s="4" t="s">
        <v>3231</v>
      </c>
      <c r="J453" s="5">
        <v>23285.0</v>
      </c>
      <c r="K453" s="5">
        <v>9660.0</v>
      </c>
      <c r="L453" s="4">
        <v>97.0</v>
      </c>
      <c r="M453" s="4" t="s">
        <v>1425</v>
      </c>
      <c r="O453" s="5">
        <v>32690.0</v>
      </c>
      <c r="P453" s="5">
        <v>34789.0</v>
      </c>
      <c r="Q453" s="4" t="s">
        <v>31</v>
      </c>
      <c r="R453" s="4" t="s">
        <v>32</v>
      </c>
      <c r="S453" s="6" t="s">
        <v>3232</v>
      </c>
      <c r="T453" s="4" t="s">
        <v>3233</v>
      </c>
      <c r="U453" s="4">
        <v>44.0</v>
      </c>
      <c r="AD453" s="4" t="s">
        <v>1411</v>
      </c>
    </row>
    <row r="454">
      <c r="A454" s="4" t="s">
        <v>1412</v>
      </c>
      <c r="B454" s="4" t="s">
        <v>1473</v>
      </c>
      <c r="C454" s="4" t="s">
        <v>25</v>
      </c>
      <c r="D454" s="4" t="s">
        <v>1474</v>
      </c>
      <c r="E454" s="4" t="s">
        <v>26</v>
      </c>
      <c r="F454" s="4" t="s">
        <v>3234</v>
      </c>
      <c r="G454" s="4" t="s">
        <v>3235</v>
      </c>
      <c r="H454" s="4" t="s">
        <v>3236</v>
      </c>
      <c r="I454" s="4" t="s">
        <v>3237</v>
      </c>
      <c r="J454" s="5">
        <v>35278.0</v>
      </c>
      <c r="K454" s="5">
        <v>10971.0</v>
      </c>
      <c r="L454" s="4">
        <v>94.0</v>
      </c>
      <c r="M454" s="4" t="s">
        <v>1407</v>
      </c>
      <c r="O454" s="5">
        <v>35278.0</v>
      </c>
      <c r="P454" s="5">
        <v>39691.0</v>
      </c>
      <c r="Q454" s="4" t="s">
        <v>1694</v>
      </c>
      <c r="R454" s="4" t="s">
        <v>32</v>
      </c>
      <c r="S454" s="6" t="s">
        <v>3238</v>
      </c>
      <c r="T454" s="4" t="s">
        <v>3239</v>
      </c>
      <c r="U454" s="4">
        <v>6.0</v>
      </c>
      <c r="V454" s="4" t="s">
        <v>1492</v>
      </c>
      <c r="W454" s="4">
        <v>19716.0</v>
      </c>
      <c r="X454" s="4" t="s">
        <v>58</v>
      </c>
      <c r="Y454" s="4" t="s">
        <v>59</v>
      </c>
      <c r="AD454" s="4" t="s">
        <v>1411</v>
      </c>
    </row>
    <row r="455">
      <c r="A455" s="4" t="s">
        <v>78</v>
      </c>
      <c r="B455" s="4" t="s">
        <v>1423</v>
      </c>
      <c r="C455" s="4" t="s">
        <v>109</v>
      </c>
      <c r="D455" s="4" t="s">
        <v>1424</v>
      </c>
      <c r="E455" s="4" t="s">
        <v>26</v>
      </c>
      <c r="F455" s="4" t="s">
        <v>3234</v>
      </c>
      <c r="G455" s="4" t="s">
        <v>136</v>
      </c>
      <c r="H455" s="4" t="s">
        <v>3240</v>
      </c>
      <c r="I455" s="4" t="s">
        <v>3241</v>
      </c>
      <c r="J455" s="5">
        <v>34973.0</v>
      </c>
      <c r="K455" s="5">
        <v>25138.0</v>
      </c>
      <c r="L455" s="4">
        <v>55.0</v>
      </c>
      <c r="M455" s="4" t="s">
        <v>1407</v>
      </c>
      <c r="O455" s="5">
        <v>42186.0</v>
      </c>
      <c r="P455" s="5">
        <v>73050.0</v>
      </c>
      <c r="Q455" s="4" t="s">
        <v>31</v>
      </c>
      <c r="R455" s="4" t="s">
        <v>32</v>
      </c>
      <c r="S455" s="6" t="s">
        <v>3242</v>
      </c>
      <c r="T455" s="4" t="s">
        <v>3242</v>
      </c>
      <c r="U455" s="4">
        <v>44.0</v>
      </c>
      <c r="V455" s="4" t="s">
        <v>34</v>
      </c>
      <c r="W455" s="4">
        <v>38090.0</v>
      </c>
      <c r="X455" s="4" t="s">
        <v>3243</v>
      </c>
      <c r="Y455" s="4" t="s">
        <v>89</v>
      </c>
      <c r="Z455" s="4" t="s">
        <v>1433</v>
      </c>
      <c r="AA455" s="4">
        <v>1995.0</v>
      </c>
      <c r="AB455" s="4" t="s">
        <v>58</v>
      </c>
      <c r="AC455" s="5">
        <v>34891.0</v>
      </c>
      <c r="AD455" s="4" t="s">
        <v>1411</v>
      </c>
      <c r="AE455" s="5">
        <v>39037.0</v>
      </c>
    </row>
    <row r="456">
      <c r="A456" s="4" t="s">
        <v>60</v>
      </c>
      <c r="B456" s="4" t="s">
        <v>1423</v>
      </c>
      <c r="C456" s="4" t="s">
        <v>109</v>
      </c>
      <c r="D456" s="4" t="s">
        <v>1424</v>
      </c>
      <c r="E456" s="4" t="s">
        <v>26</v>
      </c>
      <c r="F456" s="4" t="s">
        <v>397</v>
      </c>
      <c r="G456" s="4" t="s">
        <v>398</v>
      </c>
      <c r="H456" s="4" t="s">
        <v>3244</v>
      </c>
      <c r="I456" s="4" t="s">
        <v>3245</v>
      </c>
      <c r="J456" s="5">
        <v>37834.0</v>
      </c>
      <c r="K456" s="5">
        <v>27155.0</v>
      </c>
      <c r="L456" s="4">
        <v>49.0</v>
      </c>
      <c r="M456" s="4" t="s">
        <v>1524</v>
      </c>
      <c r="N456" s="4" t="s">
        <v>1419</v>
      </c>
      <c r="O456" s="5">
        <v>42186.0</v>
      </c>
      <c r="P456" s="5">
        <v>73050.0</v>
      </c>
      <c r="Q456" s="4" t="s">
        <v>31</v>
      </c>
      <c r="R456" s="4" t="s">
        <v>32</v>
      </c>
      <c r="S456" s="6" t="s">
        <v>3246</v>
      </c>
      <c r="T456" s="4" t="s">
        <v>401</v>
      </c>
      <c r="U456" s="4">
        <v>22.0</v>
      </c>
      <c r="V456" s="4" t="s">
        <v>34</v>
      </c>
      <c r="W456" s="4">
        <v>41913.0</v>
      </c>
      <c r="X456" s="4" t="s">
        <v>403</v>
      </c>
      <c r="Y456" s="4" t="s">
        <v>404</v>
      </c>
      <c r="Z456" s="4" t="s">
        <v>1427</v>
      </c>
      <c r="AA456" s="4">
        <v>2000.0</v>
      </c>
      <c r="AB456" s="4" t="s">
        <v>58</v>
      </c>
      <c r="AC456" s="5">
        <v>36749.0</v>
      </c>
      <c r="AD456" s="4" t="s">
        <v>1411</v>
      </c>
      <c r="AE456" s="5">
        <v>39905.0</v>
      </c>
    </row>
    <row r="457">
      <c r="A457" s="4" t="s">
        <v>60</v>
      </c>
      <c r="B457" s="4" t="s">
        <v>1413</v>
      </c>
      <c r="C457" s="4" t="s">
        <v>1414</v>
      </c>
      <c r="D457" s="4" t="s">
        <v>1415</v>
      </c>
      <c r="E457" s="4" t="s">
        <v>26</v>
      </c>
      <c r="F457" s="4" t="s">
        <v>3247</v>
      </c>
      <c r="G457" s="4" t="s">
        <v>811</v>
      </c>
      <c r="H457" s="4" t="s">
        <v>3248</v>
      </c>
      <c r="I457" s="4" t="s">
        <v>3249</v>
      </c>
      <c r="J457" s="5">
        <v>38838.0</v>
      </c>
      <c r="K457" s="5">
        <v>28048.0</v>
      </c>
      <c r="L457" s="4">
        <v>47.0</v>
      </c>
      <c r="M457" s="4" t="s">
        <v>1407</v>
      </c>
      <c r="N457" s="4" t="s">
        <v>1419</v>
      </c>
      <c r="O457" s="5">
        <v>42370.0</v>
      </c>
      <c r="P457" s="5">
        <v>42429.0</v>
      </c>
      <c r="Q457" s="4" t="s">
        <v>66</v>
      </c>
      <c r="R457" s="4" t="s">
        <v>32</v>
      </c>
      <c r="S457" s="6" t="s">
        <v>3250</v>
      </c>
      <c r="T457" s="4" t="s">
        <v>3251</v>
      </c>
      <c r="U457" s="4">
        <v>6.0</v>
      </c>
      <c r="V457" s="4" t="s">
        <v>359</v>
      </c>
      <c r="W457" s="4">
        <v>39537.0</v>
      </c>
      <c r="X457" s="4" t="s">
        <v>2962</v>
      </c>
      <c r="Y457" s="4" t="s">
        <v>59</v>
      </c>
      <c r="Z457" s="4" t="s">
        <v>1427</v>
      </c>
      <c r="AA457" s="4">
        <v>2004.0</v>
      </c>
      <c r="AB457" s="4" t="s">
        <v>58</v>
      </c>
      <c r="AC457" s="5">
        <v>38216.0</v>
      </c>
      <c r="AD457" s="4" t="s">
        <v>1411</v>
      </c>
      <c r="AE457" s="5">
        <v>40108.0</v>
      </c>
    </row>
    <row r="458">
      <c r="A458" s="4" t="s">
        <v>2540</v>
      </c>
      <c r="B458" s="4" t="s">
        <v>1423</v>
      </c>
      <c r="C458" s="4" t="s">
        <v>109</v>
      </c>
      <c r="D458" s="4" t="s">
        <v>1424</v>
      </c>
      <c r="E458" s="4" t="s">
        <v>80</v>
      </c>
      <c r="F458" s="4" t="s">
        <v>3252</v>
      </c>
      <c r="G458" s="4" t="s">
        <v>3217</v>
      </c>
      <c r="H458" s="4" t="s">
        <v>3253</v>
      </c>
      <c r="I458" s="4" t="s">
        <v>3254</v>
      </c>
      <c r="J458" s="5">
        <v>31503.0</v>
      </c>
      <c r="K458" s="5">
        <v>16858.0</v>
      </c>
      <c r="L458" s="4">
        <v>77.0</v>
      </c>
      <c r="M458" s="4" t="s">
        <v>1407</v>
      </c>
      <c r="O458" s="5">
        <v>34790.0</v>
      </c>
      <c r="P458" s="5">
        <v>38665.0</v>
      </c>
      <c r="Q458" s="4" t="s">
        <v>31</v>
      </c>
      <c r="R458" s="4" t="s">
        <v>32</v>
      </c>
      <c r="S458" s="6" t="s">
        <v>3255</v>
      </c>
      <c r="T458" s="4" t="s">
        <v>3256</v>
      </c>
      <c r="U458" s="4">
        <v>22.0</v>
      </c>
      <c r="V458" s="4" t="s">
        <v>34</v>
      </c>
      <c r="W458" s="4">
        <v>36160.0</v>
      </c>
      <c r="X458" s="4" t="s">
        <v>58</v>
      </c>
      <c r="Y458" s="4" t="s">
        <v>59</v>
      </c>
      <c r="AD458" s="4" t="s">
        <v>1411</v>
      </c>
    </row>
    <row r="459">
      <c r="A459" s="4" t="s">
        <v>39</v>
      </c>
      <c r="B459" s="4" t="s">
        <v>1447</v>
      </c>
      <c r="C459" s="4" t="s">
        <v>40</v>
      </c>
      <c r="D459" s="4" t="s">
        <v>1448</v>
      </c>
      <c r="E459" s="4" t="s">
        <v>80</v>
      </c>
      <c r="F459" s="4" t="s">
        <v>1187</v>
      </c>
      <c r="G459" s="4" t="s">
        <v>1188</v>
      </c>
      <c r="H459" s="4" t="s">
        <v>1189</v>
      </c>
      <c r="I459" s="4" t="s">
        <v>1190</v>
      </c>
      <c r="J459" s="5">
        <v>44256.0</v>
      </c>
      <c r="K459" s="5">
        <v>24872.0</v>
      </c>
      <c r="L459" s="4">
        <v>55.0</v>
      </c>
      <c r="M459" s="4" t="s">
        <v>1425</v>
      </c>
      <c r="O459" s="5">
        <v>44927.0</v>
      </c>
      <c r="P459" s="5">
        <v>45291.0</v>
      </c>
      <c r="Q459" s="4" t="s">
        <v>66</v>
      </c>
      <c r="R459" s="4" t="s">
        <v>32</v>
      </c>
      <c r="S459" s="6" t="s">
        <v>3257</v>
      </c>
      <c r="T459" s="4" t="s">
        <v>1191</v>
      </c>
      <c r="U459" s="4">
        <v>21.0</v>
      </c>
      <c r="Z459" s="4" t="s">
        <v>1479</v>
      </c>
      <c r="AA459" s="4">
        <v>1990.0</v>
      </c>
      <c r="AB459" s="4" t="s">
        <v>438</v>
      </c>
      <c r="AC459" s="5">
        <v>33112.0</v>
      </c>
      <c r="AD459" s="4" t="s">
        <v>1411</v>
      </c>
      <c r="AE459" s="5">
        <v>44342.0</v>
      </c>
    </row>
    <row r="460">
      <c r="A460" s="4" t="s">
        <v>1465</v>
      </c>
      <c r="B460" s="4" t="s">
        <v>1413</v>
      </c>
      <c r="C460" s="4" t="s">
        <v>1414</v>
      </c>
      <c r="D460" s="4" t="s">
        <v>1415</v>
      </c>
      <c r="E460" s="4" t="s">
        <v>26</v>
      </c>
      <c r="F460" s="4" t="s">
        <v>3258</v>
      </c>
      <c r="G460" s="4" t="s">
        <v>1076</v>
      </c>
      <c r="H460" s="4" t="s">
        <v>3259</v>
      </c>
      <c r="I460" s="4" t="s">
        <v>3260</v>
      </c>
      <c r="J460" s="5">
        <v>36039.0</v>
      </c>
      <c r="K460" s="5">
        <v>17796.0</v>
      </c>
      <c r="L460" s="4">
        <v>75.0</v>
      </c>
      <c r="M460" s="4" t="s">
        <v>1453</v>
      </c>
      <c r="O460" s="5">
        <v>37438.0</v>
      </c>
      <c r="P460" s="5">
        <v>37468.0</v>
      </c>
      <c r="Q460" s="4" t="s">
        <v>66</v>
      </c>
      <c r="R460" s="4" t="s">
        <v>32</v>
      </c>
      <c r="S460" s="6" t="s">
        <v>3261</v>
      </c>
      <c r="T460" s="4" t="s">
        <v>3262</v>
      </c>
      <c r="U460" s="4">
        <v>12.0</v>
      </c>
      <c r="V460" s="4" t="s">
        <v>34</v>
      </c>
      <c r="W460" s="4">
        <v>1.0</v>
      </c>
      <c r="X460" s="4" t="s">
        <v>1464</v>
      </c>
      <c r="Y460" s="4" t="s">
        <v>59</v>
      </c>
      <c r="AD460" s="4" t="s">
        <v>1411</v>
      </c>
    </row>
    <row r="461">
      <c r="A461" s="4" t="s">
        <v>60</v>
      </c>
      <c r="B461" s="4" t="s">
        <v>1423</v>
      </c>
      <c r="C461" s="4" t="s">
        <v>109</v>
      </c>
      <c r="D461" s="4" t="s">
        <v>1424</v>
      </c>
      <c r="E461" s="4" t="s">
        <v>26</v>
      </c>
      <c r="F461" s="4" t="s">
        <v>491</v>
      </c>
      <c r="G461" s="4" t="s">
        <v>3263</v>
      </c>
      <c r="H461" s="4" t="s">
        <v>3264</v>
      </c>
      <c r="I461" s="4" t="s">
        <v>3265</v>
      </c>
      <c r="J461" s="5">
        <v>42461.0</v>
      </c>
      <c r="K461" s="5">
        <v>24743.0</v>
      </c>
      <c r="L461" s="4">
        <v>56.0</v>
      </c>
      <c r="M461" s="4" t="s">
        <v>1425</v>
      </c>
      <c r="O461" s="5">
        <v>42736.0</v>
      </c>
      <c r="P461" s="5">
        <v>42855.0</v>
      </c>
      <c r="Q461" s="4" t="s">
        <v>104</v>
      </c>
      <c r="R461" s="4" t="s">
        <v>32</v>
      </c>
      <c r="S461" s="6" t="s">
        <v>3266</v>
      </c>
      <c r="T461" s="4" t="s">
        <v>3267</v>
      </c>
      <c r="U461" s="4">
        <v>4.0</v>
      </c>
      <c r="V461" s="4" t="s">
        <v>34</v>
      </c>
      <c r="W461" s="4">
        <v>37673.0</v>
      </c>
      <c r="X461" s="4" t="s">
        <v>3268</v>
      </c>
      <c r="Y461" s="4" t="s">
        <v>89</v>
      </c>
      <c r="Z461" s="4" t="s">
        <v>1510</v>
      </c>
      <c r="AA461" s="4">
        <v>1993.0</v>
      </c>
      <c r="AB461" s="4" t="s">
        <v>1007</v>
      </c>
      <c r="AC461" s="5">
        <v>34058.0</v>
      </c>
      <c r="AD461" s="4" t="s">
        <v>1411</v>
      </c>
      <c r="AE461" s="5">
        <v>41886.0</v>
      </c>
    </row>
    <row r="462">
      <c r="A462" s="4" t="s">
        <v>1412</v>
      </c>
      <c r="B462" s="4" t="s">
        <v>1423</v>
      </c>
      <c r="C462" s="4" t="s">
        <v>109</v>
      </c>
      <c r="D462" s="4" t="s">
        <v>1424</v>
      </c>
      <c r="E462" s="4" t="s">
        <v>80</v>
      </c>
      <c r="F462" s="4" t="s">
        <v>491</v>
      </c>
      <c r="G462" s="4" t="s">
        <v>2356</v>
      </c>
      <c r="H462" s="4" t="s">
        <v>3269</v>
      </c>
      <c r="I462" s="4" t="s">
        <v>3270</v>
      </c>
      <c r="J462" s="5">
        <v>27181.0</v>
      </c>
      <c r="K462" s="5">
        <v>17798.0</v>
      </c>
      <c r="L462" s="4">
        <v>75.0</v>
      </c>
      <c r="M462" s="4" t="s">
        <v>1453</v>
      </c>
      <c r="O462" s="5">
        <v>34700.0</v>
      </c>
      <c r="P462" s="5">
        <v>34758.0</v>
      </c>
      <c r="Q462" s="4" t="s">
        <v>66</v>
      </c>
      <c r="R462" s="4" t="s">
        <v>32</v>
      </c>
      <c r="S462" s="6" t="s">
        <v>3271</v>
      </c>
      <c r="T462" s="4" t="s">
        <v>3271</v>
      </c>
      <c r="U462" s="4">
        <v>22.0</v>
      </c>
      <c r="AD462" s="4" t="s">
        <v>1411</v>
      </c>
    </row>
    <row r="463">
      <c r="A463" s="4" t="s">
        <v>60</v>
      </c>
      <c r="B463" s="4" t="s">
        <v>1428</v>
      </c>
      <c r="C463" s="4" t="s">
        <v>79</v>
      </c>
      <c r="D463" s="4" t="s">
        <v>1429</v>
      </c>
      <c r="E463" s="4" t="s">
        <v>80</v>
      </c>
      <c r="F463" s="4" t="s">
        <v>491</v>
      </c>
      <c r="G463" s="4" t="s">
        <v>2356</v>
      </c>
      <c r="H463" s="4" t="s">
        <v>3272</v>
      </c>
      <c r="I463" s="4" t="s">
        <v>3273</v>
      </c>
      <c r="J463" s="5">
        <v>27791.0</v>
      </c>
      <c r="K463" s="5">
        <v>18460.0</v>
      </c>
      <c r="L463" s="4">
        <v>73.0</v>
      </c>
      <c r="M463" s="4" t="s">
        <v>1407</v>
      </c>
      <c r="O463" s="5">
        <v>42186.0</v>
      </c>
      <c r="P463" s="5">
        <v>43311.0</v>
      </c>
      <c r="Q463" s="4" t="s">
        <v>31</v>
      </c>
      <c r="R463" s="4" t="s">
        <v>32</v>
      </c>
      <c r="S463" s="6" t="s">
        <v>3274</v>
      </c>
      <c r="T463" s="4" t="s">
        <v>3275</v>
      </c>
      <c r="U463" s="4">
        <v>22.0</v>
      </c>
      <c r="V463" s="4" t="s">
        <v>34</v>
      </c>
      <c r="W463" s="4">
        <v>37148.0</v>
      </c>
      <c r="X463" s="4" t="s">
        <v>58</v>
      </c>
      <c r="Y463" s="4" t="s">
        <v>59</v>
      </c>
      <c r="Z463" s="4" t="s">
        <v>1427</v>
      </c>
      <c r="AA463" s="4">
        <v>1974.0</v>
      </c>
      <c r="AB463" s="4" t="s">
        <v>58</v>
      </c>
      <c r="AC463" s="5">
        <v>27115.0</v>
      </c>
      <c r="AD463" s="4" t="s">
        <v>1411</v>
      </c>
      <c r="AE463" s="5">
        <v>41850.0</v>
      </c>
    </row>
    <row r="464">
      <c r="A464" s="4" t="s">
        <v>1412</v>
      </c>
      <c r="B464" s="4" t="s">
        <v>1849</v>
      </c>
      <c r="C464" s="4" t="s">
        <v>1850</v>
      </c>
      <c r="D464" s="4" t="s">
        <v>1851</v>
      </c>
      <c r="E464" s="4" t="s">
        <v>80</v>
      </c>
      <c r="F464" s="4" t="s">
        <v>1618</v>
      </c>
      <c r="G464" s="4" t="s">
        <v>3276</v>
      </c>
      <c r="H464" s="4" t="s">
        <v>3277</v>
      </c>
      <c r="I464" s="4" t="s">
        <v>3278</v>
      </c>
      <c r="J464" s="5">
        <v>37926.0</v>
      </c>
      <c r="K464" s="5">
        <v>21714.0</v>
      </c>
      <c r="L464" s="4">
        <v>64.0</v>
      </c>
      <c r="M464" s="4" t="s">
        <v>1407</v>
      </c>
      <c r="N464" s="4" t="s">
        <v>1419</v>
      </c>
      <c r="O464" s="5">
        <v>35065.0</v>
      </c>
      <c r="P464" s="5">
        <v>35095.0</v>
      </c>
      <c r="Q464" s="4" t="s">
        <v>66</v>
      </c>
      <c r="R464" s="4" t="s">
        <v>32</v>
      </c>
      <c r="S464" s="6" t="s">
        <v>3279</v>
      </c>
      <c r="T464" s="4" t="s">
        <v>3280</v>
      </c>
      <c r="U464" s="4">
        <v>6.0</v>
      </c>
      <c r="Z464" s="4" t="s">
        <v>1427</v>
      </c>
      <c r="AA464" s="4">
        <v>1984.0</v>
      </c>
      <c r="AB464" s="4" t="s">
        <v>438</v>
      </c>
      <c r="AC464" s="5">
        <v>30763.0</v>
      </c>
      <c r="AD464" s="4" t="s">
        <v>1411</v>
      </c>
    </row>
    <row r="465">
      <c r="A465" s="4" t="s">
        <v>1465</v>
      </c>
      <c r="B465" s="4" t="s">
        <v>1423</v>
      </c>
      <c r="C465" s="4" t="s">
        <v>109</v>
      </c>
      <c r="D465" s="4" t="s">
        <v>1424</v>
      </c>
      <c r="E465" s="4" t="s">
        <v>80</v>
      </c>
      <c r="F465" s="4" t="s">
        <v>3281</v>
      </c>
      <c r="G465" s="4" t="s">
        <v>3282</v>
      </c>
      <c r="H465" s="4" t="s">
        <v>3283</v>
      </c>
      <c r="I465" s="4" t="s">
        <v>3284</v>
      </c>
      <c r="J465" s="5">
        <v>34881.0</v>
      </c>
      <c r="K465" s="5">
        <v>20920.0</v>
      </c>
      <c r="L465" s="4">
        <v>66.0</v>
      </c>
      <c r="M465" s="4" t="s">
        <v>1425</v>
      </c>
      <c r="O465" s="5">
        <v>35125.0</v>
      </c>
      <c r="P465" s="5">
        <v>35277.0</v>
      </c>
      <c r="Q465" s="4" t="s">
        <v>31</v>
      </c>
      <c r="R465" s="4" t="s">
        <v>32</v>
      </c>
      <c r="S465" s="6" t="s">
        <v>3285</v>
      </c>
      <c r="T465" s="4" t="s">
        <v>3286</v>
      </c>
      <c r="U465" s="4">
        <v>12.0</v>
      </c>
      <c r="AD465" s="4" t="s">
        <v>1411</v>
      </c>
    </row>
    <row r="466">
      <c r="A466" s="4" t="s">
        <v>39</v>
      </c>
      <c r="B466" s="4" t="s">
        <v>1430</v>
      </c>
      <c r="C466" s="4" t="s">
        <v>61</v>
      </c>
      <c r="D466" s="4" t="s">
        <v>1431</v>
      </c>
      <c r="E466" s="4" t="s">
        <v>26</v>
      </c>
      <c r="F466" s="4" t="s">
        <v>63</v>
      </c>
      <c r="G466" s="4" t="s">
        <v>129</v>
      </c>
      <c r="H466" s="4" t="s">
        <v>130</v>
      </c>
      <c r="I466" s="4" t="s">
        <v>131</v>
      </c>
      <c r="J466" s="5">
        <v>31929.0</v>
      </c>
      <c r="K466" s="5">
        <v>18722.0</v>
      </c>
      <c r="L466" s="4">
        <v>72.0</v>
      </c>
      <c r="M466" s="4" t="s">
        <v>1407</v>
      </c>
      <c r="N466" s="4" t="s">
        <v>1419</v>
      </c>
      <c r="O466" s="5">
        <v>42186.0</v>
      </c>
      <c r="P466" s="5">
        <v>73050.0</v>
      </c>
      <c r="Q466" s="4" t="s">
        <v>31</v>
      </c>
      <c r="R466" s="4" t="s">
        <v>32</v>
      </c>
      <c r="S466" s="6" t="s">
        <v>3287</v>
      </c>
      <c r="T466" s="4" t="s">
        <v>132</v>
      </c>
      <c r="U466" s="4">
        <v>44.0</v>
      </c>
      <c r="V466" s="4" t="s">
        <v>34</v>
      </c>
      <c r="W466" s="4">
        <v>40891.0</v>
      </c>
      <c r="X466" s="4" t="s">
        <v>135</v>
      </c>
      <c r="Y466" s="4" t="s">
        <v>89</v>
      </c>
      <c r="Z466" s="4" t="s">
        <v>1563</v>
      </c>
      <c r="AA466" s="4">
        <v>1978.0</v>
      </c>
      <c r="AB466" s="4" t="s">
        <v>58</v>
      </c>
      <c r="AC466" s="5">
        <v>28668.0</v>
      </c>
      <c r="AD466" s="4" t="s">
        <v>1411</v>
      </c>
      <c r="AE466" s="5">
        <v>38910.0</v>
      </c>
    </row>
    <row r="467">
      <c r="A467" s="4" t="s">
        <v>1440</v>
      </c>
      <c r="B467" s="4" t="s">
        <v>1423</v>
      </c>
      <c r="C467" s="4" t="s">
        <v>109</v>
      </c>
      <c r="D467" s="4" t="s">
        <v>1424</v>
      </c>
      <c r="E467" s="4" t="s">
        <v>26</v>
      </c>
      <c r="F467" s="4" t="s">
        <v>63</v>
      </c>
      <c r="G467" s="4" t="s">
        <v>3288</v>
      </c>
      <c r="H467" s="4" t="s">
        <v>3289</v>
      </c>
      <c r="I467" s="4" t="s">
        <v>3290</v>
      </c>
      <c r="J467" s="5">
        <v>25020.0</v>
      </c>
      <c r="K467" s="5">
        <v>15277.0</v>
      </c>
      <c r="L467" s="4">
        <v>82.0</v>
      </c>
      <c r="M467" s="4" t="s">
        <v>1407</v>
      </c>
      <c r="O467" s="5">
        <v>35704.0</v>
      </c>
      <c r="P467" s="5">
        <v>37398.0</v>
      </c>
      <c r="Q467" s="4" t="s">
        <v>31</v>
      </c>
      <c r="R467" s="4" t="s">
        <v>32</v>
      </c>
      <c r="S467" s="6" t="s">
        <v>3291</v>
      </c>
      <c r="T467" s="4" t="s">
        <v>3292</v>
      </c>
      <c r="U467" s="4">
        <v>44.0</v>
      </c>
      <c r="V467" s="4" t="s">
        <v>34</v>
      </c>
      <c r="W467" s="4">
        <v>1.0</v>
      </c>
      <c r="X467" s="4" t="s">
        <v>1464</v>
      </c>
      <c r="Y467" s="4" t="s">
        <v>59</v>
      </c>
      <c r="AD467" s="4" t="s">
        <v>1411</v>
      </c>
    </row>
    <row r="468">
      <c r="A468" s="4" t="s">
        <v>1434</v>
      </c>
      <c r="B468" s="4" t="s">
        <v>1540</v>
      </c>
      <c r="C468" s="4" t="s">
        <v>99</v>
      </c>
      <c r="D468" s="4" t="s">
        <v>1541</v>
      </c>
      <c r="E468" s="4" t="s">
        <v>26</v>
      </c>
      <c r="F468" s="4" t="s">
        <v>3293</v>
      </c>
      <c r="G468" s="4" t="s">
        <v>3294</v>
      </c>
      <c r="H468" s="4" t="s">
        <v>1120</v>
      </c>
      <c r="I468" s="4" t="s">
        <v>3295</v>
      </c>
      <c r="J468" s="5">
        <v>42118.0</v>
      </c>
      <c r="K468" s="5">
        <v>19895.0</v>
      </c>
      <c r="L468" s="4">
        <v>69.0</v>
      </c>
      <c r="M468" s="4" t="s">
        <v>1407</v>
      </c>
      <c r="O468" s="5">
        <v>38930.0</v>
      </c>
      <c r="P468" s="5">
        <v>39082.0</v>
      </c>
      <c r="Q468" s="4" t="s">
        <v>66</v>
      </c>
      <c r="R468" s="4" t="s">
        <v>32</v>
      </c>
      <c r="S468" s="6" t="s">
        <v>3296</v>
      </c>
      <c r="T468" s="4" t="s">
        <v>3297</v>
      </c>
      <c r="U468" s="4">
        <v>12.0</v>
      </c>
      <c r="V468" s="4" t="s">
        <v>34</v>
      </c>
      <c r="W468" s="4">
        <v>37621.0</v>
      </c>
      <c r="X468" s="4" t="s">
        <v>242</v>
      </c>
      <c r="Y468" s="4" t="s">
        <v>227</v>
      </c>
      <c r="Z468" s="4" t="s">
        <v>1544</v>
      </c>
      <c r="AA468" s="4">
        <v>1978.0</v>
      </c>
      <c r="AB468" s="4" t="s">
        <v>58</v>
      </c>
      <c r="AC468" s="5">
        <v>28853.0</v>
      </c>
      <c r="AD468" s="4" t="s">
        <v>1411</v>
      </c>
      <c r="AE468" s="5">
        <v>38721.0</v>
      </c>
    </row>
    <row r="469">
      <c r="A469" s="4" t="s">
        <v>1412</v>
      </c>
      <c r="B469" s="4" t="s">
        <v>1413</v>
      </c>
      <c r="C469" s="4" t="s">
        <v>109</v>
      </c>
      <c r="D469" s="4" t="s">
        <v>1424</v>
      </c>
      <c r="E469" s="4" t="s">
        <v>80</v>
      </c>
      <c r="F469" s="4" t="s">
        <v>3298</v>
      </c>
      <c r="G469" s="4" t="s">
        <v>3299</v>
      </c>
      <c r="H469" s="4" t="s">
        <v>3300</v>
      </c>
      <c r="I469" s="4" t="s">
        <v>3301</v>
      </c>
      <c r="J469" s="5">
        <v>35160.0</v>
      </c>
      <c r="K469" s="5">
        <v>17610.0</v>
      </c>
      <c r="L469" s="4">
        <v>75.0</v>
      </c>
      <c r="M469" s="4" t="s">
        <v>1407</v>
      </c>
      <c r="O469" s="5">
        <v>35247.0</v>
      </c>
      <c r="P469" s="5">
        <v>38657.0</v>
      </c>
      <c r="Q469" s="4" t="s">
        <v>31</v>
      </c>
      <c r="R469" s="4" t="s">
        <v>32</v>
      </c>
      <c r="S469" s="6" t="s">
        <v>3302</v>
      </c>
      <c r="T469" s="4" t="s">
        <v>3303</v>
      </c>
      <c r="U469" s="4">
        <v>6.0</v>
      </c>
      <c r="V469" s="4" t="s">
        <v>1492</v>
      </c>
      <c r="W469" s="4">
        <v>27115.0</v>
      </c>
      <c r="X469" s="4" t="s">
        <v>58</v>
      </c>
      <c r="Y469" s="4" t="s">
        <v>59</v>
      </c>
      <c r="AD469" s="4" t="s">
        <v>1411</v>
      </c>
    </row>
    <row r="470">
      <c r="A470" s="4" t="s">
        <v>39</v>
      </c>
      <c r="B470" s="4" t="s">
        <v>1423</v>
      </c>
      <c r="C470" s="4" t="s">
        <v>109</v>
      </c>
      <c r="D470" s="4" t="s">
        <v>1424</v>
      </c>
      <c r="E470" s="4" t="s">
        <v>80</v>
      </c>
      <c r="F470" s="4" t="s">
        <v>295</v>
      </c>
      <c r="G470" s="4" t="s">
        <v>943</v>
      </c>
      <c r="H470" s="4" t="s">
        <v>944</v>
      </c>
      <c r="I470" s="4" t="s">
        <v>945</v>
      </c>
      <c r="J470" s="5">
        <v>42248.0</v>
      </c>
      <c r="K470" s="5">
        <v>24274.0</v>
      </c>
      <c r="L470" s="4">
        <v>57.0</v>
      </c>
      <c r="M470" s="4" t="s">
        <v>1407</v>
      </c>
      <c r="O470" s="5">
        <v>44927.0</v>
      </c>
      <c r="P470" s="5">
        <v>45291.0</v>
      </c>
      <c r="Q470" s="4" t="s">
        <v>66</v>
      </c>
      <c r="R470" s="4" t="s">
        <v>32</v>
      </c>
      <c r="S470" s="6" t="s">
        <v>3304</v>
      </c>
      <c r="T470" s="4" t="s">
        <v>946</v>
      </c>
      <c r="U470" s="4">
        <v>21.0</v>
      </c>
      <c r="V470" s="4" t="s">
        <v>359</v>
      </c>
      <c r="W470" s="4">
        <v>42209.0</v>
      </c>
      <c r="X470" s="4" t="s">
        <v>58</v>
      </c>
      <c r="Y470" s="4" t="s">
        <v>59</v>
      </c>
      <c r="Z470" s="4" t="s">
        <v>1479</v>
      </c>
      <c r="AA470" s="4">
        <v>1990.0</v>
      </c>
      <c r="AB470" s="4" t="s">
        <v>438</v>
      </c>
      <c r="AC470" s="5">
        <v>33200.0</v>
      </c>
      <c r="AD470" s="4" t="s">
        <v>1411</v>
      </c>
      <c r="AE470" s="5">
        <v>44431.0</v>
      </c>
    </row>
    <row r="471">
      <c r="A471" s="4" t="s">
        <v>1684</v>
      </c>
      <c r="B471" s="4" t="s">
        <v>1423</v>
      </c>
      <c r="C471" s="4" t="s">
        <v>109</v>
      </c>
      <c r="D471" s="4" t="s">
        <v>1424</v>
      </c>
      <c r="E471" s="4" t="s">
        <v>26</v>
      </c>
      <c r="F471" s="4" t="s">
        <v>295</v>
      </c>
      <c r="G471" s="4" t="s">
        <v>41</v>
      </c>
      <c r="H471" s="4" t="s">
        <v>3305</v>
      </c>
      <c r="I471" s="4" t="s">
        <v>3306</v>
      </c>
      <c r="J471" s="5">
        <v>35735.0</v>
      </c>
      <c r="K471" s="5">
        <v>23319.0</v>
      </c>
      <c r="L471" s="4">
        <v>60.0</v>
      </c>
      <c r="M471" s="4" t="s">
        <v>1407</v>
      </c>
      <c r="O471" s="5">
        <v>39448.0</v>
      </c>
      <c r="P471" s="5">
        <v>39660.0</v>
      </c>
      <c r="Q471" s="4" t="s">
        <v>66</v>
      </c>
      <c r="R471" s="4" t="s">
        <v>32</v>
      </c>
      <c r="S471" s="6" t="s">
        <v>3307</v>
      </c>
      <c r="T471" s="4" t="s">
        <v>3307</v>
      </c>
      <c r="U471" s="4">
        <v>6.0</v>
      </c>
      <c r="V471" s="4" t="s">
        <v>34</v>
      </c>
      <c r="W471" s="4">
        <v>40926.0</v>
      </c>
      <c r="X471" s="4" t="s">
        <v>3308</v>
      </c>
      <c r="Y471" s="4" t="s">
        <v>89</v>
      </c>
      <c r="Z471" s="4" t="s">
        <v>3309</v>
      </c>
      <c r="AA471" s="4">
        <v>1990.0</v>
      </c>
      <c r="AB471" s="4" t="s">
        <v>438</v>
      </c>
      <c r="AC471" s="5">
        <v>33050.0</v>
      </c>
      <c r="AD471" s="4" t="s">
        <v>1411</v>
      </c>
      <c r="AE471" s="5">
        <v>35706.0</v>
      </c>
    </row>
    <row r="472">
      <c r="A472" s="4" t="s">
        <v>1465</v>
      </c>
      <c r="B472" s="4" t="s">
        <v>1423</v>
      </c>
      <c r="C472" s="4" t="s">
        <v>109</v>
      </c>
      <c r="D472" s="4" t="s">
        <v>1424</v>
      </c>
      <c r="E472" s="4" t="s">
        <v>26</v>
      </c>
      <c r="F472" s="4" t="s">
        <v>3310</v>
      </c>
      <c r="G472" s="4" t="s">
        <v>3311</v>
      </c>
      <c r="H472" s="4" t="s">
        <v>3312</v>
      </c>
      <c r="I472" s="4" t="s">
        <v>3313</v>
      </c>
      <c r="J472" s="5">
        <v>36008.0</v>
      </c>
      <c r="K472" s="5">
        <v>18333.0</v>
      </c>
      <c r="L472" s="4">
        <v>73.0</v>
      </c>
      <c r="M472" s="4" t="s">
        <v>1453</v>
      </c>
      <c r="O472" s="5">
        <v>36161.0</v>
      </c>
      <c r="P472" s="5">
        <v>36525.0</v>
      </c>
      <c r="Q472" s="4" t="s">
        <v>66</v>
      </c>
      <c r="R472" s="4" t="s">
        <v>32</v>
      </c>
      <c r="S472" s="6" t="s">
        <v>3314</v>
      </c>
      <c r="T472" s="4" t="s">
        <v>3315</v>
      </c>
      <c r="U472" s="4">
        <v>12.0</v>
      </c>
      <c r="AD472" s="4" t="s">
        <v>1411</v>
      </c>
    </row>
    <row r="473">
      <c r="A473" s="4" t="s">
        <v>1434</v>
      </c>
      <c r="B473" s="4" t="s">
        <v>1540</v>
      </c>
      <c r="C473" s="4" t="s">
        <v>99</v>
      </c>
      <c r="D473" s="4" t="s">
        <v>1541</v>
      </c>
      <c r="E473" s="4" t="s">
        <v>26</v>
      </c>
      <c r="F473" s="4" t="s">
        <v>3316</v>
      </c>
      <c r="G473" s="4" t="s">
        <v>3317</v>
      </c>
      <c r="H473" s="4" t="s">
        <v>3318</v>
      </c>
      <c r="I473" s="4" t="s">
        <v>3319</v>
      </c>
      <c r="J473" s="5">
        <v>28095.0</v>
      </c>
      <c r="K473" s="5">
        <v>18318.0</v>
      </c>
      <c r="L473" s="4">
        <v>73.0</v>
      </c>
      <c r="M473" s="4" t="s">
        <v>1453</v>
      </c>
      <c r="O473" s="5">
        <v>33909.0</v>
      </c>
      <c r="P473" s="5">
        <v>34577.0</v>
      </c>
      <c r="Q473" s="4" t="s">
        <v>31</v>
      </c>
      <c r="R473" s="4" t="s">
        <v>32</v>
      </c>
      <c r="S473" s="6" t="s">
        <v>3320</v>
      </c>
      <c r="T473" s="4" t="s">
        <v>3321</v>
      </c>
      <c r="U473" s="4">
        <v>6.0</v>
      </c>
      <c r="AD473" s="4" t="s">
        <v>1411</v>
      </c>
    </row>
    <row r="474">
      <c r="A474" s="4" t="s">
        <v>1412</v>
      </c>
      <c r="B474" s="4" t="s">
        <v>1423</v>
      </c>
      <c r="C474" s="4" t="s">
        <v>109</v>
      </c>
      <c r="D474" s="4" t="s">
        <v>1424</v>
      </c>
      <c r="E474" s="4" t="s">
        <v>26</v>
      </c>
      <c r="F474" s="4" t="s">
        <v>3322</v>
      </c>
      <c r="G474" s="4" t="s">
        <v>3323</v>
      </c>
      <c r="H474" s="4" t="s">
        <v>3324</v>
      </c>
      <c r="I474" s="4" t="s">
        <v>3325</v>
      </c>
      <c r="J474" s="5">
        <v>31533.0</v>
      </c>
      <c r="K474" s="5">
        <v>20046.0</v>
      </c>
      <c r="L474" s="4">
        <v>69.0</v>
      </c>
      <c r="M474" s="4" t="s">
        <v>1407</v>
      </c>
      <c r="O474" s="5">
        <v>36770.0</v>
      </c>
      <c r="P474" s="5">
        <v>37978.0</v>
      </c>
      <c r="Q474" s="4" t="s">
        <v>31</v>
      </c>
      <c r="R474" s="4" t="s">
        <v>32</v>
      </c>
      <c r="S474" s="6" t="s">
        <v>3326</v>
      </c>
      <c r="T474" s="4" t="s">
        <v>3327</v>
      </c>
      <c r="U474" s="4">
        <v>8.0</v>
      </c>
      <c r="V474" s="4" t="s">
        <v>1492</v>
      </c>
      <c r="W474" s="4">
        <v>29217.0</v>
      </c>
      <c r="X474" s="4" t="s">
        <v>58</v>
      </c>
      <c r="Y474" s="4" t="s">
        <v>59</v>
      </c>
      <c r="AD474" s="4" t="s">
        <v>1411</v>
      </c>
    </row>
    <row r="475">
      <c r="A475" s="4" t="s">
        <v>1465</v>
      </c>
      <c r="B475" s="4" t="s">
        <v>1423</v>
      </c>
      <c r="C475" s="4" t="s">
        <v>109</v>
      </c>
      <c r="D475" s="4" t="s">
        <v>1424</v>
      </c>
      <c r="E475" s="4" t="s">
        <v>26</v>
      </c>
      <c r="F475" s="4" t="s">
        <v>3328</v>
      </c>
      <c r="G475" s="4" t="s">
        <v>3329</v>
      </c>
      <c r="H475" s="4" t="s">
        <v>3330</v>
      </c>
      <c r="I475" s="4" t="s">
        <v>3331</v>
      </c>
      <c r="J475" s="5">
        <v>36465.0</v>
      </c>
      <c r="K475" s="5">
        <v>20907.0</v>
      </c>
      <c r="L475" s="4">
        <v>66.0</v>
      </c>
      <c r="M475" s="4" t="s">
        <v>1407</v>
      </c>
      <c r="O475" s="5">
        <v>37803.0</v>
      </c>
      <c r="P475" s="5">
        <v>37833.0</v>
      </c>
      <c r="Q475" s="4" t="s">
        <v>66</v>
      </c>
      <c r="R475" s="4" t="s">
        <v>32</v>
      </c>
      <c r="S475" s="6" t="s">
        <v>3332</v>
      </c>
      <c r="T475" s="4" t="s">
        <v>3333</v>
      </c>
      <c r="U475" s="4">
        <v>22.0</v>
      </c>
      <c r="V475" s="4" t="s">
        <v>34</v>
      </c>
      <c r="W475" s="4">
        <v>29951.0</v>
      </c>
      <c r="X475" s="4" t="s">
        <v>76</v>
      </c>
      <c r="Y475" s="4" t="s">
        <v>1859</v>
      </c>
      <c r="Z475" s="4" t="s">
        <v>1519</v>
      </c>
      <c r="AA475" s="4">
        <v>1975.0</v>
      </c>
      <c r="AB475" s="4" t="s">
        <v>58</v>
      </c>
      <c r="AC475" s="5">
        <v>27515.0</v>
      </c>
      <c r="AD475" s="4" t="s">
        <v>1411</v>
      </c>
    </row>
    <row r="476">
      <c r="A476" s="4" t="s">
        <v>60</v>
      </c>
      <c r="B476" s="4" t="s">
        <v>1413</v>
      </c>
      <c r="C476" s="4" t="s">
        <v>1414</v>
      </c>
      <c r="D476" s="4" t="s">
        <v>1415</v>
      </c>
      <c r="E476" s="4" t="s">
        <v>80</v>
      </c>
      <c r="F476" s="4" t="s">
        <v>1369</v>
      </c>
      <c r="G476" s="4" t="s">
        <v>339</v>
      </c>
      <c r="H476" s="4" t="s">
        <v>3334</v>
      </c>
      <c r="I476" s="4" t="s">
        <v>3335</v>
      </c>
      <c r="J476" s="5">
        <v>39356.0</v>
      </c>
      <c r="K476" s="5">
        <v>28334.0</v>
      </c>
      <c r="L476" s="4">
        <v>46.0</v>
      </c>
      <c r="M476" s="4" t="s">
        <v>1407</v>
      </c>
      <c r="O476" s="5">
        <v>42736.0</v>
      </c>
      <c r="P476" s="5">
        <v>42855.0</v>
      </c>
      <c r="Q476" s="4" t="s">
        <v>66</v>
      </c>
      <c r="R476" s="4" t="s">
        <v>32</v>
      </c>
      <c r="S476" s="6" t="s">
        <v>3336</v>
      </c>
      <c r="T476" s="4" t="s">
        <v>3337</v>
      </c>
      <c r="U476" s="4">
        <v>2.0</v>
      </c>
      <c r="V476" s="4" t="s">
        <v>55</v>
      </c>
      <c r="W476" s="4">
        <v>39083.0</v>
      </c>
      <c r="X476" s="4" t="s">
        <v>58</v>
      </c>
      <c r="Y476" s="4" t="s">
        <v>59</v>
      </c>
      <c r="Z476" s="4" t="s">
        <v>1427</v>
      </c>
      <c r="AA476" s="4">
        <v>2004.0</v>
      </c>
      <c r="AB476" s="4" t="s">
        <v>58</v>
      </c>
      <c r="AC476" s="5">
        <v>38300.0</v>
      </c>
      <c r="AD476" s="4" t="s">
        <v>1411</v>
      </c>
      <c r="AE476" s="5">
        <v>39268.0</v>
      </c>
    </row>
    <row r="477">
      <c r="A477" s="4" t="s">
        <v>1434</v>
      </c>
      <c r="B477" s="4" t="s">
        <v>1423</v>
      </c>
      <c r="C477" s="4" t="s">
        <v>109</v>
      </c>
      <c r="D477" s="4" t="s">
        <v>1424</v>
      </c>
      <c r="E477" s="4" t="s">
        <v>26</v>
      </c>
      <c r="F477" s="4" t="s">
        <v>3338</v>
      </c>
      <c r="G477" s="4" t="s">
        <v>3339</v>
      </c>
      <c r="H477" s="4" t="s">
        <v>3340</v>
      </c>
      <c r="I477" s="4" t="s">
        <v>3341</v>
      </c>
      <c r="J477" s="5">
        <v>34425.0</v>
      </c>
      <c r="K477" s="5">
        <v>19810.0</v>
      </c>
      <c r="L477" s="4">
        <v>69.0</v>
      </c>
      <c r="M477" s="4" t="s">
        <v>1407</v>
      </c>
      <c r="O477" s="5">
        <v>38353.0</v>
      </c>
      <c r="P477" s="5">
        <v>38472.0</v>
      </c>
      <c r="Q477" s="4" t="s">
        <v>66</v>
      </c>
      <c r="R477" s="4" t="s">
        <v>32</v>
      </c>
      <c r="S477" s="6" t="s">
        <v>3342</v>
      </c>
      <c r="T477" s="4" t="s">
        <v>3343</v>
      </c>
      <c r="U477" s="4">
        <v>6.0</v>
      </c>
      <c r="V477" s="4" t="s">
        <v>34</v>
      </c>
      <c r="W477" s="4">
        <v>40039.0</v>
      </c>
      <c r="X477" s="4" t="s">
        <v>58</v>
      </c>
      <c r="Y477" s="4" t="s">
        <v>59</v>
      </c>
      <c r="Z477" s="4" t="s">
        <v>1587</v>
      </c>
      <c r="AA477" s="4">
        <v>1991.0</v>
      </c>
      <c r="AB477" s="4" t="s">
        <v>58</v>
      </c>
      <c r="AC477" s="5">
        <v>33305.0</v>
      </c>
      <c r="AD477" s="4" t="s">
        <v>1411</v>
      </c>
    </row>
    <row r="478">
      <c r="A478" s="4" t="s">
        <v>1434</v>
      </c>
      <c r="B478" s="4" t="s">
        <v>1473</v>
      </c>
      <c r="C478" s="4" t="s">
        <v>25</v>
      </c>
      <c r="D478" s="4" t="s">
        <v>1474</v>
      </c>
      <c r="E478" s="4" t="s">
        <v>26</v>
      </c>
      <c r="F478" s="4" t="s">
        <v>3344</v>
      </c>
      <c r="G478" s="4" t="s">
        <v>3345</v>
      </c>
      <c r="H478" s="4" t="s">
        <v>3346</v>
      </c>
      <c r="I478" s="4" t="s">
        <v>3347</v>
      </c>
      <c r="J478" s="5">
        <v>25204.0</v>
      </c>
      <c r="K478" s="5">
        <v>12673.0</v>
      </c>
      <c r="L478" s="4">
        <v>89.0</v>
      </c>
      <c r="M478" s="4" t="s">
        <v>1407</v>
      </c>
      <c r="N478" s="4" t="s">
        <v>1419</v>
      </c>
      <c r="O478" s="5">
        <v>35551.0</v>
      </c>
      <c r="P478" s="5">
        <v>38664.0</v>
      </c>
      <c r="Q478" s="4" t="s">
        <v>31</v>
      </c>
      <c r="R478" s="4" t="s">
        <v>32</v>
      </c>
      <c r="S478" s="6" t="s">
        <v>3348</v>
      </c>
      <c r="T478" s="4" t="s">
        <v>3349</v>
      </c>
      <c r="U478" s="4">
        <v>44.0</v>
      </c>
      <c r="V478" s="4" t="s">
        <v>106</v>
      </c>
      <c r="W478" s="4">
        <v>30317.0</v>
      </c>
      <c r="X478" s="4" t="s">
        <v>58</v>
      </c>
      <c r="Y478" s="4" t="s">
        <v>59</v>
      </c>
      <c r="Z478" s="4" t="s">
        <v>2075</v>
      </c>
      <c r="AA478" s="4">
        <v>2013.0</v>
      </c>
      <c r="AB478" s="4" t="s">
        <v>58</v>
      </c>
      <c r="AC478" s="5">
        <v>41603.0</v>
      </c>
      <c r="AD478" s="4" t="s">
        <v>1411</v>
      </c>
    </row>
    <row r="479">
      <c r="A479" s="4" t="s">
        <v>60</v>
      </c>
      <c r="B479" s="4" t="s">
        <v>1473</v>
      </c>
      <c r="C479" s="4" t="s">
        <v>25</v>
      </c>
      <c r="D479" s="4" t="s">
        <v>1474</v>
      </c>
      <c r="E479" s="4" t="s">
        <v>80</v>
      </c>
      <c r="F479" s="4" t="s">
        <v>418</v>
      </c>
      <c r="G479" s="4" t="s">
        <v>419</v>
      </c>
      <c r="H479" s="4" t="s">
        <v>420</v>
      </c>
      <c r="I479" s="4" t="s">
        <v>421</v>
      </c>
      <c r="J479" s="5">
        <v>38085.0</v>
      </c>
      <c r="K479" s="5">
        <v>24428.0</v>
      </c>
      <c r="L479" s="4">
        <v>57.0</v>
      </c>
      <c r="M479" s="4" t="s">
        <v>1407</v>
      </c>
      <c r="O479" s="5">
        <v>44927.0</v>
      </c>
      <c r="P479" s="5">
        <v>45291.0</v>
      </c>
      <c r="Q479" s="4" t="s">
        <v>66</v>
      </c>
      <c r="R479" s="4" t="s">
        <v>32</v>
      </c>
      <c r="S479" s="6" t="s">
        <v>3350</v>
      </c>
      <c r="T479" s="4" t="s">
        <v>422</v>
      </c>
      <c r="U479" s="4">
        <v>44.0</v>
      </c>
      <c r="V479" s="4" t="s">
        <v>34</v>
      </c>
      <c r="W479" s="4">
        <v>40725.0</v>
      </c>
      <c r="X479" s="4" t="s">
        <v>58</v>
      </c>
      <c r="Y479" s="4" t="s">
        <v>59</v>
      </c>
      <c r="Z479" s="4" t="s">
        <v>1510</v>
      </c>
      <c r="AA479" s="4">
        <v>1993.0</v>
      </c>
      <c r="AB479" s="4" t="s">
        <v>58</v>
      </c>
      <c r="AC479" s="5">
        <v>34327.0</v>
      </c>
      <c r="AD479" s="4" t="s">
        <v>1411</v>
      </c>
      <c r="AE479" s="5">
        <v>44629.0</v>
      </c>
    </row>
    <row r="480">
      <c r="A480" s="4" t="s">
        <v>24</v>
      </c>
      <c r="B480" s="4" t="s">
        <v>1473</v>
      </c>
      <c r="C480" s="4" t="s">
        <v>25</v>
      </c>
      <c r="D480" s="4" t="s">
        <v>1474</v>
      </c>
      <c r="E480" s="4" t="s">
        <v>80</v>
      </c>
      <c r="F480" s="4" t="s">
        <v>765</v>
      </c>
      <c r="G480" s="4" t="s">
        <v>28</v>
      </c>
      <c r="H480" s="4" t="s">
        <v>766</v>
      </c>
      <c r="I480" s="4" t="s">
        <v>767</v>
      </c>
      <c r="J480" s="5">
        <v>39995.0</v>
      </c>
      <c r="K480" s="5">
        <v>18150.0</v>
      </c>
      <c r="L480" s="4">
        <v>74.0</v>
      </c>
      <c r="M480" s="4" t="s">
        <v>1524</v>
      </c>
      <c r="N480" s="4" t="s">
        <v>1419</v>
      </c>
      <c r="O480" s="5">
        <v>44105.0</v>
      </c>
      <c r="P480" s="5">
        <v>73050.0</v>
      </c>
      <c r="Q480" s="4" t="s">
        <v>31</v>
      </c>
      <c r="R480" s="4" t="s">
        <v>32</v>
      </c>
      <c r="S480" s="6" t="s">
        <v>768</v>
      </c>
      <c r="T480" s="4" t="s">
        <v>768</v>
      </c>
      <c r="U480" s="4">
        <v>44.0</v>
      </c>
      <c r="V480" s="4" t="s">
        <v>34</v>
      </c>
      <c r="W480" s="4">
        <v>38621.0</v>
      </c>
      <c r="X480" s="4" t="s">
        <v>556</v>
      </c>
      <c r="Y480" s="4" t="s">
        <v>38</v>
      </c>
      <c r="Z480" s="4" t="s">
        <v>1422</v>
      </c>
      <c r="AA480" s="4">
        <v>1989.0</v>
      </c>
      <c r="AB480" s="4" t="s">
        <v>3351</v>
      </c>
      <c r="AC480" s="5">
        <v>32689.0</v>
      </c>
      <c r="AD480" s="4" t="s">
        <v>1411</v>
      </c>
      <c r="AE480" s="5">
        <v>44048.0</v>
      </c>
    </row>
    <row r="481">
      <c r="A481" s="4" t="s">
        <v>1412</v>
      </c>
      <c r="B481" s="4" t="s">
        <v>1423</v>
      </c>
      <c r="C481" s="4" t="s">
        <v>109</v>
      </c>
      <c r="D481" s="4" t="s">
        <v>1424</v>
      </c>
      <c r="E481" s="4" t="s">
        <v>80</v>
      </c>
      <c r="F481" s="4" t="s">
        <v>3352</v>
      </c>
      <c r="G481" s="4" t="s">
        <v>2404</v>
      </c>
      <c r="H481" s="4" t="s">
        <v>1189</v>
      </c>
      <c r="I481" s="4" t="s">
        <v>3353</v>
      </c>
      <c r="J481" s="5">
        <v>36465.0</v>
      </c>
      <c r="K481" s="5">
        <v>22231.0</v>
      </c>
      <c r="L481" s="4">
        <v>63.0</v>
      </c>
      <c r="M481" s="4" t="s">
        <v>1453</v>
      </c>
      <c r="O481" s="5">
        <v>38657.0</v>
      </c>
      <c r="P481" s="5">
        <v>38717.0</v>
      </c>
      <c r="Q481" s="4" t="s">
        <v>66</v>
      </c>
      <c r="R481" s="4" t="s">
        <v>32</v>
      </c>
      <c r="S481" s="6" t="s">
        <v>3354</v>
      </c>
      <c r="T481" s="4" t="s">
        <v>3355</v>
      </c>
      <c r="U481" s="4">
        <v>6.0</v>
      </c>
      <c r="V481" s="4" t="s">
        <v>106</v>
      </c>
      <c r="W481" s="4">
        <v>33969.0</v>
      </c>
      <c r="X481" s="4" t="s">
        <v>3356</v>
      </c>
      <c r="Y481" s="4" t="s">
        <v>227</v>
      </c>
      <c r="Z481" s="4" t="s">
        <v>1427</v>
      </c>
      <c r="AA481" s="4">
        <v>1982.0</v>
      </c>
      <c r="AB481" s="4" t="s">
        <v>58</v>
      </c>
      <c r="AC481" s="5">
        <v>30133.0</v>
      </c>
      <c r="AD481" s="4" t="s">
        <v>1411</v>
      </c>
    </row>
    <row r="482">
      <c r="A482" s="4" t="s">
        <v>1465</v>
      </c>
      <c r="B482" s="4" t="s">
        <v>1423</v>
      </c>
      <c r="C482" s="4" t="s">
        <v>109</v>
      </c>
      <c r="D482" s="4" t="s">
        <v>1424</v>
      </c>
      <c r="E482" s="4" t="s">
        <v>26</v>
      </c>
      <c r="F482" s="4" t="s">
        <v>3357</v>
      </c>
      <c r="G482" s="4" t="s">
        <v>143</v>
      </c>
      <c r="H482" s="4" t="s">
        <v>3358</v>
      </c>
      <c r="I482" s="4" t="s">
        <v>3359</v>
      </c>
      <c r="J482" s="5">
        <v>35004.0</v>
      </c>
      <c r="K482" s="5">
        <v>19440.0</v>
      </c>
      <c r="L482" s="4">
        <v>70.0</v>
      </c>
      <c r="M482" s="4" t="s">
        <v>1425</v>
      </c>
      <c r="O482" s="5">
        <v>35431.0</v>
      </c>
      <c r="P482" s="5">
        <v>35520.0</v>
      </c>
      <c r="Q482" s="4" t="s">
        <v>66</v>
      </c>
      <c r="R482" s="4" t="s">
        <v>32</v>
      </c>
      <c r="S482" s="6" t="s">
        <v>3360</v>
      </c>
      <c r="T482" s="4" t="s">
        <v>3361</v>
      </c>
      <c r="U482" s="4">
        <v>2.0</v>
      </c>
      <c r="AD482" s="4" t="s">
        <v>1411</v>
      </c>
    </row>
    <row r="483">
      <c r="A483" s="4" t="s">
        <v>39</v>
      </c>
      <c r="B483" s="4" t="s">
        <v>1423</v>
      </c>
      <c r="C483" s="4" t="s">
        <v>109</v>
      </c>
      <c r="D483" s="4" t="s">
        <v>1424</v>
      </c>
      <c r="E483" s="4" t="s">
        <v>26</v>
      </c>
      <c r="F483" s="4" t="s">
        <v>579</v>
      </c>
      <c r="G483" s="4" t="s">
        <v>879</v>
      </c>
      <c r="H483" s="4" t="s">
        <v>880</v>
      </c>
      <c r="I483" s="4" t="s">
        <v>881</v>
      </c>
      <c r="J483" s="5">
        <v>38961.0</v>
      </c>
      <c r="K483" s="5">
        <v>25168.0</v>
      </c>
      <c r="L483" s="4">
        <v>55.0</v>
      </c>
      <c r="M483" s="4" t="s">
        <v>1407</v>
      </c>
      <c r="N483" s="4" t="s">
        <v>1419</v>
      </c>
      <c r="O483" s="5">
        <v>44927.0</v>
      </c>
      <c r="P483" s="5">
        <v>45291.0</v>
      </c>
      <c r="Q483" s="4" t="s">
        <v>66</v>
      </c>
      <c r="R483" s="4" t="s">
        <v>32</v>
      </c>
      <c r="S483" s="6" t="s">
        <v>3362</v>
      </c>
      <c r="T483" s="4" t="s">
        <v>882</v>
      </c>
      <c r="U483" s="4">
        <v>44.0</v>
      </c>
      <c r="V483" s="4" t="s">
        <v>179</v>
      </c>
      <c r="W483" s="4">
        <v>38342.0</v>
      </c>
      <c r="X483" s="4" t="s">
        <v>58</v>
      </c>
      <c r="Y483" s="4" t="s">
        <v>59</v>
      </c>
      <c r="Z483" s="4" t="s">
        <v>2427</v>
      </c>
      <c r="AA483" s="4">
        <v>1992.0</v>
      </c>
      <c r="AB483" s="4" t="s">
        <v>438</v>
      </c>
      <c r="AC483" s="5">
        <v>33938.0</v>
      </c>
      <c r="AD483" s="4" t="s">
        <v>1411</v>
      </c>
      <c r="AE483" s="5">
        <v>41491.0</v>
      </c>
    </row>
    <row r="484">
      <c r="A484" s="4" t="s">
        <v>1434</v>
      </c>
      <c r="B484" s="4" t="s">
        <v>1423</v>
      </c>
      <c r="C484" s="4" t="s">
        <v>109</v>
      </c>
      <c r="D484" s="4" t="s">
        <v>1424</v>
      </c>
      <c r="E484" s="4" t="s">
        <v>26</v>
      </c>
      <c r="F484" s="4" t="s">
        <v>579</v>
      </c>
      <c r="G484" s="4" t="s">
        <v>1021</v>
      </c>
      <c r="H484" s="4" t="s">
        <v>3363</v>
      </c>
      <c r="I484" s="4" t="s">
        <v>3364</v>
      </c>
      <c r="J484" s="5">
        <v>40483.0</v>
      </c>
      <c r="K484" s="5">
        <v>19590.0</v>
      </c>
      <c r="L484" s="4">
        <v>70.0</v>
      </c>
      <c r="M484" s="4" t="s">
        <v>1407</v>
      </c>
      <c r="N484" s="4" t="s">
        <v>1419</v>
      </c>
      <c r="O484" s="5">
        <v>41640.0</v>
      </c>
      <c r="P484" s="5">
        <v>41882.0</v>
      </c>
      <c r="Q484" s="4" t="s">
        <v>66</v>
      </c>
      <c r="R484" s="4" t="s">
        <v>32</v>
      </c>
      <c r="S484" s="6" t="s">
        <v>3365</v>
      </c>
      <c r="T484" s="4" t="s">
        <v>3366</v>
      </c>
      <c r="U484" s="4">
        <v>12.0</v>
      </c>
      <c r="V484" s="4" t="s">
        <v>34</v>
      </c>
      <c r="W484" s="4">
        <v>40788.0</v>
      </c>
      <c r="X484" s="4" t="s">
        <v>58</v>
      </c>
      <c r="Y484" s="4" t="s">
        <v>59</v>
      </c>
      <c r="Z484" s="4" t="s">
        <v>1433</v>
      </c>
      <c r="AA484" s="4">
        <v>1999.0</v>
      </c>
      <c r="AB484" s="4" t="s">
        <v>58</v>
      </c>
      <c r="AC484" s="5">
        <v>36291.0</v>
      </c>
      <c r="AD484" s="4" t="s">
        <v>1411</v>
      </c>
      <c r="AE484" s="5">
        <v>41116.0</v>
      </c>
    </row>
    <row r="485">
      <c r="A485" s="4" t="s">
        <v>1440</v>
      </c>
      <c r="B485" s="4" t="s">
        <v>1423</v>
      </c>
      <c r="C485" s="4" t="s">
        <v>109</v>
      </c>
      <c r="D485" s="4" t="s">
        <v>1424</v>
      </c>
      <c r="E485" s="4" t="s">
        <v>26</v>
      </c>
      <c r="F485" s="4" t="s">
        <v>579</v>
      </c>
      <c r="G485" s="4" t="s">
        <v>425</v>
      </c>
      <c r="H485" s="4" t="s">
        <v>3367</v>
      </c>
      <c r="I485" s="4" t="s">
        <v>3368</v>
      </c>
      <c r="J485" s="5">
        <v>33725.0</v>
      </c>
      <c r="K485" s="5">
        <v>23493.0</v>
      </c>
      <c r="L485" s="4">
        <v>59.0</v>
      </c>
      <c r="M485" s="4" t="s">
        <v>1453</v>
      </c>
      <c r="O485" s="5">
        <v>34912.0</v>
      </c>
      <c r="P485" s="5">
        <v>38664.0</v>
      </c>
      <c r="Q485" s="4" t="s">
        <v>31</v>
      </c>
      <c r="R485" s="4" t="s">
        <v>32</v>
      </c>
      <c r="S485" s="6" t="s">
        <v>3369</v>
      </c>
      <c r="T485" s="4" t="s">
        <v>3370</v>
      </c>
      <c r="U485" s="4">
        <v>12.0</v>
      </c>
      <c r="V485" s="4" t="s">
        <v>106</v>
      </c>
      <c r="W485" s="4">
        <v>35064.0</v>
      </c>
      <c r="X485" s="4" t="s">
        <v>58</v>
      </c>
      <c r="Y485" s="4" t="s">
        <v>59</v>
      </c>
      <c r="AD485" s="4" t="s">
        <v>1411</v>
      </c>
    </row>
    <row r="486">
      <c r="A486" s="4" t="s">
        <v>78</v>
      </c>
      <c r="B486" s="4" t="s">
        <v>1473</v>
      </c>
      <c r="C486" s="4" t="s">
        <v>25</v>
      </c>
      <c r="D486" s="4" t="s">
        <v>1474</v>
      </c>
      <c r="E486" s="4" t="s">
        <v>26</v>
      </c>
      <c r="F486" s="4" t="s">
        <v>593</v>
      </c>
      <c r="G486" s="4" t="s">
        <v>594</v>
      </c>
      <c r="H486" s="4" t="s">
        <v>595</v>
      </c>
      <c r="I486" s="4" t="s">
        <v>596</v>
      </c>
      <c r="J486" s="5">
        <v>38915.0</v>
      </c>
      <c r="K486" s="5">
        <v>26676.0</v>
      </c>
      <c r="L486" s="4">
        <v>51.0</v>
      </c>
      <c r="M486" s="4" t="s">
        <v>1407</v>
      </c>
      <c r="O486" s="5">
        <v>44682.0</v>
      </c>
      <c r="P486" s="5">
        <v>73050.0</v>
      </c>
      <c r="Q486" s="4" t="s">
        <v>31</v>
      </c>
      <c r="R486" s="4" t="s">
        <v>32</v>
      </c>
      <c r="S486" s="6" t="s">
        <v>3371</v>
      </c>
      <c r="T486" s="4" t="s">
        <v>597</v>
      </c>
      <c r="U486" s="4">
        <v>44.0</v>
      </c>
      <c r="V486" s="4" t="s">
        <v>34</v>
      </c>
      <c r="W486" s="4">
        <v>37928.0</v>
      </c>
      <c r="X486" s="4" t="s">
        <v>600</v>
      </c>
      <c r="Y486" s="4" t="s">
        <v>89</v>
      </c>
      <c r="Z486" s="4" t="s">
        <v>1433</v>
      </c>
      <c r="AA486" s="4">
        <v>1998.0</v>
      </c>
      <c r="AB486" s="4" t="s">
        <v>58</v>
      </c>
      <c r="AC486" s="5">
        <v>36074.0</v>
      </c>
      <c r="AD486" s="4" t="s">
        <v>1411</v>
      </c>
      <c r="AE486" s="5">
        <v>44657.0</v>
      </c>
    </row>
    <row r="487">
      <c r="A487" s="4" t="s">
        <v>337</v>
      </c>
      <c r="B487" s="4" t="s">
        <v>1423</v>
      </c>
      <c r="C487" s="4" t="s">
        <v>109</v>
      </c>
      <c r="D487" s="4" t="s">
        <v>1424</v>
      </c>
      <c r="E487" s="4" t="s">
        <v>80</v>
      </c>
      <c r="F487" s="4" t="s">
        <v>593</v>
      </c>
      <c r="G487" s="4" t="s">
        <v>528</v>
      </c>
      <c r="H487" s="4" t="s">
        <v>1093</v>
      </c>
      <c r="I487" s="4" t="s">
        <v>1094</v>
      </c>
      <c r="J487" s="5">
        <v>43405.0</v>
      </c>
      <c r="K487" s="5">
        <v>28727.0</v>
      </c>
      <c r="L487" s="4">
        <v>45.0</v>
      </c>
      <c r="M487" s="4" t="s">
        <v>1425</v>
      </c>
      <c r="O487" s="5">
        <v>44927.0</v>
      </c>
      <c r="P487" s="5">
        <v>45291.0</v>
      </c>
      <c r="Q487" s="4" t="s">
        <v>66</v>
      </c>
      <c r="R487" s="4" t="s">
        <v>32</v>
      </c>
      <c r="S487" s="6" t="s">
        <v>3372</v>
      </c>
      <c r="T487" s="4" t="s">
        <v>1095</v>
      </c>
      <c r="U487" s="4">
        <v>44.0</v>
      </c>
      <c r="V487" s="4" t="s">
        <v>34</v>
      </c>
      <c r="W487" s="4">
        <v>43379.0</v>
      </c>
      <c r="X487" s="4" t="s">
        <v>58</v>
      </c>
      <c r="Y487" s="4" t="s">
        <v>59</v>
      </c>
      <c r="Z487" s="4" t="s">
        <v>1427</v>
      </c>
      <c r="AA487" s="4">
        <v>2004.0</v>
      </c>
      <c r="AB487" s="4" t="s">
        <v>1410</v>
      </c>
      <c r="AC487" s="5">
        <v>38051.0</v>
      </c>
      <c r="AD487" s="4" t="s">
        <v>1411</v>
      </c>
      <c r="AE487" s="5">
        <v>43341.0</v>
      </c>
    </row>
    <row r="488">
      <c r="A488" s="4" t="s">
        <v>1684</v>
      </c>
      <c r="B488" s="4" t="s">
        <v>1540</v>
      </c>
      <c r="C488" s="4" t="s">
        <v>99</v>
      </c>
      <c r="D488" s="4" t="s">
        <v>1541</v>
      </c>
      <c r="E488" s="4" t="s">
        <v>80</v>
      </c>
      <c r="F488" s="4" t="s">
        <v>3373</v>
      </c>
      <c r="G488" s="4" t="s">
        <v>3374</v>
      </c>
      <c r="H488" s="4" t="s">
        <v>3375</v>
      </c>
      <c r="I488" s="4" t="s">
        <v>3376</v>
      </c>
      <c r="J488" s="5">
        <v>26146.0</v>
      </c>
      <c r="K488" s="5">
        <v>13765.0</v>
      </c>
      <c r="L488" s="4">
        <v>86.0</v>
      </c>
      <c r="M488" s="4" t="s">
        <v>1585</v>
      </c>
      <c r="O488" s="5">
        <v>35400.0</v>
      </c>
      <c r="P488" s="5">
        <v>39141.0</v>
      </c>
      <c r="Q488" s="4" t="s">
        <v>31</v>
      </c>
      <c r="R488" s="4" t="s">
        <v>32</v>
      </c>
      <c r="S488" s="6" t="s">
        <v>3377</v>
      </c>
      <c r="T488" s="4" t="s">
        <v>3378</v>
      </c>
      <c r="U488" s="4">
        <v>44.0</v>
      </c>
      <c r="V488" s="4" t="s">
        <v>106</v>
      </c>
      <c r="W488" s="4">
        <v>32508.0</v>
      </c>
      <c r="X488" s="4" t="s">
        <v>58</v>
      </c>
      <c r="Y488" s="4" t="s">
        <v>59</v>
      </c>
      <c r="Z488" s="4" t="s">
        <v>1897</v>
      </c>
      <c r="AA488" s="4">
        <v>1963.0</v>
      </c>
      <c r="AB488" s="4" t="s">
        <v>58</v>
      </c>
      <c r="AC488" s="5">
        <v>23012.0</v>
      </c>
      <c r="AD488" s="4" t="s">
        <v>1411</v>
      </c>
    </row>
    <row r="489">
      <c r="A489" s="4" t="s">
        <v>1684</v>
      </c>
      <c r="B489" s="4" t="s">
        <v>1540</v>
      </c>
      <c r="C489" s="4" t="s">
        <v>99</v>
      </c>
      <c r="D489" s="4" t="s">
        <v>1541</v>
      </c>
      <c r="E489" s="4" t="s">
        <v>80</v>
      </c>
      <c r="F489" s="4" t="s">
        <v>3373</v>
      </c>
      <c r="G489" s="4" t="s">
        <v>3374</v>
      </c>
      <c r="H489" s="4" t="s">
        <v>3375</v>
      </c>
      <c r="I489" s="4" t="s">
        <v>3376</v>
      </c>
      <c r="J489" s="5">
        <v>26146.0</v>
      </c>
      <c r="K489" s="5">
        <v>13765.0</v>
      </c>
      <c r="L489" s="4">
        <v>86.0</v>
      </c>
      <c r="M489" s="4" t="s">
        <v>1585</v>
      </c>
      <c r="O489" s="5">
        <v>35400.0</v>
      </c>
      <c r="P489" s="5">
        <v>39141.0</v>
      </c>
      <c r="Q489" s="4" t="s">
        <v>31</v>
      </c>
      <c r="R489" s="4" t="s">
        <v>32</v>
      </c>
      <c r="S489" s="6" t="s">
        <v>3377</v>
      </c>
      <c r="T489" s="4" t="s">
        <v>3378</v>
      </c>
      <c r="U489" s="4">
        <v>0.0</v>
      </c>
      <c r="V489" s="4" t="s">
        <v>106</v>
      </c>
      <c r="W489" s="4">
        <v>32508.0</v>
      </c>
      <c r="X489" s="4" t="s">
        <v>58</v>
      </c>
      <c r="Y489" s="4" t="s">
        <v>59</v>
      </c>
      <c r="Z489" s="4" t="s">
        <v>1897</v>
      </c>
      <c r="AA489" s="4">
        <v>1963.0</v>
      </c>
      <c r="AB489" s="4" t="s">
        <v>58</v>
      </c>
      <c r="AC489" s="5">
        <v>23012.0</v>
      </c>
      <c r="AD489" s="4" t="s">
        <v>1411</v>
      </c>
    </row>
    <row r="490">
      <c r="A490" s="4" t="s">
        <v>1434</v>
      </c>
      <c r="B490" s="4" t="s">
        <v>1423</v>
      </c>
      <c r="C490" s="4" t="s">
        <v>109</v>
      </c>
      <c r="D490" s="4" t="s">
        <v>1424</v>
      </c>
      <c r="E490" s="4" t="s">
        <v>26</v>
      </c>
      <c r="F490" s="4" t="s">
        <v>3379</v>
      </c>
      <c r="G490" s="4" t="s">
        <v>1134</v>
      </c>
      <c r="H490" s="4" t="s">
        <v>3380</v>
      </c>
      <c r="I490" s="4" t="s">
        <v>3381</v>
      </c>
      <c r="J490" s="5">
        <v>34851.0</v>
      </c>
      <c r="K490" s="5">
        <v>22178.0</v>
      </c>
      <c r="L490" s="4">
        <v>63.0</v>
      </c>
      <c r="M490" s="4" t="s">
        <v>1407</v>
      </c>
      <c r="O490" s="5">
        <v>41456.0</v>
      </c>
      <c r="P490" s="5">
        <v>41547.0</v>
      </c>
      <c r="Q490" s="4" t="s">
        <v>66</v>
      </c>
      <c r="R490" s="4" t="s">
        <v>32</v>
      </c>
      <c r="S490" s="6" t="s">
        <v>3382</v>
      </c>
      <c r="T490" s="4" t="s">
        <v>3383</v>
      </c>
      <c r="U490" s="4">
        <v>12.0</v>
      </c>
      <c r="V490" s="4" t="s">
        <v>34</v>
      </c>
      <c r="W490" s="4">
        <v>33969.0</v>
      </c>
      <c r="X490" s="4" t="s">
        <v>3384</v>
      </c>
      <c r="Y490" s="4" t="s">
        <v>98</v>
      </c>
      <c r="Z490" s="4" t="s">
        <v>1590</v>
      </c>
      <c r="AA490" s="4">
        <v>1984.0</v>
      </c>
      <c r="AB490" s="4" t="s">
        <v>58</v>
      </c>
      <c r="AC490" s="5">
        <v>31030.0</v>
      </c>
      <c r="AD490" s="4" t="s">
        <v>1411</v>
      </c>
      <c r="AE490" s="5">
        <v>34809.0</v>
      </c>
    </row>
    <row r="491">
      <c r="A491" s="4" t="s">
        <v>1440</v>
      </c>
      <c r="B491" s="4" t="s">
        <v>1423</v>
      </c>
      <c r="C491" s="4" t="s">
        <v>109</v>
      </c>
      <c r="D491" s="4" t="s">
        <v>1424</v>
      </c>
      <c r="E491" s="4" t="s">
        <v>26</v>
      </c>
      <c r="F491" s="4" t="s">
        <v>3385</v>
      </c>
      <c r="G491" s="4" t="s">
        <v>1798</v>
      </c>
      <c r="H491" s="4" t="s">
        <v>3386</v>
      </c>
      <c r="I491" s="4" t="s">
        <v>3387</v>
      </c>
      <c r="J491" s="5">
        <v>27120.0</v>
      </c>
      <c r="K491" s="5">
        <v>18287.0</v>
      </c>
      <c r="L491" s="4">
        <v>73.0</v>
      </c>
      <c r="M491" s="4" t="s">
        <v>1425</v>
      </c>
      <c r="O491" s="5">
        <v>33390.0</v>
      </c>
      <c r="P491" s="5">
        <v>34828.0</v>
      </c>
      <c r="Q491" s="4" t="s">
        <v>31</v>
      </c>
      <c r="R491" s="4" t="s">
        <v>32</v>
      </c>
      <c r="S491" s="6" t="s">
        <v>3388</v>
      </c>
      <c r="T491" s="4" t="s">
        <v>3389</v>
      </c>
      <c r="U491" s="4">
        <v>44.0</v>
      </c>
      <c r="AD491" s="4" t="s">
        <v>1411</v>
      </c>
    </row>
    <row r="492">
      <c r="A492" s="4" t="s">
        <v>1412</v>
      </c>
      <c r="B492" s="4" t="s">
        <v>1413</v>
      </c>
      <c r="C492" s="4" t="s">
        <v>1414</v>
      </c>
      <c r="D492" s="4" t="s">
        <v>1415</v>
      </c>
      <c r="E492" s="4" t="s">
        <v>26</v>
      </c>
      <c r="F492" s="4" t="s">
        <v>3390</v>
      </c>
      <c r="G492" s="4" t="s">
        <v>41</v>
      </c>
      <c r="H492" s="4" t="s">
        <v>3391</v>
      </c>
      <c r="I492" s="4" t="s">
        <v>3392</v>
      </c>
      <c r="J492" s="5">
        <v>32660.0</v>
      </c>
      <c r="K492" s="5">
        <v>22898.0</v>
      </c>
      <c r="L492" s="4">
        <v>61.0</v>
      </c>
      <c r="M492" s="4" t="s">
        <v>1407</v>
      </c>
      <c r="O492" s="5">
        <v>34425.0</v>
      </c>
      <c r="P492" s="5">
        <v>34607.0</v>
      </c>
      <c r="Q492" s="4" t="s">
        <v>31</v>
      </c>
      <c r="R492" s="4" t="s">
        <v>32</v>
      </c>
      <c r="S492" s="6" t="s">
        <v>3393</v>
      </c>
      <c r="T492" s="4" t="s">
        <v>3394</v>
      </c>
      <c r="U492" s="4">
        <v>12.0</v>
      </c>
      <c r="Z492" s="4" t="s">
        <v>1427</v>
      </c>
      <c r="AA492" s="4">
        <v>1988.0</v>
      </c>
      <c r="AB492" s="4" t="s">
        <v>58</v>
      </c>
      <c r="AC492" s="5">
        <v>32451.0</v>
      </c>
      <c r="AD492" s="4" t="s">
        <v>1411</v>
      </c>
    </row>
    <row r="493">
      <c r="A493" s="4" t="s">
        <v>78</v>
      </c>
      <c r="B493" s="4" t="s">
        <v>1540</v>
      </c>
      <c r="C493" s="4" t="s">
        <v>99</v>
      </c>
      <c r="D493" s="4" t="s">
        <v>1541</v>
      </c>
      <c r="E493" s="4" t="s">
        <v>26</v>
      </c>
      <c r="F493" s="4" t="s">
        <v>273</v>
      </c>
      <c r="G493" s="4" t="s">
        <v>274</v>
      </c>
      <c r="H493" s="4" t="s">
        <v>275</v>
      </c>
      <c r="I493" s="4" t="s">
        <v>276</v>
      </c>
      <c r="J493" s="5">
        <v>35947.0</v>
      </c>
      <c r="K493" s="5">
        <v>25136.0</v>
      </c>
      <c r="L493" s="4">
        <v>55.0</v>
      </c>
      <c r="M493" s="4" t="s">
        <v>1425</v>
      </c>
      <c r="O493" s="5">
        <v>42186.0</v>
      </c>
      <c r="P493" s="5">
        <v>73050.0</v>
      </c>
      <c r="Q493" s="4" t="s">
        <v>31</v>
      </c>
      <c r="R493" s="4" t="s">
        <v>32</v>
      </c>
      <c r="S493" s="6" t="s">
        <v>3395</v>
      </c>
      <c r="T493" s="4" t="s">
        <v>277</v>
      </c>
      <c r="U493" s="4">
        <v>44.0</v>
      </c>
      <c r="V493" s="4" t="s">
        <v>106</v>
      </c>
      <c r="W493" s="4">
        <v>38639.0</v>
      </c>
      <c r="X493" s="4" t="s">
        <v>58</v>
      </c>
      <c r="Y493" s="4" t="s">
        <v>59</v>
      </c>
      <c r="Z493" s="4" t="s">
        <v>1433</v>
      </c>
      <c r="AA493" s="4">
        <v>1997.0</v>
      </c>
      <c r="AB493" s="4" t="s">
        <v>58</v>
      </c>
      <c r="AC493" s="5">
        <v>35682.0</v>
      </c>
      <c r="AD493" s="4" t="s">
        <v>1411</v>
      </c>
      <c r="AE493" s="5">
        <v>39897.0</v>
      </c>
    </row>
    <row r="494">
      <c r="A494" s="4" t="s">
        <v>337</v>
      </c>
      <c r="B494" s="4" t="s">
        <v>1540</v>
      </c>
      <c r="C494" s="4" t="s">
        <v>99</v>
      </c>
      <c r="D494" s="4" t="s">
        <v>1541</v>
      </c>
      <c r="E494" s="4" t="s">
        <v>80</v>
      </c>
      <c r="F494" s="4" t="s">
        <v>891</v>
      </c>
      <c r="G494" s="4" t="s">
        <v>252</v>
      </c>
      <c r="H494" s="4" t="s">
        <v>892</v>
      </c>
      <c r="I494" s="4" t="s">
        <v>893</v>
      </c>
      <c r="J494" s="5">
        <v>41821.0</v>
      </c>
      <c r="K494" s="5">
        <v>27240.0</v>
      </c>
      <c r="L494" s="4">
        <v>49.0</v>
      </c>
      <c r="M494" s="4" t="s">
        <v>1425</v>
      </c>
      <c r="O494" s="5">
        <v>44713.0</v>
      </c>
      <c r="P494" s="5">
        <v>73050.0</v>
      </c>
      <c r="Q494" s="4" t="s">
        <v>31</v>
      </c>
      <c r="R494" s="4" t="s">
        <v>32</v>
      </c>
      <c r="S494" s="6" t="s">
        <v>3396</v>
      </c>
      <c r="T494" s="4" t="s">
        <v>894</v>
      </c>
      <c r="U494" s="4">
        <v>44.0</v>
      </c>
      <c r="V494" s="4" t="s">
        <v>34</v>
      </c>
      <c r="W494" s="4">
        <v>40333.0</v>
      </c>
      <c r="X494" s="4" t="s">
        <v>896</v>
      </c>
      <c r="Y494" s="4" t="s">
        <v>89</v>
      </c>
      <c r="Z494" s="4" t="s">
        <v>2156</v>
      </c>
      <c r="AA494" s="4">
        <v>1998.0</v>
      </c>
      <c r="AB494" s="4" t="s">
        <v>1410</v>
      </c>
      <c r="AC494" s="5">
        <v>35968.0</v>
      </c>
      <c r="AD494" s="4" t="s">
        <v>1411</v>
      </c>
      <c r="AE494" s="5">
        <v>43733.0</v>
      </c>
    </row>
    <row r="495">
      <c r="A495" s="4" t="s">
        <v>337</v>
      </c>
      <c r="B495" s="4" t="s">
        <v>1540</v>
      </c>
      <c r="C495" s="4" t="s">
        <v>99</v>
      </c>
      <c r="D495" s="4" t="s">
        <v>1541</v>
      </c>
      <c r="E495" s="4" t="s">
        <v>80</v>
      </c>
      <c r="F495" s="4" t="s">
        <v>723</v>
      </c>
      <c r="G495" s="4" t="s">
        <v>301</v>
      </c>
      <c r="H495" s="4" t="s">
        <v>724</v>
      </c>
      <c r="I495" s="4" t="s">
        <v>725</v>
      </c>
      <c r="J495" s="5">
        <v>39722.0</v>
      </c>
      <c r="K495" s="5">
        <v>29517.0</v>
      </c>
      <c r="L495" s="4">
        <v>43.0</v>
      </c>
      <c r="M495" s="4" t="s">
        <v>1407</v>
      </c>
      <c r="N495" s="4" t="s">
        <v>1419</v>
      </c>
      <c r="O495" s="5">
        <v>44774.0</v>
      </c>
      <c r="P495" s="5">
        <v>73050.0</v>
      </c>
      <c r="Q495" s="4" t="s">
        <v>31</v>
      </c>
      <c r="R495" s="4" t="s">
        <v>32</v>
      </c>
      <c r="S495" s="6" t="s">
        <v>3397</v>
      </c>
      <c r="T495" s="4" t="s">
        <v>726</v>
      </c>
      <c r="U495" s="4">
        <v>22.0</v>
      </c>
      <c r="V495" s="4" t="s">
        <v>34</v>
      </c>
      <c r="W495" s="4">
        <v>42551.0</v>
      </c>
      <c r="X495" s="4" t="s">
        <v>729</v>
      </c>
      <c r="Y495" s="4" t="s">
        <v>98</v>
      </c>
      <c r="Z495" s="4" t="s">
        <v>1433</v>
      </c>
      <c r="AA495" s="4">
        <v>2005.0</v>
      </c>
      <c r="AB495" s="4" t="s">
        <v>58</v>
      </c>
      <c r="AC495" s="5">
        <v>38716.0</v>
      </c>
      <c r="AD495" s="4" t="s">
        <v>1411</v>
      </c>
      <c r="AE495" s="5">
        <v>43698.0</v>
      </c>
    </row>
    <row r="496">
      <c r="A496" s="4" t="s">
        <v>78</v>
      </c>
      <c r="B496" s="4" t="s">
        <v>1540</v>
      </c>
      <c r="C496" s="4" t="s">
        <v>99</v>
      </c>
      <c r="D496" s="4" t="s">
        <v>1541</v>
      </c>
      <c r="E496" s="4" t="s">
        <v>80</v>
      </c>
      <c r="F496" s="4" t="s">
        <v>723</v>
      </c>
      <c r="G496" s="4" t="s">
        <v>301</v>
      </c>
      <c r="H496" s="4" t="s">
        <v>724</v>
      </c>
      <c r="I496" s="4" t="s">
        <v>725</v>
      </c>
      <c r="J496" s="5">
        <v>39722.0</v>
      </c>
      <c r="K496" s="5">
        <v>29517.0</v>
      </c>
      <c r="L496" s="4">
        <v>43.0</v>
      </c>
      <c r="M496" s="4" t="s">
        <v>1407</v>
      </c>
      <c r="N496" s="4" t="s">
        <v>1419</v>
      </c>
      <c r="O496" s="5">
        <v>44774.0</v>
      </c>
      <c r="P496" s="5">
        <v>73050.0</v>
      </c>
      <c r="Q496" s="4" t="s">
        <v>31</v>
      </c>
      <c r="R496" s="4" t="s">
        <v>32</v>
      </c>
      <c r="S496" s="6" t="s">
        <v>3397</v>
      </c>
      <c r="T496" s="4" t="s">
        <v>726</v>
      </c>
      <c r="U496" s="4">
        <v>22.0</v>
      </c>
      <c r="V496" s="4" t="s">
        <v>34</v>
      </c>
      <c r="W496" s="4">
        <v>42551.0</v>
      </c>
      <c r="X496" s="4" t="s">
        <v>729</v>
      </c>
      <c r="Y496" s="4" t="s">
        <v>98</v>
      </c>
      <c r="Z496" s="4" t="s">
        <v>1433</v>
      </c>
      <c r="AA496" s="4">
        <v>2005.0</v>
      </c>
      <c r="AB496" s="4" t="s">
        <v>58</v>
      </c>
      <c r="AC496" s="5">
        <v>38716.0</v>
      </c>
      <c r="AD496" s="4" t="s">
        <v>1411</v>
      </c>
      <c r="AE496" s="5">
        <v>43698.0</v>
      </c>
    </row>
    <row r="497">
      <c r="A497" s="4" t="s">
        <v>1434</v>
      </c>
      <c r="B497" s="4" t="s">
        <v>1423</v>
      </c>
      <c r="C497" s="4" t="s">
        <v>109</v>
      </c>
      <c r="D497" s="4" t="s">
        <v>1424</v>
      </c>
      <c r="E497" s="4" t="s">
        <v>26</v>
      </c>
      <c r="F497" s="4" t="s">
        <v>3398</v>
      </c>
      <c r="G497" s="4" t="s">
        <v>3399</v>
      </c>
      <c r="H497" s="4" t="s">
        <v>1949</v>
      </c>
      <c r="I497" s="4" t="s">
        <v>3400</v>
      </c>
      <c r="J497" s="5">
        <v>24593.0</v>
      </c>
      <c r="K497" s="5">
        <v>13033.0</v>
      </c>
      <c r="L497" s="4">
        <v>88.0</v>
      </c>
      <c r="M497" s="4" t="s">
        <v>1407</v>
      </c>
      <c r="O497" s="5">
        <v>34790.0</v>
      </c>
      <c r="P497" s="5">
        <v>38664.0</v>
      </c>
      <c r="Q497" s="4" t="s">
        <v>31</v>
      </c>
      <c r="R497" s="4" t="s">
        <v>32</v>
      </c>
      <c r="S497" s="6" t="s">
        <v>3401</v>
      </c>
      <c r="T497" s="4" t="s">
        <v>3402</v>
      </c>
      <c r="U497" s="4">
        <v>12.0</v>
      </c>
      <c r="V497" s="4" t="s">
        <v>106</v>
      </c>
      <c r="W497" s="4">
        <v>29951.0</v>
      </c>
      <c r="X497" s="4" t="s">
        <v>3403</v>
      </c>
      <c r="Y497" s="4" t="s">
        <v>1859</v>
      </c>
      <c r="AD497" s="4" t="s">
        <v>1411</v>
      </c>
    </row>
    <row r="498">
      <c r="A498" s="4" t="s">
        <v>1434</v>
      </c>
      <c r="B498" s="4" t="s">
        <v>1423</v>
      </c>
      <c r="C498" s="4" t="s">
        <v>109</v>
      </c>
      <c r="D498" s="4" t="s">
        <v>1424</v>
      </c>
      <c r="E498" s="4" t="s">
        <v>26</v>
      </c>
      <c r="F498" s="4" t="s">
        <v>3398</v>
      </c>
      <c r="G498" s="4" t="s">
        <v>3399</v>
      </c>
      <c r="H498" s="4" t="s">
        <v>1949</v>
      </c>
      <c r="I498" s="4" t="s">
        <v>3400</v>
      </c>
      <c r="J498" s="5">
        <v>24593.0</v>
      </c>
      <c r="K498" s="5">
        <v>13033.0</v>
      </c>
      <c r="L498" s="4">
        <v>88.0</v>
      </c>
      <c r="M498" s="4" t="s">
        <v>1407</v>
      </c>
      <c r="O498" s="5">
        <v>34912.0</v>
      </c>
      <c r="P498" s="5">
        <v>38664.0</v>
      </c>
      <c r="Q498" s="4" t="s">
        <v>31</v>
      </c>
      <c r="R498" s="4" t="s">
        <v>32</v>
      </c>
      <c r="S498" s="6" t="s">
        <v>3401</v>
      </c>
      <c r="T498" s="4" t="s">
        <v>3402</v>
      </c>
      <c r="U498" s="4">
        <v>0.0</v>
      </c>
      <c r="V498" s="4" t="s">
        <v>106</v>
      </c>
      <c r="W498" s="4">
        <v>29951.0</v>
      </c>
      <c r="X498" s="4" t="s">
        <v>3403</v>
      </c>
      <c r="Y498" s="4" t="s">
        <v>1859</v>
      </c>
      <c r="AD498" s="4" t="s">
        <v>1411</v>
      </c>
    </row>
    <row r="499">
      <c r="A499" s="4" t="s">
        <v>24</v>
      </c>
      <c r="B499" s="4" t="s">
        <v>1540</v>
      </c>
      <c r="C499" s="4" t="s">
        <v>99</v>
      </c>
      <c r="D499" s="4" t="s">
        <v>1541</v>
      </c>
      <c r="E499" s="4" t="s">
        <v>26</v>
      </c>
      <c r="F499" s="4" t="s">
        <v>798</v>
      </c>
      <c r="G499" s="4" t="s">
        <v>759</v>
      </c>
      <c r="H499" s="4" t="s">
        <v>799</v>
      </c>
      <c r="I499" s="4" t="s">
        <v>800</v>
      </c>
      <c r="J499" s="5">
        <v>40179.0</v>
      </c>
      <c r="K499" s="5">
        <v>24368.0</v>
      </c>
      <c r="L499" s="4">
        <v>57.0</v>
      </c>
      <c r="M499" s="4" t="s">
        <v>1407</v>
      </c>
      <c r="O499" s="5">
        <v>44927.0</v>
      </c>
      <c r="P499" s="5">
        <v>45291.0</v>
      </c>
      <c r="Q499" s="4" t="s">
        <v>66</v>
      </c>
      <c r="R499" s="4" t="s">
        <v>32</v>
      </c>
      <c r="S499" s="6" t="s">
        <v>3404</v>
      </c>
      <c r="T499" s="4" t="s">
        <v>801</v>
      </c>
      <c r="U499" s="4">
        <v>44.0</v>
      </c>
      <c r="V499" s="4" t="s">
        <v>34</v>
      </c>
      <c r="W499" s="4">
        <v>38904.0</v>
      </c>
      <c r="X499" s="4" t="s">
        <v>803</v>
      </c>
      <c r="Y499" s="4" t="s">
        <v>38</v>
      </c>
      <c r="Z499" s="4" t="s">
        <v>1587</v>
      </c>
      <c r="AA499" s="4">
        <v>1992.0</v>
      </c>
      <c r="AB499" s="4" t="s">
        <v>1007</v>
      </c>
      <c r="AC499" s="5">
        <v>33969.0</v>
      </c>
      <c r="AD499" s="4" t="s">
        <v>1411</v>
      </c>
      <c r="AE499" s="5">
        <v>44587.0</v>
      </c>
    </row>
    <row r="500">
      <c r="A500" s="4" t="s">
        <v>1412</v>
      </c>
      <c r="B500" s="4" t="s">
        <v>1423</v>
      </c>
      <c r="C500" s="4" t="s">
        <v>109</v>
      </c>
      <c r="D500" s="4" t="s">
        <v>1424</v>
      </c>
      <c r="E500" s="4" t="s">
        <v>26</v>
      </c>
      <c r="F500" s="4" t="s">
        <v>798</v>
      </c>
      <c r="G500" s="4" t="s">
        <v>3405</v>
      </c>
      <c r="H500" s="4" t="s">
        <v>3406</v>
      </c>
      <c r="I500" s="4" t="s">
        <v>3407</v>
      </c>
      <c r="J500" s="5">
        <v>25263.0</v>
      </c>
      <c r="K500" s="5">
        <v>16374.0</v>
      </c>
      <c r="L500" s="4">
        <v>79.0</v>
      </c>
      <c r="M500" s="4" t="s">
        <v>1407</v>
      </c>
      <c r="O500" s="5">
        <v>35004.0</v>
      </c>
      <c r="P500" s="5">
        <v>38664.0</v>
      </c>
      <c r="Q500" s="4" t="s">
        <v>1694</v>
      </c>
      <c r="R500" s="4" t="s">
        <v>32</v>
      </c>
      <c r="S500" s="6" t="s">
        <v>3408</v>
      </c>
      <c r="T500" s="4" t="s">
        <v>3409</v>
      </c>
      <c r="U500" s="4">
        <v>6.0</v>
      </c>
      <c r="V500" s="4" t="s">
        <v>106</v>
      </c>
      <c r="W500" s="4">
        <v>36525.0</v>
      </c>
      <c r="X500" s="4" t="s">
        <v>3410</v>
      </c>
      <c r="Y500" s="4" t="s">
        <v>89</v>
      </c>
      <c r="AD500" s="4" t="s">
        <v>1411</v>
      </c>
    </row>
    <row r="501">
      <c r="A501" s="4" t="s">
        <v>24</v>
      </c>
      <c r="B501" s="4" t="s">
        <v>1473</v>
      </c>
      <c r="C501" s="4" t="s">
        <v>25</v>
      </c>
      <c r="D501" s="4" t="s">
        <v>1474</v>
      </c>
      <c r="E501" s="4" t="s">
        <v>26</v>
      </c>
      <c r="F501" s="4" t="s">
        <v>2505</v>
      </c>
      <c r="G501" s="4" t="s">
        <v>3411</v>
      </c>
      <c r="H501" s="4" t="s">
        <v>3412</v>
      </c>
      <c r="I501" s="4" t="s">
        <v>3413</v>
      </c>
      <c r="J501" s="5">
        <v>34394.0</v>
      </c>
      <c r="K501" s="5">
        <v>12296.0</v>
      </c>
      <c r="L501" s="4">
        <v>90.0</v>
      </c>
      <c r="M501" s="4" t="s">
        <v>1407</v>
      </c>
      <c r="O501" s="5">
        <v>43831.0</v>
      </c>
      <c r="P501" s="5">
        <v>44071.0</v>
      </c>
      <c r="Q501" s="4" t="s">
        <v>104</v>
      </c>
      <c r="R501" s="4" t="s">
        <v>32</v>
      </c>
      <c r="S501" s="6" t="s">
        <v>3414</v>
      </c>
      <c r="T501" s="4" t="s">
        <v>3415</v>
      </c>
      <c r="U501" s="4">
        <v>6.0</v>
      </c>
      <c r="V501" s="4" t="s">
        <v>34</v>
      </c>
      <c r="W501" s="4">
        <v>25203.0</v>
      </c>
      <c r="X501" s="4" t="s">
        <v>2664</v>
      </c>
      <c r="Y501" s="4" t="s">
        <v>227</v>
      </c>
      <c r="Z501" s="4" t="s">
        <v>1602</v>
      </c>
      <c r="AA501" s="4">
        <v>1959.0</v>
      </c>
      <c r="AB501" s="4" t="s">
        <v>58</v>
      </c>
      <c r="AC501" s="5">
        <v>21683.0</v>
      </c>
      <c r="AD501" s="4" t="s">
        <v>1411</v>
      </c>
      <c r="AE501" s="5">
        <v>35131.0</v>
      </c>
    </row>
    <row r="502">
      <c r="A502" s="4" t="s">
        <v>60</v>
      </c>
      <c r="B502" s="4" t="s">
        <v>1430</v>
      </c>
      <c r="C502" s="4" t="s">
        <v>61</v>
      </c>
      <c r="D502" s="4" t="s">
        <v>1431</v>
      </c>
      <c r="E502" s="4" t="s">
        <v>26</v>
      </c>
      <c r="F502" s="4" t="s">
        <v>189</v>
      </c>
      <c r="G502" s="4" t="s">
        <v>190</v>
      </c>
      <c r="H502" s="4" t="s">
        <v>191</v>
      </c>
      <c r="I502" s="4" t="s">
        <v>192</v>
      </c>
      <c r="J502" s="5">
        <v>34060.0</v>
      </c>
      <c r="K502" s="5">
        <v>21127.0</v>
      </c>
      <c r="L502" s="4">
        <v>66.0</v>
      </c>
      <c r="M502" s="4" t="s">
        <v>1407</v>
      </c>
      <c r="O502" s="5">
        <v>42186.0</v>
      </c>
      <c r="P502" s="5">
        <v>73050.0</v>
      </c>
      <c r="Q502" s="4" t="s">
        <v>31</v>
      </c>
      <c r="R502" s="4" t="s">
        <v>32</v>
      </c>
      <c r="S502" s="6" t="s">
        <v>3416</v>
      </c>
      <c r="T502" s="4" t="s">
        <v>193</v>
      </c>
      <c r="U502" s="4">
        <v>44.0</v>
      </c>
      <c r="V502" s="4" t="s">
        <v>34</v>
      </c>
      <c r="W502" s="4">
        <v>39988.0</v>
      </c>
      <c r="X502" s="4" t="s">
        <v>196</v>
      </c>
      <c r="Y502" s="4" t="s">
        <v>89</v>
      </c>
      <c r="Z502" s="4" t="s">
        <v>1510</v>
      </c>
      <c r="AA502" s="4">
        <v>1987.0</v>
      </c>
      <c r="AB502" s="4" t="s">
        <v>58</v>
      </c>
      <c r="AC502" s="5">
        <v>31790.0</v>
      </c>
      <c r="AD502" s="4" t="s">
        <v>1411</v>
      </c>
      <c r="AE502" s="5">
        <v>41017.0</v>
      </c>
    </row>
    <row r="503">
      <c r="A503" s="4" t="s">
        <v>60</v>
      </c>
      <c r="B503" s="4" t="s">
        <v>1849</v>
      </c>
      <c r="C503" s="4" t="s">
        <v>1850</v>
      </c>
      <c r="D503" s="4" t="s">
        <v>1851</v>
      </c>
      <c r="E503" s="4" t="s">
        <v>26</v>
      </c>
      <c r="F503" s="4" t="s">
        <v>454</v>
      </c>
      <c r="G503" s="4" t="s">
        <v>3417</v>
      </c>
      <c r="H503" s="4" t="s">
        <v>3418</v>
      </c>
      <c r="I503" s="4" t="s">
        <v>3419</v>
      </c>
      <c r="J503" s="5">
        <v>39661.0</v>
      </c>
      <c r="K503" s="5">
        <v>29942.0</v>
      </c>
      <c r="L503" s="4">
        <v>42.0</v>
      </c>
      <c r="M503" s="4" t="s">
        <v>1453</v>
      </c>
      <c r="N503" s="4" t="s">
        <v>1419</v>
      </c>
      <c r="O503" s="5">
        <v>42186.0</v>
      </c>
      <c r="P503" s="5">
        <v>42369.0</v>
      </c>
      <c r="Q503" s="4" t="s">
        <v>66</v>
      </c>
      <c r="R503" s="4" t="s">
        <v>32</v>
      </c>
      <c r="S503" s="6" t="s">
        <v>3420</v>
      </c>
      <c r="T503" s="4" t="s">
        <v>3421</v>
      </c>
      <c r="U503" s="4">
        <v>2.0</v>
      </c>
      <c r="V503" s="4" t="s">
        <v>55</v>
      </c>
      <c r="W503" s="4">
        <v>39028.0</v>
      </c>
      <c r="X503" s="4" t="s">
        <v>58</v>
      </c>
      <c r="Y503" s="4" t="s">
        <v>59</v>
      </c>
      <c r="Z503" s="4" t="s">
        <v>1510</v>
      </c>
      <c r="AA503" s="4">
        <v>2008.0</v>
      </c>
      <c r="AB503" s="4" t="s">
        <v>58</v>
      </c>
      <c r="AC503" s="5">
        <v>39462.0</v>
      </c>
      <c r="AD503" s="4" t="s">
        <v>1411</v>
      </c>
      <c r="AE503" s="5">
        <v>39653.0</v>
      </c>
    </row>
    <row r="504">
      <c r="A504" s="4" t="s">
        <v>1434</v>
      </c>
      <c r="B504" s="4" t="s">
        <v>1540</v>
      </c>
      <c r="C504" s="4" t="s">
        <v>99</v>
      </c>
      <c r="D504" s="4" t="s">
        <v>1541</v>
      </c>
      <c r="E504" s="4" t="s">
        <v>26</v>
      </c>
      <c r="F504" s="4" t="s">
        <v>454</v>
      </c>
      <c r="G504" s="4" t="s">
        <v>425</v>
      </c>
      <c r="H504" s="4" t="s">
        <v>3422</v>
      </c>
      <c r="I504" s="4" t="s">
        <v>3423</v>
      </c>
      <c r="J504" s="5">
        <v>15342.0</v>
      </c>
      <c r="K504" s="5">
        <v>6358.0</v>
      </c>
      <c r="L504" s="4">
        <v>106.0</v>
      </c>
      <c r="M504" s="4" t="s">
        <v>1407</v>
      </c>
      <c r="O504" s="5">
        <v>34639.0</v>
      </c>
      <c r="P504" s="5">
        <v>38657.0</v>
      </c>
      <c r="Q504" s="4" t="s">
        <v>1694</v>
      </c>
      <c r="R504" s="4" t="s">
        <v>32</v>
      </c>
      <c r="S504" s="7" t="s">
        <v>3424</v>
      </c>
      <c r="T504" s="4" t="s">
        <v>3425</v>
      </c>
      <c r="U504" s="4">
        <v>6.0</v>
      </c>
      <c r="V504" s="4" t="s">
        <v>55</v>
      </c>
      <c r="W504" s="4">
        <v>20408.0</v>
      </c>
      <c r="X504" s="4" t="s">
        <v>58</v>
      </c>
      <c r="Y504" s="4" t="s">
        <v>59</v>
      </c>
      <c r="AD504" s="4" t="s">
        <v>1411</v>
      </c>
    </row>
    <row r="505">
      <c r="A505" s="4" t="s">
        <v>1440</v>
      </c>
      <c r="B505" s="4" t="s">
        <v>1447</v>
      </c>
      <c r="C505" s="4" t="s">
        <v>40</v>
      </c>
      <c r="D505" s="4" t="s">
        <v>1448</v>
      </c>
      <c r="E505" s="4" t="s">
        <v>26</v>
      </c>
      <c r="F505" s="4" t="s">
        <v>3426</v>
      </c>
      <c r="G505" s="4" t="s">
        <v>483</v>
      </c>
      <c r="H505" s="4" t="s">
        <v>3427</v>
      </c>
      <c r="I505" s="4" t="s">
        <v>3428</v>
      </c>
      <c r="J505" s="5">
        <v>35217.0</v>
      </c>
      <c r="K505" s="5">
        <v>15276.0</v>
      </c>
      <c r="L505" s="4">
        <v>82.0</v>
      </c>
      <c r="M505" s="4" t="s">
        <v>1585</v>
      </c>
      <c r="N505" s="4" t="s">
        <v>1419</v>
      </c>
      <c r="O505" s="5">
        <v>35217.0</v>
      </c>
      <c r="P505" s="5">
        <v>38657.0</v>
      </c>
      <c r="Q505" s="4" t="s">
        <v>1694</v>
      </c>
      <c r="R505" s="4" t="s">
        <v>32</v>
      </c>
      <c r="S505" s="6" t="s">
        <v>3429</v>
      </c>
      <c r="T505" s="4" t="s">
        <v>3430</v>
      </c>
      <c r="U505" s="4">
        <v>3.0</v>
      </c>
      <c r="V505" s="4" t="s">
        <v>34</v>
      </c>
      <c r="W505" s="4">
        <v>1.0</v>
      </c>
      <c r="X505" s="4" t="s">
        <v>1464</v>
      </c>
      <c r="Y505" s="4" t="s">
        <v>59</v>
      </c>
      <c r="Z505" s="4" t="s">
        <v>3431</v>
      </c>
      <c r="AA505" s="4">
        <v>1965.0</v>
      </c>
      <c r="AB505" s="4" t="s">
        <v>438</v>
      </c>
      <c r="AC505" s="5">
        <v>23785.0</v>
      </c>
      <c r="AD505" s="4" t="s">
        <v>1411</v>
      </c>
    </row>
    <row r="506">
      <c r="A506" s="4" t="s">
        <v>78</v>
      </c>
      <c r="B506" s="4" t="s">
        <v>1473</v>
      </c>
      <c r="C506" s="4" t="s">
        <v>25</v>
      </c>
      <c r="D506" s="4" t="s">
        <v>1474</v>
      </c>
      <c r="E506" s="4" t="s">
        <v>80</v>
      </c>
      <c r="F506" s="4" t="s">
        <v>116</v>
      </c>
      <c r="G506" s="4" t="s">
        <v>117</v>
      </c>
      <c r="H506" s="4" t="s">
        <v>118</v>
      </c>
      <c r="I506" s="4" t="s">
        <v>119</v>
      </c>
      <c r="J506" s="5">
        <v>29007.0</v>
      </c>
      <c r="K506" s="5">
        <v>19825.0</v>
      </c>
      <c r="L506" s="4">
        <v>69.0</v>
      </c>
      <c r="M506" s="4" t="s">
        <v>1407</v>
      </c>
      <c r="O506" s="5">
        <v>42186.0</v>
      </c>
      <c r="P506" s="5">
        <v>73050.0</v>
      </c>
      <c r="Q506" s="4" t="s">
        <v>31</v>
      </c>
      <c r="R506" s="4" t="s">
        <v>32</v>
      </c>
      <c r="S506" s="6" t="s">
        <v>120</v>
      </c>
      <c r="T506" s="4" t="s">
        <v>120</v>
      </c>
      <c r="U506" s="4">
        <v>44.0</v>
      </c>
      <c r="V506" s="4" t="s">
        <v>55</v>
      </c>
      <c r="W506" s="4">
        <v>29139.0</v>
      </c>
      <c r="X506" s="4" t="s">
        <v>58</v>
      </c>
      <c r="Y506" s="4" t="s">
        <v>59</v>
      </c>
      <c r="Z506" s="4" t="s">
        <v>1544</v>
      </c>
      <c r="AA506" s="4">
        <v>1979.0</v>
      </c>
      <c r="AB506" s="4" t="s">
        <v>58</v>
      </c>
      <c r="AC506" s="5">
        <v>29139.0</v>
      </c>
      <c r="AD506" s="4" t="s">
        <v>1411</v>
      </c>
      <c r="AE506" s="5">
        <v>40163.0</v>
      </c>
    </row>
    <row r="507">
      <c r="A507" s="4" t="s">
        <v>1412</v>
      </c>
      <c r="B507" s="4" t="s">
        <v>1540</v>
      </c>
      <c r="C507" s="4" t="s">
        <v>99</v>
      </c>
      <c r="D507" s="4" t="s">
        <v>1541</v>
      </c>
      <c r="E507" s="4" t="s">
        <v>80</v>
      </c>
      <c r="F507" s="4" t="s">
        <v>116</v>
      </c>
      <c r="G507" s="4" t="s">
        <v>2480</v>
      </c>
      <c r="H507" s="4" t="s">
        <v>3432</v>
      </c>
      <c r="I507" s="4" t="s">
        <v>3433</v>
      </c>
      <c r="J507" s="5">
        <v>27181.0</v>
      </c>
      <c r="K507" s="5">
        <v>10959.0</v>
      </c>
      <c r="L507" s="4">
        <v>94.0</v>
      </c>
      <c r="M507" s="4" t="s">
        <v>1407</v>
      </c>
      <c r="O507" s="5">
        <v>32690.0</v>
      </c>
      <c r="P507" s="5">
        <v>34564.0</v>
      </c>
      <c r="Q507" s="4" t="s">
        <v>31</v>
      </c>
      <c r="R507" s="4" t="s">
        <v>32</v>
      </c>
      <c r="S507" s="6" t="s">
        <v>3434</v>
      </c>
      <c r="T507" s="4" t="s">
        <v>3434</v>
      </c>
      <c r="U507" s="4">
        <v>44.0</v>
      </c>
      <c r="AD507" s="4" t="s">
        <v>1411</v>
      </c>
    </row>
    <row r="508">
      <c r="A508" s="4" t="s">
        <v>1465</v>
      </c>
      <c r="B508" s="4" t="s">
        <v>1413</v>
      </c>
      <c r="C508" s="4" t="s">
        <v>1414</v>
      </c>
      <c r="D508" s="4" t="s">
        <v>1415</v>
      </c>
      <c r="E508" s="4" t="s">
        <v>26</v>
      </c>
      <c r="F508" s="4" t="s">
        <v>3064</v>
      </c>
      <c r="G508" s="4" t="s">
        <v>717</v>
      </c>
      <c r="H508" s="4" t="s">
        <v>3435</v>
      </c>
      <c r="I508" s="4" t="s">
        <v>3436</v>
      </c>
      <c r="J508" s="5">
        <v>32356.0</v>
      </c>
      <c r="K508" s="5">
        <v>22620.0</v>
      </c>
      <c r="L508" s="4">
        <v>62.0</v>
      </c>
      <c r="M508" s="4" t="s">
        <v>1407</v>
      </c>
      <c r="O508" s="5">
        <v>34182.0</v>
      </c>
      <c r="P508" s="5">
        <v>36311.0</v>
      </c>
      <c r="Q508" s="4" t="s">
        <v>31</v>
      </c>
      <c r="R508" s="4" t="s">
        <v>32</v>
      </c>
      <c r="S508" s="6" t="s">
        <v>3437</v>
      </c>
      <c r="T508" s="4" t="s">
        <v>3438</v>
      </c>
      <c r="U508" s="4">
        <v>12.0</v>
      </c>
      <c r="AD508" s="4" t="s">
        <v>1411</v>
      </c>
    </row>
    <row r="509">
      <c r="A509" s="4" t="s">
        <v>60</v>
      </c>
      <c r="B509" s="4" t="s">
        <v>1423</v>
      </c>
      <c r="C509" s="4" t="s">
        <v>109</v>
      </c>
      <c r="D509" s="4" t="s">
        <v>1424</v>
      </c>
      <c r="E509" s="4" t="s">
        <v>80</v>
      </c>
      <c r="F509" s="4" t="s">
        <v>3064</v>
      </c>
      <c r="G509" s="4" t="s">
        <v>3439</v>
      </c>
      <c r="H509" s="4" t="s">
        <v>3440</v>
      </c>
      <c r="I509" s="4" t="s">
        <v>3441</v>
      </c>
      <c r="J509" s="5">
        <v>38108.0</v>
      </c>
      <c r="K509" s="5">
        <v>25240.0</v>
      </c>
      <c r="L509" s="4">
        <v>54.0</v>
      </c>
      <c r="M509" s="4" t="s">
        <v>1407</v>
      </c>
      <c r="N509" s="4" t="s">
        <v>1419</v>
      </c>
      <c r="O509" s="5">
        <v>42856.0</v>
      </c>
      <c r="P509" s="5">
        <v>43100.0</v>
      </c>
      <c r="Q509" s="4" t="s">
        <v>66</v>
      </c>
      <c r="R509" s="4" t="s">
        <v>32</v>
      </c>
      <c r="S509" s="6" t="s">
        <v>3442</v>
      </c>
      <c r="T509" s="4" t="s">
        <v>3443</v>
      </c>
      <c r="U509" s="4">
        <v>6.0</v>
      </c>
      <c r="V509" s="4" t="s">
        <v>55</v>
      </c>
      <c r="W509" s="4">
        <v>36475.0</v>
      </c>
      <c r="X509" s="4" t="s">
        <v>58</v>
      </c>
      <c r="Y509" s="4" t="s">
        <v>59</v>
      </c>
      <c r="Z509" s="4" t="s">
        <v>1427</v>
      </c>
      <c r="AA509" s="4">
        <v>1999.0</v>
      </c>
      <c r="AB509" s="4" t="s">
        <v>58</v>
      </c>
      <c r="AC509" s="5">
        <v>36455.0</v>
      </c>
      <c r="AD509" s="4" t="s">
        <v>1411</v>
      </c>
      <c r="AE509" s="5">
        <v>39107.0</v>
      </c>
    </row>
    <row r="510">
      <c r="A510" s="4" t="s">
        <v>1412</v>
      </c>
      <c r="B510" s="4" t="s">
        <v>1413</v>
      </c>
      <c r="C510" s="4" t="s">
        <v>1414</v>
      </c>
      <c r="D510" s="4" t="s">
        <v>1415</v>
      </c>
      <c r="E510" s="4" t="s">
        <v>26</v>
      </c>
      <c r="F510" s="4" t="s">
        <v>1227</v>
      </c>
      <c r="G510" s="4" t="s">
        <v>3444</v>
      </c>
      <c r="H510" s="4" t="s">
        <v>3445</v>
      </c>
      <c r="I510" s="4" t="s">
        <v>3446</v>
      </c>
      <c r="J510" s="5">
        <v>32964.0</v>
      </c>
      <c r="K510" s="5">
        <v>20045.0</v>
      </c>
      <c r="L510" s="4">
        <v>69.0</v>
      </c>
      <c r="M510" s="4" t="s">
        <v>1524</v>
      </c>
      <c r="O510" s="5">
        <v>30291.0</v>
      </c>
      <c r="P510" s="5">
        <v>34789.0</v>
      </c>
      <c r="Q510" s="4" t="s">
        <v>31</v>
      </c>
      <c r="R510" s="4" t="s">
        <v>32</v>
      </c>
      <c r="S510" s="6" t="s">
        <v>3447</v>
      </c>
      <c r="T510" s="4" t="s">
        <v>3448</v>
      </c>
      <c r="U510" s="4">
        <v>2.0</v>
      </c>
      <c r="AD510" s="4" t="s">
        <v>1411</v>
      </c>
    </row>
    <row r="511">
      <c r="A511" s="4" t="s">
        <v>1684</v>
      </c>
      <c r="B511" s="4" t="s">
        <v>1423</v>
      </c>
      <c r="C511" s="4" t="s">
        <v>109</v>
      </c>
      <c r="D511" s="4" t="s">
        <v>1424</v>
      </c>
      <c r="E511" s="4" t="s">
        <v>80</v>
      </c>
      <c r="F511" s="4" t="s">
        <v>3449</v>
      </c>
      <c r="G511" s="4" t="s">
        <v>3450</v>
      </c>
      <c r="H511" s="4" t="s">
        <v>3451</v>
      </c>
      <c r="I511" s="4" t="s">
        <v>3452</v>
      </c>
      <c r="J511" s="5">
        <v>37104.0</v>
      </c>
      <c r="K511" s="5">
        <v>21434.0</v>
      </c>
      <c r="L511" s="4">
        <v>65.0</v>
      </c>
      <c r="M511" s="4" t="s">
        <v>1425</v>
      </c>
      <c r="O511" s="5">
        <v>37104.0</v>
      </c>
      <c r="P511" s="5">
        <v>37256.0</v>
      </c>
      <c r="Q511" s="4" t="s">
        <v>66</v>
      </c>
      <c r="R511" s="4" t="s">
        <v>32</v>
      </c>
      <c r="S511" s="6" t="s">
        <v>3453</v>
      </c>
      <c r="T511" s="4" t="s">
        <v>3454</v>
      </c>
      <c r="U511" s="4">
        <v>22.0</v>
      </c>
      <c r="AD511" s="4" t="s">
        <v>1411</v>
      </c>
    </row>
    <row r="512">
      <c r="A512" s="4" t="s">
        <v>60</v>
      </c>
      <c r="B512" s="4" t="s">
        <v>1423</v>
      </c>
      <c r="C512" s="4" t="s">
        <v>109</v>
      </c>
      <c r="D512" s="4" t="s">
        <v>1424</v>
      </c>
      <c r="E512" s="4" t="s">
        <v>80</v>
      </c>
      <c r="F512" s="4" t="s">
        <v>3455</v>
      </c>
      <c r="G512" s="4" t="s">
        <v>3456</v>
      </c>
      <c r="H512" s="4" t="s">
        <v>3457</v>
      </c>
      <c r="I512" s="4" t="s">
        <v>3458</v>
      </c>
      <c r="J512" s="5">
        <v>39661.0</v>
      </c>
      <c r="K512" s="5">
        <v>30034.0</v>
      </c>
      <c r="L512" s="4">
        <v>41.0</v>
      </c>
      <c r="M512" s="4" t="s">
        <v>1425</v>
      </c>
      <c r="O512" s="5">
        <v>44927.0</v>
      </c>
      <c r="P512" s="5">
        <v>45291.0</v>
      </c>
      <c r="Q512" s="4" t="s">
        <v>66</v>
      </c>
      <c r="R512" s="4" t="s">
        <v>32</v>
      </c>
      <c r="S512" s="6" t="s">
        <v>3459</v>
      </c>
      <c r="T512" s="4" t="s">
        <v>3460</v>
      </c>
      <c r="U512" s="4">
        <v>12.0</v>
      </c>
      <c r="V512" s="4" t="s">
        <v>359</v>
      </c>
      <c r="W512" s="4">
        <v>40210.0</v>
      </c>
      <c r="X512" s="4" t="s">
        <v>3461</v>
      </c>
      <c r="Y512" s="4" t="s">
        <v>700</v>
      </c>
      <c r="Z512" s="4" t="s">
        <v>2129</v>
      </c>
      <c r="AA512" s="4">
        <v>2007.0</v>
      </c>
      <c r="AB512" s="4" t="s">
        <v>58</v>
      </c>
      <c r="AC512" s="5">
        <v>39409.0</v>
      </c>
      <c r="AD512" s="4" t="s">
        <v>1411</v>
      </c>
      <c r="AE512" s="5">
        <v>44364.0</v>
      </c>
    </row>
    <row r="513">
      <c r="A513" s="4" t="s">
        <v>1412</v>
      </c>
      <c r="B513" s="4" t="s">
        <v>1466</v>
      </c>
      <c r="C513" s="4" t="s">
        <v>1467</v>
      </c>
      <c r="D513" s="4" t="s">
        <v>1468</v>
      </c>
      <c r="E513" s="4" t="s">
        <v>26</v>
      </c>
      <c r="F513" s="4" t="s">
        <v>3462</v>
      </c>
      <c r="G513" s="4" t="s">
        <v>711</v>
      </c>
      <c r="H513" s="4" t="s">
        <v>3463</v>
      </c>
      <c r="I513" s="4" t="s">
        <v>3464</v>
      </c>
      <c r="J513" s="5">
        <v>26420.0</v>
      </c>
      <c r="K513" s="5">
        <v>18471.0</v>
      </c>
      <c r="L513" s="4">
        <v>73.0</v>
      </c>
      <c r="M513" s="4" t="s">
        <v>1407</v>
      </c>
      <c r="O513" s="5">
        <v>34639.0</v>
      </c>
      <c r="P513" s="5">
        <v>34819.0</v>
      </c>
      <c r="Q513" s="4" t="s">
        <v>1694</v>
      </c>
      <c r="R513" s="4" t="s">
        <v>32</v>
      </c>
      <c r="S513" s="6" t="s">
        <v>3465</v>
      </c>
      <c r="T513" s="4" t="s">
        <v>3466</v>
      </c>
      <c r="U513" s="4">
        <v>6.0</v>
      </c>
      <c r="V513" s="4" t="s">
        <v>1492</v>
      </c>
      <c r="W513" s="4">
        <v>26299.0</v>
      </c>
      <c r="X513" s="4" t="s">
        <v>58</v>
      </c>
      <c r="Y513" s="4" t="s">
        <v>59</v>
      </c>
      <c r="AD513" s="4" t="s">
        <v>1411</v>
      </c>
    </row>
    <row r="514">
      <c r="A514" s="4" t="s">
        <v>1465</v>
      </c>
      <c r="B514" s="4" t="s">
        <v>1423</v>
      </c>
      <c r="C514" s="4" t="s">
        <v>109</v>
      </c>
      <c r="D514" s="4" t="s">
        <v>1424</v>
      </c>
      <c r="E514" s="4" t="s">
        <v>26</v>
      </c>
      <c r="F514" s="4" t="s">
        <v>2166</v>
      </c>
      <c r="G514" s="4" t="s">
        <v>3467</v>
      </c>
      <c r="H514" s="4" t="s">
        <v>3468</v>
      </c>
      <c r="I514" s="4" t="s">
        <v>3469</v>
      </c>
      <c r="J514" s="5">
        <v>34973.0</v>
      </c>
      <c r="K514" s="5">
        <v>19059.0</v>
      </c>
      <c r="L514" s="4">
        <v>71.0</v>
      </c>
      <c r="M514" s="4" t="s">
        <v>1407</v>
      </c>
      <c r="N514" s="4" t="s">
        <v>1419</v>
      </c>
      <c r="O514" s="5">
        <v>34973.0</v>
      </c>
      <c r="P514" s="5">
        <v>37833.0</v>
      </c>
      <c r="Q514" s="4" t="s">
        <v>31</v>
      </c>
      <c r="R514" s="4" t="s">
        <v>32</v>
      </c>
      <c r="S514" s="6" t="s">
        <v>3470</v>
      </c>
      <c r="T514" s="4" t="s">
        <v>3471</v>
      </c>
      <c r="U514" s="4">
        <v>12.0</v>
      </c>
      <c r="Z514" s="4" t="s">
        <v>3472</v>
      </c>
      <c r="AA514" s="4">
        <v>1978.0</v>
      </c>
      <c r="AB514" s="4" t="s">
        <v>438</v>
      </c>
      <c r="AC514" s="5">
        <v>28855.0</v>
      </c>
      <c r="AD514" s="4" t="s">
        <v>1411</v>
      </c>
    </row>
    <row r="515">
      <c r="A515" s="4" t="s">
        <v>60</v>
      </c>
      <c r="B515" s="4" t="s">
        <v>1423</v>
      </c>
      <c r="C515" s="4" t="s">
        <v>109</v>
      </c>
      <c r="D515" s="4" t="s">
        <v>1424</v>
      </c>
      <c r="E515" s="4" t="s">
        <v>26</v>
      </c>
      <c r="F515" s="4" t="s">
        <v>2166</v>
      </c>
      <c r="G515" s="4" t="s">
        <v>475</v>
      </c>
      <c r="H515" s="4" t="s">
        <v>1399</v>
      </c>
      <c r="I515" s="4" t="s">
        <v>3473</v>
      </c>
      <c r="J515" s="5">
        <v>39356.0</v>
      </c>
      <c r="K515" s="5">
        <v>28884.0</v>
      </c>
      <c r="L515" s="4">
        <v>44.0</v>
      </c>
      <c r="M515" s="4" t="s">
        <v>1407</v>
      </c>
      <c r="O515" s="5">
        <v>42736.0</v>
      </c>
      <c r="P515" s="5">
        <v>42855.0</v>
      </c>
      <c r="Q515" s="4" t="s">
        <v>66</v>
      </c>
      <c r="R515" s="4" t="s">
        <v>32</v>
      </c>
      <c r="S515" s="6" t="s">
        <v>3474</v>
      </c>
      <c r="T515" s="4" t="s">
        <v>3475</v>
      </c>
      <c r="U515" s="4">
        <v>2.0</v>
      </c>
      <c r="V515" s="4" t="s">
        <v>34</v>
      </c>
      <c r="W515" s="4">
        <v>41118.0</v>
      </c>
      <c r="X515" s="4" t="s">
        <v>686</v>
      </c>
      <c r="Y515" s="4" t="s">
        <v>89</v>
      </c>
      <c r="Z515" s="4" t="s">
        <v>1427</v>
      </c>
      <c r="AA515" s="4">
        <v>2003.0</v>
      </c>
      <c r="AB515" s="4" t="s">
        <v>58</v>
      </c>
      <c r="AC515" s="5">
        <v>37971.0</v>
      </c>
      <c r="AD515" s="4" t="s">
        <v>1411</v>
      </c>
      <c r="AE515" s="5">
        <v>41666.0</v>
      </c>
    </row>
    <row r="516">
      <c r="A516" s="4" t="s">
        <v>39</v>
      </c>
      <c r="B516" s="4" t="s">
        <v>1447</v>
      </c>
      <c r="C516" s="4" t="s">
        <v>40</v>
      </c>
      <c r="D516" s="4" t="s">
        <v>1448</v>
      </c>
      <c r="E516" s="4" t="s">
        <v>26</v>
      </c>
      <c r="F516" s="4" t="s">
        <v>41</v>
      </c>
      <c r="G516" s="4" t="s">
        <v>42</v>
      </c>
      <c r="H516" s="4" t="s">
        <v>43</v>
      </c>
      <c r="I516" s="4" t="s">
        <v>44</v>
      </c>
      <c r="J516" s="5">
        <v>24532.0</v>
      </c>
      <c r="K516" s="5">
        <v>16141.0</v>
      </c>
      <c r="L516" s="4">
        <v>79.0</v>
      </c>
      <c r="M516" s="4" t="s">
        <v>1407</v>
      </c>
      <c r="O516" s="5">
        <v>42186.0</v>
      </c>
      <c r="P516" s="5">
        <v>73050.0</v>
      </c>
      <c r="Q516" s="4" t="s">
        <v>31</v>
      </c>
      <c r="R516" s="4" t="s">
        <v>32</v>
      </c>
      <c r="S516" s="6" t="s">
        <v>3476</v>
      </c>
      <c r="T516" s="4" t="s">
        <v>45</v>
      </c>
      <c r="U516" s="4">
        <v>12.0</v>
      </c>
      <c r="V516" s="4" t="s">
        <v>46</v>
      </c>
      <c r="W516" s="4">
        <v>38687.0</v>
      </c>
      <c r="X516" s="4" t="s">
        <v>49</v>
      </c>
      <c r="Y516" s="4" t="s">
        <v>38</v>
      </c>
      <c r="Z516" s="4" t="s">
        <v>2075</v>
      </c>
      <c r="AA516" s="4">
        <v>1998.0</v>
      </c>
      <c r="AB516" s="4" t="s">
        <v>58</v>
      </c>
      <c r="AC516" s="5">
        <v>36074.0</v>
      </c>
      <c r="AD516" s="4" t="s">
        <v>1411</v>
      </c>
      <c r="AE516" s="5">
        <v>38883.0</v>
      </c>
    </row>
    <row r="517">
      <c r="A517" s="4" t="s">
        <v>60</v>
      </c>
      <c r="B517" s="4" t="s">
        <v>1405</v>
      </c>
      <c r="C517" s="4" t="s">
        <v>317</v>
      </c>
      <c r="D517" s="4" t="s">
        <v>1406</v>
      </c>
      <c r="E517" s="4" t="s">
        <v>80</v>
      </c>
      <c r="F517" s="4" t="s">
        <v>41</v>
      </c>
      <c r="G517" s="4" t="s">
        <v>717</v>
      </c>
      <c r="H517" s="4" t="s">
        <v>792</v>
      </c>
      <c r="I517" s="4" t="s">
        <v>793</v>
      </c>
      <c r="J517" s="5">
        <v>40179.0</v>
      </c>
      <c r="K517" s="5">
        <v>27009.0</v>
      </c>
      <c r="L517" s="4">
        <v>50.0</v>
      </c>
      <c r="M517" s="4" t="s">
        <v>1407</v>
      </c>
      <c r="N517" s="4" t="s">
        <v>1419</v>
      </c>
      <c r="O517" s="5">
        <v>44927.0</v>
      </c>
      <c r="P517" s="5">
        <v>45291.0</v>
      </c>
      <c r="Q517" s="4" t="s">
        <v>66</v>
      </c>
      <c r="R517" s="4" t="s">
        <v>32</v>
      </c>
      <c r="S517" s="6" t="s">
        <v>3477</v>
      </c>
      <c r="T517" s="4" t="s">
        <v>794</v>
      </c>
      <c r="U517" s="4">
        <v>21.0</v>
      </c>
      <c r="V517" s="4" t="s">
        <v>55</v>
      </c>
      <c r="W517" s="4">
        <v>35928.0</v>
      </c>
      <c r="X517" s="4" t="s">
        <v>797</v>
      </c>
      <c r="Y517" s="4" t="s">
        <v>59</v>
      </c>
      <c r="Z517" s="4" t="s">
        <v>1427</v>
      </c>
      <c r="AA517" s="4">
        <v>1998.0</v>
      </c>
      <c r="AB517" s="4" t="s">
        <v>797</v>
      </c>
      <c r="AC517" s="5">
        <v>35965.0</v>
      </c>
      <c r="AD517" s="4" t="s">
        <v>1411</v>
      </c>
      <c r="AE517" s="5">
        <v>41212.0</v>
      </c>
    </row>
    <row r="518">
      <c r="A518" s="4" t="s">
        <v>60</v>
      </c>
      <c r="B518" s="4" t="s">
        <v>1413</v>
      </c>
      <c r="C518" s="4" t="s">
        <v>1414</v>
      </c>
      <c r="D518" s="4" t="s">
        <v>1415</v>
      </c>
      <c r="E518" s="4" t="s">
        <v>26</v>
      </c>
      <c r="F518" s="4" t="s">
        <v>885</v>
      </c>
      <c r="G518" s="4" t="s">
        <v>3478</v>
      </c>
      <c r="H518" s="4" t="s">
        <v>3479</v>
      </c>
      <c r="I518" s="4" t="s">
        <v>3480</v>
      </c>
      <c r="J518" s="5">
        <v>39295.0</v>
      </c>
      <c r="K518" s="5">
        <v>28090.0</v>
      </c>
      <c r="L518" s="4">
        <v>47.0</v>
      </c>
      <c r="M518" s="4" t="s">
        <v>1425</v>
      </c>
      <c r="O518" s="5">
        <v>42736.0</v>
      </c>
      <c r="P518" s="5">
        <v>42855.0</v>
      </c>
      <c r="Q518" s="4" t="s">
        <v>66</v>
      </c>
      <c r="R518" s="4" t="s">
        <v>32</v>
      </c>
      <c r="S518" s="6" t="s">
        <v>3481</v>
      </c>
      <c r="T518" s="4" t="s">
        <v>3482</v>
      </c>
      <c r="U518" s="4">
        <v>2.0</v>
      </c>
      <c r="V518" s="4" t="s">
        <v>55</v>
      </c>
      <c r="W518" s="4">
        <v>38884.0</v>
      </c>
      <c r="X518" s="4" t="s">
        <v>58</v>
      </c>
      <c r="Y518" s="4" t="s">
        <v>59</v>
      </c>
      <c r="AD518" s="4" t="s">
        <v>1411</v>
      </c>
      <c r="AE518" s="5">
        <v>39268.0</v>
      </c>
    </row>
    <row r="519">
      <c r="A519" s="4" t="s">
        <v>337</v>
      </c>
      <c r="B519" s="4" t="s">
        <v>1540</v>
      </c>
      <c r="C519" s="4" t="s">
        <v>99</v>
      </c>
      <c r="D519" s="4" t="s">
        <v>1541</v>
      </c>
      <c r="E519" s="4" t="s">
        <v>80</v>
      </c>
      <c r="F519" s="4" t="s">
        <v>885</v>
      </c>
      <c r="G519" s="4" t="s">
        <v>70</v>
      </c>
      <c r="H519" s="4" t="s">
        <v>886</v>
      </c>
      <c r="I519" s="4" t="s">
        <v>887</v>
      </c>
      <c r="J519" s="5">
        <v>41791.0</v>
      </c>
      <c r="K519" s="5">
        <v>25979.0</v>
      </c>
      <c r="L519" s="4">
        <v>52.0</v>
      </c>
      <c r="M519" s="4" t="s">
        <v>1425</v>
      </c>
      <c r="O519" s="5">
        <v>44927.0</v>
      </c>
      <c r="P519" s="5">
        <v>45291.0</v>
      </c>
      <c r="Q519" s="4" t="s">
        <v>66</v>
      </c>
      <c r="R519" s="4" t="s">
        <v>32</v>
      </c>
      <c r="S519" s="6" t="s">
        <v>3483</v>
      </c>
      <c r="T519" s="4" t="s">
        <v>888</v>
      </c>
      <c r="U519" s="4">
        <v>44.0</v>
      </c>
      <c r="V519" s="4" t="s">
        <v>34</v>
      </c>
      <c r="W519" s="4">
        <v>41485.0</v>
      </c>
      <c r="X519" s="4" t="s">
        <v>890</v>
      </c>
      <c r="Y519" s="4" t="s">
        <v>497</v>
      </c>
      <c r="Z519" s="4" t="s">
        <v>2156</v>
      </c>
      <c r="AA519" s="4">
        <v>1998.0</v>
      </c>
      <c r="AB519" s="4" t="s">
        <v>661</v>
      </c>
      <c r="AC519" s="5">
        <v>36039.0</v>
      </c>
      <c r="AD519" s="4" t="s">
        <v>1411</v>
      </c>
      <c r="AE519" s="5">
        <v>44139.0</v>
      </c>
    </row>
    <row r="520">
      <c r="A520" s="4" t="s">
        <v>1465</v>
      </c>
      <c r="B520" s="4" t="s">
        <v>1413</v>
      </c>
      <c r="C520" s="4" t="s">
        <v>1414</v>
      </c>
      <c r="D520" s="4" t="s">
        <v>1415</v>
      </c>
      <c r="E520" s="4" t="s">
        <v>26</v>
      </c>
      <c r="F520" s="4" t="s">
        <v>885</v>
      </c>
      <c r="G520" s="4" t="s">
        <v>1269</v>
      </c>
      <c r="H520" s="4" t="s">
        <v>3484</v>
      </c>
      <c r="I520" s="4" t="s">
        <v>3485</v>
      </c>
      <c r="J520" s="5">
        <v>32234.0</v>
      </c>
      <c r="K520" s="5">
        <v>21929.0</v>
      </c>
      <c r="L520" s="4">
        <v>64.0</v>
      </c>
      <c r="M520" s="4" t="s">
        <v>1407</v>
      </c>
      <c r="N520" s="4" t="s">
        <v>1419</v>
      </c>
      <c r="O520" s="5">
        <v>34851.0</v>
      </c>
      <c r="P520" s="5">
        <v>35520.0</v>
      </c>
      <c r="Q520" s="4" t="s">
        <v>31</v>
      </c>
      <c r="R520" s="4" t="s">
        <v>32</v>
      </c>
      <c r="S520" s="6" t="s">
        <v>3486</v>
      </c>
      <c r="T520" s="4" t="s">
        <v>3487</v>
      </c>
      <c r="U520" s="4">
        <v>12.0</v>
      </c>
      <c r="Z520" s="4" t="s">
        <v>3488</v>
      </c>
      <c r="AA520" s="4">
        <v>1988.0</v>
      </c>
      <c r="AB520" s="4" t="s">
        <v>58</v>
      </c>
      <c r="AC520" s="5">
        <v>32283.0</v>
      </c>
      <c r="AD520" s="4" t="s">
        <v>1411</v>
      </c>
    </row>
    <row r="521">
      <c r="A521" s="4" t="s">
        <v>1440</v>
      </c>
      <c r="B521" s="4" t="s">
        <v>1473</v>
      </c>
      <c r="C521" s="4" t="s">
        <v>25</v>
      </c>
      <c r="D521" s="4" t="s">
        <v>1474</v>
      </c>
      <c r="E521" s="4" t="s">
        <v>26</v>
      </c>
      <c r="F521" s="4" t="s">
        <v>885</v>
      </c>
      <c r="G521" s="4" t="s">
        <v>772</v>
      </c>
      <c r="H521" s="4" t="s">
        <v>3489</v>
      </c>
      <c r="I521" s="4" t="s">
        <v>3490</v>
      </c>
      <c r="J521" s="5">
        <v>16893.0</v>
      </c>
      <c r="K521" s="5">
        <v>6596.0</v>
      </c>
      <c r="L521" s="4">
        <v>106.0</v>
      </c>
      <c r="M521" s="4" t="s">
        <v>1407</v>
      </c>
      <c r="O521" s="5">
        <v>34425.0</v>
      </c>
      <c r="P521" s="5">
        <v>36049.0</v>
      </c>
      <c r="Q521" s="4" t="s">
        <v>1694</v>
      </c>
      <c r="R521" s="4" t="s">
        <v>32</v>
      </c>
      <c r="S521" s="7" t="s">
        <v>3491</v>
      </c>
      <c r="T521" s="4" t="s">
        <v>3492</v>
      </c>
      <c r="U521" s="4">
        <v>6.0</v>
      </c>
      <c r="AD521" s="4" t="s">
        <v>1411</v>
      </c>
    </row>
    <row r="522">
      <c r="A522" s="4" t="s">
        <v>1684</v>
      </c>
      <c r="B522" s="4" t="s">
        <v>1413</v>
      </c>
      <c r="C522" s="4" t="s">
        <v>1414</v>
      </c>
      <c r="D522" s="4" t="s">
        <v>1415</v>
      </c>
      <c r="E522" s="4" t="s">
        <v>26</v>
      </c>
      <c r="F522" s="4" t="s">
        <v>1226</v>
      </c>
      <c r="G522" s="4" t="s">
        <v>3493</v>
      </c>
      <c r="H522" s="4" t="s">
        <v>3494</v>
      </c>
      <c r="I522" s="4" t="s">
        <v>3495</v>
      </c>
      <c r="J522" s="5">
        <v>39183.0</v>
      </c>
      <c r="K522" s="5">
        <v>22552.0</v>
      </c>
      <c r="L522" s="4">
        <v>62.0</v>
      </c>
      <c r="M522" s="4" t="s">
        <v>1407</v>
      </c>
      <c r="O522" s="5">
        <v>38777.0</v>
      </c>
      <c r="P522" s="5">
        <v>39082.0</v>
      </c>
      <c r="Q522" s="4" t="s">
        <v>31</v>
      </c>
      <c r="R522" s="4" t="s">
        <v>32</v>
      </c>
      <c r="S522" s="6" t="s">
        <v>3496</v>
      </c>
      <c r="T522" s="4" t="s">
        <v>3497</v>
      </c>
      <c r="U522" s="4">
        <v>12.0</v>
      </c>
      <c r="Z522" s="4" t="s">
        <v>2075</v>
      </c>
      <c r="AA522" s="4">
        <v>2003.0</v>
      </c>
      <c r="AB522" s="4" t="s">
        <v>58</v>
      </c>
      <c r="AC522" s="5">
        <v>37967.0</v>
      </c>
      <c r="AD522" s="4" t="s">
        <v>1411</v>
      </c>
      <c r="AE522" s="5">
        <v>38141.0</v>
      </c>
    </row>
    <row r="523">
      <c r="A523" s="4" t="s">
        <v>1412</v>
      </c>
      <c r="B523" s="4" t="s">
        <v>1423</v>
      </c>
      <c r="C523" s="4" t="s">
        <v>99</v>
      </c>
      <c r="D523" s="4" t="s">
        <v>1541</v>
      </c>
      <c r="E523" s="4" t="s">
        <v>80</v>
      </c>
      <c r="F523" s="4" t="s">
        <v>1226</v>
      </c>
      <c r="G523" s="4" t="s">
        <v>302</v>
      </c>
      <c r="H523" s="4" t="s">
        <v>3498</v>
      </c>
      <c r="I523" s="4" t="s">
        <v>3499</v>
      </c>
      <c r="J523" s="5">
        <v>26512.0</v>
      </c>
      <c r="K523" s="5">
        <v>18650.0</v>
      </c>
      <c r="L523" s="4">
        <v>72.0</v>
      </c>
      <c r="M523" s="4" t="s">
        <v>1407</v>
      </c>
      <c r="O523" s="5">
        <v>31472.0</v>
      </c>
      <c r="P523" s="5">
        <v>38664.0</v>
      </c>
      <c r="Q523" s="4" t="s">
        <v>31</v>
      </c>
      <c r="R523" s="4" t="s">
        <v>32</v>
      </c>
      <c r="S523" s="6" t="s">
        <v>3500</v>
      </c>
      <c r="T523" s="4" t="s">
        <v>3501</v>
      </c>
      <c r="U523" s="4">
        <v>44.0</v>
      </c>
      <c r="V523" s="4" t="s">
        <v>1492</v>
      </c>
      <c r="W523" s="4">
        <v>26996.0</v>
      </c>
      <c r="X523" s="4" t="s">
        <v>58</v>
      </c>
      <c r="Y523" s="4" t="s">
        <v>59</v>
      </c>
      <c r="Z523" s="4" t="s">
        <v>1427</v>
      </c>
      <c r="AA523" s="4">
        <v>1900.0</v>
      </c>
      <c r="AB523" s="4" t="s">
        <v>58</v>
      </c>
      <c r="AC523" s="5">
        <v>1.0</v>
      </c>
      <c r="AD523" s="4" t="s">
        <v>1411</v>
      </c>
    </row>
    <row r="524">
      <c r="A524" s="4" t="s">
        <v>78</v>
      </c>
      <c r="B524" s="4" t="s">
        <v>1423</v>
      </c>
      <c r="C524" s="4" t="s">
        <v>109</v>
      </c>
      <c r="D524" s="4" t="s">
        <v>1424</v>
      </c>
      <c r="E524" s="4" t="s">
        <v>80</v>
      </c>
      <c r="F524" s="4" t="s">
        <v>1226</v>
      </c>
      <c r="G524" s="4" t="s">
        <v>1227</v>
      </c>
      <c r="H524" s="4" t="s">
        <v>1228</v>
      </c>
      <c r="I524" s="4" t="s">
        <v>1229</v>
      </c>
      <c r="J524" s="5">
        <v>44835.0</v>
      </c>
      <c r="K524" s="5">
        <v>25815.0</v>
      </c>
      <c r="L524" s="4">
        <v>53.0</v>
      </c>
      <c r="M524" s="4" t="s">
        <v>1425</v>
      </c>
      <c r="N524" s="4" t="s">
        <v>1419</v>
      </c>
      <c r="O524" s="5">
        <v>44927.0</v>
      </c>
      <c r="P524" s="5">
        <v>45291.0</v>
      </c>
      <c r="Q524" s="4" t="s">
        <v>66</v>
      </c>
      <c r="R524" s="4" t="s">
        <v>32</v>
      </c>
      <c r="S524" s="6" t="s">
        <v>3502</v>
      </c>
      <c r="T524" s="4" t="s">
        <v>1230</v>
      </c>
      <c r="U524" s="4">
        <v>12.0</v>
      </c>
      <c r="V524" s="4" t="s">
        <v>34</v>
      </c>
      <c r="W524" s="4">
        <v>37622.0</v>
      </c>
      <c r="X524" s="4" t="s">
        <v>1233</v>
      </c>
      <c r="Y524" s="4" t="s">
        <v>227</v>
      </c>
      <c r="Z524" s="4" t="s">
        <v>1433</v>
      </c>
      <c r="AA524" s="4">
        <v>1996.0</v>
      </c>
      <c r="AB524" s="4" t="s">
        <v>58</v>
      </c>
      <c r="AC524" s="5">
        <v>35244.0</v>
      </c>
      <c r="AD524" s="4" t="s">
        <v>1411</v>
      </c>
      <c r="AE524" s="5">
        <v>40199.0</v>
      </c>
    </row>
    <row r="525">
      <c r="A525" s="4" t="s">
        <v>1440</v>
      </c>
      <c r="B525" s="4" t="s">
        <v>1540</v>
      </c>
      <c r="C525" s="4" t="s">
        <v>99</v>
      </c>
      <c r="D525" s="4" t="s">
        <v>1541</v>
      </c>
      <c r="E525" s="4" t="s">
        <v>26</v>
      </c>
      <c r="F525" s="4" t="s">
        <v>3503</v>
      </c>
      <c r="G525" s="4" t="s">
        <v>3504</v>
      </c>
      <c r="H525" s="4" t="s">
        <v>3505</v>
      </c>
      <c r="I525" s="4" t="s">
        <v>3506</v>
      </c>
      <c r="J525" s="5">
        <v>25628.0</v>
      </c>
      <c r="K525" s="5">
        <v>13619.0</v>
      </c>
      <c r="L525" s="4">
        <v>86.0</v>
      </c>
      <c r="O525" s="5">
        <v>39083.0</v>
      </c>
      <c r="P525" s="5">
        <v>39141.0</v>
      </c>
      <c r="Q525" s="4" t="s">
        <v>66</v>
      </c>
      <c r="R525" s="4" t="s">
        <v>32</v>
      </c>
      <c r="S525" s="6" t="s">
        <v>3507</v>
      </c>
      <c r="T525" s="4" t="s">
        <v>3508</v>
      </c>
      <c r="U525" s="4">
        <v>22.0</v>
      </c>
      <c r="V525" s="4" t="s">
        <v>34</v>
      </c>
      <c r="W525" s="4">
        <v>30681.0</v>
      </c>
      <c r="X525" s="4" t="s">
        <v>3509</v>
      </c>
      <c r="Y525" s="4" t="s">
        <v>3510</v>
      </c>
      <c r="Z525" s="4" t="s">
        <v>1597</v>
      </c>
      <c r="AA525" s="4">
        <v>1971.0</v>
      </c>
      <c r="AB525" s="4" t="s">
        <v>58</v>
      </c>
      <c r="AC525" s="5">
        <v>26044.0</v>
      </c>
      <c r="AD525" s="4">
        <v>0.0</v>
      </c>
    </row>
    <row r="526">
      <c r="A526" s="4" t="s">
        <v>60</v>
      </c>
      <c r="B526" s="4" t="s">
        <v>1405</v>
      </c>
      <c r="C526" s="4" t="s">
        <v>317</v>
      </c>
      <c r="D526" s="4" t="s">
        <v>1406</v>
      </c>
      <c r="E526" s="4" t="s">
        <v>80</v>
      </c>
      <c r="F526" s="4" t="s">
        <v>692</v>
      </c>
      <c r="G526" s="4" t="s">
        <v>693</v>
      </c>
      <c r="H526" s="4" t="s">
        <v>694</v>
      </c>
      <c r="I526" s="4" t="s">
        <v>695</v>
      </c>
      <c r="J526" s="5">
        <v>39630.0</v>
      </c>
      <c r="K526" s="5">
        <v>28422.0</v>
      </c>
      <c r="L526" s="4">
        <v>46.0</v>
      </c>
      <c r="M526" s="4" t="s">
        <v>1425</v>
      </c>
      <c r="N526" s="4" t="s">
        <v>1419</v>
      </c>
      <c r="O526" s="5">
        <v>44927.0</v>
      </c>
      <c r="P526" s="5">
        <v>45291.0</v>
      </c>
      <c r="Q526" s="4" t="s">
        <v>66</v>
      </c>
      <c r="R526" s="4" t="s">
        <v>32</v>
      </c>
      <c r="S526" s="6" t="s">
        <v>3511</v>
      </c>
      <c r="T526" s="4" t="s">
        <v>696</v>
      </c>
      <c r="U526" s="4">
        <v>21.0</v>
      </c>
      <c r="V526" s="4" t="s">
        <v>34</v>
      </c>
      <c r="W526" s="4">
        <v>42552.0</v>
      </c>
      <c r="X526" s="4" t="s">
        <v>699</v>
      </c>
      <c r="Y526" s="4" t="s">
        <v>700</v>
      </c>
      <c r="Z526" s="4" t="s">
        <v>1427</v>
      </c>
      <c r="AA526" s="4">
        <v>2003.0</v>
      </c>
      <c r="AB526" s="4" t="s">
        <v>58</v>
      </c>
      <c r="AC526" s="5">
        <v>37736.0</v>
      </c>
      <c r="AD526" s="4" t="s">
        <v>1411</v>
      </c>
      <c r="AE526" s="5">
        <v>44700.0</v>
      </c>
    </row>
    <row r="527">
      <c r="A527" s="4" t="s">
        <v>1412</v>
      </c>
      <c r="B527" s="4" t="s">
        <v>1423</v>
      </c>
      <c r="C527" s="4" t="s">
        <v>109</v>
      </c>
      <c r="D527" s="4" t="s">
        <v>1424</v>
      </c>
      <c r="E527" s="4" t="s">
        <v>26</v>
      </c>
      <c r="F527" s="4" t="s">
        <v>3512</v>
      </c>
      <c r="G527" s="4" t="s">
        <v>3513</v>
      </c>
      <c r="H527" s="4" t="s">
        <v>3514</v>
      </c>
      <c r="I527" s="4" t="s">
        <v>3515</v>
      </c>
      <c r="J527" s="5">
        <v>24746.0</v>
      </c>
      <c r="K527" s="5">
        <v>15669.0</v>
      </c>
      <c r="L527" s="4">
        <v>81.0</v>
      </c>
      <c r="M527" s="4" t="s">
        <v>1407</v>
      </c>
      <c r="O527" s="5">
        <v>33390.0</v>
      </c>
      <c r="P527" s="5">
        <v>34577.0</v>
      </c>
      <c r="Q527" s="4" t="s">
        <v>31</v>
      </c>
      <c r="R527" s="4" t="s">
        <v>32</v>
      </c>
      <c r="S527" s="6" t="s">
        <v>3516</v>
      </c>
      <c r="T527" s="4" t="s">
        <v>3517</v>
      </c>
      <c r="U527" s="4">
        <v>12.0</v>
      </c>
      <c r="AD527" s="4" t="s">
        <v>1411</v>
      </c>
    </row>
    <row r="528">
      <c r="A528" s="4" t="s">
        <v>1440</v>
      </c>
      <c r="B528" s="4" t="s">
        <v>1430</v>
      </c>
      <c r="C528" s="4" t="s">
        <v>61</v>
      </c>
      <c r="D528" s="4" t="s">
        <v>1431</v>
      </c>
      <c r="E528" s="4" t="s">
        <v>26</v>
      </c>
      <c r="F528" s="4" t="s">
        <v>3518</v>
      </c>
      <c r="G528" s="4" t="s">
        <v>354</v>
      </c>
      <c r="H528" s="4" t="s">
        <v>3519</v>
      </c>
      <c r="I528" s="4" t="s">
        <v>3520</v>
      </c>
      <c r="J528" s="5">
        <v>34425.0</v>
      </c>
      <c r="K528" s="5">
        <v>18393.0</v>
      </c>
      <c r="L528" s="4">
        <v>73.0</v>
      </c>
      <c r="M528" s="4" t="s">
        <v>1425</v>
      </c>
      <c r="O528" s="5">
        <v>40634.0</v>
      </c>
      <c r="P528" s="5">
        <v>42276.0</v>
      </c>
      <c r="Q528" s="4" t="s">
        <v>31</v>
      </c>
      <c r="R528" s="4" t="s">
        <v>32</v>
      </c>
      <c r="S528" s="6" t="s">
        <v>3521</v>
      </c>
      <c r="T528" s="4" t="s">
        <v>3522</v>
      </c>
      <c r="U528" s="4">
        <v>44.0</v>
      </c>
      <c r="V528" s="4" t="s">
        <v>34</v>
      </c>
      <c r="W528" s="4">
        <v>32873.0</v>
      </c>
      <c r="X528" s="4" t="s">
        <v>2243</v>
      </c>
      <c r="Y528" s="4" t="s">
        <v>89</v>
      </c>
      <c r="Z528" s="4" t="s">
        <v>1422</v>
      </c>
      <c r="AA528" s="4">
        <v>1992.0</v>
      </c>
      <c r="AB528" s="4" t="s">
        <v>58</v>
      </c>
      <c r="AC528" s="5">
        <v>33673.0</v>
      </c>
      <c r="AD528" s="4" t="s">
        <v>1411</v>
      </c>
      <c r="AE528" s="5">
        <v>40513.0</v>
      </c>
    </row>
    <row r="529">
      <c r="A529" s="4" t="s">
        <v>1440</v>
      </c>
      <c r="B529" s="4" t="s">
        <v>1540</v>
      </c>
      <c r="C529" s="4" t="s">
        <v>99</v>
      </c>
      <c r="D529" s="4" t="s">
        <v>1541</v>
      </c>
      <c r="E529" s="4" t="s">
        <v>26</v>
      </c>
      <c r="F529" s="4" t="s">
        <v>3523</v>
      </c>
      <c r="G529" s="4" t="s">
        <v>439</v>
      </c>
      <c r="H529" s="4" t="s">
        <v>3524</v>
      </c>
      <c r="I529" s="4" t="s">
        <v>3525</v>
      </c>
      <c r="J529" s="5">
        <v>27668.0</v>
      </c>
      <c r="K529" s="5">
        <v>12863.0</v>
      </c>
      <c r="L529" s="4">
        <v>88.0</v>
      </c>
      <c r="M529" s="4" t="s">
        <v>1407</v>
      </c>
      <c r="O529" s="5">
        <v>34881.0</v>
      </c>
      <c r="P529" s="5">
        <v>36099.0</v>
      </c>
      <c r="Q529" s="4" t="s">
        <v>31</v>
      </c>
      <c r="R529" s="4" t="s">
        <v>32</v>
      </c>
      <c r="S529" s="6" t="s">
        <v>3526</v>
      </c>
      <c r="T529" s="4" t="s">
        <v>3527</v>
      </c>
      <c r="U529" s="4">
        <v>3.0</v>
      </c>
      <c r="AD529" s="4" t="s">
        <v>1411</v>
      </c>
    </row>
    <row r="530">
      <c r="A530" s="4" t="s">
        <v>39</v>
      </c>
      <c r="B530" s="4" t="s">
        <v>1423</v>
      </c>
      <c r="C530" s="4" t="s">
        <v>109</v>
      </c>
      <c r="D530" s="4" t="s">
        <v>1424</v>
      </c>
      <c r="E530" s="4" t="s">
        <v>80</v>
      </c>
      <c r="F530" s="4" t="s">
        <v>1167</v>
      </c>
      <c r="G530" s="4" t="s">
        <v>1168</v>
      </c>
      <c r="H530" s="4" t="s">
        <v>1169</v>
      </c>
      <c r="I530" s="4" t="s">
        <v>1170</v>
      </c>
      <c r="J530" s="5">
        <v>43952.0</v>
      </c>
      <c r="K530" s="5">
        <v>30189.0</v>
      </c>
      <c r="L530" s="4">
        <v>41.0</v>
      </c>
      <c r="M530" s="4" t="s">
        <v>1407</v>
      </c>
      <c r="N530" s="4" t="s">
        <v>1419</v>
      </c>
      <c r="O530" s="5">
        <v>44927.0</v>
      </c>
      <c r="P530" s="5">
        <v>45291.0</v>
      </c>
      <c r="Q530" s="4" t="s">
        <v>66</v>
      </c>
      <c r="R530" s="4" t="s">
        <v>32</v>
      </c>
      <c r="S530" s="6" t="s">
        <v>1171</v>
      </c>
      <c r="T530" s="4" t="s">
        <v>1171</v>
      </c>
      <c r="U530" s="4">
        <v>44.0</v>
      </c>
      <c r="V530" s="4" t="s">
        <v>34</v>
      </c>
      <c r="W530" s="4">
        <v>41954.0</v>
      </c>
      <c r="X530" s="4" t="s">
        <v>1106</v>
      </c>
      <c r="Y530" s="4" t="s">
        <v>1859</v>
      </c>
      <c r="Z530" s="4" t="s">
        <v>1479</v>
      </c>
      <c r="AA530" s="4">
        <v>2008.0</v>
      </c>
      <c r="AB530" s="4" t="s">
        <v>661</v>
      </c>
      <c r="AC530" s="5">
        <v>39602.0</v>
      </c>
      <c r="AD530" s="4" t="s">
        <v>1411</v>
      </c>
      <c r="AE530" s="5">
        <v>43943.0</v>
      </c>
    </row>
    <row r="531">
      <c r="A531" s="4" t="s">
        <v>1440</v>
      </c>
      <c r="B531" s="4" t="s">
        <v>1423</v>
      </c>
      <c r="C531" s="4" t="s">
        <v>109</v>
      </c>
      <c r="D531" s="4" t="s">
        <v>1424</v>
      </c>
      <c r="E531" s="4" t="s">
        <v>80</v>
      </c>
      <c r="F531" s="4" t="s">
        <v>3528</v>
      </c>
      <c r="G531" s="4" t="s">
        <v>3529</v>
      </c>
      <c r="H531" s="4" t="s">
        <v>3530</v>
      </c>
      <c r="I531" s="4" t="s">
        <v>3531</v>
      </c>
      <c r="J531" s="5">
        <v>24198.0</v>
      </c>
      <c r="K531" s="5">
        <v>15712.0</v>
      </c>
      <c r="L531" s="4">
        <v>81.0</v>
      </c>
      <c r="M531" s="4" t="s">
        <v>1407</v>
      </c>
      <c r="O531" s="5">
        <v>34547.0</v>
      </c>
      <c r="P531" s="5">
        <v>34819.0</v>
      </c>
      <c r="Q531" s="4" t="s">
        <v>31</v>
      </c>
      <c r="R531" s="4" t="s">
        <v>32</v>
      </c>
      <c r="S531" s="6" t="s">
        <v>3532</v>
      </c>
      <c r="T531" s="4" t="s">
        <v>3533</v>
      </c>
      <c r="U531" s="4">
        <v>6.0</v>
      </c>
      <c r="AD531" s="4" t="s">
        <v>1411</v>
      </c>
    </row>
    <row r="532">
      <c r="A532" s="4" t="s">
        <v>60</v>
      </c>
      <c r="B532" s="4" t="s">
        <v>1405</v>
      </c>
      <c r="C532" s="4" t="s">
        <v>317</v>
      </c>
      <c r="D532" s="4" t="s">
        <v>1406</v>
      </c>
      <c r="E532" s="4" t="s">
        <v>80</v>
      </c>
      <c r="F532" s="4" t="s">
        <v>3534</v>
      </c>
      <c r="G532" s="4" t="s">
        <v>943</v>
      </c>
      <c r="H532" s="4" t="s">
        <v>3535</v>
      </c>
      <c r="I532" s="4" t="s">
        <v>3536</v>
      </c>
      <c r="J532" s="5">
        <v>32721.0</v>
      </c>
      <c r="K532" s="5">
        <v>20782.0</v>
      </c>
      <c r="L532" s="4">
        <v>67.0</v>
      </c>
      <c r="M532" s="4" t="s">
        <v>1407</v>
      </c>
      <c r="O532" s="5">
        <v>44529.0</v>
      </c>
      <c r="P532" s="5">
        <v>44587.0</v>
      </c>
      <c r="Q532" s="4" t="s">
        <v>66</v>
      </c>
      <c r="R532" s="4" t="s">
        <v>32</v>
      </c>
      <c r="S532" s="6" t="s">
        <v>3537</v>
      </c>
      <c r="T532" s="4" t="s">
        <v>3538</v>
      </c>
      <c r="U532" s="4">
        <v>12.0</v>
      </c>
      <c r="V532" s="4" t="s">
        <v>359</v>
      </c>
      <c r="W532" s="4">
        <v>39517.0</v>
      </c>
      <c r="X532" s="4" t="s">
        <v>3539</v>
      </c>
      <c r="Y532" s="4" t="s">
        <v>59</v>
      </c>
      <c r="Z532" s="4" t="s">
        <v>1427</v>
      </c>
      <c r="AA532" s="4">
        <v>1980.0</v>
      </c>
      <c r="AB532" s="4" t="s">
        <v>58</v>
      </c>
      <c r="AC532" s="5">
        <v>29536.0</v>
      </c>
      <c r="AD532" s="4" t="s">
        <v>1411</v>
      </c>
      <c r="AE532" s="5">
        <v>40157.0</v>
      </c>
    </row>
    <row r="533">
      <c r="A533" s="4" t="s">
        <v>1434</v>
      </c>
      <c r="B533" s="4" t="s">
        <v>1423</v>
      </c>
      <c r="C533" s="4" t="s">
        <v>109</v>
      </c>
      <c r="D533" s="4" t="s">
        <v>1424</v>
      </c>
      <c r="E533" s="4" t="s">
        <v>80</v>
      </c>
      <c r="F533" s="4" t="s">
        <v>3540</v>
      </c>
      <c r="G533" s="4" t="s">
        <v>3541</v>
      </c>
      <c r="H533" s="4" t="s">
        <v>3542</v>
      </c>
      <c r="I533" s="4" t="s">
        <v>3543</v>
      </c>
      <c r="J533" s="5">
        <v>28399.0</v>
      </c>
      <c r="K533" s="5">
        <v>14609.0</v>
      </c>
      <c r="L533" s="4">
        <v>84.0</v>
      </c>
      <c r="M533" s="4" t="s">
        <v>1407</v>
      </c>
      <c r="O533" s="5">
        <v>39114.0</v>
      </c>
      <c r="P533" s="5">
        <v>41973.0</v>
      </c>
      <c r="Q533" s="4" t="s">
        <v>1694</v>
      </c>
      <c r="R533" s="4" t="s">
        <v>32</v>
      </c>
      <c r="S533" s="6" t="s">
        <v>3544</v>
      </c>
      <c r="T533" s="4" t="s">
        <v>3545</v>
      </c>
      <c r="U533" s="4">
        <v>6.0</v>
      </c>
      <c r="Z533" s="4" t="s">
        <v>1544</v>
      </c>
      <c r="AA533" s="4">
        <v>1982.0</v>
      </c>
      <c r="AB533" s="4" t="s">
        <v>58</v>
      </c>
      <c r="AC533" s="5">
        <v>30155.0</v>
      </c>
      <c r="AD533" s="4" t="s">
        <v>1411</v>
      </c>
      <c r="AE533" s="5">
        <v>31279.0</v>
      </c>
    </row>
    <row r="534">
      <c r="A534" s="4" t="s">
        <v>1412</v>
      </c>
      <c r="B534" s="4" t="s">
        <v>1430</v>
      </c>
      <c r="C534" s="4" t="s">
        <v>61</v>
      </c>
      <c r="D534" s="4" t="s">
        <v>1431</v>
      </c>
      <c r="E534" s="4" t="s">
        <v>80</v>
      </c>
      <c r="F534" s="4" t="s">
        <v>3546</v>
      </c>
      <c r="G534" s="4" t="s">
        <v>3547</v>
      </c>
      <c r="H534" s="4" t="s">
        <v>3548</v>
      </c>
      <c r="I534" s="4" t="s">
        <v>3549</v>
      </c>
      <c r="J534" s="5">
        <v>26390.0</v>
      </c>
      <c r="K534" s="5">
        <v>16707.0</v>
      </c>
      <c r="L534" s="4">
        <v>78.0</v>
      </c>
      <c r="M534" s="4" t="s">
        <v>1407</v>
      </c>
      <c r="O534" s="5">
        <v>39692.0</v>
      </c>
      <c r="P534" s="5">
        <v>40624.0</v>
      </c>
      <c r="Q534" s="4" t="s">
        <v>31</v>
      </c>
      <c r="R534" s="4" t="s">
        <v>32</v>
      </c>
      <c r="S534" s="6" t="s">
        <v>3550</v>
      </c>
      <c r="T534" s="4" t="s">
        <v>3551</v>
      </c>
      <c r="U534" s="4">
        <v>44.0</v>
      </c>
      <c r="V534" s="4" t="s">
        <v>1492</v>
      </c>
      <c r="W534" s="4">
        <v>27227.0</v>
      </c>
      <c r="X534" s="4" t="s">
        <v>58</v>
      </c>
      <c r="Y534" s="4" t="s">
        <v>59</v>
      </c>
      <c r="Z534" s="4" t="s">
        <v>1510</v>
      </c>
      <c r="AA534" s="4">
        <v>1974.0</v>
      </c>
      <c r="AB534" s="4" t="s">
        <v>58</v>
      </c>
      <c r="AC534" s="5">
        <v>27227.0</v>
      </c>
      <c r="AD534" s="4" t="s">
        <v>1411</v>
      </c>
      <c r="AE534" s="5">
        <v>39638.0</v>
      </c>
    </row>
    <row r="535">
      <c r="A535" s="4" t="s">
        <v>1465</v>
      </c>
      <c r="B535" s="4" t="s">
        <v>1447</v>
      </c>
      <c r="C535" s="4" t="s">
        <v>40</v>
      </c>
      <c r="D535" s="4" t="s">
        <v>1448</v>
      </c>
      <c r="E535" s="4" t="s">
        <v>80</v>
      </c>
      <c r="F535" s="4" t="s">
        <v>3552</v>
      </c>
      <c r="G535" s="4" t="s">
        <v>3553</v>
      </c>
      <c r="H535" s="4" t="s">
        <v>3554</v>
      </c>
      <c r="I535" s="4" t="s">
        <v>3555</v>
      </c>
      <c r="J535" s="5">
        <v>35278.0</v>
      </c>
      <c r="K535" s="5">
        <v>22139.0</v>
      </c>
      <c r="L535" s="4">
        <v>63.0</v>
      </c>
      <c r="M535" s="4" t="s">
        <v>1425</v>
      </c>
      <c r="O535" s="5">
        <v>35278.0</v>
      </c>
      <c r="P535" s="5">
        <v>35976.0</v>
      </c>
      <c r="Q535" s="4" t="s">
        <v>31</v>
      </c>
      <c r="R535" s="4" t="s">
        <v>32</v>
      </c>
      <c r="S535" s="6" t="s">
        <v>3556</v>
      </c>
      <c r="T535" s="4" t="s">
        <v>3557</v>
      </c>
      <c r="U535" s="4">
        <v>12.0</v>
      </c>
      <c r="AD535" s="4" t="s">
        <v>1411</v>
      </c>
    </row>
    <row r="536">
      <c r="A536" s="4" t="s">
        <v>60</v>
      </c>
      <c r="B536" s="4" t="s">
        <v>1540</v>
      </c>
      <c r="C536" s="4" t="s">
        <v>99</v>
      </c>
      <c r="D536" s="4" t="s">
        <v>1541</v>
      </c>
      <c r="E536" s="4" t="s">
        <v>26</v>
      </c>
      <c r="F536" s="4" t="s">
        <v>197</v>
      </c>
      <c r="G536" s="4" t="s">
        <v>198</v>
      </c>
      <c r="H536" s="4" t="s">
        <v>199</v>
      </c>
      <c r="I536" s="4" t="s">
        <v>200</v>
      </c>
      <c r="J536" s="5">
        <v>34060.0</v>
      </c>
      <c r="K536" s="5">
        <v>22670.0</v>
      </c>
      <c r="L536" s="4">
        <v>61.0</v>
      </c>
      <c r="M536" s="4" t="s">
        <v>1407</v>
      </c>
      <c r="N536" s="4" t="s">
        <v>1419</v>
      </c>
      <c r="O536" s="5">
        <v>42491.0</v>
      </c>
      <c r="P536" s="5">
        <v>73050.0</v>
      </c>
      <c r="Q536" s="4" t="s">
        <v>31</v>
      </c>
      <c r="R536" s="4" t="s">
        <v>32</v>
      </c>
      <c r="S536" s="6" t="s">
        <v>3558</v>
      </c>
      <c r="T536" s="4" t="s">
        <v>201</v>
      </c>
      <c r="U536" s="4">
        <v>44.0</v>
      </c>
      <c r="V536" s="4" t="s">
        <v>34</v>
      </c>
      <c r="W536" s="4">
        <v>39029.0</v>
      </c>
      <c r="X536" s="4" t="s">
        <v>58</v>
      </c>
      <c r="Y536" s="4" t="s">
        <v>59</v>
      </c>
      <c r="Z536" s="4" t="s">
        <v>2129</v>
      </c>
      <c r="AA536" s="4">
        <v>1990.0</v>
      </c>
      <c r="AB536" s="4" t="s">
        <v>58</v>
      </c>
      <c r="AC536" s="5">
        <v>33046.0</v>
      </c>
      <c r="AD536" s="4" t="s">
        <v>1411</v>
      </c>
      <c r="AE536" s="5">
        <v>42487.0</v>
      </c>
    </row>
    <row r="537">
      <c r="A537" s="4" t="s">
        <v>1412</v>
      </c>
      <c r="B537" s="4" t="s">
        <v>1413</v>
      </c>
      <c r="C537" s="4" t="s">
        <v>1414</v>
      </c>
      <c r="D537" s="4" t="s">
        <v>1415</v>
      </c>
      <c r="E537" s="4" t="s">
        <v>26</v>
      </c>
      <c r="F537" s="4" t="s">
        <v>136</v>
      </c>
      <c r="G537" s="4" t="s">
        <v>3559</v>
      </c>
      <c r="H537" s="4" t="s">
        <v>3560</v>
      </c>
      <c r="I537" s="4" t="s">
        <v>3561</v>
      </c>
      <c r="J537" s="5">
        <v>36465.0</v>
      </c>
      <c r="K537" s="5">
        <v>23929.0</v>
      </c>
      <c r="L537" s="4">
        <v>58.0</v>
      </c>
      <c r="M537" s="4" t="s">
        <v>1425</v>
      </c>
      <c r="O537" s="5">
        <v>36586.0</v>
      </c>
      <c r="P537" s="5">
        <v>37986.0</v>
      </c>
      <c r="Q537" s="4" t="s">
        <v>1694</v>
      </c>
      <c r="R537" s="4" t="s">
        <v>32</v>
      </c>
      <c r="S537" s="6" t="s">
        <v>3562</v>
      </c>
      <c r="T537" s="4" t="s">
        <v>3563</v>
      </c>
      <c r="U537" s="4">
        <v>6.0</v>
      </c>
      <c r="V537" s="4" t="s">
        <v>1492</v>
      </c>
      <c r="W537" s="4">
        <v>35076.0</v>
      </c>
      <c r="X537" s="4" t="s">
        <v>2452</v>
      </c>
      <c r="Y537" s="4" t="s">
        <v>59</v>
      </c>
      <c r="AD537" s="4" t="s">
        <v>1411</v>
      </c>
    </row>
    <row r="538">
      <c r="A538" s="4" t="s">
        <v>60</v>
      </c>
      <c r="B538" s="4" t="s">
        <v>1447</v>
      </c>
      <c r="C538" s="4" t="s">
        <v>40</v>
      </c>
      <c r="D538" s="4" t="s">
        <v>1448</v>
      </c>
      <c r="E538" s="4" t="s">
        <v>26</v>
      </c>
      <c r="F538" s="4" t="s">
        <v>136</v>
      </c>
      <c r="G538" s="4" t="s">
        <v>137</v>
      </c>
      <c r="H538" s="4" t="s">
        <v>138</v>
      </c>
      <c r="I538" s="4" t="s">
        <v>139</v>
      </c>
      <c r="J538" s="5">
        <v>31990.0</v>
      </c>
      <c r="K538" s="5">
        <v>18569.0</v>
      </c>
      <c r="L538" s="4">
        <v>73.0</v>
      </c>
      <c r="M538" s="4" t="s">
        <v>1407</v>
      </c>
      <c r="N538" s="4" t="s">
        <v>1419</v>
      </c>
      <c r="O538" s="5">
        <v>42186.0</v>
      </c>
      <c r="P538" s="5">
        <v>73050.0</v>
      </c>
      <c r="Q538" s="4" t="s">
        <v>31</v>
      </c>
      <c r="R538" s="4" t="s">
        <v>32</v>
      </c>
      <c r="S538" s="6" t="s">
        <v>3564</v>
      </c>
      <c r="T538" s="4" t="s">
        <v>140</v>
      </c>
      <c r="U538" s="4">
        <v>44.0</v>
      </c>
      <c r="V538" s="4" t="s">
        <v>34</v>
      </c>
      <c r="W538" s="4">
        <v>38651.0</v>
      </c>
      <c r="X538" s="4" t="s">
        <v>58</v>
      </c>
      <c r="Y538" s="4" t="s">
        <v>59</v>
      </c>
      <c r="Z538" s="4" t="s">
        <v>1427</v>
      </c>
      <c r="AA538" s="4">
        <v>1987.0</v>
      </c>
      <c r="AB538" s="4" t="s">
        <v>58</v>
      </c>
      <c r="AC538" s="5">
        <v>31783.0</v>
      </c>
      <c r="AD538" s="4" t="s">
        <v>1411</v>
      </c>
      <c r="AE538" s="5">
        <v>40534.0</v>
      </c>
    </row>
    <row r="539">
      <c r="A539" s="4" t="s">
        <v>60</v>
      </c>
      <c r="B539" s="4" t="s">
        <v>1447</v>
      </c>
      <c r="C539" s="4" t="s">
        <v>40</v>
      </c>
      <c r="D539" s="4" t="s">
        <v>1448</v>
      </c>
      <c r="E539" s="4" t="s">
        <v>26</v>
      </c>
      <c r="F539" s="4" t="s">
        <v>918</v>
      </c>
      <c r="G539" s="4" t="s">
        <v>919</v>
      </c>
      <c r="H539" s="4" t="s">
        <v>920</v>
      </c>
      <c r="I539" s="4" t="s">
        <v>921</v>
      </c>
      <c r="J539" s="5">
        <v>42217.0</v>
      </c>
      <c r="K539" s="5">
        <v>15216.0</v>
      </c>
      <c r="L539" s="4">
        <v>82.0</v>
      </c>
      <c r="M539" s="4" t="s">
        <v>1407</v>
      </c>
      <c r="O539" s="5">
        <v>44927.0</v>
      </c>
      <c r="P539" s="5">
        <v>45291.0</v>
      </c>
      <c r="Q539" s="4" t="s">
        <v>66</v>
      </c>
      <c r="R539" s="4" t="s">
        <v>32</v>
      </c>
      <c r="S539" s="6" t="s">
        <v>3565</v>
      </c>
      <c r="T539" s="4" t="s">
        <v>922</v>
      </c>
      <c r="U539" s="4">
        <v>12.0</v>
      </c>
      <c r="Z539" s="4" t="s">
        <v>1427</v>
      </c>
      <c r="AA539" s="4">
        <v>1972.0</v>
      </c>
      <c r="AB539" s="4" t="s">
        <v>58</v>
      </c>
      <c r="AC539" s="5">
        <v>26646.0</v>
      </c>
      <c r="AD539" s="4" t="s">
        <v>1411</v>
      </c>
      <c r="AE539" s="5">
        <v>42194.0</v>
      </c>
    </row>
    <row r="540">
      <c r="A540" s="4" t="s">
        <v>60</v>
      </c>
      <c r="B540" s="4" t="s">
        <v>1405</v>
      </c>
      <c r="C540" s="4" t="s">
        <v>317</v>
      </c>
      <c r="D540" s="4" t="s">
        <v>1406</v>
      </c>
      <c r="E540" s="4" t="s">
        <v>26</v>
      </c>
      <c r="F540" s="4" t="s">
        <v>855</v>
      </c>
      <c r="G540" s="4" t="s">
        <v>711</v>
      </c>
      <c r="H540" s="4" t="s">
        <v>856</v>
      </c>
      <c r="I540" s="4" t="s">
        <v>857</v>
      </c>
      <c r="J540" s="5">
        <v>39247.0</v>
      </c>
      <c r="K540" s="5">
        <v>25900.0</v>
      </c>
      <c r="L540" s="4">
        <v>53.0</v>
      </c>
      <c r="M540" s="4" t="s">
        <v>1407</v>
      </c>
      <c r="O540" s="5">
        <v>44927.0</v>
      </c>
      <c r="P540" s="5">
        <v>45291.0</v>
      </c>
      <c r="Q540" s="4" t="s">
        <v>66</v>
      </c>
      <c r="R540" s="4" t="s">
        <v>32</v>
      </c>
      <c r="S540" s="6" t="s">
        <v>3566</v>
      </c>
      <c r="T540" s="4" t="s">
        <v>858</v>
      </c>
      <c r="U540" s="4">
        <v>44.0</v>
      </c>
      <c r="V540" s="4" t="s">
        <v>34</v>
      </c>
      <c r="W540" s="4">
        <v>42005.0</v>
      </c>
      <c r="X540" s="4" t="s">
        <v>58</v>
      </c>
      <c r="Y540" s="4" t="s">
        <v>59</v>
      </c>
      <c r="Z540" s="4" t="s">
        <v>1427</v>
      </c>
      <c r="AA540" s="4">
        <v>1997.0</v>
      </c>
      <c r="AB540" s="4" t="s">
        <v>58</v>
      </c>
      <c r="AC540" s="5">
        <v>35433.0</v>
      </c>
      <c r="AD540" s="4" t="s">
        <v>1411</v>
      </c>
      <c r="AE540" s="5">
        <v>42236.0</v>
      </c>
    </row>
    <row r="541">
      <c r="A541" s="4" t="s">
        <v>60</v>
      </c>
      <c r="B541" s="4" t="s">
        <v>1423</v>
      </c>
      <c r="C541" s="4" t="s">
        <v>109</v>
      </c>
      <c r="D541" s="4" t="s">
        <v>1424</v>
      </c>
      <c r="E541" s="4" t="s">
        <v>80</v>
      </c>
      <c r="F541" s="4" t="s">
        <v>804</v>
      </c>
      <c r="G541" s="4" t="s">
        <v>805</v>
      </c>
      <c r="H541" s="4" t="s">
        <v>806</v>
      </c>
      <c r="I541" s="4" t="s">
        <v>807</v>
      </c>
      <c r="J541" s="5">
        <v>40269.0</v>
      </c>
      <c r="K541" s="5">
        <v>28289.0</v>
      </c>
      <c r="L541" s="4">
        <v>46.0</v>
      </c>
      <c r="M541" s="4" t="s">
        <v>1425</v>
      </c>
      <c r="N541" s="4" t="s">
        <v>1419</v>
      </c>
      <c r="O541" s="5">
        <v>44927.0</v>
      </c>
      <c r="P541" s="5">
        <v>45291.0</v>
      </c>
      <c r="Q541" s="4" t="s">
        <v>66</v>
      </c>
      <c r="R541" s="4" t="s">
        <v>32</v>
      </c>
      <c r="S541" s="6" t="s">
        <v>3567</v>
      </c>
      <c r="T541" s="4" t="s">
        <v>808</v>
      </c>
      <c r="U541" s="4">
        <v>44.0</v>
      </c>
      <c r="V541" s="4" t="s">
        <v>34</v>
      </c>
      <c r="W541" s="4">
        <v>41156.0</v>
      </c>
      <c r="X541" s="4" t="s">
        <v>58</v>
      </c>
      <c r="Y541" s="4" t="s">
        <v>59</v>
      </c>
      <c r="Z541" s="4" t="s">
        <v>1427</v>
      </c>
      <c r="AA541" s="4">
        <v>2004.0</v>
      </c>
      <c r="AB541" s="4" t="s">
        <v>58</v>
      </c>
      <c r="AC541" s="5">
        <v>38149.0</v>
      </c>
      <c r="AD541" s="4" t="s">
        <v>1411</v>
      </c>
      <c r="AE541" s="5">
        <v>41305.0</v>
      </c>
    </row>
    <row r="542">
      <c r="A542" s="4" t="s">
        <v>1440</v>
      </c>
      <c r="B542" s="4" t="s">
        <v>1447</v>
      </c>
      <c r="C542" s="4" t="s">
        <v>40</v>
      </c>
      <c r="D542" s="4" t="s">
        <v>1448</v>
      </c>
      <c r="E542" s="4" t="s">
        <v>26</v>
      </c>
      <c r="F542" s="4" t="s">
        <v>3568</v>
      </c>
      <c r="G542" s="4" t="s">
        <v>28</v>
      </c>
      <c r="H542" s="4" t="s">
        <v>3569</v>
      </c>
      <c r="I542" s="4" t="s">
        <v>3570</v>
      </c>
      <c r="J542" s="5">
        <v>23012.0</v>
      </c>
      <c r="K542" s="5">
        <v>11603.0</v>
      </c>
      <c r="L542" s="4">
        <v>92.0</v>
      </c>
      <c r="M542" s="4" t="s">
        <v>1407</v>
      </c>
      <c r="O542" s="5">
        <v>38353.0</v>
      </c>
      <c r="P542" s="5">
        <v>38472.0</v>
      </c>
      <c r="Q542" s="4" t="s">
        <v>66</v>
      </c>
      <c r="R542" s="4" t="s">
        <v>32</v>
      </c>
      <c r="S542" s="6" t="s">
        <v>3571</v>
      </c>
      <c r="T542" s="4" t="s">
        <v>3572</v>
      </c>
      <c r="U542" s="4">
        <v>2.0</v>
      </c>
      <c r="V542" s="4" t="s">
        <v>106</v>
      </c>
      <c r="W542" s="4">
        <v>22646.0</v>
      </c>
      <c r="X542" s="4" t="s">
        <v>1517</v>
      </c>
      <c r="Y542" s="4" t="s">
        <v>59</v>
      </c>
      <c r="Z542" s="4" t="s">
        <v>1602</v>
      </c>
      <c r="AA542" s="4">
        <v>1958.0</v>
      </c>
      <c r="AB542" s="4" t="s">
        <v>1007</v>
      </c>
      <c r="AC542" s="5">
        <v>21417.0</v>
      </c>
      <c r="AD542" s="4" t="s">
        <v>1411</v>
      </c>
    </row>
    <row r="543">
      <c r="A543" s="4" t="s">
        <v>1465</v>
      </c>
      <c r="B543" s="4" t="s">
        <v>1540</v>
      </c>
      <c r="C543" s="4" t="s">
        <v>99</v>
      </c>
      <c r="D543" s="4" t="s">
        <v>1541</v>
      </c>
      <c r="E543" s="4" t="s">
        <v>80</v>
      </c>
      <c r="F543" s="4" t="s">
        <v>3573</v>
      </c>
      <c r="G543" s="4" t="s">
        <v>3574</v>
      </c>
      <c r="H543" s="4" t="s">
        <v>3575</v>
      </c>
      <c r="I543" s="4" t="s">
        <v>3576</v>
      </c>
      <c r="J543" s="5">
        <v>35735.0</v>
      </c>
      <c r="K543" s="5">
        <v>18208.0</v>
      </c>
      <c r="L543" s="4">
        <v>74.0</v>
      </c>
      <c r="M543" s="4" t="s">
        <v>1407</v>
      </c>
      <c r="N543" s="4" t="s">
        <v>1419</v>
      </c>
      <c r="O543" s="5">
        <v>36770.0</v>
      </c>
      <c r="P543" s="5">
        <v>37833.0</v>
      </c>
      <c r="Q543" s="4" t="s">
        <v>31</v>
      </c>
      <c r="R543" s="4" t="s">
        <v>32</v>
      </c>
      <c r="S543" s="6" t="s">
        <v>3577</v>
      </c>
      <c r="T543" s="4" t="s">
        <v>3578</v>
      </c>
      <c r="U543" s="4">
        <v>22.0</v>
      </c>
      <c r="Z543" s="4" t="s">
        <v>1519</v>
      </c>
      <c r="AA543" s="4">
        <v>1981.0</v>
      </c>
      <c r="AB543" s="4" t="s">
        <v>58</v>
      </c>
      <c r="AC543" s="5">
        <v>29819.0</v>
      </c>
      <c r="AD543" s="4" t="s">
        <v>1411</v>
      </c>
    </row>
    <row r="544">
      <c r="A544" s="4" t="s">
        <v>1412</v>
      </c>
      <c r="B544" s="4" t="s">
        <v>1423</v>
      </c>
      <c r="C544" s="4" t="s">
        <v>109</v>
      </c>
      <c r="D544" s="4" t="s">
        <v>1424</v>
      </c>
      <c r="E544" s="4" t="s">
        <v>80</v>
      </c>
      <c r="F544" s="4" t="s">
        <v>3579</v>
      </c>
      <c r="G544" s="4" t="s">
        <v>3580</v>
      </c>
      <c r="H544" s="4" t="s">
        <v>2138</v>
      </c>
      <c r="I544" s="4" t="s">
        <v>3581</v>
      </c>
      <c r="J544" s="5">
        <v>25750.0</v>
      </c>
      <c r="K544" s="5">
        <v>16041.0</v>
      </c>
      <c r="L544" s="4">
        <v>80.0</v>
      </c>
      <c r="M544" s="4" t="s">
        <v>1407</v>
      </c>
      <c r="O544" s="5">
        <v>34790.0</v>
      </c>
      <c r="P544" s="5">
        <v>35885.0</v>
      </c>
      <c r="Q544" s="4" t="s">
        <v>31</v>
      </c>
      <c r="R544" s="4" t="s">
        <v>32</v>
      </c>
      <c r="S544" s="6" t="s">
        <v>3582</v>
      </c>
      <c r="T544" s="4" t="s">
        <v>3583</v>
      </c>
      <c r="U544" s="4">
        <v>12.0</v>
      </c>
      <c r="AD544" s="4" t="s">
        <v>1411</v>
      </c>
    </row>
    <row r="545">
      <c r="A545" s="4" t="s">
        <v>60</v>
      </c>
      <c r="B545" s="4" t="s">
        <v>1540</v>
      </c>
      <c r="C545" s="4" t="s">
        <v>99</v>
      </c>
      <c r="D545" s="4" t="s">
        <v>1541</v>
      </c>
      <c r="E545" s="4" t="s">
        <v>80</v>
      </c>
      <c r="F545" s="4" t="s">
        <v>557</v>
      </c>
      <c r="G545" s="4" t="s">
        <v>558</v>
      </c>
      <c r="H545" s="4" t="s">
        <v>559</v>
      </c>
      <c r="I545" s="4" t="s">
        <v>560</v>
      </c>
      <c r="J545" s="5">
        <v>38838.0</v>
      </c>
      <c r="K545" s="5">
        <v>26907.0</v>
      </c>
      <c r="L545" s="4">
        <v>50.0</v>
      </c>
      <c r="M545" s="4" t="s">
        <v>1407</v>
      </c>
      <c r="O545" s="5">
        <v>43556.0</v>
      </c>
      <c r="P545" s="5">
        <v>73050.0</v>
      </c>
      <c r="Q545" s="4" t="s">
        <v>31</v>
      </c>
      <c r="R545" s="4" t="s">
        <v>32</v>
      </c>
      <c r="S545" s="6" t="s">
        <v>3584</v>
      </c>
      <c r="T545" s="4" t="s">
        <v>561</v>
      </c>
      <c r="U545" s="4">
        <v>44.0</v>
      </c>
      <c r="V545" s="4" t="s">
        <v>34</v>
      </c>
      <c r="W545" s="4">
        <v>38771.0</v>
      </c>
      <c r="X545" s="4" t="s">
        <v>564</v>
      </c>
      <c r="Y545" s="4" t="s">
        <v>89</v>
      </c>
      <c r="Z545" s="4" t="s">
        <v>1427</v>
      </c>
      <c r="AA545" s="4">
        <v>1997.0</v>
      </c>
      <c r="AB545" s="4" t="s">
        <v>2688</v>
      </c>
      <c r="AC545" s="5">
        <v>35446.0</v>
      </c>
      <c r="AD545" s="4" t="s">
        <v>1411</v>
      </c>
      <c r="AE545" s="5">
        <v>41990.0</v>
      </c>
    </row>
    <row r="546">
      <c r="S546" s="9"/>
      <c r="T546" s="1" t="s">
        <v>3585</v>
      </c>
    </row>
    <row r="547">
      <c r="S547" s="9"/>
      <c r="T547" s="1" t="s">
        <v>3585</v>
      </c>
    </row>
    <row r="548">
      <c r="S548" s="9"/>
      <c r="T548" s="1" t="s">
        <v>3585</v>
      </c>
    </row>
    <row r="549">
      <c r="S549" s="9"/>
      <c r="T549" s="1" t="s">
        <v>3585</v>
      </c>
    </row>
    <row r="550">
      <c r="S550" s="9"/>
      <c r="T550" s="1" t="s">
        <v>3585</v>
      </c>
    </row>
    <row r="551">
      <c r="S551" s="9"/>
      <c r="T551" s="1" t="s">
        <v>3585</v>
      </c>
    </row>
    <row r="552">
      <c r="S552" s="9"/>
      <c r="T552" s="1" t="s">
        <v>3585</v>
      </c>
    </row>
    <row r="553">
      <c r="S553" s="9"/>
      <c r="T553" s="1" t="s">
        <v>3585</v>
      </c>
    </row>
    <row r="554">
      <c r="S554" s="9"/>
      <c r="T554" s="1" t="s">
        <v>3585</v>
      </c>
    </row>
    <row r="555">
      <c r="S555" s="9"/>
      <c r="T555" s="1" t="s">
        <v>3585</v>
      </c>
    </row>
    <row r="556">
      <c r="S556" s="9"/>
      <c r="T556" s="1" t="s">
        <v>3585</v>
      </c>
    </row>
    <row r="557">
      <c r="S557" s="9"/>
      <c r="T557" s="1" t="s">
        <v>3585</v>
      </c>
    </row>
    <row r="558">
      <c r="S558" s="9"/>
      <c r="T558" s="1" t="s">
        <v>3585</v>
      </c>
    </row>
    <row r="559">
      <c r="S559" s="9"/>
      <c r="T559" s="1" t="s">
        <v>3585</v>
      </c>
    </row>
    <row r="560">
      <c r="S560" s="9"/>
      <c r="T560" s="1" t="s">
        <v>3585</v>
      </c>
    </row>
    <row r="561">
      <c r="S561" s="9"/>
      <c r="T561" s="1" t="s">
        <v>3585</v>
      </c>
    </row>
    <row r="562">
      <c r="S562" s="9"/>
      <c r="T562" s="1" t="s">
        <v>3585</v>
      </c>
    </row>
    <row r="563">
      <c r="S563" s="9"/>
      <c r="T563" s="1" t="s">
        <v>3585</v>
      </c>
    </row>
    <row r="564">
      <c r="S564" s="9"/>
      <c r="T564" s="1" t="s">
        <v>3585</v>
      </c>
    </row>
    <row r="565">
      <c r="S565" s="9"/>
      <c r="T565" s="1" t="s">
        <v>3585</v>
      </c>
    </row>
    <row r="566">
      <c r="S566" s="9"/>
      <c r="T566" s="1" t="s">
        <v>3585</v>
      </c>
    </row>
    <row r="567">
      <c r="S567" s="9"/>
      <c r="T567" s="1" t="s">
        <v>3585</v>
      </c>
    </row>
    <row r="568">
      <c r="S568" s="9"/>
      <c r="T568" s="1" t="s">
        <v>3585</v>
      </c>
    </row>
    <row r="569">
      <c r="S569" s="9"/>
      <c r="T569" s="1" t="s">
        <v>3585</v>
      </c>
    </row>
    <row r="570">
      <c r="S570" s="9"/>
      <c r="T570" s="1" t="s">
        <v>3585</v>
      </c>
    </row>
    <row r="571">
      <c r="S571" s="9"/>
      <c r="T571" s="1" t="s">
        <v>3585</v>
      </c>
    </row>
    <row r="572">
      <c r="S572" s="9"/>
      <c r="T572" s="1" t="s">
        <v>3585</v>
      </c>
    </row>
    <row r="573">
      <c r="S573" s="9"/>
      <c r="T573" s="1" t="s">
        <v>3585</v>
      </c>
    </row>
    <row r="574">
      <c r="S574" s="9"/>
      <c r="T574" s="1" t="s">
        <v>3585</v>
      </c>
    </row>
    <row r="575">
      <c r="S575" s="9"/>
      <c r="T575" s="1" t="s">
        <v>3585</v>
      </c>
    </row>
    <row r="576">
      <c r="S576" s="9"/>
      <c r="T576" s="1" t="s">
        <v>3585</v>
      </c>
    </row>
    <row r="577">
      <c r="S577" s="9"/>
      <c r="T577" s="1" t="s">
        <v>3585</v>
      </c>
    </row>
    <row r="578">
      <c r="S578" s="9"/>
      <c r="T578" s="1" t="s">
        <v>3585</v>
      </c>
    </row>
    <row r="579">
      <c r="S579" s="9"/>
      <c r="T579" s="1" t="s">
        <v>3585</v>
      </c>
    </row>
    <row r="580">
      <c r="S580" s="9"/>
      <c r="T580" s="1" t="s">
        <v>3585</v>
      </c>
    </row>
    <row r="581">
      <c r="S581" s="9"/>
      <c r="T581" s="1" t="s">
        <v>3585</v>
      </c>
    </row>
    <row r="582">
      <c r="S582" s="9"/>
      <c r="T582" s="1" t="s">
        <v>3585</v>
      </c>
    </row>
    <row r="583">
      <c r="S583" s="9"/>
      <c r="T583" s="1" t="s">
        <v>3585</v>
      </c>
    </row>
    <row r="584">
      <c r="S584" s="9"/>
      <c r="T584" s="1" t="s">
        <v>3585</v>
      </c>
    </row>
    <row r="585">
      <c r="S585" s="9"/>
      <c r="T585" s="1" t="s">
        <v>3585</v>
      </c>
    </row>
    <row r="586">
      <c r="S586" s="9"/>
      <c r="T586" s="1" t="s">
        <v>3585</v>
      </c>
    </row>
    <row r="587">
      <c r="S587" s="9"/>
      <c r="T587" s="1" t="s">
        <v>3585</v>
      </c>
    </row>
    <row r="588">
      <c r="S588" s="9"/>
      <c r="T588" s="1" t="s">
        <v>3585</v>
      </c>
    </row>
    <row r="589">
      <c r="S589" s="9"/>
      <c r="T589" s="1" t="s">
        <v>3585</v>
      </c>
    </row>
    <row r="590">
      <c r="S590" s="9"/>
      <c r="T590" s="1" t="s">
        <v>3585</v>
      </c>
    </row>
    <row r="591">
      <c r="S591" s="9"/>
      <c r="T591" s="1" t="s">
        <v>3585</v>
      </c>
    </row>
    <row r="592">
      <c r="S592" s="9"/>
      <c r="T592" s="1" t="s">
        <v>3585</v>
      </c>
    </row>
    <row r="593">
      <c r="S593" s="9"/>
      <c r="T593" s="1" t="s">
        <v>3585</v>
      </c>
    </row>
    <row r="594">
      <c r="S594" s="9"/>
      <c r="T594" s="1" t="s">
        <v>3585</v>
      </c>
    </row>
    <row r="595">
      <c r="S595" s="9"/>
      <c r="T595" s="1" t="s">
        <v>3585</v>
      </c>
    </row>
    <row r="596">
      <c r="S596" s="9"/>
      <c r="T596" s="1" t="s">
        <v>3585</v>
      </c>
    </row>
    <row r="597">
      <c r="S597" s="9"/>
      <c r="T597" s="1" t="s">
        <v>3585</v>
      </c>
    </row>
    <row r="598">
      <c r="S598" s="9"/>
      <c r="T598" s="1" t="s">
        <v>3585</v>
      </c>
    </row>
    <row r="599">
      <c r="S599" s="9"/>
      <c r="T599" s="1" t="s">
        <v>3585</v>
      </c>
    </row>
    <row r="600">
      <c r="S600" s="9"/>
      <c r="T600" s="1" t="s">
        <v>3585</v>
      </c>
    </row>
    <row r="601">
      <c r="S601" s="9"/>
      <c r="T601" s="1" t="s">
        <v>3585</v>
      </c>
    </row>
    <row r="602">
      <c r="S602" s="9"/>
      <c r="T602" s="1" t="s">
        <v>3585</v>
      </c>
    </row>
    <row r="603">
      <c r="S603" s="9"/>
      <c r="T603" s="1" t="s">
        <v>3585</v>
      </c>
    </row>
    <row r="604">
      <c r="S604" s="9"/>
      <c r="T604" s="1" t="s">
        <v>3585</v>
      </c>
    </row>
    <row r="605">
      <c r="S605" s="9"/>
      <c r="T605" s="1" t="s">
        <v>3585</v>
      </c>
    </row>
    <row r="606">
      <c r="S606" s="9"/>
      <c r="T606" s="1" t="s">
        <v>3585</v>
      </c>
    </row>
    <row r="607">
      <c r="S607" s="9"/>
      <c r="T607" s="1" t="s">
        <v>3585</v>
      </c>
    </row>
    <row r="608">
      <c r="S608" s="9"/>
      <c r="T608" s="1" t="s">
        <v>3585</v>
      </c>
    </row>
    <row r="609">
      <c r="S609" s="9"/>
      <c r="T609" s="1" t="s">
        <v>3585</v>
      </c>
    </row>
    <row r="610">
      <c r="S610" s="9"/>
      <c r="T610" s="1" t="s">
        <v>3585</v>
      </c>
    </row>
    <row r="611">
      <c r="S611" s="9"/>
      <c r="T611" s="1" t="s">
        <v>3585</v>
      </c>
    </row>
    <row r="612">
      <c r="S612" s="9"/>
      <c r="T612" s="1" t="s">
        <v>3585</v>
      </c>
    </row>
    <row r="613">
      <c r="S613" s="9"/>
      <c r="T613" s="1" t="s">
        <v>3585</v>
      </c>
    </row>
    <row r="614">
      <c r="S614" s="9"/>
      <c r="T614" s="1" t="s">
        <v>3585</v>
      </c>
    </row>
    <row r="615">
      <c r="S615" s="9"/>
      <c r="T615" s="1" t="s">
        <v>3585</v>
      </c>
    </row>
    <row r="616">
      <c r="S616" s="9"/>
      <c r="T616" s="1" t="s">
        <v>3585</v>
      </c>
    </row>
    <row r="617">
      <c r="S617" s="9"/>
      <c r="T617" s="1" t="s">
        <v>3585</v>
      </c>
    </row>
    <row r="618">
      <c r="S618" s="9"/>
      <c r="T618" s="1" t="s">
        <v>3585</v>
      </c>
    </row>
    <row r="619">
      <c r="S619" s="9"/>
      <c r="T619" s="1" t="s">
        <v>3585</v>
      </c>
    </row>
    <row r="620">
      <c r="S620" s="9"/>
      <c r="T620" s="1" t="s">
        <v>3585</v>
      </c>
    </row>
    <row r="621">
      <c r="S621" s="9"/>
      <c r="T621" s="1" t="s">
        <v>3585</v>
      </c>
    </row>
    <row r="622">
      <c r="S622" s="9"/>
      <c r="T622" s="1" t="s">
        <v>3585</v>
      </c>
    </row>
    <row r="623">
      <c r="S623" s="9"/>
      <c r="T623" s="1" t="s">
        <v>3585</v>
      </c>
    </row>
    <row r="624">
      <c r="S624" s="9"/>
      <c r="T624" s="1" t="s">
        <v>3585</v>
      </c>
    </row>
    <row r="625">
      <c r="S625" s="9"/>
      <c r="T625" s="1" t="s">
        <v>3585</v>
      </c>
    </row>
    <row r="626">
      <c r="S626" s="9"/>
      <c r="T626" s="1" t="s">
        <v>3585</v>
      </c>
    </row>
    <row r="627">
      <c r="S627" s="9"/>
      <c r="T627" s="1" t="s">
        <v>3585</v>
      </c>
    </row>
    <row r="628">
      <c r="S628" s="9"/>
      <c r="T628" s="1" t="s">
        <v>3585</v>
      </c>
    </row>
    <row r="629">
      <c r="S629" s="9"/>
      <c r="T629" s="1" t="s">
        <v>3585</v>
      </c>
    </row>
    <row r="630">
      <c r="S630" s="9"/>
      <c r="T630" s="1" t="s">
        <v>3585</v>
      </c>
    </row>
    <row r="631">
      <c r="S631" s="9"/>
      <c r="T631" s="1" t="s">
        <v>3585</v>
      </c>
    </row>
    <row r="632">
      <c r="S632" s="9"/>
      <c r="T632" s="1" t="s">
        <v>3585</v>
      </c>
    </row>
    <row r="633">
      <c r="S633" s="9"/>
      <c r="T633" s="1" t="s">
        <v>3585</v>
      </c>
    </row>
    <row r="634">
      <c r="S634" s="9"/>
      <c r="T634" s="1" t="s">
        <v>3585</v>
      </c>
    </row>
    <row r="635">
      <c r="S635" s="9"/>
      <c r="T635" s="1" t="s">
        <v>3585</v>
      </c>
    </row>
    <row r="636">
      <c r="S636" s="9"/>
      <c r="T636" s="1" t="s">
        <v>3585</v>
      </c>
    </row>
    <row r="637">
      <c r="S637" s="9"/>
      <c r="T637" s="1" t="s">
        <v>3585</v>
      </c>
    </row>
    <row r="638">
      <c r="S638" s="9"/>
      <c r="T638" s="1" t="s">
        <v>3585</v>
      </c>
    </row>
    <row r="639">
      <c r="S639" s="9"/>
      <c r="T639" s="1" t="s">
        <v>3585</v>
      </c>
    </row>
    <row r="640">
      <c r="S640" s="9"/>
      <c r="T640" s="1" t="s">
        <v>3585</v>
      </c>
    </row>
    <row r="641">
      <c r="S641" s="9"/>
      <c r="T641" s="1" t="s">
        <v>3585</v>
      </c>
    </row>
    <row r="642">
      <c r="S642" s="9"/>
      <c r="T642" s="1" t="s">
        <v>3585</v>
      </c>
    </row>
    <row r="643">
      <c r="S643" s="9"/>
      <c r="T643" s="1" t="s">
        <v>3585</v>
      </c>
    </row>
    <row r="644">
      <c r="S644" s="9"/>
      <c r="T644" s="1" t="s">
        <v>3585</v>
      </c>
    </row>
    <row r="645">
      <c r="S645" s="9"/>
      <c r="T645" s="1" t="s">
        <v>3585</v>
      </c>
    </row>
    <row r="646">
      <c r="S646" s="9"/>
      <c r="T646" s="1" t="s">
        <v>3585</v>
      </c>
    </row>
    <row r="647">
      <c r="S647" s="9"/>
      <c r="T647" s="1" t="s">
        <v>3585</v>
      </c>
    </row>
    <row r="648">
      <c r="S648" s="9"/>
      <c r="T648" s="1" t="s">
        <v>3585</v>
      </c>
    </row>
    <row r="649">
      <c r="S649" s="9"/>
      <c r="T649" s="1" t="s">
        <v>3585</v>
      </c>
    </row>
    <row r="650">
      <c r="S650" s="9"/>
      <c r="T650" s="1" t="s">
        <v>3585</v>
      </c>
    </row>
    <row r="651">
      <c r="S651" s="9"/>
      <c r="T651" s="1" t="s">
        <v>3585</v>
      </c>
    </row>
    <row r="652">
      <c r="S652" s="9"/>
      <c r="T652" s="1" t="s">
        <v>3585</v>
      </c>
    </row>
    <row r="653">
      <c r="S653" s="9"/>
      <c r="T653" s="1" t="s">
        <v>3585</v>
      </c>
    </row>
    <row r="654">
      <c r="S654" s="9"/>
      <c r="T654" s="1" t="s">
        <v>3585</v>
      </c>
    </row>
    <row r="655">
      <c r="S655" s="9"/>
      <c r="T655" s="1" t="s">
        <v>3585</v>
      </c>
    </row>
    <row r="656">
      <c r="S656" s="9"/>
      <c r="T656" s="1" t="s">
        <v>3585</v>
      </c>
    </row>
    <row r="657">
      <c r="S657" s="9"/>
      <c r="T657" s="1" t="s">
        <v>3585</v>
      </c>
    </row>
    <row r="658">
      <c r="S658" s="9"/>
      <c r="T658" s="1" t="s">
        <v>3585</v>
      </c>
    </row>
    <row r="659">
      <c r="S659" s="9"/>
      <c r="T659" s="1" t="s">
        <v>3585</v>
      </c>
    </row>
    <row r="660">
      <c r="S660" s="9"/>
      <c r="T660" s="1" t="s">
        <v>3585</v>
      </c>
    </row>
    <row r="661">
      <c r="S661" s="9"/>
      <c r="T661" s="1" t="s">
        <v>3585</v>
      </c>
    </row>
    <row r="662">
      <c r="S662" s="9"/>
      <c r="T662" s="1" t="s">
        <v>3585</v>
      </c>
    </row>
    <row r="663">
      <c r="S663" s="9"/>
      <c r="T663" s="1" t="s">
        <v>3585</v>
      </c>
    </row>
    <row r="664">
      <c r="S664" s="9"/>
      <c r="T664" s="1" t="s">
        <v>3585</v>
      </c>
    </row>
    <row r="665">
      <c r="S665" s="9"/>
      <c r="T665" s="1" t="s">
        <v>3585</v>
      </c>
    </row>
    <row r="666">
      <c r="S666" s="9"/>
      <c r="T666" s="1" t="s">
        <v>3585</v>
      </c>
    </row>
    <row r="667">
      <c r="S667" s="9"/>
      <c r="T667" s="1" t="s">
        <v>3585</v>
      </c>
    </row>
    <row r="668">
      <c r="S668" s="9"/>
      <c r="T668" s="1" t="s">
        <v>3585</v>
      </c>
    </row>
    <row r="669">
      <c r="S669" s="9"/>
      <c r="T669" s="1" t="s">
        <v>3585</v>
      </c>
    </row>
    <row r="670">
      <c r="S670" s="9"/>
      <c r="T670" s="1" t="s">
        <v>3585</v>
      </c>
    </row>
    <row r="671">
      <c r="S671" s="9"/>
      <c r="T671" s="1" t="s">
        <v>3585</v>
      </c>
    </row>
    <row r="672">
      <c r="S672" s="9"/>
      <c r="T672" s="1" t="s">
        <v>3585</v>
      </c>
    </row>
    <row r="673">
      <c r="S673" s="9"/>
      <c r="T673" s="1" t="s">
        <v>3585</v>
      </c>
    </row>
    <row r="674">
      <c r="S674" s="9"/>
      <c r="T674" s="1" t="s">
        <v>3585</v>
      </c>
    </row>
    <row r="675">
      <c r="S675" s="9"/>
      <c r="T675" s="1" t="s">
        <v>3585</v>
      </c>
    </row>
    <row r="676">
      <c r="S676" s="9"/>
      <c r="T676" s="1" t="s">
        <v>3585</v>
      </c>
    </row>
    <row r="677">
      <c r="S677" s="9"/>
      <c r="T677" s="1" t="s">
        <v>3585</v>
      </c>
    </row>
    <row r="678">
      <c r="S678" s="9"/>
      <c r="T678" s="1" t="s">
        <v>3585</v>
      </c>
    </row>
    <row r="679">
      <c r="S679" s="9"/>
      <c r="T679" s="1" t="s">
        <v>3585</v>
      </c>
    </row>
    <row r="680">
      <c r="S680" s="9"/>
      <c r="T680" s="1" t="s">
        <v>3585</v>
      </c>
    </row>
    <row r="681">
      <c r="S681" s="9"/>
      <c r="T681" s="1" t="s">
        <v>3585</v>
      </c>
    </row>
    <row r="682">
      <c r="S682" s="9"/>
      <c r="T682" s="1" t="s">
        <v>3585</v>
      </c>
    </row>
    <row r="683">
      <c r="S683" s="9"/>
      <c r="T683" s="1" t="s">
        <v>3585</v>
      </c>
    </row>
    <row r="684">
      <c r="S684" s="9"/>
      <c r="T684" s="1" t="s">
        <v>3585</v>
      </c>
    </row>
    <row r="685">
      <c r="S685" s="9"/>
      <c r="T685" s="1" t="s">
        <v>3585</v>
      </c>
    </row>
    <row r="686">
      <c r="S686" s="9"/>
      <c r="T686" s="1" t="s">
        <v>3585</v>
      </c>
    </row>
    <row r="687">
      <c r="S687" s="9"/>
      <c r="T687" s="1" t="s">
        <v>3585</v>
      </c>
    </row>
    <row r="688">
      <c r="S688" s="9"/>
      <c r="T688" s="1" t="s">
        <v>3585</v>
      </c>
    </row>
    <row r="689">
      <c r="S689" s="9"/>
      <c r="T689" s="1" t="s">
        <v>3585</v>
      </c>
    </row>
    <row r="690">
      <c r="S690" s="9"/>
      <c r="T690" s="1" t="s">
        <v>3585</v>
      </c>
    </row>
    <row r="691">
      <c r="S691" s="9"/>
      <c r="T691" s="1" t="s">
        <v>3585</v>
      </c>
    </row>
    <row r="692">
      <c r="S692" s="9"/>
      <c r="T692" s="1" t="s">
        <v>3585</v>
      </c>
    </row>
    <row r="693">
      <c r="S693" s="9"/>
      <c r="T693" s="1" t="s">
        <v>3585</v>
      </c>
    </row>
    <row r="694">
      <c r="S694" s="9"/>
      <c r="T694" s="1" t="s">
        <v>3585</v>
      </c>
    </row>
    <row r="695">
      <c r="S695" s="9"/>
      <c r="T695" s="1" t="s">
        <v>3585</v>
      </c>
    </row>
    <row r="696">
      <c r="S696" s="9"/>
      <c r="T696" s="1" t="s">
        <v>3585</v>
      </c>
    </row>
    <row r="697">
      <c r="S697" s="9"/>
      <c r="T697" s="1" t="s">
        <v>3585</v>
      </c>
    </row>
    <row r="698">
      <c r="S698" s="9"/>
      <c r="T698" s="1" t="s">
        <v>3585</v>
      </c>
    </row>
    <row r="699">
      <c r="S699" s="9"/>
      <c r="T699" s="1" t="s">
        <v>3585</v>
      </c>
    </row>
    <row r="700">
      <c r="S700" s="9"/>
      <c r="T700" s="1" t="s">
        <v>3585</v>
      </c>
    </row>
    <row r="701">
      <c r="S701" s="9"/>
      <c r="T701" s="1" t="s">
        <v>3585</v>
      </c>
    </row>
    <row r="702">
      <c r="S702" s="9"/>
      <c r="T702" s="1" t="s">
        <v>3585</v>
      </c>
    </row>
    <row r="703">
      <c r="S703" s="9"/>
      <c r="T703" s="1" t="s">
        <v>3585</v>
      </c>
    </row>
    <row r="704">
      <c r="S704" s="9"/>
      <c r="T704" s="1" t="s">
        <v>3585</v>
      </c>
    </row>
    <row r="705">
      <c r="S705" s="9"/>
      <c r="T705" s="1" t="s">
        <v>3585</v>
      </c>
    </row>
    <row r="706">
      <c r="S706" s="9"/>
      <c r="T706" s="1" t="s">
        <v>3585</v>
      </c>
    </row>
    <row r="707">
      <c r="S707" s="9"/>
      <c r="T707" s="1" t="s">
        <v>3585</v>
      </c>
    </row>
    <row r="708">
      <c r="S708" s="9"/>
      <c r="T708" s="1" t="s">
        <v>3585</v>
      </c>
    </row>
    <row r="709">
      <c r="S709" s="9"/>
      <c r="T709" s="1" t="s">
        <v>3585</v>
      </c>
    </row>
    <row r="710">
      <c r="S710" s="9"/>
      <c r="T710" s="1" t="s">
        <v>3585</v>
      </c>
    </row>
    <row r="711">
      <c r="S711" s="9"/>
      <c r="T711" s="1" t="s">
        <v>3585</v>
      </c>
    </row>
    <row r="712">
      <c r="S712" s="9"/>
      <c r="T712" s="1" t="s">
        <v>3585</v>
      </c>
    </row>
    <row r="713">
      <c r="S713" s="9"/>
      <c r="T713" s="1" t="s">
        <v>3585</v>
      </c>
    </row>
    <row r="714">
      <c r="S714" s="9"/>
      <c r="T714" s="1" t="s">
        <v>3585</v>
      </c>
    </row>
    <row r="715">
      <c r="S715" s="9"/>
      <c r="T715" s="1" t="s">
        <v>3585</v>
      </c>
    </row>
    <row r="716">
      <c r="S716" s="9"/>
      <c r="T716" s="1" t="s">
        <v>3585</v>
      </c>
    </row>
    <row r="717">
      <c r="S717" s="9"/>
      <c r="T717" s="1" t="s">
        <v>3585</v>
      </c>
    </row>
    <row r="718">
      <c r="S718" s="9"/>
      <c r="T718" s="1" t="s">
        <v>3585</v>
      </c>
    </row>
    <row r="719">
      <c r="S719" s="9"/>
      <c r="T719" s="1" t="s">
        <v>3585</v>
      </c>
    </row>
    <row r="720">
      <c r="S720" s="9"/>
      <c r="T720" s="1" t="s">
        <v>3585</v>
      </c>
    </row>
    <row r="721">
      <c r="S721" s="9"/>
      <c r="T721" s="1" t="s">
        <v>3585</v>
      </c>
    </row>
    <row r="722">
      <c r="S722" s="9"/>
      <c r="T722" s="1" t="s">
        <v>3585</v>
      </c>
    </row>
    <row r="723">
      <c r="S723" s="9"/>
      <c r="T723" s="1" t="s">
        <v>3585</v>
      </c>
    </row>
    <row r="724">
      <c r="S724" s="9"/>
      <c r="T724" s="1" t="s">
        <v>3585</v>
      </c>
    </row>
    <row r="725">
      <c r="S725" s="9"/>
      <c r="T725" s="1" t="s">
        <v>3585</v>
      </c>
    </row>
    <row r="726">
      <c r="S726" s="9"/>
      <c r="T726" s="1" t="s">
        <v>3585</v>
      </c>
    </row>
    <row r="727">
      <c r="S727" s="9"/>
      <c r="T727" s="1" t="s">
        <v>3585</v>
      </c>
    </row>
    <row r="728">
      <c r="S728" s="9"/>
      <c r="T728" s="1" t="s">
        <v>3585</v>
      </c>
    </row>
    <row r="729">
      <c r="S729" s="9"/>
      <c r="T729" s="1" t="s">
        <v>3585</v>
      </c>
    </row>
    <row r="730">
      <c r="S730" s="9"/>
      <c r="T730" s="1" t="s">
        <v>3585</v>
      </c>
    </row>
    <row r="731">
      <c r="S731" s="9"/>
      <c r="T731" s="1" t="s">
        <v>3585</v>
      </c>
    </row>
    <row r="732">
      <c r="S732" s="9"/>
      <c r="T732" s="1" t="s">
        <v>3585</v>
      </c>
    </row>
    <row r="733">
      <c r="S733" s="9"/>
      <c r="T733" s="1" t="s">
        <v>3585</v>
      </c>
    </row>
    <row r="734">
      <c r="S734" s="9"/>
      <c r="T734" s="1" t="s">
        <v>3585</v>
      </c>
    </row>
    <row r="735">
      <c r="S735" s="9"/>
      <c r="T735" s="1" t="s">
        <v>3585</v>
      </c>
    </row>
    <row r="736">
      <c r="S736" s="9"/>
      <c r="T736" s="1" t="s">
        <v>3585</v>
      </c>
    </row>
    <row r="737">
      <c r="S737" s="9"/>
      <c r="T737" s="1" t="s">
        <v>3585</v>
      </c>
    </row>
    <row r="738">
      <c r="S738" s="9"/>
      <c r="T738" s="1" t="s">
        <v>3585</v>
      </c>
    </row>
    <row r="739">
      <c r="S739" s="9"/>
      <c r="T739" s="1" t="s">
        <v>3585</v>
      </c>
    </row>
    <row r="740">
      <c r="S740" s="9"/>
      <c r="T740" s="1" t="s">
        <v>3585</v>
      </c>
    </row>
    <row r="741">
      <c r="S741" s="9"/>
      <c r="T741" s="1" t="s">
        <v>3585</v>
      </c>
    </row>
    <row r="742">
      <c r="S742" s="9"/>
      <c r="T742" s="1" t="s">
        <v>3585</v>
      </c>
    </row>
    <row r="743">
      <c r="S743" s="9"/>
      <c r="T743" s="1" t="s">
        <v>3585</v>
      </c>
    </row>
    <row r="744">
      <c r="S744" s="9"/>
      <c r="T744" s="1" t="s">
        <v>3585</v>
      </c>
    </row>
    <row r="745">
      <c r="S745" s="9"/>
      <c r="T745" s="1" t="s">
        <v>3585</v>
      </c>
    </row>
    <row r="746">
      <c r="S746" s="9"/>
      <c r="T746" s="1" t="s">
        <v>3585</v>
      </c>
    </row>
    <row r="747">
      <c r="S747" s="9"/>
      <c r="T747" s="1" t="s">
        <v>3585</v>
      </c>
    </row>
    <row r="748">
      <c r="S748" s="9"/>
      <c r="T748" s="1" t="s">
        <v>3585</v>
      </c>
    </row>
    <row r="749">
      <c r="S749" s="9"/>
      <c r="T749" s="1" t="s">
        <v>3585</v>
      </c>
    </row>
    <row r="750">
      <c r="S750" s="9"/>
      <c r="T750" s="1" t="s">
        <v>3585</v>
      </c>
    </row>
    <row r="751">
      <c r="S751" s="9"/>
      <c r="T751" s="1" t="s">
        <v>3585</v>
      </c>
    </row>
    <row r="752">
      <c r="S752" s="9"/>
      <c r="T752" s="1" t="s">
        <v>3585</v>
      </c>
    </row>
    <row r="753">
      <c r="S753" s="9"/>
      <c r="T753" s="1" t="s">
        <v>3585</v>
      </c>
    </row>
    <row r="754">
      <c r="S754" s="9"/>
      <c r="T754" s="1" t="s">
        <v>3585</v>
      </c>
    </row>
    <row r="755">
      <c r="S755" s="9"/>
      <c r="T755" s="1" t="s">
        <v>3585</v>
      </c>
    </row>
    <row r="756">
      <c r="S756" s="9"/>
      <c r="T756" s="1" t="s">
        <v>3585</v>
      </c>
    </row>
    <row r="757">
      <c r="S757" s="9"/>
      <c r="T757" s="1" t="s">
        <v>3585</v>
      </c>
    </row>
    <row r="758">
      <c r="S758" s="9"/>
      <c r="T758" s="1" t="s">
        <v>3585</v>
      </c>
    </row>
    <row r="759">
      <c r="S759" s="9"/>
      <c r="T759" s="1" t="s">
        <v>3585</v>
      </c>
    </row>
    <row r="760">
      <c r="S760" s="9"/>
      <c r="T760" s="1" t="s">
        <v>3585</v>
      </c>
    </row>
    <row r="761">
      <c r="S761" s="9"/>
      <c r="T761" s="1" t="s">
        <v>3585</v>
      </c>
    </row>
    <row r="762">
      <c r="S762" s="9"/>
      <c r="T762" s="1" t="s">
        <v>3585</v>
      </c>
    </row>
    <row r="763">
      <c r="S763" s="9"/>
      <c r="T763" s="1" t="s">
        <v>3585</v>
      </c>
    </row>
    <row r="764">
      <c r="S764" s="9"/>
      <c r="T764" s="1" t="s">
        <v>3585</v>
      </c>
    </row>
    <row r="765">
      <c r="S765" s="9"/>
      <c r="T765" s="1" t="s">
        <v>3585</v>
      </c>
    </row>
    <row r="766">
      <c r="S766" s="9"/>
      <c r="T766" s="1" t="s">
        <v>3585</v>
      </c>
    </row>
    <row r="767">
      <c r="S767" s="9"/>
      <c r="T767" s="1" t="s">
        <v>3585</v>
      </c>
    </row>
    <row r="768">
      <c r="S768" s="9"/>
      <c r="T768" s="1" t="s">
        <v>3585</v>
      </c>
    </row>
    <row r="769">
      <c r="S769" s="9"/>
      <c r="T769" s="1" t="s">
        <v>3585</v>
      </c>
    </row>
    <row r="770">
      <c r="S770" s="9"/>
      <c r="T770" s="1" t="s">
        <v>3585</v>
      </c>
    </row>
    <row r="771">
      <c r="S771" s="9"/>
      <c r="T771" s="1" t="s">
        <v>3585</v>
      </c>
    </row>
    <row r="772">
      <c r="S772" s="9"/>
      <c r="T772" s="1" t="s">
        <v>3585</v>
      </c>
    </row>
    <row r="773">
      <c r="S773" s="9"/>
      <c r="T773" s="1" t="s">
        <v>3585</v>
      </c>
    </row>
    <row r="774">
      <c r="S774" s="9"/>
      <c r="T774" s="1" t="s">
        <v>3585</v>
      </c>
    </row>
    <row r="775">
      <c r="S775" s="9"/>
      <c r="T775" s="1" t="s">
        <v>3585</v>
      </c>
    </row>
    <row r="776">
      <c r="S776" s="9"/>
      <c r="T776" s="1" t="s">
        <v>3585</v>
      </c>
    </row>
    <row r="777">
      <c r="S777" s="9"/>
      <c r="T777" s="1" t="s">
        <v>3585</v>
      </c>
    </row>
    <row r="778">
      <c r="S778" s="9"/>
      <c r="T778" s="1" t="s">
        <v>3585</v>
      </c>
    </row>
    <row r="779">
      <c r="S779" s="9"/>
      <c r="T779" s="1" t="s">
        <v>3585</v>
      </c>
    </row>
    <row r="780">
      <c r="S780" s="9"/>
      <c r="T780" s="1" t="s">
        <v>3585</v>
      </c>
    </row>
    <row r="781">
      <c r="S781" s="9"/>
      <c r="T781" s="1" t="s">
        <v>3585</v>
      </c>
    </row>
    <row r="782">
      <c r="S782" s="9"/>
      <c r="T782" s="1" t="s">
        <v>3585</v>
      </c>
    </row>
    <row r="783">
      <c r="S783" s="9"/>
      <c r="T783" s="1" t="s">
        <v>3585</v>
      </c>
    </row>
    <row r="784">
      <c r="S784" s="9"/>
      <c r="T784" s="1" t="s">
        <v>3585</v>
      </c>
    </row>
    <row r="785">
      <c r="S785" s="9"/>
      <c r="T785" s="1" t="s">
        <v>3585</v>
      </c>
    </row>
    <row r="786">
      <c r="S786" s="9"/>
      <c r="T786" s="1" t="s">
        <v>3585</v>
      </c>
    </row>
    <row r="787">
      <c r="S787" s="9"/>
      <c r="T787" s="1" t="s">
        <v>3585</v>
      </c>
    </row>
    <row r="788">
      <c r="S788" s="9"/>
      <c r="T788" s="1" t="s">
        <v>3585</v>
      </c>
    </row>
    <row r="789">
      <c r="S789" s="9"/>
      <c r="T789" s="1" t="s">
        <v>3585</v>
      </c>
    </row>
    <row r="790">
      <c r="S790" s="9"/>
      <c r="T790" s="1" t="s">
        <v>3585</v>
      </c>
    </row>
    <row r="791">
      <c r="S791" s="9"/>
      <c r="T791" s="1" t="s">
        <v>3585</v>
      </c>
    </row>
    <row r="792">
      <c r="S792" s="9"/>
      <c r="T792" s="1" t="s">
        <v>3585</v>
      </c>
    </row>
    <row r="793">
      <c r="S793" s="9"/>
      <c r="T793" s="1" t="s">
        <v>3585</v>
      </c>
    </row>
    <row r="794">
      <c r="S794" s="9"/>
      <c r="T794" s="1" t="s">
        <v>3585</v>
      </c>
    </row>
    <row r="795">
      <c r="S795" s="9"/>
      <c r="T795" s="1" t="s">
        <v>3585</v>
      </c>
    </row>
    <row r="796">
      <c r="S796" s="9"/>
      <c r="T796" s="1" t="s">
        <v>3585</v>
      </c>
    </row>
    <row r="797">
      <c r="S797" s="9"/>
      <c r="T797" s="1" t="s">
        <v>3585</v>
      </c>
    </row>
    <row r="798">
      <c r="S798" s="9"/>
      <c r="T798" s="1" t="s">
        <v>3585</v>
      </c>
    </row>
    <row r="799">
      <c r="S799" s="9"/>
      <c r="T799" s="1" t="s">
        <v>3585</v>
      </c>
    </row>
    <row r="800">
      <c r="S800" s="9"/>
      <c r="T800" s="1" t="s">
        <v>3585</v>
      </c>
    </row>
    <row r="801">
      <c r="S801" s="9"/>
      <c r="T801" s="1" t="s">
        <v>3585</v>
      </c>
    </row>
    <row r="802">
      <c r="S802" s="9"/>
      <c r="T802" s="1" t="s">
        <v>3585</v>
      </c>
    </row>
    <row r="803">
      <c r="S803" s="9"/>
      <c r="T803" s="1" t="s">
        <v>3585</v>
      </c>
    </row>
    <row r="804">
      <c r="S804" s="9"/>
      <c r="T804" s="1" t="s">
        <v>3585</v>
      </c>
    </row>
    <row r="805">
      <c r="S805" s="9"/>
      <c r="T805" s="1" t="s">
        <v>3585</v>
      </c>
    </row>
    <row r="806">
      <c r="S806" s="9"/>
      <c r="T806" s="1" t="s">
        <v>3585</v>
      </c>
    </row>
    <row r="807">
      <c r="S807" s="9"/>
      <c r="T807" s="1" t="s">
        <v>3585</v>
      </c>
    </row>
    <row r="808">
      <c r="S808" s="9"/>
      <c r="T808" s="1" t="s">
        <v>3585</v>
      </c>
    </row>
    <row r="809">
      <c r="S809" s="9"/>
      <c r="T809" s="1" t="s">
        <v>3585</v>
      </c>
    </row>
    <row r="810">
      <c r="S810" s="9"/>
      <c r="T810" s="1" t="s">
        <v>3585</v>
      </c>
    </row>
    <row r="811">
      <c r="S811" s="9"/>
      <c r="T811" s="1" t="s">
        <v>3585</v>
      </c>
    </row>
    <row r="812">
      <c r="S812" s="9"/>
      <c r="T812" s="1" t="s">
        <v>3585</v>
      </c>
    </row>
    <row r="813">
      <c r="S813" s="9"/>
      <c r="T813" s="1" t="s">
        <v>3585</v>
      </c>
    </row>
    <row r="814">
      <c r="S814" s="9"/>
      <c r="T814" s="1" t="s">
        <v>3585</v>
      </c>
    </row>
    <row r="815">
      <c r="S815" s="9"/>
      <c r="T815" s="1" t="s">
        <v>3585</v>
      </c>
    </row>
    <row r="816">
      <c r="S816" s="9"/>
      <c r="T816" s="1" t="s">
        <v>3585</v>
      </c>
    </row>
    <row r="817">
      <c r="S817" s="9"/>
      <c r="T817" s="1" t="s">
        <v>3585</v>
      </c>
    </row>
    <row r="818">
      <c r="S818" s="9"/>
      <c r="T818" s="1" t="s">
        <v>3585</v>
      </c>
    </row>
    <row r="819">
      <c r="S819" s="9"/>
      <c r="T819" s="1" t="s">
        <v>3585</v>
      </c>
    </row>
    <row r="820">
      <c r="S820" s="9"/>
      <c r="T820" s="1" t="s">
        <v>3585</v>
      </c>
    </row>
    <row r="821">
      <c r="S821" s="9"/>
      <c r="T821" s="1" t="s">
        <v>3585</v>
      </c>
    </row>
    <row r="822">
      <c r="S822" s="9"/>
      <c r="T822" s="1" t="s">
        <v>3585</v>
      </c>
    </row>
    <row r="823">
      <c r="S823" s="9"/>
      <c r="T823" s="1" t="s">
        <v>3585</v>
      </c>
    </row>
    <row r="824">
      <c r="S824" s="9"/>
      <c r="T824" s="1" t="s">
        <v>3585</v>
      </c>
    </row>
    <row r="825">
      <c r="S825" s="9"/>
      <c r="T825" s="1" t="s">
        <v>3585</v>
      </c>
    </row>
    <row r="826">
      <c r="S826" s="9"/>
      <c r="T826" s="1" t="s">
        <v>3585</v>
      </c>
    </row>
    <row r="827">
      <c r="S827" s="9"/>
      <c r="T827" s="1" t="s">
        <v>3585</v>
      </c>
    </row>
    <row r="828">
      <c r="S828" s="9"/>
      <c r="T828" s="1" t="s">
        <v>3585</v>
      </c>
    </row>
    <row r="829">
      <c r="S829" s="9"/>
      <c r="T829" s="1" t="s">
        <v>3585</v>
      </c>
    </row>
    <row r="830">
      <c r="S830" s="9"/>
      <c r="T830" s="1" t="s">
        <v>3585</v>
      </c>
    </row>
    <row r="831">
      <c r="S831" s="9"/>
      <c r="T831" s="1" t="s">
        <v>3585</v>
      </c>
    </row>
    <row r="832">
      <c r="S832" s="9"/>
      <c r="T832" s="1" t="s">
        <v>3585</v>
      </c>
    </row>
    <row r="833">
      <c r="S833" s="9"/>
      <c r="T833" s="1" t="s">
        <v>3585</v>
      </c>
    </row>
    <row r="834">
      <c r="S834" s="9"/>
      <c r="T834" s="1" t="s">
        <v>3585</v>
      </c>
    </row>
    <row r="835">
      <c r="S835" s="9"/>
      <c r="T835" s="1" t="s">
        <v>3585</v>
      </c>
    </row>
    <row r="836">
      <c r="S836" s="9"/>
      <c r="T836" s="1" t="s">
        <v>3585</v>
      </c>
    </row>
    <row r="837">
      <c r="S837" s="9"/>
      <c r="T837" s="1" t="s">
        <v>3585</v>
      </c>
    </row>
    <row r="838">
      <c r="S838" s="9"/>
      <c r="T838" s="1" t="s">
        <v>3585</v>
      </c>
    </row>
    <row r="839">
      <c r="S839" s="9"/>
      <c r="T839" s="1" t="s">
        <v>3585</v>
      </c>
    </row>
    <row r="840">
      <c r="S840" s="9"/>
      <c r="T840" s="1" t="s">
        <v>3585</v>
      </c>
    </row>
    <row r="841">
      <c r="S841" s="9"/>
      <c r="T841" s="1" t="s">
        <v>3585</v>
      </c>
    </row>
    <row r="842">
      <c r="S842" s="9"/>
      <c r="T842" s="1" t="s">
        <v>3585</v>
      </c>
    </row>
    <row r="843">
      <c r="S843" s="9"/>
      <c r="T843" s="1" t="s">
        <v>3585</v>
      </c>
    </row>
    <row r="844">
      <c r="S844" s="9"/>
      <c r="T844" s="1" t="s">
        <v>3585</v>
      </c>
    </row>
    <row r="845">
      <c r="S845" s="9"/>
      <c r="T845" s="1" t="s">
        <v>3585</v>
      </c>
    </row>
    <row r="846">
      <c r="S846" s="9"/>
      <c r="T846" s="1" t="s">
        <v>3585</v>
      </c>
    </row>
    <row r="847">
      <c r="S847" s="9"/>
      <c r="T847" s="1" t="s">
        <v>3585</v>
      </c>
    </row>
    <row r="848">
      <c r="S848" s="9"/>
      <c r="T848" s="1" t="s">
        <v>3585</v>
      </c>
    </row>
    <row r="849">
      <c r="S849" s="9"/>
      <c r="T849" s="1" t="s">
        <v>3585</v>
      </c>
    </row>
    <row r="850">
      <c r="S850" s="9"/>
      <c r="T850" s="1" t="s">
        <v>3585</v>
      </c>
    </row>
    <row r="851">
      <c r="S851" s="9"/>
      <c r="T851" s="1" t="s">
        <v>3585</v>
      </c>
    </row>
    <row r="852">
      <c r="S852" s="9"/>
      <c r="T852" s="1" t="s">
        <v>3585</v>
      </c>
    </row>
    <row r="853">
      <c r="S853" s="9"/>
      <c r="T853" s="1" t="s">
        <v>3585</v>
      </c>
    </row>
    <row r="854">
      <c r="S854" s="9"/>
      <c r="T854" s="1" t="s">
        <v>3585</v>
      </c>
    </row>
    <row r="855">
      <c r="S855" s="9"/>
      <c r="T855" s="1" t="s">
        <v>3585</v>
      </c>
    </row>
    <row r="856">
      <c r="S856" s="9"/>
      <c r="T856" s="1" t="s">
        <v>3585</v>
      </c>
    </row>
    <row r="857">
      <c r="S857" s="9"/>
      <c r="T857" s="1" t="s">
        <v>3585</v>
      </c>
    </row>
    <row r="858">
      <c r="S858" s="9"/>
      <c r="T858" s="1" t="s">
        <v>3585</v>
      </c>
    </row>
    <row r="859">
      <c r="S859" s="9"/>
      <c r="T859" s="1" t="s">
        <v>3585</v>
      </c>
    </row>
    <row r="860">
      <c r="S860" s="9"/>
      <c r="T860" s="1" t="s">
        <v>3585</v>
      </c>
    </row>
    <row r="861">
      <c r="S861" s="9"/>
      <c r="T861" s="1" t="s">
        <v>3585</v>
      </c>
    </row>
    <row r="862">
      <c r="S862" s="9"/>
      <c r="T862" s="1" t="s">
        <v>3585</v>
      </c>
    </row>
    <row r="863">
      <c r="S863" s="9"/>
      <c r="T863" s="1" t="s">
        <v>3585</v>
      </c>
    </row>
    <row r="864">
      <c r="S864" s="9"/>
      <c r="T864" s="1" t="s">
        <v>3585</v>
      </c>
    </row>
    <row r="865">
      <c r="S865" s="9"/>
      <c r="T865" s="1" t="s">
        <v>3585</v>
      </c>
    </row>
    <row r="866">
      <c r="S866" s="9"/>
      <c r="T866" s="1" t="s">
        <v>3585</v>
      </c>
    </row>
    <row r="867">
      <c r="S867" s="9"/>
      <c r="T867" s="1" t="s">
        <v>3585</v>
      </c>
    </row>
    <row r="868">
      <c r="S868" s="9"/>
      <c r="T868" s="1" t="s">
        <v>3585</v>
      </c>
    </row>
    <row r="869">
      <c r="S869" s="9"/>
      <c r="T869" s="1" t="s">
        <v>3585</v>
      </c>
    </row>
    <row r="870">
      <c r="S870" s="9"/>
      <c r="T870" s="1" t="s">
        <v>3585</v>
      </c>
    </row>
    <row r="871">
      <c r="S871" s="9"/>
      <c r="T871" s="1" t="s">
        <v>3585</v>
      </c>
    </row>
    <row r="872">
      <c r="S872" s="9"/>
      <c r="T872" s="1" t="s">
        <v>3585</v>
      </c>
    </row>
    <row r="873">
      <c r="S873" s="9"/>
      <c r="T873" s="1" t="s">
        <v>3585</v>
      </c>
    </row>
    <row r="874">
      <c r="S874" s="9"/>
      <c r="T874" s="1" t="s">
        <v>3585</v>
      </c>
    </row>
    <row r="875">
      <c r="S875" s="9"/>
      <c r="T875" s="1" t="s">
        <v>3585</v>
      </c>
    </row>
    <row r="876">
      <c r="S876" s="9"/>
      <c r="T876" s="1" t="s">
        <v>3585</v>
      </c>
    </row>
    <row r="877">
      <c r="S877" s="9"/>
      <c r="T877" s="1" t="s">
        <v>3585</v>
      </c>
    </row>
    <row r="878">
      <c r="S878" s="9"/>
      <c r="T878" s="1" t="s">
        <v>3585</v>
      </c>
    </row>
    <row r="879">
      <c r="S879" s="9"/>
      <c r="T879" s="1" t="s">
        <v>3585</v>
      </c>
    </row>
    <row r="880">
      <c r="S880" s="9"/>
      <c r="T880" s="1" t="s">
        <v>3585</v>
      </c>
    </row>
    <row r="881">
      <c r="S881" s="9"/>
      <c r="T881" s="1" t="s">
        <v>3585</v>
      </c>
    </row>
    <row r="882">
      <c r="S882" s="9"/>
      <c r="T882" s="1" t="s">
        <v>3585</v>
      </c>
    </row>
    <row r="883">
      <c r="S883" s="9"/>
      <c r="T883" s="1" t="s">
        <v>3585</v>
      </c>
    </row>
    <row r="884">
      <c r="S884" s="9"/>
      <c r="T884" s="1" t="s">
        <v>3585</v>
      </c>
    </row>
    <row r="885">
      <c r="S885" s="9"/>
      <c r="T885" s="1" t="s">
        <v>3585</v>
      </c>
    </row>
    <row r="886">
      <c r="S886" s="9"/>
      <c r="T886" s="1" t="s">
        <v>3585</v>
      </c>
    </row>
    <row r="887">
      <c r="S887" s="9"/>
      <c r="T887" s="1" t="s">
        <v>3585</v>
      </c>
    </row>
    <row r="888">
      <c r="S888" s="9"/>
      <c r="T888" s="1" t="s">
        <v>3585</v>
      </c>
    </row>
    <row r="889">
      <c r="S889" s="9"/>
      <c r="T889" s="1" t="s">
        <v>3585</v>
      </c>
    </row>
    <row r="890">
      <c r="S890" s="9"/>
      <c r="T890" s="1" t="s">
        <v>3585</v>
      </c>
    </row>
    <row r="891">
      <c r="S891" s="9"/>
      <c r="T891" s="1" t="s">
        <v>3585</v>
      </c>
    </row>
    <row r="892">
      <c r="S892" s="9"/>
      <c r="T892" s="1" t="s">
        <v>3585</v>
      </c>
    </row>
    <row r="893">
      <c r="S893" s="9"/>
      <c r="T893" s="1" t="s">
        <v>3585</v>
      </c>
    </row>
    <row r="894">
      <c r="S894" s="9"/>
      <c r="T894" s="1" t="s">
        <v>3585</v>
      </c>
    </row>
    <row r="895">
      <c r="S895" s="9"/>
      <c r="T895" s="1" t="s">
        <v>3585</v>
      </c>
    </row>
    <row r="896">
      <c r="S896" s="9"/>
      <c r="T896" s="1" t="s">
        <v>3585</v>
      </c>
    </row>
    <row r="897">
      <c r="S897" s="9"/>
      <c r="T897" s="1" t="s">
        <v>3585</v>
      </c>
    </row>
    <row r="898">
      <c r="S898" s="9"/>
      <c r="T898" s="1" t="s">
        <v>3585</v>
      </c>
    </row>
    <row r="899">
      <c r="S899" s="9"/>
      <c r="T899" s="1" t="s">
        <v>3585</v>
      </c>
    </row>
    <row r="900">
      <c r="S900" s="9"/>
      <c r="T900" s="1" t="s">
        <v>3585</v>
      </c>
    </row>
    <row r="901">
      <c r="S901" s="9"/>
      <c r="T901" s="1" t="s">
        <v>3585</v>
      </c>
    </row>
    <row r="902">
      <c r="S902" s="9"/>
      <c r="T902" s="1" t="s">
        <v>3585</v>
      </c>
    </row>
    <row r="903">
      <c r="S903" s="9"/>
      <c r="T903" s="1" t="s">
        <v>3585</v>
      </c>
    </row>
    <row r="904">
      <c r="S904" s="9"/>
      <c r="T904" s="1" t="s">
        <v>3585</v>
      </c>
    </row>
    <row r="905">
      <c r="S905" s="9"/>
      <c r="T905" s="1" t="s">
        <v>3585</v>
      </c>
    </row>
    <row r="906">
      <c r="S906" s="9"/>
      <c r="T906" s="1" t="s">
        <v>3585</v>
      </c>
    </row>
    <row r="907">
      <c r="S907" s="9"/>
      <c r="T907" s="1" t="s">
        <v>3585</v>
      </c>
    </row>
    <row r="908">
      <c r="S908" s="9"/>
      <c r="T908" s="1" t="s">
        <v>3585</v>
      </c>
    </row>
    <row r="909">
      <c r="S909" s="9"/>
      <c r="T909" s="1" t="s">
        <v>3585</v>
      </c>
    </row>
    <row r="910">
      <c r="S910" s="9"/>
      <c r="T910" s="1" t="s">
        <v>3585</v>
      </c>
    </row>
    <row r="911">
      <c r="S911" s="9"/>
      <c r="T911" s="1" t="s">
        <v>3585</v>
      </c>
    </row>
    <row r="912">
      <c r="S912" s="9"/>
      <c r="T912" s="1" t="s">
        <v>3585</v>
      </c>
    </row>
    <row r="913">
      <c r="S913" s="9"/>
      <c r="T913" s="1" t="s">
        <v>3585</v>
      </c>
    </row>
    <row r="914">
      <c r="S914" s="9"/>
      <c r="T914" s="1" t="s">
        <v>3585</v>
      </c>
    </row>
    <row r="915">
      <c r="S915" s="9"/>
      <c r="T915" s="1" t="s">
        <v>3585</v>
      </c>
    </row>
    <row r="916">
      <c r="S916" s="9"/>
      <c r="T916" s="1" t="s">
        <v>3585</v>
      </c>
    </row>
    <row r="917">
      <c r="S917" s="9"/>
      <c r="T917" s="1" t="s">
        <v>3585</v>
      </c>
    </row>
    <row r="918">
      <c r="S918" s="9"/>
      <c r="T918" s="1" t="s">
        <v>3585</v>
      </c>
    </row>
    <row r="919">
      <c r="S919" s="9"/>
      <c r="T919" s="1" t="s">
        <v>3585</v>
      </c>
    </row>
    <row r="920">
      <c r="S920" s="9"/>
      <c r="T920" s="1" t="s">
        <v>3585</v>
      </c>
    </row>
    <row r="921">
      <c r="S921" s="9"/>
      <c r="T921" s="1" t="s">
        <v>3585</v>
      </c>
    </row>
    <row r="922">
      <c r="S922" s="9"/>
      <c r="T922" s="1" t="s">
        <v>3585</v>
      </c>
    </row>
    <row r="923">
      <c r="S923" s="9"/>
      <c r="T923" s="1" t="s">
        <v>3585</v>
      </c>
    </row>
    <row r="924">
      <c r="S924" s="9"/>
      <c r="T924" s="1" t="s">
        <v>3585</v>
      </c>
    </row>
    <row r="925">
      <c r="S925" s="9"/>
      <c r="T925" s="1" t="s">
        <v>3585</v>
      </c>
    </row>
    <row r="926">
      <c r="S926" s="9"/>
      <c r="T926" s="1" t="s">
        <v>3585</v>
      </c>
    </row>
    <row r="927">
      <c r="S927" s="9"/>
      <c r="T927" s="1" t="s">
        <v>3585</v>
      </c>
    </row>
    <row r="928">
      <c r="S928" s="9"/>
      <c r="T928" s="1" t="s">
        <v>3585</v>
      </c>
    </row>
    <row r="929">
      <c r="S929" s="9"/>
      <c r="T929" s="1" t="s">
        <v>3585</v>
      </c>
    </row>
    <row r="930">
      <c r="S930" s="9"/>
      <c r="T930" s="1" t="s">
        <v>3585</v>
      </c>
    </row>
    <row r="931">
      <c r="S931" s="9"/>
      <c r="T931" s="1" t="s">
        <v>3585</v>
      </c>
    </row>
    <row r="932">
      <c r="S932" s="9"/>
      <c r="T932" s="1" t="s">
        <v>3585</v>
      </c>
    </row>
    <row r="933">
      <c r="S933" s="9"/>
      <c r="T933" s="1" t="s">
        <v>3585</v>
      </c>
    </row>
    <row r="934">
      <c r="S934" s="9"/>
      <c r="T934" s="1" t="s">
        <v>3585</v>
      </c>
    </row>
    <row r="935">
      <c r="S935" s="9"/>
      <c r="T935" s="1" t="s">
        <v>3585</v>
      </c>
    </row>
    <row r="936">
      <c r="S936" s="9"/>
      <c r="T936" s="1" t="s">
        <v>3585</v>
      </c>
    </row>
    <row r="937">
      <c r="S937" s="9"/>
      <c r="T937" s="1" t="s">
        <v>3585</v>
      </c>
    </row>
    <row r="938">
      <c r="S938" s="9"/>
      <c r="T938" s="1" t="s">
        <v>3585</v>
      </c>
    </row>
    <row r="939">
      <c r="S939" s="9"/>
      <c r="T939" s="1" t="s">
        <v>3585</v>
      </c>
    </row>
    <row r="940">
      <c r="S940" s="9"/>
      <c r="T940" s="1" t="s">
        <v>3585</v>
      </c>
    </row>
    <row r="941">
      <c r="S941" s="9"/>
      <c r="T941" s="1" t="s">
        <v>3585</v>
      </c>
    </row>
    <row r="942">
      <c r="S942" s="9"/>
      <c r="T942" s="1" t="s">
        <v>3585</v>
      </c>
    </row>
    <row r="943">
      <c r="S943" s="9"/>
      <c r="T943" s="1" t="s">
        <v>3585</v>
      </c>
    </row>
    <row r="944">
      <c r="S944" s="9"/>
      <c r="T944" s="1" t="s">
        <v>3585</v>
      </c>
    </row>
    <row r="945">
      <c r="S945" s="9"/>
      <c r="T945" s="1" t="s">
        <v>3585</v>
      </c>
    </row>
    <row r="946">
      <c r="S946" s="9"/>
      <c r="T946" s="1" t="s">
        <v>3585</v>
      </c>
    </row>
    <row r="947">
      <c r="S947" s="9"/>
      <c r="T947" s="1" t="s">
        <v>3585</v>
      </c>
    </row>
    <row r="948">
      <c r="S948" s="9"/>
      <c r="T948" s="1" t="s">
        <v>3585</v>
      </c>
    </row>
    <row r="949">
      <c r="S949" s="9"/>
      <c r="T949" s="1" t="s">
        <v>3585</v>
      </c>
    </row>
    <row r="950">
      <c r="S950" s="9"/>
      <c r="T950" s="1" t="s">
        <v>3585</v>
      </c>
    </row>
    <row r="951">
      <c r="S951" s="9"/>
      <c r="T951" s="1" t="s">
        <v>3585</v>
      </c>
    </row>
    <row r="952">
      <c r="S952" s="9"/>
      <c r="T952" s="1" t="s">
        <v>3585</v>
      </c>
    </row>
    <row r="953">
      <c r="S953" s="9"/>
      <c r="T953" s="1" t="s">
        <v>3585</v>
      </c>
    </row>
    <row r="954">
      <c r="S954" s="9"/>
      <c r="T954" s="1" t="s">
        <v>3585</v>
      </c>
    </row>
    <row r="955">
      <c r="S955" s="9"/>
      <c r="T955" s="1" t="s">
        <v>3585</v>
      </c>
    </row>
    <row r="956">
      <c r="S956" s="9"/>
      <c r="T956" s="1" t="s">
        <v>3585</v>
      </c>
    </row>
    <row r="957">
      <c r="S957" s="9"/>
      <c r="T957" s="1" t="s">
        <v>3585</v>
      </c>
    </row>
    <row r="958">
      <c r="S958" s="9"/>
      <c r="T958" s="1" t="s">
        <v>3585</v>
      </c>
    </row>
    <row r="959">
      <c r="S959" s="9"/>
      <c r="T959" s="1" t="s">
        <v>3585</v>
      </c>
    </row>
    <row r="960">
      <c r="S960" s="9"/>
      <c r="T960" s="1" t="s">
        <v>3585</v>
      </c>
    </row>
    <row r="961">
      <c r="S961" s="9"/>
      <c r="T961" s="1" t="s">
        <v>3585</v>
      </c>
    </row>
    <row r="962">
      <c r="S962" s="9"/>
      <c r="T962" s="1" t="s">
        <v>3585</v>
      </c>
    </row>
    <row r="963">
      <c r="S963" s="9"/>
      <c r="T963" s="1" t="s">
        <v>3585</v>
      </c>
    </row>
    <row r="964">
      <c r="S964" s="9"/>
      <c r="T964" s="1" t="s">
        <v>3585</v>
      </c>
    </row>
    <row r="965">
      <c r="S965" s="9"/>
      <c r="T965" s="1" t="s">
        <v>3585</v>
      </c>
    </row>
    <row r="966">
      <c r="S966" s="9"/>
      <c r="T966" s="1" t="s">
        <v>3585</v>
      </c>
    </row>
    <row r="967">
      <c r="S967" s="9"/>
      <c r="T967" s="1" t="s">
        <v>3585</v>
      </c>
    </row>
    <row r="968">
      <c r="S968" s="9"/>
      <c r="T968" s="1" t="s">
        <v>3585</v>
      </c>
    </row>
    <row r="969">
      <c r="S969" s="9"/>
      <c r="T969" s="1" t="s">
        <v>3585</v>
      </c>
    </row>
    <row r="970">
      <c r="S970" s="9"/>
      <c r="T970" s="1" t="s">
        <v>3585</v>
      </c>
    </row>
    <row r="971">
      <c r="S971" s="9"/>
      <c r="T971" s="1" t="s">
        <v>3585</v>
      </c>
    </row>
    <row r="972">
      <c r="S972" s="9"/>
      <c r="T972" s="1" t="s">
        <v>3585</v>
      </c>
    </row>
    <row r="973">
      <c r="S973" s="9"/>
      <c r="T973" s="1" t="s">
        <v>3585</v>
      </c>
    </row>
    <row r="974">
      <c r="S974" s="9"/>
      <c r="T974" s="1" t="s">
        <v>3585</v>
      </c>
    </row>
    <row r="975">
      <c r="S975" s="9"/>
      <c r="T975" s="1" t="s">
        <v>3585</v>
      </c>
    </row>
    <row r="976">
      <c r="S976" s="9"/>
      <c r="T976" s="1" t="s">
        <v>3585</v>
      </c>
    </row>
    <row r="977">
      <c r="S977" s="9"/>
      <c r="T977" s="1" t="s">
        <v>3585</v>
      </c>
    </row>
    <row r="978">
      <c r="S978" s="9"/>
      <c r="T978" s="1" t="s">
        <v>3585</v>
      </c>
    </row>
    <row r="979">
      <c r="S979" s="9"/>
      <c r="T979" s="1" t="s">
        <v>3585</v>
      </c>
    </row>
    <row r="980">
      <c r="S980" s="9"/>
      <c r="T980" s="1" t="s">
        <v>3585</v>
      </c>
    </row>
    <row r="981">
      <c r="S981" s="9"/>
      <c r="T981" s="1" t="s">
        <v>3585</v>
      </c>
    </row>
    <row r="982">
      <c r="S982" s="9"/>
      <c r="T982" s="1" t="s">
        <v>3585</v>
      </c>
    </row>
    <row r="983">
      <c r="S983" s="9"/>
      <c r="T983" s="1" t="s">
        <v>3585</v>
      </c>
    </row>
    <row r="984">
      <c r="S984" s="9"/>
      <c r="T984" s="1" t="s">
        <v>3585</v>
      </c>
    </row>
    <row r="985">
      <c r="S985" s="9"/>
      <c r="T985" s="1" t="s">
        <v>3585</v>
      </c>
    </row>
    <row r="986">
      <c r="S986" s="9"/>
      <c r="T986" s="1" t="s">
        <v>3585</v>
      </c>
    </row>
    <row r="987">
      <c r="S987" s="9"/>
      <c r="T987" s="1" t="s">
        <v>3585</v>
      </c>
    </row>
    <row r="988">
      <c r="S988" s="9"/>
      <c r="T988" s="1" t="s">
        <v>3585</v>
      </c>
    </row>
    <row r="989">
      <c r="S989" s="9"/>
      <c r="T989" s="1" t="s">
        <v>3585</v>
      </c>
    </row>
    <row r="990">
      <c r="S990" s="9"/>
      <c r="T990" s="1" t="s">
        <v>3585</v>
      </c>
    </row>
    <row r="991">
      <c r="S991" s="9"/>
      <c r="T991" s="1" t="s">
        <v>3585</v>
      </c>
    </row>
    <row r="992">
      <c r="S992" s="9"/>
      <c r="T992" s="1" t="s">
        <v>3585</v>
      </c>
    </row>
    <row r="993">
      <c r="S993" s="9"/>
      <c r="T993" s="1" t="s">
        <v>3585</v>
      </c>
    </row>
    <row r="994">
      <c r="S994" s="9"/>
      <c r="T994" s="1" t="s">
        <v>3585</v>
      </c>
    </row>
    <row r="995">
      <c r="S995" s="9"/>
      <c r="T995" s="1" t="s">
        <v>3585</v>
      </c>
    </row>
    <row r="996">
      <c r="S996" s="9"/>
      <c r="T996" s="1" t="s">
        <v>3585</v>
      </c>
    </row>
    <row r="997">
      <c r="S997" s="9"/>
      <c r="T997" s="1" t="s">
        <v>3585</v>
      </c>
    </row>
    <row r="998">
      <c r="S998" s="9"/>
      <c r="T998" s="1" t="s">
        <v>3585</v>
      </c>
    </row>
    <row r="999">
      <c r="S999" s="9"/>
      <c r="T999" s="1" t="s">
        <v>3585</v>
      </c>
    </row>
    <row r="1000">
      <c r="S1000" s="9"/>
      <c r="T1000" s="1" t="s">
        <v>3585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25"/>
    <col customWidth="1" min="9" max="9" width="40.5"/>
  </cols>
  <sheetData>
    <row r="1">
      <c r="A1" s="4" t="s">
        <v>0</v>
      </c>
      <c r="B1" s="4" t="s">
        <v>3586</v>
      </c>
      <c r="C1" s="4" t="s">
        <v>1</v>
      </c>
      <c r="D1" s="4" t="s">
        <v>3587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14</v>
      </c>
      <c r="K1" s="4" t="s">
        <v>7</v>
      </c>
      <c r="L1" s="4" t="s">
        <v>8</v>
      </c>
      <c r="M1" s="4" t="s">
        <v>3588</v>
      </c>
      <c r="N1" s="4" t="s">
        <v>3589</v>
      </c>
      <c r="O1" s="4" t="s">
        <v>17</v>
      </c>
      <c r="P1" s="4" t="s">
        <v>18</v>
      </c>
      <c r="Q1" s="4" t="s">
        <v>9</v>
      </c>
      <c r="R1" s="4" t="s">
        <v>10</v>
      </c>
      <c r="S1" s="4" t="s">
        <v>11</v>
      </c>
      <c r="T1" s="8" t="s">
        <v>3590</v>
      </c>
      <c r="U1" s="4" t="s">
        <v>20</v>
      </c>
      <c r="V1" s="4" t="s">
        <v>12</v>
      </c>
      <c r="W1" s="4" t="s">
        <v>21</v>
      </c>
      <c r="X1" s="4" t="s">
        <v>22</v>
      </c>
      <c r="Y1" s="4" t="s">
        <v>23</v>
      </c>
      <c r="Z1" s="4" t="s">
        <v>3591</v>
      </c>
    </row>
    <row r="2">
      <c r="A2" s="1" t="str">
        <f>IFERROR(__xludf.DUMMYFUNCTION("FILTER(Historico!A2:Z1000, ISNA(MATCH(Historico!T2:T1000, abril25!L2:L500, 0)))"),"12090701 Departamento de Psicología")</f>
        <v>12090701 Departamento de Psicología</v>
      </c>
      <c r="B2" s="1" t="str">
        <f>IFERROR(__xludf.DUMMYFUNCTION("""COMPUTED_VALUE"""),"A4A001 ACADEMICO  INSTRUCTOR")</f>
        <v>A4A001 ACADEMICO  INSTRUCTOR</v>
      </c>
      <c r="C2" s="1" t="str">
        <f>IFERROR(__xludf.DUMMYFUNCTION("""COMPUTED_VALUE"""),"Instructor")</f>
        <v>Instructor</v>
      </c>
      <c r="D2" s="1" t="str">
        <f>IFERROR(__xludf.DUMMYFUNCTION("""COMPUTED_VALUE"""),"A4A Instructor")</f>
        <v>A4A Instructor</v>
      </c>
      <c r="E2" s="1" t="str">
        <f>IFERROR(__xludf.DUMMYFUNCTION("""COMPUTED_VALUE"""),"Masculino")</f>
        <v>Masculino</v>
      </c>
      <c r="F2" s="1" t="str">
        <f>IFERROR(__xludf.DUMMYFUNCTION("""COMPUTED_VALUE"""),"Abarca")</f>
        <v>Abarca</v>
      </c>
      <c r="G2" s="1" t="str">
        <f>IFERROR(__xludf.DUMMYFUNCTION("""COMPUTED_VALUE"""),"Paniagua")</f>
        <v>Paniagua</v>
      </c>
      <c r="H2" s="1" t="str">
        <f>IFERROR(__xludf.DUMMYFUNCTION("""COMPUTED_VALUE"""),"Humberto")</f>
        <v>Humberto</v>
      </c>
      <c r="I2" s="1" t="str">
        <f>IFERROR(__xludf.DUMMYFUNCTION("""COMPUTED_VALUE"""),"Abarca Paniagua Humberto")</f>
        <v>Abarca Paniagua Humberto</v>
      </c>
      <c r="J2" s="10">
        <f>IFERROR(__xludf.DUMMYFUNCTION("""COMPUTED_VALUE"""),36130.0)</f>
        <v>36130</v>
      </c>
      <c r="K2" s="10">
        <f>IFERROR(__xludf.DUMMYFUNCTION("""COMPUTED_VALUE"""),24461.0)</f>
        <v>24461</v>
      </c>
      <c r="L2" s="1">
        <f>IFERROR(__xludf.DUMMYFUNCTION("""COMPUTED_VALUE"""),57.0)</f>
        <v>57</v>
      </c>
      <c r="M2" s="1" t="str">
        <f>IFERROR(__xludf.DUMMYFUNCTION("""COMPUTED_VALUE"""),"0001 Casado")</f>
        <v>0001 Casado</v>
      </c>
      <c r="N2" s="1" t="str">
        <f>IFERROR(__xludf.DUMMYFUNCTION("""COMPUTED_VALUE"""),"N0040 Profesional Superior")</f>
        <v>N0040 Profesional Superior</v>
      </c>
      <c r="O2" s="10">
        <f>IFERROR(__xludf.DUMMYFUNCTION("""COMPUTED_VALUE"""),37622.0)</f>
        <v>37622</v>
      </c>
      <c r="P2" s="10">
        <f>IFERROR(__xludf.DUMMYFUNCTION("""COMPUTED_VALUE"""),37680.0)</f>
        <v>37680</v>
      </c>
      <c r="Q2" s="1" t="str">
        <f>IFERROR(__xludf.DUMMYFUNCTION("""COMPUTED_VALUE"""),"C Contrata")</f>
        <v>C Contrata</v>
      </c>
      <c r="R2" s="1" t="str">
        <f>IFERROR(__xludf.DUMMYFUNCTION("""COMPUTED_VALUE"""),"A Académico")</f>
        <v>A Académico</v>
      </c>
      <c r="S2" s="9" t="str">
        <f>IFERROR(__xludf.DUMMYFUNCTION("""COMPUTED_VALUE"""),"104224067")</f>
        <v>104224067</v>
      </c>
      <c r="T2" s="1" t="str">
        <f>IFERROR(__xludf.DUMMYFUNCTION("""COMPUTED_VALUE"""),"0104224067")</f>
        <v>0104224067</v>
      </c>
      <c r="U2" s="1">
        <f>IFERROR(__xludf.DUMMYFUNCTION("""COMPUTED_VALUE"""),3.0)</f>
        <v>3</v>
      </c>
      <c r="V2" s="1"/>
      <c r="W2" s="1"/>
      <c r="X2" s="1"/>
      <c r="Y2" s="1"/>
      <c r="Z2" s="1" t="str">
        <f>IFERROR(__xludf.DUMMYFUNCTION("""COMPUTED_VALUE"""),"T5082 Sociologo")</f>
        <v>T5082 Sociologo</v>
      </c>
    </row>
    <row r="3">
      <c r="A3" s="1" t="str">
        <f>IFERROR(__xludf.DUMMYFUNCTION("""COMPUTED_VALUE"""),"12090301 Departamento de Antropología")</f>
        <v>12090301 Departamento de Antropología</v>
      </c>
      <c r="B3" s="1" t="str">
        <f>IFERROR(__xludf.DUMMYFUNCTION("""COMPUTED_VALUE"""),"A4A001 ACADEMICO  INSTRUCTOR")</f>
        <v>A4A001 ACADEMICO  INSTRUCTOR</v>
      </c>
      <c r="C3" s="1" t="str">
        <f>IFERROR(__xludf.DUMMYFUNCTION("""COMPUTED_VALUE"""),"Instructor")</f>
        <v>Instructor</v>
      </c>
      <c r="D3" s="1" t="str">
        <f>IFERROR(__xludf.DUMMYFUNCTION("""COMPUTED_VALUE"""),"A4A Instructor")</f>
        <v>A4A Instructor</v>
      </c>
      <c r="E3" s="1" t="str">
        <f>IFERROR(__xludf.DUMMYFUNCTION("""COMPUTED_VALUE"""),"Masculino")</f>
        <v>Masculino</v>
      </c>
      <c r="F3" s="1" t="str">
        <f>IFERROR(__xludf.DUMMYFUNCTION("""COMPUTED_VALUE"""),"Aedo")</f>
        <v>Aedo</v>
      </c>
      <c r="G3" s="1" t="str">
        <f>IFERROR(__xludf.DUMMYFUNCTION("""COMPUTED_VALUE"""),"Henríquez")</f>
        <v>Henríquez</v>
      </c>
      <c r="H3" s="1" t="str">
        <f>IFERROR(__xludf.DUMMYFUNCTION("""COMPUTED_VALUE"""),"Andrés Isaías")</f>
        <v>Andrés Isaías</v>
      </c>
      <c r="I3" s="1" t="str">
        <f>IFERROR(__xludf.DUMMYFUNCTION("""COMPUTED_VALUE"""),"Aedo Henríquez Andrés Isaías")</f>
        <v>Aedo Henríquez Andrés Isaías</v>
      </c>
      <c r="J3" s="10">
        <f>IFERROR(__xludf.DUMMYFUNCTION("""COMPUTED_VALUE"""),39326.0)</f>
        <v>39326</v>
      </c>
      <c r="K3" s="10">
        <f>IFERROR(__xludf.DUMMYFUNCTION("""COMPUTED_VALUE"""),28048.0)</f>
        <v>28048</v>
      </c>
      <c r="L3" s="1">
        <f>IFERROR(__xludf.DUMMYFUNCTION("""COMPUTED_VALUE"""),47.0)</f>
        <v>47</v>
      </c>
      <c r="M3" s="1" t="str">
        <f>IFERROR(__xludf.DUMMYFUNCTION("""COMPUTED_VALUE"""),"0002 Soltero")</f>
        <v>0002 Soltero</v>
      </c>
      <c r="N3" s="1"/>
      <c r="O3" s="10">
        <f>IFERROR(__xludf.DUMMYFUNCTION("""COMPUTED_VALUE"""),40544.0)</f>
        <v>40544</v>
      </c>
      <c r="P3" s="10">
        <f>IFERROR(__xludf.DUMMYFUNCTION("""COMPUTED_VALUE"""),40908.0)</f>
        <v>40908</v>
      </c>
      <c r="Q3" s="1" t="str">
        <f>IFERROR(__xludf.DUMMYFUNCTION("""COMPUTED_VALUE"""),"C Contrata")</f>
        <v>C Contrata</v>
      </c>
      <c r="R3" s="1" t="str">
        <f>IFERROR(__xludf.DUMMYFUNCTION("""COMPUTED_VALUE"""),"A Académico")</f>
        <v>A Académico</v>
      </c>
      <c r="S3" s="9" t="str">
        <f>IFERROR(__xludf.DUMMYFUNCTION("""COMPUTED_VALUE"""),"130333095")</f>
        <v>130333095</v>
      </c>
      <c r="T3" s="1" t="str">
        <f>IFERROR(__xludf.DUMMYFUNCTION("""COMPUTED_VALUE"""),"0130333095")</f>
        <v>0130333095</v>
      </c>
      <c r="U3" s="1">
        <f>IFERROR(__xludf.DUMMYFUNCTION("""COMPUTED_VALUE"""),10.0)</f>
        <v>10</v>
      </c>
      <c r="V3" s="1" t="str">
        <f>IFERROR(__xludf.DUMMYFUNCTION("""COMPUTED_VALUE"""),"P0401 Licenciado")</f>
        <v>P0401 Licenciado</v>
      </c>
      <c r="W3" s="1">
        <f>IFERROR(__xludf.DUMMYFUNCTION("""COMPUTED_VALUE"""),37622.0)</f>
        <v>37622</v>
      </c>
      <c r="X3" s="1" t="str">
        <f>IFERROR(__xludf.DUMMYFUNCTION("""COMPUTED_VALUE"""),"Universidad De Chile")</f>
        <v>Universidad De Chile</v>
      </c>
      <c r="Y3" s="1" t="str">
        <f>IFERROR(__xludf.DUMMYFUNCTION("""COMPUTED_VALUE"""),"CHILE")</f>
        <v>CHILE</v>
      </c>
      <c r="Z3" s="1" t="str">
        <f>IFERROR(__xludf.DUMMYFUNCTION("""COMPUTED_VALUE"""),"T5003 Antropologo")</f>
        <v>T5003 Antropologo</v>
      </c>
    </row>
    <row r="4">
      <c r="A4" s="1" t="str">
        <f>IFERROR(__xludf.DUMMYFUNCTION("""COMPUTED_VALUE"""),"12090301 Departamento de Antropología")</f>
        <v>12090301 Departamento de Antropología</v>
      </c>
      <c r="B4" s="1" t="str">
        <f>IFERROR(__xludf.DUMMYFUNCTION("""COMPUTED_VALUE"""),"A4A001 ACADEMICO  INSTRUCTOR")</f>
        <v>A4A001 ACADEMICO  INSTRUCTOR</v>
      </c>
      <c r="C4" s="1" t="str">
        <f>IFERROR(__xludf.DUMMYFUNCTION("""COMPUTED_VALUE"""),"Instructor")</f>
        <v>Instructor</v>
      </c>
      <c r="D4" s="1" t="str">
        <f>IFERROR(__xludf.DUMMYFUNCTION("""COMPUTED_VALUE"""),"A4A Instructor")</f>
        <v>A4A Instructor</v>
      </c>
      <c r="E4" s="1" t="str">
        <f>IFERROR(__xludf.DUMMYFUNCTION("""COMPUTED_VALUE"""),"Masculino")</f>
        <v>Masculino</v>
      </c>
      <c r="F4" s="1" t="str">
        <f>IFERROR(__xludf.DUMMYFUNCTION("""COMPUTED_VALUE"""),"Aedo")</f>
        <v>Aedo</v>
      </c>
      <c r="G4" s="1" t="str">
        <f>IFERROR(__xludf.DUMMYFUNCTION("""COMPUTED_VALUE"""),"Henríquez")</f>
        <v>Henríquez</v>
      </c>
      <c r="H4" s="1" t="str">
        <f>IFERROR(__xludf.DUMMYFUNCTION("""COMPUTED_VALUE"""),"Andrés Isaías")</f>
        <v>Andrés Isaías</v>
      </c>
      <c r="I4" s="1" t="str">
        <f>IFERROR(__xludf.DUMMYFUNCTION("""COMPUTED_VALUE"""),"Aedo Henríquez Andrés Isaías")</f>
        <v>Aedo Henríquez Andrés Isaías</v>
      </c>
      <c r="J4" s="10">
        <f>IFERROR(__xludf.DUMMYFUNCTION("""COMPUTED_VALUE"""),39326.0)</f>
        <v>39326</v>
      </c>
      <c r="K4" s="10">
        <f>IFERROR(__xludf.DUMMYFUNCTION("""COMPUTED_VALUE"""),28048.0)</f>
        <v>28048</v>
      </c>
      <c r="L4" s="1">
        <f>IFERROR(__xludf.DUMMYFUNCTION("""COMPUTED_VALUE"""),47.0)</f>
        <v>47</v>
      </c>
      <c r="M4" s="1" t="str">
        <f>IFERROR(__xludf.DUMMYFUNCTION("""COMPUTED_VALUE"""),"0002 Soltero")</f>
        <v>0002 Soltero</v>
      </c>
      <c r="N4" s="1"/>
      <c r="O4" s="10">
        <f>IFERROR(__xludf.DUMMYFUNCTION("""COMPUTED_VALUE"""),40544.0)</f>
        <v>40544</v>
      </c>
      <c r="P4" s="10">
        <f>IFERROR(__xludf.DUMMYFUNCTION("""COMPUTED_VALUE"""),40908.0)</f>
        <v>40908</v>
      </c>
      <c r="Q4" s="1" t="str">
        <f>IFERROR(__xludf.DUMMYFUNCTION("""COMPUTED_VALUE"""),"C Contrata")</f>
        <v>C Contrata</v>
      </c>
      <c r="R4" s="1" t="str">
        <f>IFERROR(__xludf.DUMMYFUNCTION("""COMPUTED_VALUE"""),"A Académico")</f>
        <v>A Académico</v>
      </c>
      <c r="S4" s="9" t="str">
        <f>IFERROR(__xludf.DUMMYFUNCTION("""COMPUTED_VALUE"""),"130333095")</f>
        <v>130333095</v>
      </c>
      <c r="T4" s="1" t="str">
        <f>IFERROR(__xludf.DUMMYFUNCTION("""COMPUTED_VALUE"""),"0130333095")</f>
        <v>0130333095</v>
      </c>
      <c r="U4" s="1">
        <f>IFERROR(__xludf.DUMMYFUNCTION("""COMPUTED_VALUE"""),12.0)</f>
        <v>12</v>
      </c>
      <c r="V4" s="1" t="str">
        <f>IFERROR(__xludf.DUMMYFUNCTION("""COMPUTED_VALUE"""),"P0401 Licenciado")</f>
        <v>P0401 Licenciado</v>
      </c>
      <c r="W4" s="1">
        <f>IFERROR(__xludf.DUMMYFUNCTION("""COMPUTED_VALUE"""),37622.0)</f>
        <v>37622</v>
      </c>
      <c r="X4" s="1" t="str">
        <f>IFERROR(__xludf.DUMMYFUNCTION("""COMPUTED_VALUE"""),"Universidad De Chile")</f>
        <v>Universidad De Chile</v>
      </c>
      <c r="Y4" s="1" t="str">
        <f>IFERROR(__xludf.DUMMYFUNCTION("""COMPUTED_VALUE"""),"CHILE")</f>
        <v>CHILE</v>
      </c>
      <c r="Z4" s="1" t="str">
        <f>IFERROR(__xludf.DUMMYFUNCTION("""COMPUTED_VALUE"""),"T5003 Antropologo")</f>
        <v>T5003 Antropologo</v>
      </c>
    </row>
    <row r="5">
      <c r="A5" s="1" t="str">
        <f>IFERROR(__xludf.DUMMYFUNCTION("""COMPUTED_VALUE"""),"12090801 Departamento de Sociología")</f>
        <v>12090801 Departamento de Sociología</v>
      </c>
      <c r="B5" s="1" t="str">
        <f>IFERROR(__xludf.DUMMYFUNCTION("""COMPUTED_VALUE"""),"A3A001 Académico Prof. Asistente")</f>
        <v>A3A001 Académico Prof. Asistente</v>
      </c>
      <c r="C5" s="1" t="str">
        <f>IFERROR(__xludf.DUMMYFUNCTION("""COMPUTED_VALUE"""),"Prof. Asistente - Categ. Academica Ord.")</f>
        <v>Prof. Asistente - Categ. Academica Ord.</v>
      </c>
      <c r="D5" s="1" t="str">
        <f>IFERROR(__xludf.DUMMYFUNCTION("""COMPUTED_VALUE"""),"A3A Prof. Asistente - Categ. Academica Ord.")</f>
        <v>A3A Prof. Asistente - Categ. Academica Ord.</v>
      </c>
      <c r="E5" s="1" t="str">
        <f>IFERROR(__xludf.DUMMYFUNCTION("""COMPUTED_VALUE"""),"Masculino")</f>
        <v>Masculino</v>
      </c>
      <c r="F5" s="1" t="str">
        <f>IFERROR(__xludf.DUMMYFUNCTION("""COMPUTED_VALUE"""),"Agar")</f>
        <v>Agar</v>
      </c>
      <c r="G5" s="1" t="str">
        <f>IFERROR(__xludf.DUMMYFUNCTION("""COMPUTED_VALUE"""),"Corbinos")</f>
        <v>Corbinos</v>
      </c>
      <c r="H5" s="1" t="str">
        <f>IFERROR(__xludf.DUMMYFUNCTION("""COMPUTED_VALUE"""),"Lorenzo René")</f>
        <v>Lorenzo René</v>
      </c>
      <c r="I5" s="1" t="str">
        <f>IFERROR(__xludf.DUMMYFUNCTION("""COMPUTED_VALUE"""),"Agar Corbinos Lorenzo René")</f>
        <v>Agar Corbinos Lorenzo René</v>
      </c>
      <c r="J5" s="10">
        <f>IFERROR(__xludf.DUMMYFUNCTION("""COMPUTED_VALUE"""),30956.0)</f>
        <v>30956</v>
      </c>
      <c r="K5" s="10">
        <f>IFERROR(__xludf.DUMMYFUNCTION("""COMPUTED_VALUE"""),19886.0)</f>
        <v>19886</v>
      </c>
      <c r="L5" s="1">
        <f>IFERROR(__xludf.DUMMYFUNCTION("""COMPUTED_VALUE"""),69.0)</f>
        <v>69</v>
      </c>
      <c r="M5" s="1" t="str">
        <f>IFERROR(__xludf.DUMMYFUNCTION("""COMPUTED_VALUE"""),"0001 Casado")</f>
        <v>0001 Casado</v>
      </c>
      <c r="N5" s="1" t="str">
        <f>IFERROR(__xludf.DUMMYFUNCTION("""COMPUTED_VALUE"""),"N0040 Profesional Superior")</f>
        <v>N0040 Profesional Superior</v>
      </c>
      <c r="O5" s="10">
        <f>IFERROR(__xludf.DUMMYFUNCTION("""COMPUTED_VALUE"""),33420.0)</f>
        <v>33420</v>
      </c>
      <c r="P5" s="10">
        <f>IFERROR(__xludf.DUMMYFUNCTION("""COMPUTED_VALUE"""),38664.0)</f>
        <v>38664</v>
      </c>
      <c r="Q5" s="1" t="str">
        <f>IFERROR(__xludf.DUMMYFUNCTION("""COMPUTED_VALUE"""),"P Propiedad")</f>
        <v>P Propiedad</v>
      </c>
      <c r="R5" s="1" t="str">
        <f>IFERROR(__xludf.DUMMYFUNCTION("""COMPUTED_VALUE"""),"A Académico")</f>
        <v>A Académico</v>
      </c>
      <c r="S5" s="9" t="str">
        <f>IFERROR(__xludf.DUMMYFUNCTION("""COMPUTED_VALUE"""),"66182177")</f>
        <v>66182177</v>
      </c>
      <c r="T5" s="1" t="str">
        <f>IFERROR(__xludf.DUMMYFUNCTION("""COMPUTED_VALUE"""),"0066182177")</f>
        <v>0066182177</v>
      </c>
      <c r="U5" s="1">
        <f>IFERROR(__xludf.DUMMYFUNCTION("""COMPUTED_VALUE"""),6.0)</f>
        <v>6</v>
      </c>
      <c r="V5" s="1" t="str">
        <f>IFERROR(__xludf.DUMMYFUNCTION("""COMPUTED_VALUE"""),"P0850 Magister")</f>
        <v>P0850 Magister</v>
      </c>
      <c r="W5" s="1">
        <f>IFERROR(__xludf.DUMMYFUNCTION("""COMPUTED_VALUE"""),32598.0)</f>
        <v>32598</v>
      </c>
      <c r="X5" s="1" t="str">
        <f>IFERROR(__xludf.DUMMYFUNCTION("""COMPUTED_VALUE"""),"Universidad De Chile")</f>
        <v>Universidad De Chile</v>
      </c>
      <c r="Y5" s="1" t="str">
        <f>IFERROR(__xludf.DUMMYFUNCTION("""COMPUTED_VALUE"""),"CHILE")</f>
        <v>CHILE</v>
      </c>
      <c r="Z5" s="1" t="str">
        <f>IFERROR(__xludf.DUMMYFUNCTION("""COMPUTED_VALUE"""),"T5082 Sociologo")</f>
        <v>T5082 Sociologo</v>
      </c>
    </row>
    <row r="6">
      <c r="A6" s="1" t="str">
        <f>IFERROR(__xludf.DUMMYFUNCTION("""COMPUTED_VALUE"""),"12090701 Departamento de Psicología")</f>
        <v>12090701 Departamento de Psicología</v>
      </c>
      <c r="B6" s="1" t="str">
        <f>IFERROR(__xludf.DUMMYFUNCTION("""COMPUTED_VALUE"""),"A7A001 ACADEMICO PROF. ADJUNTO")</f>
        <v>A7A001 ACADEMICO PROF. ADJUNTO</v>
      </c>
      <c r="C6" s="1" t="str">
        <f>IFERROR(__xludf.DUMMYFUNCTION("""COMPUTED_VALUE"""),"Prof. Adjunto")</f>
        <v>Prof. Adjunto</v>
      </c>
      <c r="D6" s="1" t="str">
        <f>IFERROR(__xludf.DUMMYFUNCTION("""COMPUTED_VALUE"""),"A7A Prof. Adjunto")</f>
        <v>A7A Prof. Adjunto</v>
      </c>
      <c r="E6" s="1" t="str">
        <f>IFERROR(__xludf.DUMMYFUNCTION("""COMPUTED_VALUE"""),"Masculino")</f>
        <v>Masculino</v>
      </c>
      <c r="F6" s="1" t="str">
        <f>IFERROR(__xludf.DUMMYFUNCTION("""COMPUTED_VALUE"""),"Aguayo")</f>
        <v>Aguayo</v>
      </c>
      <c r="G6" s="1" t="str">
        <f>IFERROR(__xludf.DUMMYFUNCTION("""COMPUTED_VALUE"""),"Chaves")</f>
        <v>Chaves</v>
      </c>
      <c r="H6" s="1" t="str">
        <f>IFERROR(__xludf.DUMMYFUNCTION("""COMPUTED_VALUE"""),"Enrique Eduardo")</f>
        <v>Enrique Eduardo</v>
      </c>
      <c r="I6" s="1" t="str">
        <f>IFERROR(__xludf.DUMMYFUNCTION("""COMPUTED_VALUE"""),"Aguayo Chaves Enrique Eduardo")</f>
        <v>Aguayo Chaves Enrique Eduardo</v>
      </c>
      <c r="J6" s="10">
        <f>IFERROR(__xludf.DUMMYFUNCTION("""COMPUTED_VALUE"""),38078.0)</f>
        <v>38078</v>
      </c>
      <c r="K6" s="10">
        <f>IFERROR(__xludf.DUMMYFUNCTION("""COMPUTED_VALUE"""),19869.0)</f>
        <v>19869</v>
      </c>
      <c r="L6" s="1">
        <f>IFERROR(__xludf.DUMMYFUNCTION("""COMPUTED_VALUE"""),69.0)</f>
        <v>69</v>
      </c>
      <c r="M6" s="1" t="str">
        <f>IFERROR(__xludf.DUMMYFUNCTION("""COMPUTED_VALUE"""),"0005 Divorciado")</f>
        <v>0005 Divorciado</v>
      </c>
      <c r="N6" s="1" t="str">
        <f>IFERROR(__xludf.DUMMYFUNCTION("""COMPUTED_VALUE"""),"N0040 Profesional Superior")</f>
        <v>N0040 Profesional Superior</v>
      </c>
      <c r="O6" s="10">
        <f>IFERROR(__xludf.DUMMYFUNCTION("""COMPUTED_VALUE"""),38200.0)</f>
        <v>38200</v>
      </c>
      <c r="P6" s="10">
        <f>IFERROR(__xludf.DUMMYFUNCTION("""COMPUTED_VALUE"""),38352.0)</f>
        <v>38352</v>
      </c>
      <c r="Q6" s="1" t="str">
        <f>IFERROR(__xludf.DUMMYFUNCTION("""COMPUTED_VALUE"""),"C Contrata")</f>
        <v>C Contrata</v>
      </c>
      <c r="R6" s="1" t="str">
        <f>IFERROR(__xludf.DUMMYFUNCTION("""COMPUTED_VALUE"""),"A Académico")</f>
        <v>A Académico</v>
      </c>
      <c r="S6" s="9" t="str">
        <f>IFERROR(__xludf.DUMMYFUNCTION("""COMPUTED_VALUE"""),"57443626")</f>
        <v>57443626</v>
      </c>
      <c r="T6" s="1" t="str">
        <f>IFERROR(__xludf.DUMMYFUNCTION("""COMPUTED_VALUE"""),"0057443626")</f>
        <v>0057443626</v>
      </c>
      <c r="U6" s="1">
        <f>IFERROR(__xludf.DUMMYFUNCTION("""COMPUTED_VALUE"""),3.0)</f>
        <v>3</v>
      </c>
      <c r="V6" s="1"/>
      <c r="W6" s="1"/>
      <c r="X6" s="1"/>
      <c r="Y6" s="1"/>
      <c r="Z6" s="1" t="str">
        <f>IFERROR(__xludf.DUMMYFUNCTION("""COMPUTED_VALUE"""),"T5124 Psicologo")</f>
        <v>T5124 Psicologo</v>
      </c>
    </row>
    <row r="7" hidden="1">
      <c r="A7" s="1" t="str">
        <f>IFERROR(__xludf.DUMMYFUNCTION("""COMPUTED_VALUE"""),"12090301 Departamento de Antropología")</f>
        <v>12090301 Departamento de Antropología</v>
      </c>
      <c r="B7" s="1" t="str">
        <f>IFERROR(__xludf.DUMMYFUNCTION("""COMPUTED_VALUE"""),"A3A001 Académico Prof. Asistente")</f>
        <v>A3A001 Académico Prof. Asistente</v>
      </c>
      <c r="C7" s="1" t="str">
        <f>IFERROR(__xludf.DUMMYFUNCTION("""COMPUTED_VALUE"""),"Prof. Asistente - Categ. Academica Ord.")</f>
        <v>Prof. Asistente - Categ. Academica Ord.</v>
      </c>
      <c r="D7" s="1" t="str">
        <f>IFERROR(__xludf.DUMMYFUNCTION("""COMPUTED_VALUE"""),"A3A Prof. Asistente - Categ. Academica Ord.")</f>
        <v>A3A Prof. Asistente - Categ. Academica Ord.</v>
      </c>
      <c r="E7" s="1" t="str">
        <f>IFERROR(__xludf.DUMMYFUNCTION("""COMPUTED_VALUE"""),"Masculino")</f>
        <v>Masculino</v>
      </c>
      <c r="F7" s="1" t="str">
        <f>IFERROR(__xludf.DUMMYFUNCTION("""COMPUTED_VALUE"""),"Aguilera")</f>
        <v>Aguilera</v>
      </c>
      <c r="G7" s="1" t="str">
        <f>IFERROR(__xludf.DUMMYFUNCTION("""COMPUTED_VALUE"""),"Faúndez")</f>
        <v>Faúndez</v>
      </c>
      <c r="H7" s="1" t="str">
        <f>IFERROR(__xludf.DUMMYFUNCTION("""COMPUTED_VALUE"""),"Oscar Eugenio")</f>
        <v>Oscar Eugenio</v>
      </c>
      <c r="I7" s="1" t="str">
        <f>IFERROR(__xludf.DUMMYFUNCTION("""COMPUTED_VALUE"""),"Aguilera Faúndez Oscar Eugenio")</f>
        <v>Aguilera Faúndez Oscar Eugenio</v>
      </c>
      <c r="J7" s="10">
        <f>IFERROR(__xludf.DUMMYFUNCTION("""COMPUTED_VALUE"""),26207.0)</f>
        <v>26207</v>
      </c>
      <c r="K7" s="10">
        <f>IFERROR(__xludf.DUMMYFUNCTION("""COMPUTED_VALUE"""),18075.0)</f>
        <v>18075</v>
      </c>
      <c r="L7" s="1">
        <f>IFERROR(__xludf.DUMMYFUNCTION("""COMPUTED_VALUE"""),74.0)</f>
        <v>74</v>
      </c>
      <c r="M7" s="1" t="str">
        <f>IFERROR(__xludf.DUMMYFUNCTION("""COMPUTED_VALUE"""),"0002 Soltero")</f>
        <v>0002 Soltero</v>
      </c>
      <c r="N7" s="1" t="str">
        <f>IFERROR(__xludf.DUMMYFUNCTION("""COMPUTED_VALUE"""),"N0041 Profesional Superior Sin Titulo")</f>
        <v>N0041 Profesional Superior Sin Titulo</v>
      </c>
      <c r="O7" s="10">
        <f>IFERROR(__xludf.DUMMYFUNCTION("""COMPUTED_VALUE"""),33909.0)</f>
        <v>33909</v>
      </c>
      <c r="P7" s="10">
        <f>IFERROR(__xludf.DUMMYFUNCTION("""COMPUTED_VALUE"""),37680.0)</f>
        <v>37680</v>
      </c>
      <c r="Q7" s="1" t="str">
        <f>IFERROR(__xludf.DUMMYFUNCTION("""COMPUTED_VALUE"""),"P Propiedad")</f>
        <v>P Propiedad</v>
      </c>
      <c r="R7" s="1" t="str">
        <f>IFERROR(__xludf.DUMMYFUNCTION("""COMPUTED_VALUE"""),"A Académico")</f>
        <v>A Académico</v>
      </c>
      <c r="S7" s="9" t="str">
        <f>IFERROR(__xludf.DUMMYFUNCTION("""COMPUTED_VALUE"""),"59271822")</f>
        <v>59271822</v>
      </c>
      <c r="T7" s="1" t="str">
        <f>IFERROR(__xludf.DUMMYFUNCTION("""COMPUTED_VALUE"""),"0059271822")</f>
        <v>0059271822</v>
      </c>
      <c r="U7" s="1">
        <f>IFERROR(__xludf.DUMMYFUNCTION("""COMPUTED_VALUE"""),44.0)</f>
        <v>44</v>
      </c>
      <c r="V7" s="1" t="str">
        <f>IFERROR(__xludf.DUMMYFUNCTION("""COMPUTED_VALUE"""),"P0401 Licenciado")</f>
        <v>P0401 Licenciado</v>
      </c>
      <c r="W7" s="1">
        <f>IFERROR(__xludf.DUMMYFUNCTION("""COMPUTED_VALUE"""),1.0)</f>
        <v>1</v>
      </c>
      <c r="X7" s="1" t="str">
        <f>IFERROR(__xludf.DUMMYFUNCTION("""COMPUTED_VALUE"""),"Sin Información")</f>
        <v>Sin Información</v>
      </c>
      <c r="Y7" s="1" t="str">
        <f>IFERROR(__xludf.DUMMYFUNCTION("""COMPUTED_VALUE"""),"CHILE")</f>
        <v>CHILE</v>
      </c>
      <c r="Z7" s="1"/>
    </row>
    <row r="8" hidden="1">
      <c r="A8" s="1" t="str">
        <f>IFERROR(__xludf.DUMMYFUNCTION("""COMPUTED_VALUE"""),"12090501 Departamento de Investigaciónes Mediáticas y de la Comunicación")</f>
        <v>12090501 Departamento de Investigaciónes Mediáticas y de la Comunicación</v>
      </c>
      <c r="B8" s="1" t="str">
        <f>IFERROR(__xludf.DUMMYFUNCTION("""COMPUTED_VALUE"""),"A8A001 ACADEMICO INSTRUCTOR ADJUNTO")</f>
        <v>A8A001 ACADEMICO INSTRUCTOR ADJUNTO</v>
      </c>
      <c r="C8" s="1" t="str">
        <f>IFERROR(__xludf.DUMMYFUNCTION("""COMPUTED_VALUE"""),"Inst. Adjunto")</f>
        <v>Inst. Adjunto</v>
      </c>
      <c r="D8" s="1" t="str">
        <f>IFERROR(__xludf.DUMMYFUNCTION("""COMPUTED_VALUE"""),"A8A Inst. Adjunto")</f>
        <v>A8A Inst. Adjunto</v>
      </c>
      <c r="E8" s="1" t="str">
        <f>IFERROR(__xludf.DUMMYFUNCTION("""COMPUTED_VALUE"""),"Femenino")</f>
        <v>Femenino</v>
      </c>
      <c r="F8" s="1" t="str">
        <f>IFERROR(__xludf.DUMMYFUNCTION("""COMPUTED_VALUE"""),"Aguirre")</f>
        <v>Aguirre</v>
      </c>
      <c r="G8" s="1" t="str">
        <f>IFERROR(__xludf.DUMMYFUNCTION("""COMPUTED_VALUE"""),"Valdivieso")</f>
        <v>Valdivieso</v>
      </c>
      <c r="H8" s="1" t="str">
        <f>IFERROR(__xludf.DUMMYFUNCTION("""COMPUTED_VALUE"""),"Bernarda")</f>
        <v>Bernarda</v>
      </c>
      <c r="I8" s="1" t="str">
        <f>IFERROR(__xludf.DUMMYFUNCTION("""COMPUTED_VALUE"""),"Aguirre Valdivieso Bernarda")</f>
        <v>Aguirre Valdivieso Bernarda</v>
      </c>
      <c r="J8" s="10">
        <f>IFERROR(__xludf.DUMMYFUNCTION("""COMPUTED_VALUE"""),36161.0)</f>
        <v>36161</v>
      </c>
      <c r="K8" s="10">
        <f>IFERROR(__xludf.DUMMYFUNCTION("""COMPUTED_VALUE"""),17137.0)</f>
        <v>17137</v>
      </c>
      <c r="L8" s="1">
        <f>IFERROR(__xludf.DUMMYFUNCTION("""COMPUTED_VALUE"""),77.0)</f>
        <v>77</v>
      </c>
      <c r="M8" s="1" t="str">
        <f>IFERROR(__xludf.DUMMYFUNCTION("""COMPUTED_VALUE"""),"0001 Casado")</f>
        <v>0001 Casado</v>
      </c>
      <c r="N8" s="1"/>
      <c r="O8" s="10">
        <f>IFERROR(__xludf.DUMMYFUNCTION("""COMPUTED_VALUE"""),36526.0)</f>
        <v>36526</v>
      </c>
      <c r="P8" s="10">
        <f>IFERROR(__xludf.DUMMYFUNCTION("""COMPUTED_VALUE"""),36584.0)</f>
        <v>36584</v>
      </c>
      <c r="Q8" s="1" t="str">
        <f>IFERROR(__xludf.DUMMYFUNCTION("""COMPUTED_VALUE"""),"C Contrata")</f>
        <v>C Contrata</v>
      </c>
      <c r="R8" s="1" t="str">
        <f>IFERROR(__xludf.DUMMYFUNCTION("""COMPUTED_VALUE"""),"A Académico")</f>
        <v>A Académico</v>
      </c>
      <c r="S8" s="9" t="str">
        <f>IFERROR(__xludf.DUMMYFUNCTION("""COMPUTED_VALUE"""),"55212406")</f>
        <v>55212406</v>
      </c>
      <c r="T8" s="1" t="str">
        <f>IFERROR(__xludf.DUMMYFUNCTION("""COMPUTED_VALUE"""),"0055212406")</f>
        <v>0055212406</v>
      </c>
      <c r="U8" s="1">
        <f>IFERROR(__xludf.DUMMYFUNCTION("""COMPUTED_VALUE"""),12.0)</f>
        <v>12</v>
      </c>
      <c r="V8" s="1"/>
      <c r="W8" s="1"/>
      <c r="X8" s="1"/>
      <c r="Y8" s="1"/>
      <c r="Z8" s="1"/>
    </row>
    <row r="9" hidden="1">
      <c r="A9" s="1" t="str">
        <f>IFERROR(__xludf.DUMMYFUNCTION("""COMPUTED_VALUE"""),"12090117 Dpto. Educación (funcionamiento)")</f>
        <v>12090117 Dpto. Educación (funcionamiento)</v>
      </c>
      <c r="B9" s="1" t="str">
        <f>IFERROR(__xludf.DUMMYFUNCTION("""COMPUTED_VALUE"""),"A1A001 Académico Prof. Titular")</f>
        <v>A1A001 Académico Prof. Titular</v>
      </c>
      <c r="C9" s="1" t="str">
        <f>IFERROR(__xludf.DUMMYFUNCTION("""COMPUTED_VALUE"""),"Prof.Titular - Categ. Academica Ord.")</f>
        <v>Prof.Titular - Categ. Academica Ord.</v>
      </c>
      <c r="D9" s="1" t="str">
        <f>IFERROR(__xludf.DUMMYFUNCTION("""COMPUTED_VALUE"""),"A1A Prof.Titular - Categ. Academica Ord.")</f>
        <v>A1A Prof.Titular - Categ. Academica Ord.</v>
      </c>
      <c r="E9" s="1" t="str">
        <f>IFERROR(__xludf.DUMMYFUNCTION("""COMPUTED_VALUE"""),"Femenino")</f>
        <v>Femenino</v>
      </c>
      <c r="F9" s="1" t="str">
        <f>IFERROR(__xludf.DUMMYFUNCTION("""COMPUTED_VALUE"""),"Alarcón")</f>
        <v>Alarcón</v>
      </c>
      <c r="G9" s="1" t="str">
        <f>IFERROR(__xludf.DUMMYFUNCTION("""COMPUTED_VALUE"""),"Quezada")</f>
        <v>Quezada</v>
      </c>
      <c r="H9" s="1" t="str">
        <f>IFERROR(__xludf.DUMMYFUNCTION("""COMPUTED_VALUE"""),"Dina María")</f>
        <v>Dina María</v>
      </c>
      <c r="I9" s="1" t="str">
        <f>IFERROR(__xludf.DUMMYFUNCTION("""COMPUTED_VALUE"""),"Alarcón Quezada Dina María")</f>
        <v>Alarcón Quezada Dina María</v>
      </c>
      <c r="J9" s="10">
        <f>IFERROR(__xludf.DUMMYFUNCTION("""COMPUTED_VALUE"""),22737.0)</f>
        <v>22737</v>
      </c>
      <c r="K9" s="10">
        <f>IFERROR(__xludf.DUMMYFUNCTION("""COMPUTED_VALUE"""),11690.0)</f>
        <v>11690</v>
      </c>
      <c r="L9" s="1">
        <f>IFERROR(__xludf.DUMMYFUNCTION("""COMPUTED_VALUE"""),92.0)</f>
        <v>92</v>
      </c>
      <c r="M9" s="1" t="str">
        <f>IFERROR(__xludf.DUMMYFUNCTION("""COMPUTED_VALUE"""),"0001 Casado")</f>
        <v>0001 Casado</v>
      </c>
      <c r="N9" s="1" t="str">
        <f>IFERROR(__xludf.DUMMYFUNCTION("""COMPUTED_VALUE"""),"N0040 Profesional Superior")</f>
        <v>N0040 Profesional Superior</v>
      </c>
      <c r="O9" s="10">
        <f>IFERROR(__xludf.DUMMYFUNCTION("""COMPUTED_VALUE"""),43101.0)</f>
        <v>43101</v>
      </c>
      <c r="P9" s="10">
        <f>IFERROR(__xludf.DUMMYFUNCTION("""COMPUTED_VALUE"""),43453.0)</f>
        <v>43453</v>
      </c>
      <c r="Q9" s="1" t="str">
        <f>IFERROR(__xludf.DUMMYFUNCTION("""COMPUTED_VALUE"""),"C Contrata")</f>
        <v>C Contrata</v>
      </c>
      <c r="R9" s="1" t="str">
        <f>IFERROR(__xludf.DUMMYFUNCTION("""COMPUTED_VALUE"""),"A Académico")</f>
        <v>A Académico</v>
      </c>
      <c r="S9" s="9" t="str">
        <f>IFERROR(__xludf.DUMMYFUNCTION("""COMPUTED_VALUE"""),"28703813")</f>
        <v>28703813</v>
      </c>
      <c r="T9" s="1" t="str">
        <f>IFERROR(__xludf.DUMMYFUNCTION("""COMPUTED_VALUE"""),"0028703813")</f>
        <v>0028703813</v>
      </c>
      <c r="U9" s="1">
        <f>IFERROR(__xludf.DUMMYFUNCTION("""COMPUTED_VALUE"""),12.0)</f>
        <v>12</v>
      </c>
      <c r="V9" s="1" t="str">
        <f>IFERROR(__xludf.DUMMYFUNCTION("""COMPUTED_VALUE"""),"P0850 Magister")</f>
        <v>P0850 Magister</v>
      </c>
      <c r="W9" s="1">
        <f>IFERROR(__xludf.DUMMYFUNCTION("""COMPUTED_VALUE"""),32508.0)</f>
        <v>32508</v>
      </c>
      <c r="X9" s="1" t="str">
        <f>IFERROR(__xludf.DUMMYFUNCTION("""COMPUTED_VALUE"""),"Universidad De Chile")</f>
        <v>Universidad De Chile</v>
      </c>
      <c r="Y9" s="1" t="str">
        <f>IFERROR(__xludf.DUMMYFUNCTION("""COMPUTED_VALUE"""),"CHILE")</f>
        <v>CHILE</v>
      </c>
      <c r="Z9" s="1" t="str">
        <f>IFERROR(__xludf.DUMMYFUNCTION("""COMPUTED_VALUE"""),"T5020 Educadora De Parvulos")</f>
        <v>T5020 Educadora De Parvulos</v>
      </c>
    </row>
    <row r="10" hidden="1">
      <c r="A10" s="1" t="str">
        <f>IFERROR(__xludf.DUMMYFUNCTION("""COMPUTED_VALUE"""),"12090117 Dpto. Educación (funcionamiento)")</f>
        <v>12090117 Dpto. Educación (funcionamiento)</v>
      </c>
      <c r="B10" s="1" t="str">
        <f>IFERROR(__xludf.DUMMYFUNCTION("""COMPUTED_VALUE"""),"A1A001 Académico Prof. Titular")</f>
        <v>A1A001 Académico Prof. Titular</v>
      </c>
      <c r="C10" s="1" t="str">
        <f>IFERROR(__xludf.DUMMYFUNCTION("""COMPUTED_VALUE"""),"Prof.Titular - Categ. Academica Ord.")</f>
        <v>Prof.Titular - Categ. Academica Ord.</v>
      </c>
      <c r="D10" s="1" t="str">
        <f>IFERROR(__xludf.DUMMYFUNCTION("""COMPUTED_VALUE"""),"A1A Prof.Titular - Categ. Academica Ord.")</f>
        <v>A1A Prof.Titular - Categ. Academica Ord.</v>
      </c>
      <c r="E10" s="1" t="str">
        <f>IFERROR(__xludf.DUMMYFUNCTION("""COMPUTED_VALUE"""),"Femenino")</f>
        <v>Femenino</v>
      </c>
      <c r="F10" s="1" t="str">
        <f>IFERROR(__xludf.DUMMYFUNCTION("""COMPUTED_VALUE"""),"Alarcón")</f>
        <v>Alarcón</v>
      </c>
      <c r="G10" s="1" t="str">
        <f>IFERROR(__xludf.DUMMYFUNCTION("""COMPUTED_VALUE"""),"Quezada")</f>
        <v>Quezada</v>
      </c>
      <c r="H10" s="1" t="str">
        <f>IFERROR(__xludf.DUMMYFUNCTION("""COMPUTED_VALUE"""),"Dina María")</f>
        <v>Dina María</v>
      </c>
      <c r="I10" s="1" t="str">
        <f>IFERROR(__xludf.DUMMYFUNCTION("""COMPUTED_VALUE"""),"Alarcón Quezada Dina María")</f>
        <v>Alarcón Quezada Dina María</v>
      </c>
      <c r="J10" s="10">
        <f>IFERROR(__xludf.DUMMYFUNCTION("""COMPUTED_VALUE"""),22737.0)</f>
        <v>22737</v>
      </c>
      <c r="K10" s="10">
        <f>IFERROR(__xludf.DUMMYFUNCTION("""COMPUTED_VALUE"""),11690.0)</f>
        <v>11690</v>
      </c>
      <c r="L10" s="1">
        <f>IFERROR(__xludf.DUMMYFUNCTION("""COMPUTED_VALUE"""),92.0)</f>
        <v>92</v>
      </c>
      <c r="M10" s="1" t="str">
        <f>IFERROR(__xludf.DUMMYFUNCTION("""COMPUTED_VALUE"""),"0001 Casado")</f>
        <v>0001 Casado</v>
      </c>
      <c r="N10" s="1" t="str">
        <f>IFERROR(__xludf.DUMMYFUNCTION("""COMPUTED_VALUE"""),"N0040 Profesional Superior")</f>
        <v>N0040 Profesional Superior</v>
      </c>
      <c r="O10" s="10">
        <f>IFERROR(__xludf.DUMMYFUNCTION("""COMPUTED_VALUE"""),43466.0)</f>
        <v>43466</v>
      </c>
      <c r="P10" s="10">
        <f>IFERROR(__xludf.DUMMYFUNCTION("""COMPUTED_VALUE"""),43453.0)</f>
        <v>43453</v>
      </c>
      <c r="Q10" s="1" t="str">
        <f>IFERROR(__xludf.DUMMYFUNCTION("""COMPUTED_VALUE"""),"C Contrata")</f>
        <v>C Contrata</v>
      </c>
      <c r="R10" s="1" t="str">
        <f>IFERROR(__xludf.DUMMYFUNCTION("""COMPUTED_VALUE"""),"A Académico")</f>
        <v>A Académico</v>
      </c>
      <c r="S10" s="9" t="str">
        <f>IFERROR(__xludf.DUMMYFUNCTION("""COMPUTED_VALUE"""),"28703813")</f>
        <v>28703813</v>
      </c>
      <c r="T10" s="1" t="str">
        <f>IFERROR(__xludf.DUMMYFUNCTION("""COMPUTED_VALUE"""),"0028703813")</f>
        <v>0028703813</v>
      </c>
      <c r="U10" s="1">
        <f>IFERROR(__xludf.DUMMYFUNCTION("""COMPUTED_VALUE"""),12.0)</f>
        <v>12</v>
      </c>
      <c r="V10" s="1" t="str">
        <f>IFERROR(__xludf.DUMMYFUNCTION("""COMPUTED_VALUE"""),"P0850 Magister")</f>
        <v>P0850 Magister</v>
      </c>
      <c r="W10" s="1">
        <f>IFERROR(__xludf.DUMMYFUNCTION("""COMPUTED_VALUE"""),32508.0)</f>
        <v>32508</v>
      </c>
      <c r="X10" s="1" t="str">
        <f>IFERROR(__xludf.DUMMYFUNCTION("""COMPUTED_VALUE"""),"Universidad De Chile")</f>
        <v>Universidad De Chile</v>
      </c>
      <c r="Y10" s="1" t="str">
        <f>IFERROR(__xludf.DUMMYFUNCTION("""COMPUTED_VALUE"""),"CHILE")</f>
        <v>CHILE</v>
      </c>
      <c r="Z10" s="1" t="str">
        <f>IFERROR(__xludf.DUMMYFUNCTION("""COMPUTED_VALUE"""),"T5020 Educadora De Parvulos")</f>
        <v>T5020 Educadora De Parvulos</v>
      </c>
    </row>
    <row r="11">
      <c r="A11" s="1" t="str">
        <f>IFERROR(__xludf.DUMMYFUNCTION("""COMPUTED_VALUE"""),"12090501 Departamento de Investigaciónes Mediáticas y de la Comunicación")</f>
        <v>12090501 Departamento de Investigaciónes Mediáticas y de la Comunicación</v>
      </c>
      <c r="B11" s="1" t="str">
        <f>IFERROR(__xludf.DUMMYFUNCTION("""COMPUTED_VALUE"""),"A7A001 ACADEMICO PROF. ADJUNTO")</f>
        <v>A7A001 ACADEMICO PROF. ADJUNTO</v>
      </c>
      <c r="C11" s="1" t="str">
        <f>IFERROR(__xludf.DUMMYFUNCTION("""COMPUTED_VALUE"""),"Prof. Adjunto")</f>
        <v>Prof. Adjunto</v>
      </c>
      <c r="D11" s="1" t="str">
        <f>IFERROR(__xludf.DUMMYFUNCTION("""COMPUTED_VALUE"""),"A7A Prof. Adjunto")</f>
        <v>A7A Prof. Adjunto</v>
      </c>
      <c r="E11" s="1" t="str">
        <f>IFERROR(__xludf.DUMMYFUNCTION("""COMPUTED_VALUE"""),"Masculino")</f>
        <v>Masculino</v>
      </c>
      <c r="F11" s="1" t="str">
        <f>IFERROR(__xludf.DUMMYFUNCTION("""COMPUTED_VALUE"""),"Aldunate")</f>
        <v>Aldunate</v>
      </c>
      <c r="G11" s="1" t="str">
        <f>IFERROR(__xludf.DUMMYFUNCTION("""COMPUTED_VALUE"""),"Balestra")</f>
        <v>Balestra</v>
      </c>
      <c r="H11" s="1" t="str">
        <f>IFERROR(__xludf.DUMMYFUNCTION("""COMPUTED_VALUE"""),"Carlos Bernardo")</f>
        <v>Carlos Bernardo</v>
      </c>
      <c r="I11" s="1" t="str">
        <f>IFERROR(__xludf.DUMMYFUNCTION("""COMPUTED_VALUE"""),"Aldunate Balestra Carlos Bernardo")</f>
        <v>Aldunate Balestra Carlos Bernardo</v>
      </c>
      <c r="J11" s="10">
        <f>IFERROR(__xludf.DUMMYFUNCTION("""COMPUTED_VALUE"""),36039.0)</f>
        <v>36039</v>
      </c>
      <c r="K11" s="10">
        <f>IFERROR(__xludf.DUMMYFUNCTION("""COMPUTED_VALUE"""),21527.0)</f>
        <v>21527</v>
      </c>
      <c r="L11" s="1">
        <f>IFERROR(__xludf.DUMMYFUNCTION("""COMPUTED_VALUE"""),65.0)</f>
        <v>65</v>
      </c>
      <c r="M11" s="1" t="str">
        <f>IFERROR(__xludf.DUMMYFUNCTION("""COMPUTED_VALUE"""),"0005 Divorciado")</f>
        <v>0005 Divorciado</v>
      </c>
      <c r="N11" s="1"/>
      <c r="O11" s="10">
        <f>IFERROR(__xludf.DUMMYFUNCTION("""COMPUTED_VALUE"""),36161.0)</f>
        <v>36161</v>
      </c>
      <c r="P11" s="10">
        <f>IFERROR(__xludf.DUMMYFUNCTION("""COMPUTED_VALUE"""),36525.0)</f>
        <v>36525</v>
      </c>
      <c r="Q11" s="1" t="str">
        <f>IFERROR(__xludf.DUMMYFUNCTION("""COMPUTED_VALUE"""),"C Contrata")</f>
        <v>C Contrata</v>
      </c>
      <c r="R11" s="1" t="str">
        <f>IFERROR(__xludf.DUMMYFUNCTION("""COMPUTED_VALUE"""),"A Académico")</f>
        <v>A Académico</v>
      </c>
      <c r="S11" s="9" t="str">
        <f>IFERROR(__xludf.DUMMYFUNCTION("""COMPUTED_VALUE"""),"79334871")</f>
        <v>79334871</v>
      </c>
      <c r="T11" s="1" t="str">
        <f>IFERROR(__xludf.DUMMYFUNCTION("""COMPUTED_VALUE"""),"0079334871")</f>
        <v>0079334871</v>
      </c>
      <c r="U11" s="1">
        <f>IFERROR(__xludf.DUMMYFUNCTION("""COMPUTED_VALUE"""),12.0)</f>
        <v>12</v>
      </c>
      <c r="V11" s="1"/>
      <c r="W11" s="1"/>
      <c r="X11" s="1"/>
      <c r="Y11" s="1"/>
      <c r="Z11" s="1"/>
    </row>
    <row r="12" hidden="1">
      <c r="A12" s="1" t="str">
        <f>IFERROR(__xludf.DUMMYFUNCTION("""COMPUTED_VALUE"""),"12090501 Departamento de Investigaciónes Mediáticas y de la Comunicación")</f>
        <v>12090501 Departamento de Investigaciónes Mediáticas y de la Comunicación</v>
      </c>
      <c r="B12" s="1" t="str">
        <f>IFERROR(__xludf.DUMMYFUNCTION("""COMPUTED_VALUE"""),"A3A001 Académico Prof. Asistente")</f>
        <v>A3A001 Académico Prof. Asistente</v>
      </c>
      <c r="C12" s="1" t="str">
        <f>IFERROR(__xludf.DUMMYFUNCTION("""COMPUTED_VALUE"""),"Prof. Asistente - Categ. Academica Ord.")</f>
        <v>Prof. Asistente - Categ. Academica Ord.</v>
      </c>
      <c r="D12" s="1" t="str">
        <f>IFERROR(__xludf.DUMMYFUNCTION("""COMPUTED_VALUE"""),"A3A Prof. Asistente - Categ. Academica Ord.")</f>
        <v>A3A Prof. Asistente - Categ. Academica Ord.</v>
      </c>
      <c r="E12" s="1" t="str">
        <f>IFERROR(__xludf.DUMMYFUNCTION("""COMPUTED_VALUE"""),"Femenino")</f>
        <v>Femenino</v>
      </c>
      <c r="F12" s="1" t="str">
        <f>IFERROR(__xludf.DUMMYFUNCTION("""COMPUTED_VALUE"""),"Allendes")</f>
        <v>Allendes</v>
      </c>
      <c r="G12" s="1" t="str">
        <f>IFERROR(__xludf.DUMMYFUNCTION("""COMPUTED_VALUE"""),"Ossa")</f>
        <v>Ossa</v>
      </c>
      <c r="H12" s="1" t="str">
        <f>IFERROR(__xludf.DUMMYFUNCTION("""COMPUTED_VALUE"""),"María Cecilia")</f>
        <v>María Cecilia</v>
      </c>
      <c r="I12" s="1" t="str">
        <f>IFERROR(__xludf.DUMMYFUNCTION("""COMPUTED_VALUE"""),"Allendes Ossa María Cecilia")</f>
        <v>Allendes Ossa María Cecilia</v>
      </c>
      <c r="J12" s="10">
        <f>IFERROR(__xludf.DUMMYFUNCTION("""COMPUTED_VALUE"""),37073.0)</f>
        <v>37073</v>
      </c>
      <c r="K12" s="10">
        <f>IFERROR(__xludf.DUMMYFUNCTION("""COMPUTED_VALUE"""),14304.0)</f>
        <v>14304</v>
      </c>
      <c r="L12" s="1">
        <f>IFERROR(__xludf.DUMMYFUNCTION("""COMPUTED_VALUE"""),84.0)</f>
        <v>84</v>
      </c>
      <c r="M12" s="1" t="str">
        <f>IFERROR(__xludf.DUMMYFUNCTION("""COMPUTED_VALUE"""),"0001 Casado")</f>
        <v>0001 Casado</v>
      </c>
      <c r="N12" s="1"/>
      <c r="O12" s="10">
        <f>IFERROR(__xludf.DUMMYFUNCTION("""COMPUTED_VALUE"""),37257.0)</f>
        <v>37257</v>
      </c>
      <c r="P12" s="10">
        <f>IFERROR(__xludf.DUMMYFUNCTION("""COMPUTED_VALUE"""),37409.0)</f>
        <v>37409</v>
      </c>
      <c r="Q12" s="1" t="str">
        <f>IFERROR(__xludf.DUMMYFUNCTION("""COMPUTED_VALUE"""),"C Contrata")</f>
        <v>C Contrata</v>
      </c>
      <c r="R12" s="1" t="str">
        <f>IFERROR(__xludf.DUMMYFUNCTION("""COMPUTED_VALUE"""),"A Académico")</f>
        <v>A Académico</v>
      </c>
      <c r="S12" s="9" t="str">
        <f>IFERROR(__xludf.DUMMYFUNCTION("""COMPUTED_VALUE"""),"40933204")</f>
        <v>40933204</v>
      </c>
      <c r="T12" s="1" t="str">
        <f>IFERROR(__xludf.DUMMYFUNCTION("""COMPUTED_VALUE"""),"0040933204")</f>
        <v>0040933204</v>
      </c>
      <c r="U12" s="1">
        <f>IFERROR(__xludf.DUMMYFUNCTION("""COMPUTED_VALUE"""),22.0)</f>
        <v>22</v>
      </c>
      <c r="V12" s="1" t="str">
        <f>IFERROR(__xludf.DUMMYFUNCTION("""COMPUTED_VALUE"""),"P0501 Con Titulo Profesional")</f>
        <v>P0501 Con Titulo Profesional</v>
      </c>
      <c r="W12" s="1">
        <f>IFERROR(__xludf.DUMMYFUNCTION("""COMPUTED_VALUE"""),1.0)</f>
        <v>1</v>
      </c>
      <c r="X12" s="1" t="str">
        <f>IFERROR(__xludf.DUMMYFUNCTION("""COMPUTED_VALUE"""),"Sin Información")</f>
        <v>Sin Información</v>
      </c>
      <c r="Y12" s="1" t="str">
        <f>IFERROR(__xludf.DUMMYFUNCTION("""COMPUTED_VALUE"""),"CHILE")</f>
        <v>CHILE</v>
      </c>
      <c r="Z12" s="1"/>
    </row>
    <row r="13" hidden="1">
      <c r="A13" s="1" t="str">
        <f>IFERROR(__xludf.DUMMYFUNCTION("""COMPUTED_VALUE"""),"12090801 Departamento de Sociología")</f>
        <v>12090801 Departamento de Sociología</v>
      </c>
      <c r="B13" s="1" t="str">
        <f>IFERROR(__xludf.DUMMYFUNCTION("""COMPUTED_VALUE"""),"A1A001 Académico Prof. Titular")</f>
        <v>A1A001 Académico Prof. Titular</v>
      </c>
      <c r="C13" s="1" t="str">
        <f>IFERROR(__xludf.DUMMYFUNCTION("""COMPUTED_VALUE"""),"Prof.Titular - Categ. Academica Ord.")</f>
        <v>Prof.Titular - Categ. Academica Ord.</v>
      </c>
      <c r="D13" s="1" t="str">
        <f>IFERROR(__xludf.DUMMYFUNCTION("""COMPUTED_VALUE"""),"A1A Prof.Titular - Categ. Academica Ord.")</f>
        <v>A1A Prof.Titular - Categ. Academica Ord.</v>
      </c>
      <c r="E13" s="1" t="str">
        <f>IFERROR(__xludf.DUMMYFUNCTION("""COMPUTED_VALUE"""),"Masculino")</f>
        <v>Masculino</v>
      </c>
      <c r="F13" s="1" t="str">
        <f>IFERROR(__xludf.DUMMYFUNCTION("""COMPUTED_VALUE"""),"Almeyda")</f>
        <v>Almeyda</v>
      </c>
      <c r="G13" s="1" t="str">
        <f>IFERROR(__xludf.DUMMYFUNCTION("""COMPUTED_VALUE"""),"Medina")</f>
        <v>Medina</v>
      </c>
      <c r="H13" s="1" t="str">
        <f>IFERROR(__xludf.DUMMYFUNCTION("""COMPUTED_VALUE"""),"José Clodomiro")</f>
        <v>José Clodomiro</v>
      </c>
      <c r="I13" s="1" t="str">
        <f>IFERROR(__xludf.DUMMYFUNCTION("""COMPUTED_VALUE"""),"Almeyda Medina José Clodomiro")</f>
        <v>Almeyda Medina José Clodomiro</v>
      </c>
      <c r="J13" s="10">
        <f>IFERROR(__xludf.DUMMYFUNCTION("""COMPUTED_VALUE"""),17989.0)</f>
        <v>17989</v>
      </c>
      <c r="K13" s="10">
        <f>IFERROR(__xludf.DUMMYFUNCTION("""COMPUTED_VALUE"""),8443.0)</f>
        <v>8443</v>
      </c>
      <c r="L13" s="1">
        <f>IFERROR(__xludf.DUMMYFUNCTION("""COMPUTED_VALUE"""),100.0)</f>
        <v>100</v>
      </c>
      <c r="M13" s="1" t="str">
        <f>IFERROR(__xludf.DUMMYFUNCTION("""COMPUTED_VALUE"""),"0001 Casado")</f>
        <v>0001 Casado</v>
      </c>
      <c r="N13" s="1"/>
      <c r="O13" s="10">
        <f>IFERROR(__xludf.DUMMYFUNCTION("""COMPUTED_VALUE"""),35555.0)</f>
        <v>35555</v>
      </c>
      <c r="P13" s="10">
        <f>IFERROR(__xludf.DUMMYFUNCTION("""COMPUTED_VALUE"""),35667.0)</f>
        <v>35667</v>
      </c>
      <c r="Q13" s="1" t="str">
        <f>IFERROR(__xludf.DUMMYFUNCTION("""COMPUTED_VALUE"""),"P Propiedad")</f>
        <v>P Propiedad</v>
      </c>
      <c r="R13" s="1" t="str">
        <f>IFERROR(__xludf.DUMMYFUNCTION("""COMPUTED_VALUE"""),"A Académico")</f>
        <v>A Académico</v>
      </c>
      <c r="S13" s="9" t="str">
        <f>IFERROR(__xludf.DUMMYFUNCTION("""COMPUTED_VALUE"""),"16653438")</f>
        <v>16653438</v>
      </c>
      <c r="T13" s="1" t="str">
        <f>IFERROR(__xludf.DUMMYFUNCTION("""COMPUTED_VALUE"""),"0016653438")</f>
        <v>0016653438</v>
      </c>
      <c r="U13" s="1">
        <f>IFERROR(__xludf.DUMMYFUNCTION("""COMPUTED_VALUE"""),22.0)</f>
        <v>22</v>
      </c>
      <c r="V13" s="1"/>
      <c r="W13" s="1"/>
      <c r="X13" s="1"/>
      <c r="Y13" s="1"/>
      <c r="Z13" s="1"/>
    </row>
    <row r="14" hidden="1">
      <c r="A14" s="1" t="str">
        <f>IFERROR(__xludf.DUMMYFUNCTION("""COMPUTED_VALUE"""),"12090801 Departamento de Sociología")</f>
        <v>12090801 Departamento de Sociología</v>
      </c>
      <c r="B14" s="1" t="str">
        <f>IFERROR(__xludf.DUMMYFUNCTION("""COMPUTED_VALUE"""),"A1A001 Académico Prof. Titular")</f>
        <v>A1A001 Académico Prof. Titular</v>
      </c>
      <c r="C14" s="1" t="str">
        <f>IFERROR(__xludf.DUMMYFUNCTION("""COMPUTED_VALUE"""),"Prof.Titular - Categ. Academica Ord.")</f>
        <v>Prof.Titular - Categ. Academica Ord.</v>
      </c>
      <c r="D14" s="1" t="str">
        <f>IFERROR(__xludf.DUMMYFUNCTION("""COMPUTED_VALUE"""),"A1A Prof.Titular - Categ. Academica Ord.")</f>
        <v>A1A Prof.Titular - Categ. Academica Ord.</v>
      </c>
      <c r="E14" s="1" t="str">
        <f>IFERROR(__xludf.DUMMYFUNCTION("""COMPUTED_VALUE"""),"Masculino")</f>
        <v>Masculino</v>
      </c>
      <c r="F14" s="1" t="str">
        <f>IFERROR(__xludf.DUMMYFUNCTION("""COMPUTED_VALUE"""),"Almeyda")</f>
        <v>Almeyda</v>
      </c>
      <c r="G14" s="1" t="str">
        <f>IFERROR(__xludf.DUMMYFUNCTION("""COMPUTED_VALUE"""),"Medina")</f>
        <v>Medina</v>
      </c>
      <c r="H14" s="1" t="str">
        <f>IFERROR(__xludf.DUMMYFUNCTION("""COMPUTED_VALUE"""),"José Clodomiro")</f>
        <v>José Clodomiro</v>
      </c>
      <c r="I14" s="1" t="str">
        <f>IFERROR(__xludf.DUMMYFUNCTION("""COMPUTED_VALUE"""),"Almeyda Medina José Clodomiro")</f>
        <v>Almeyda Medina José Clodomiro</v>
      </c>
      <c r="J14" s="10">
        <f>IFERROR(__xludf.DUMMYFUNCTION("""COMPUTED_VALUE"""),17989.0)</f>
        <v>17989</v>
      </c>
      <c r="K14" s="10">
        <f>IFERROR(__xludf.DUMMYFUNCTION("""COMPUTED_VALUE"""),8443.0)</f>
        <v>8443</v>
      </c>
      <c r="L14" s="1">
        <f>IFERROR(__xludf.DUMMYFUNCTION("""COMPUTED_VALUE"""),100.0)</f>
        <v>100</v>
      </c>
      <c r="M14" s="1" t="str">
        <f>IFERROR(__xludf.DUMMYFUNCTION("""COMPUTED_VALUE"""),"0001 Casado")</f>
        <v>0001 Casado</v>
      </c>
      <c r="N14" s="1"/>
      <c r="O14" s="10">
        <f>IFERROR(__xludf.DUMMYFUNCTION("""COMPUTED_VALUE"""),35556.0)</f>
        <v>35556</v>
      </c>
      <c r="P14" s="10">
        <f>IFERROR(__xludf.DUMMYFUNCTION("""COMPUTED_VALUE"""),35667.0)</f>
        <v>35667</v>
      </c>
      <c r="Q14" s="1" t="str">
        <f>IFERROR(__xludf.DUMMYFUNCTION("""COMPUTED_VALUE"""),"P Propiedad")</f>
        <v>P Propiedad</v>
      </c>
      <c r="R14" s="1" t="str">
        <f>IFERROR(__xludf.DUMMYFUNCTION("""COMPUTED_VALUE"""),"A Académico")</f>
        <v>A Académico</v>
      </c>
      <c r="S14" s="9" t="str">
        <f>IFERROR(__xludf.DUMMYFUNCTION("""COMPUTED_VALUE"""),"16653438")</f>
        <v>16653438</v>
      </c>
      <c r="T14" s="1" t="str">
        <f>IFERROR(__xludf.DUMMYFUNCTION("""COMPUTED_VALUE"""),"0016653438")</f>
        <v>0016653438</v>
      </c>
      <c r="U14" s="1">
        <f>IFERROR(__xludf.DUMMYFUNCTION("""COMPUTED_VALUE"""),0.0)</f>
        <v>0</v>
      </c>
      <c r="V14" s="1"/>
      <c r="W14" s="1"/>
      <c r="X14" s="1"/>
      <c r="Y14" s="1"/>
      <c r="Z14" s="1"/>
    </row>
    <row r="15" hidden="1">
      <c r="A15" s="1" t="str">
        <f>IFERROR(__xludf.DUMMYFUNCTION("""COMPUTED_VALUE"""),"12090701 Departamento de Psicología")</f>
        <v>12090701 Departamento de Psicología</v>
      </c>
      <c r="B15" s="1" t="str">
        <f>IFERROR(__xludf.DUMMYFUNCTION("""COMPUTED_VALUE"""),"A4A001 ACADEMICO  INSTRUCTOR")</f>
        <v>A4A001 ACADEMICO  INSTRUCTOR</v>
      </c>
      <c r="C15" s="1" t="str">
        <f>IFERROR(__xludf.DUMMYFUNCTION("""COMPUTED_VALUE"""),"Instructor")</f>
        <v>Instructor</v>
      </c>
      <c r="D15" s="1" t="str">
        <f>IFERROR(__xludf.DUMMYFUNCTION("""COMPUTED_VALUE"""),"A4A Instructor")</f>
        <v>A4A Instructor</v>
      </c>
      <c r="E15" s="1" t="str">
        <f>IFERROR(__xludf.DUMMYFUNCTION("""COMPUTED_VALUE"""),"Femenino")</f>
        <v>Femenino</v>
      </c>
      <c r="F15" s="1" t="str">
        <f>IFERROR(__xludf.DUMMYFUNCTION("""COMPUTED_VALUE"""),"Alvarado")</f>
        <v>Alvarado</v>
      </c>
      <c r="G15" s="1" t="str">
        <f>IFERROR(__xludf.DUMMYFUNCTION("""COMPUTED_VALUE"""),"Pérez")</f>
        <v>Pérez</v>
      </c>
      <c r="H15" s="1" t="str">
        <f>IFERROR(__xludf.DUMMYFUNCTION("""COMPUTED_VALUE"""),"Marta Teresa Celia")</f>
        <v>Marta Teresa Celia</v>
      </c>
      <c r="I15" s="1" t="str">
        <f>IFERROR(__xludf.DUMMYFUNCTION("""COMPUTED_VALUE"""),"Alvarado Pérez Marta Teresa Celia")</f>
        <v>Alvarado Pérez Marta Teresa Celia</v>
      </c>
      <c r="J15" s="10">
        <f>IFERROR(__xludf.DUMMYFUNCTION("""COMPUTED_VALUE"""),25812.0)</f>
        <v>25812</v>
      </c>
      <c r="K15" s="10">
        <f>IFERROR(__xludf.DUMMYFUNCTION("""COMPUTED_VALUE"""),16663.0)</f>
        <v>16663</v>
      </c>
      <c r="L15" s="1">
        <f>IFERROR(__xludf.DUMMYFUNCTION("""COMPUTED_VALUE"""),78.0)</f>
        <v>78</v>
      </c>
      <c r="M15" s="1" t="str">
        <f>IFERROR(__xludf.DUMMYFUNCTION("""COMPUTED_VALUE"""),"0005 Divorciado")</f>
        <v>0005 Divorciado</v>
      </c>
      <c r="N15" s="1"/>
      <c r="O15" s="10">
        <f>IFERROR(__xludf.DUMMYFUNCTION("""COMPUTED_VALUE"""),33756.0)</f>
        <v>33756</v>
      </c>
      <c r="P15" s="10">
        <f>IFERROR(__xludf.DUMMYFUNCTION("""COMPUTED_VALUE"""),34911.0)</f>
        <v>34911</v>
      </c>
      <c r="Q15" s="1" t="str">
        <f>IFERROR(__xludf.DUMMYFUNCTION("""COMPUTED_VALUE"""),"P Propiedad")</f>
        <v>P Propiedad</v>
      </c>
      <c r="R15" s="1" t="str">
        <f>IFERROR(__xludf.DUMMYFUNCTION("""COMPUTED_VALUE"""),"A Académico")</f>
        <v>A Académico</v>
      </c>
      <c r="S15" s="9" t="str">
        <f>IFERROR(__xludf.DUMMYFUNCTION("""COMPUTED_VALUE"""),"005112040K")</f>
        <v>005112040K</v>
      </c>
      <c r="T15" s="1" t="str">
        <f>IFERROR(__xludf.DUMMYFUNCTION("""COMPUTED_VALUE"""),"005112040K")</f>
        <v>005112040K</v>
      </c>
      <c r="U15" s="1">
        <f>IFERROR(__xludf.DUMMYFUNCTION("""COMPUTED_VALUE"""),6.0)</f>
        <v>6</v>
      </c>
      <c r="V15" s="1"/>
      <c r="W15" s="1"/>
      <c r="X15" s="1"/>
      <c r="Y15" s="1"/>
      <c r="Z15" s="1"/>
    </row>
    <row r="16" hidden="1">
      <c r="A16" s="1" t="str">
        <f>IFERROR(__xludf.DUMMYFUNCTION("""COMPUTED_VALUE"""),"12090701 Departamento de Psicología")</f>
        <v>12090701 Departamento de Psicología</v>
      </c>
      <c r="B16" s="1" t="str">
        <f>IFERROR(__xludf.DUMMYFUNCTION("""COMPUTED_VALUE"""),"A3A001 Académico Prof. Asistente")</f>
        <v>A3A001 Académico Prof. Asistente</v>
      </c>
      <c r="C16" s="1" t="str">
        <f>IFERROR(__xludf.DUMMYFUNCTION("""COMPUTED_VALUE"""),"Prof. Asistente - Categ. Academica Ord.")</f>
        <v>Prof. Asistente - Categ. Academica Ord.</v>
      </c>
      <c r="D16" s="1" t="str">
        <f>IFERROR(__xludf.DUMMYFUNCTION("""COMPUTED_VALUE"""),"A3A Prof. Asistente - Categ. Academica Ord.")</f>
        <v>A3A Prof. Asistente - Categ. Academica Ord.</v>
      </c>
      <c r="E16" s="1" t="str">
        <f>IFERROR(__xludf.DUMMYFUNCTION("""COMPUTED_VALUE"""),"Femenino")</f>
        <v>Femenino</v>
      </c>
      <c r="F16" s="1" t="str">
        <f>IFERROR(__xludf.DUMMYFUNCTION("""COMPUTED_VALUE"""),"Álvarez")</f>
        <v>Álvarez</v>
      </c>
      <c r="G16" s="1" t="str">
        <f>IFERROR(__xludf.DUMMYFUNCTION("""COMPUTED_VALUE"""),"Aguirre")</f>
        <v>Aguirre</v>
      </c>
      <c r="H16" s="1" t="str">
        <f>IFERROR(__xludf.DUMMYFUNCTION("""COMPUTED_VALUE"""),"Yolanda Belén")</f>
        <v>Yolanda Belén</v>
      </c>
      <c r="I16" s="1" t="str">
        <f>IFERROR(__xludf.DUMMYFUNCTION("""COMPUTED_VALUE"""),"Álvarez Aguirre Yolanda Belén")</f>
        <v>Álvarez Aguirre Yolanda Belén</v>
      </c>
      <c r="J16" s="10">
        <f>IFERROR(__xludf.DUMMYFUNCTION("""COMPUTED_VALUE"""),27089.0)</f>
        <v>27089</v>
      </c>
      <c r="K16" s="10">
        <f>IFERROR(__xludf.DUMMYFUNCTION("""COMPUTED_VALUE"""),16988.0)</f>
        <v>16988</v>
      </c>
      <c r="L16" s="1">
        <f>IFERROR(__xludf.DUMMYFUNCTION("""COMPUTED_VALUE"""),77.0)</f>
        <v>77</v>
      </c>
      <c r="M16" s="1" t="str">
        <f>IFERROR(__xludf.DUMMYFUNCTION("""COMPUTED_VALUE"""),"0005 Divorciado")</f>
        <v>0005 Divorciado</v>
      </c>
      <c r="N16" s="1"/>
      <c r="O16" s="10">
        <f>IFERROR(__xludf.DUMMYFUNCTION("""COMPUTED_VALUE"""),34060.0)</f>
        <v>34060</v>
      </c>
      <c r="P16" s="10">
        <f>IFERROR(__xludf.DUMMYFUNCTION("""COMPUTED_VALUE"""),38503.0)</f>
        <v>38503</v>
      </c>
      <c r="Q16" s="1" t="str">
        <f>IFERROR(__xludf.DUMMYFUNCTION("""COMPUTED_VALUE"""),"P Propiedad")</f>
        <v>P Propiedad</v>
      </c>
      <c r="R16" s="1" t="str">
        <f>IFERROR(__xludf.DUMMYFUNCTION("""COMPUTED_VALUE"""),"A Académico")</f>
        <v>A Académico</v>
      </c>
      <c r="S16" s="9" t="str">
        <f>IFERROR(__xludf.DUMMYFUNCTION("""COMPUTED_VALUE"""),"005420647K")</f>
        <v>005420647K</v>
      </c>
      <c r="T16" s="1" t="str">
        <f>IFERROR(__xludf.DUMMYFUNCTION("""COMPUTED_VALUE"""),"005420647K")</f>
        <v>005420647K</v>
      </c>
      <c r="U16" s="1">
        <f>IFERROR(__xludf.DUMMYFUNCTION("""COMPUTED_VALUE"""),22.0)</f>
        <v>22</v>
      </c>
      <c r="V16" s="1" t="str">
        <f>IFERROR(__xludf.DUMMYFUNCTION("""COMPUTED_VALUE"""),"P0501 Con Titulo Profesional")</f>
        <v>P0501 Con Titulo Profesional</v>
      </c>
      <c r="W16" s="1">
        <f>IFERROR(__xludf.DUMMYFUNCTION("""COMPUTED_VALUE"""),26653.0)</f>
        <v>26653</v>
      </c>
      <c r="X16" s="1" t="str">
        <f>IFERROR(__xludf.DUMMYFUNCTION("""COMPUTED_VALUE"""),"Universidad De Chile")</f>
        <v>Universidad De Chile</v>
      </c>
      <c r="Y16" s="1" t="str">
        <f>IFERROR(__xludf.DUMMYFUNCTION("""COMPUTED_VALUE"""),"CHILE")</f>
        <v>CHILE</v>
      </c>
      <c r="Z16" s="1" t="str">
        <f>IFERROR(__xludf.DUMMYFUNCTION("""COMPUTED_VALUE"""),"T5124 Psicologo")</f>
        <v>T5124 Psicologo</v>
      </c>
    </row>
    <row r="17">
      <c r="A17" s="1" t="str">
        <f>IFERROR(__xludf.DUMMYFUNCTION("""COMPUTED_VALUE"""),"12090301 Departamento de Antropología")</f>
        <v>12090301 Departamento de Antropología</v>
      </c>
      <c r="B17" s="1" t="str">
        <f>IFERROR(__xludf.DUMMYFUNCTION("""COMPUTED_VALUE"""),"A4A001 ACADEMICO  INSTRUCTOR")</f>
        <v>A4A001 ACADEMICO  INSTRUCTOR</v>
      </c>
      <c r="C17" s="1" t="str">
        <f>IFERROR(__xludf.DUMMYFUNCTION("""COMPUTED_VALUE"""),"Instructor")</f>
        <v>Instructor</v>
      </c>
      <c r="D17" s="1" t="str">
        <f>IFERROR(__xludf.DUMMYFUNCTION("""COMPUTED_VALUE"""),"A4A Instructor")</f>
        <v>A4A Instructor</v>
      </c>
      <c r="E17" s="1" t="str">
        <f>IFERROR(__xludf.DUMMYFUNCTION("""COMPUTED_VALUE"""),"Femenino")</f>
        <v>Femenino</v>
      </c>
      <c r="F17" s="1" t="str">
        <f>IFERROR(__xludf.DUMMYFUNCTION("""COMPUTED_VALUE"""),"Álvarez")</f>
        <v>Álvarez</v>
      </c>
      <c r="G17" s="1" t="str">
        <f>IFERROR(__xludf.DUMMYFUNCTION("""COMPUTED_VALUE"""),"Díaz")</f>
        <v>Díaz</v>
      </c>
      <c r="H17" s="1" t="str">
        <f>IFERROR(__xludf.DUMMYFUNCTION("""COMPUTED_VALUE"""),"Nancy Andrea")</f>
        <v>Nancy Andrea</v>
      </c>
      <c r="I17" s="1" t="str">
        <f>IFERROR(__xludf.DUMMYFUNCTION("""COMPUTED_VALUE"""),"Álvarez Díaz Nancy Andrea")</f>
        <v>Álvarez Díaz Nancy Andrea</v>
      </c>
      <c r="J17" s="10">
        <f>IFERROR(__xludf.DUMMYFUNCTION("""COMPUTED_VALUE"""),42125.0)</f>
        <v>42125</v>
      </c>
      <c r="K17" s="10">
        <f>IFERROR(__xludf.DUMMYFUNCTION("""COMPUTED_VALUE"""),24261.0)</f>
        <v>24261</v>
      </c>
      <c r="L17" s="1">
        <f>IFERROR(__xludf.DUMMYFUNCTION("""COMPUTED_VALUE"""),57.0)</f>
        <v>57</v>
      </c>
      <c r="M17" s="1" t="str">
        <f>IFERROR(__xludf.DUMMYFUNCTION("""COMPUTED_VALUE"""),"0001 Casado")</f>
        <v>0001 Casado</v>
      </c>
      <c r="N17" s="1"/>
      <c r="O17" s="10">
        <f>IFERROR(__xludf.DUMMYFUNCTION("""COMPUTED_VALUE"""),42125.0)</f>
        <v>42125</v>
      </c>
      <c r="P17" s="10">
        <f>IFERROR(__xludf.DUMMYFUNCTION("""COMPUTED_VALUE"""),42369.0)</f>
        <v>42369</v>
      </c>
      <c r="Q17" s="1" t="str">
        <f>IFERROR(__xludf.DUMMYFUNCTION("""COMPUTED_VALUE"""),"K Ad Honorem Contrata")</f>
        <v>K Ad Honorem Contrata</v>
      </c>
      <c r="R17" s="1" t="str">
        <f>IFERROR(__xludf.DUMMYFUNCTION("""COMPUTED_VALUE"""),"A Académico")</f>
        <v>A Académico</v>
      </c>
      <c r="S17" s="9" t="str">
        <f>IFERROR(__xludf.DUMMYFUNCTION("""COMPUTED_VALUE"""),"78849681")</f>
        <v>78849681</v>
      </c>
      <c r="T17" s="1" t="str">
        <f>IFERROR(__xludf.DUMMYFUNCTION("""COMPUTED_VALUE"""),"0078849681")</f>
        <v>0078849681</v>
      </c>
      <c r="U17" s="1">
        <f>IFERROR(__xludf.DUMMYFUNCTION("""COMPUTED_VALUE"""),6.0)</f>
        <v>6</v>
      </c>
      <c r="V17" s="1"/>
      <c r="W17" s="1"/>
      <c r="X17" s="1"/>
      <c r="Y17" s="1"/>
      <c r="Z17" s="1" t="str">
        <f>IFERROR(__xludf.DUMMYFUNCTION("""COMPUTED_VALUE"""),"T5276 Psicologo")</f>
        <v>T5276 Psicologo</v>
      </c>
    </row>
    <row r="18" hidden="1">
      <c r="A18" s="1" t="str">
        <f>IFERROR(__xludf.DUMMYFUNCTION("""COMPUTED_VALUE"""),"12090801 Departamento de Sociología")</f>
        <v>12090801 Departamento de Sociología</v>
      </c>
      <c r="B18" s="1" t="str">
        <f>IFERROR(__xludf.DUMMYFUNCTION("""COMPUTED_VALUE"""),"A3A001 Académico Prof. Asistente")</f>
        <v>A3A001 Académico Prof. Asistente</v>
      </c>
      <c r="C18" s="1" t="str">
        <f>IFERROR(__xludf.DUMMYFUNCTION("""COMPUTED_VALUE"""),"Prof. Asistente - Categ. Academica Ord.")</f>
        <v>Prof. Asistente - Categ. Academica Ord.</v>
      </c>
      <c r="D18" s="1" t="str">
        <f>IFERROR(__xludf.DUMMYFUNCTION("""COMPUTED_VALUE"""),"A3A Prof. Asistente - Categ. Academica Ord.")</f>
        <v>A3A Prof. Asistente - Categ. Academica Ord.</v>
      </c>
      <c r="E18" s="1" t="str">
        <f>IFERROR(__xludf.DUMMYFUNCTION("""COMPUTED_VALUE"""),"Masculino")</f>
        <v>Masculino</v>
      </c>
      <c r="F18" s="1" t="str">
        <f>IFERROR(__xludf.DUMMYFUNCTION("""COMPUTED_VALUE"""),"Alvayay")</f>
        <v>Alvayay</v>
      </c>
      <c r="G18" s="1" t="str">
        <f>IFERROR(__xludf.DUMMYFUNCTION("""COMPUTED_VALUE"""),"Jaña")</f>
        <v>Jaña</v>
      </c>
      <c r="H18" s="1" t="str">
        <f>IFERROR(__xludf.DUMMYFUNCTION("""COMPUTED_VALUE"""),"Jorge Rodrigo")</f>
        <v>Jorge Rodrigo</v>
      </c>
      <c r="I18" s="1" t="str">
        <f>IFERROR(__xludf.DUMMYFUNCTION("""COMPUTED_VALUE"""),"Alvayay Jaña Jorge Rodrigo")</f>
        <v>Alvayay Jaña Jorge Rodrigo</v>
      </c>
      <c r="J18" s="10">
        <f>IFERROR(__xludf.DUMMYFUNCTION("""COMPUTED_VALUE"""),25781.0)</f>
        <v>25781</v>
      </c>
      <c r="K18" s="10">
        <f>IFERROR(__xludf.DUMMYFUNCTION("""COMPUTED_VALUE"""),15213.0)</f>
        <v>15213</v>
      </c>
      <c r="L18" s="1">
        <f>IFERROR(__xludf.DUMMYFUNCTION("""COMPUTED_VALUE"""),82.0)</f>
        <v>82</v>
      </c>
      <c r="M18" s="1" t="str">
        <f>IFERROR(__xludf.DUMMYFUNCTION("""COMPUTED_VALUE"""),"0001 Casado")</f>
        <v>0001 Casado</v>
      </c>
      <c r="N18" s="1"/>
      <c r="O18" s="10">
        <f>IFERROR(__xludf.DUMMYFUNCTION("""COMPUTED_VALUE"""),34851.0)</f>
        <v>34851</v>
      </c>
      <c r="P18" s="10">
        <f>IFERROR(__xludf.DUMMYFUNCTION("""COMPUTED_VALUE"""),38467.0)</f>
        <v>38467</v>
      </c>
      <c r="Q18" s="1" t="str">
        <f>IFERROR(__xludf.DUMMYFUNCTION("""COMPUTED_VALUE"""),"P Propiedad")</f>
        <v>P Propiedad</v>
      </c>
      <c r="R18" s="1" t="str">
        <f>IFERROR(__xludf.DUMMYFUNCTION("""COMPUTED_VALUE"""),"A Académico")</f>
        <v>A Académico</v>
      </c>
      <c r="S18" s="9" t="str">
        <f>IFERROR(__xludf.DUMMYFUNCTION("""COMPUTED_VALUE"""),"47832519")</f>
        <v>47832519</v>
      </c>
      <c r="T18" s="1" t="str">
        <f>IFERROR(__xludf.DUMMYFUNCTION("""COMPUTED_VALUE"""),"0047832519")</f>
        <v>0047832519</v>
      </c>
      <c r="U18" s="1">
        <f>IFERROR(__xludf.DUMMYFUNCTION("""COMPUTED_VALUE"""),6.0)</f>
        <v>6</v>
      </c>
      <c r="V18" s="1" t="str">
        <f>IFERROR(__xludf.DUMMYFUNCTION("""COMPUTED_VALUE"""),"P0850 Magister")</f>
        <v>P0850 Magister</v>
      </c>
      <c r="W18" s="1">
        <f>IFERROR(__xludf.DUMMYFUNCTION("""COMPUTED_VALUE"""),25917.0)</f>
        <v>25917</v>
      </c>
      <c r="X18" s="1" t="str">
        <f>IFERROR(__xludf.DUMMYFUNCTION("""COMPUTED_VALUE"""),"Flacso")</f>
        <v>Flacso</v>
      </c>
      <c r="Y18" s="1" t="str">
        <f>IFERROR(__xludf.DUMMYFUNCTION("""COMPUTED_VALUE"""),"CHILE")</f>
        <v>CHILE</v>
      </c>
      <c r="Z18" s="1" t="str">
        <f>IFERROR(__xludf.DUMMYFUNCTION("""COMPUTED_VALUE"""),"T5082 Sociologo")</f>
        <v>T5082 Sociologo</v>
      </c>
    </row>
    <row r="19">
      <c r="A19" s="1" t="str">
        <f>IFERROR(__xludf.DUMMYFUNCTION("""COMPUTED_VALUE"""),"12090118 Dpto. de  Psicología (funcionamiento)")</f>
        <v>12090118 Dpto. de  Psicología (funcionamiento)</v>
      </c>
      <c r="B19" s="1" t="str">
        <f>IFERROR(__xludf.DUMMYFUNCTION("""COMPUTED_VALUE"""),"A3B001 Académico Prof. Asistente")</f>
        <v>A3B001 Académico Prof. Asistente</v>
      </c>
      <c r="C19" s="1" t="str">
        <f>IFERROR(__xludf.DUMMYFUNCTION("""COMPUTED_VALUE"""),"Prof. Asistente - Categ. Academica Doc.")</f>
        <v>Prof. Asistente - Categ. Academica Doc.</v>
      </c>
      <c r="D19" s="1" t="str">
        <f>IFERROR(__xludf.DUMMYFUNCTION("""COMPUTED_VALUE"""),"A3B Prof. Asistente - Categ. Academica Doc.")</f>
        <v>A3B Prof. Asistente - Categ. Academica Doc.</v>
      </c>
      <c r="E19" s="1" t="str">
        <f>IFERROR(__xludf.DUMMYFUNCTION("""COMPUTED_VALUE"""),"Masculino")</f>
        <v>Masculino</v>
      </c>
      <c r="F19" s="1" t="str">
        <f>IFERROR(__xludf.DUMMYFUNCTION("""COMPUTED_VALUE"""),"Antivilo")</f>
        <v>Antivilo</v>
      </c>
      <c r="G19" s="1" t="str">
        <f>IFERROR(__xludf.DUMMYFUNCTION("""COMPUTED_VALUE"""),"Bruna")</f>
        <v>Bruna</v>
      </c>
      <c r="H19" s="1" t="str">
        <f>IFERROR(__xludf.DUMMYFUNCTION("""COMPUTED_VALUE"""),"Andrés Felipe")</f>
        <v>Andrés Felipe</v>
      </c>
      <c r="I19" s="1" t="str">
        <f>IFERROR(__xludf.DUMMYFUNCTION("""COMPUTED_VALUE"""),"Antivilo Bruna Andrés Felipe")</f>
        <v>Antivilo Bruna Andrés Felipe</v>
      </c>
      <c r="J19" s="10">
        <f>IFERROR(__xludf.DUMMYFUNCTION("""COMPUTED_VALUE"""),38108.0)</f>
        <v>38108</v>
      </c>
      <c r="K19" s="10">
        <f>IFERROR(__xludf.DUMMYFUNCTION("""COMPUTED_VALUE"""),29324.0)</f>
        <v>29324</v>
      </c>
      <c r="L19" s="1">
        <f>IFERROR(__xludf.DUMMYFUNCTION("""COMPUTED_VALUE"""),43.0)</f>
        <v>43</v>
      </c>
      <c r="M19" s="1" t="str">
        <f>IFERROR(__xludf.DUMMYFUNCTION("""COMPUTED_VALUE"""),"0002 Soltero")</f>
        <v>0002 Soltero</v>
      </c>
      <c r="N19" s="1" t="str">
        <f>IFERROR(__xludf.DUMMYFUNCTION("""COMPUTED_VALUE"""),"N0040 Profesional Superior")</f>
        <v>N0040 Profesional Superior</v>
      </c>
      <c r="O19" s="10">
        <f>IFERROR(__xludf.DUMMYFUNCTION("""COMPUTED_VALUE"""),43466.0)</f>
        <v>43466</v>
      </c>
      <c r="P19" s="10">
        <f>IFERROR(__xludf.DUMMYFUNCTION("""COMPUTED_VALUE"""),43751.0)</f>
        <v>43751</v>
      </c>
      <c r="Q19" s="1" t="str">
        <f>IFERROR(__xludf.DUMMYFUNCTION("""COMPUTED_VALUE"""),"C Contrata")</f>
        <v>C Contrata</v>
      </c>
      <c r="R19" s="1" t="str">
        <f>IFERROR(__xludf.DUMMYFUNCTION("""COMPUTED_VALUE"""),"A Académico")</f>
        <v>A Académico</v>
      </c>
      <c r="S19" s="9" t="str">
        <f>IFERROR(__xludf.DUMMYFUNCTION("""COMPUTED_VALUE"""),"139041283")</f>
        <v>139041283</v>
      </c>
      <c r="T19" s="1" t="str">
        <f>IFERROR(__xludf.DUMMYFUNCTION("""COMPUTED_VALUE"""),"0139041283")</f>
        <v>0139041283</v>
      </c>
      <c r="U19" s="1">
        <f>IFERROR(__xludf.DUMMYFUNCTION("""COMPUTED_VALUE"""),21.0)</f>
        <v>21</v>
      </c>
      <c r="V19" s="1" t="str">
        <f>IFERROR(__xludf.DUMMYFUNCTION("""COMPUTED_VALUE"""),"P0800 Magíster")</f>
        <v>P0800 Magíster</v>
      </c>
      <c r="W19" s="1">
        <f>IFERROR(__xludf.DUMMYFUNCTION("""COMPUTED_VALUE"""),40203.0)</f>
        <v>40203</v>
      </c>
      <c r="X19" s="1" t="str">
        <f>IFERROR(__xludf.DUMMYFUNCTION("""COMPUTED_VALUE"""),"UNIV COMPLUTENSE MADRID")</f>
        <v>UNIV COMPLUTENSE MADRID</v>
      </c>
      <c r="Y19" s="1" t="str">
        <f>IFERROR(__xludf.DUMMYFUNCTION("""COMPUTED_VALUE"""),"ESPAÑA")</f>
        <v>ESPAÑA</v>
      </c>
      <c r="Z19" s="1" t="str">
        <f>IFERROR(__xludf.DUMMYFUNCTION("""COMPUTED_VALUE"""),"T5124 Psicologo")</f>
        <v>T5124 Psicologo</v>
      </c>
    </row>
    <row r="20">
      <c r="A20" s="1" t="str">
        <f>IFERROR(__xludf.DUMMYFUNCTION("""COMPUTED_VALUE"""),"12090118 Dpto. de  Psicología (funcionamiento)")</f>
        <v>12090118 Dpto. de  Psicología (funcionamiento)</v>
      </c>
      <c r="B20" s="1" t="str">
        <f>IFERROR(__xludf.DUMMYFUNCTION("""COMPUTED_VALUE"""),"A4A001 ACADEMICO  INSTRUCTOR")</f>
        <v>A4A001 ACADEMICO  INSTRUCTOR</v>
      </c>
      <c r="C20" s="1" t="str">
        <f>IFERROR(__xludf.DUMMYFUNCTION("""COMPUTED_VALUE"""),"Instructor")</f>
        <v>Instructor</v>
      </c>
      <c r="D20" s="1" t="str">
        <f>IFERROR(__xludf.DUMMYFUNCTION("""COMPUTED_VALUE"""),"A4A Instructor")</f>
        <v>A4A Instructor</v>
      </c>
      <c r="E20" s="1" t="str">
        <f>IFERROR(__xludf.DUMMYFUNCTION("""COMPUTED_VALUE"""),"Masculino")</f>
        <v>Masculino</v>
      </c>
      <c r="F20" s="1" t="str">
        <f>IFERROR(__xludf.DUMMYFUNCTION("""COMPUTED_VALUE"""),"Arboleda")</f>
        <v>Arboleda</v>
      </c>
      <c r="G20" s="1" t="str">
        <f>IFERROR(__xludf.DUMMYFUNCTION("""COMPUTED_VALUE"""),"Ariza")</f>
        <v>Ariza</v>
      </c>
      <c r="H20" s="1" t="str">
        <f>IFERROR(__xludf.DUMMYFUNCTION("""COMPUTED_VALUE"""),"Juan Carlos")</f>
        <v>Juan Carlos</v>
      </c>
      <c r="I20" s="1" t="str">
        <f>IFERROR(__xludf.DUMMYFUNCTION("""COMPUTED_VALUE"""),"Arboleda Ariza Juan Carlos")</f>
        <v>Arboleda Ariza Juan Carlos</v>
      </c>
      <c r="J20" s="10">
        <f>IFERROR(__xludf.DUMMYFUNCTION("""COMPUTED_VALUE"""),43405.0)</f>
        <v>43405</v>
      </c>
      <c r="K20" s="10">
        <f>IFERROR(__xludf.DUMMYFUNCTION("""COMPUTED_VALUE"""),30617.0)</f>
        <v>30617</v>
      </c>
      <c r="L20" s="1">
        <f>IFERROR(__xludf.DUMMYFUNCTION("""COMPUTED_VALUE"""),40.0)</f>
        <v>40</v>
      </c>
      <c r="M20" s="1" t="str">
        <f>IFERROR(__xludf.DUMMYFUNCTION("""COMPUTED_VALUE"""),"0002 Soltero")</f>
        <v>0002 Soltero</v>
      </c>
      <c r="N20" s="1" t="str">
        <f>IFERROR(__xludf.DUMMYFUNCTION("""COMPUTED_VALUE"""),"N0040 Profesional Superior")</f>
        <v>N0040 Profesional Superior</v>
      </c>
      <c r="O20" s="10">
        <f>IFERROR(__xludf.DUMMYFUNCTION("""COMPUTED_VALUE"""),43831.0)</f>
        <v>43831</v>
      </c>
      <c r="P20" s="10">
        <f>IFERROR(__xludf.DUMMYFUNCTION("""COMPUTED_VALUE"""),43921.0)</f>
        <v>43921</v>
      </c>
      <c r="Q20" s="1" t="str">
        <f>IFERROR(__xludf.DUMMYFUNCTION("""COMPUTED_VALUE"""),"K Ad Honorem Contrata")</f>
        <v>K Ad Honorem Contrata</v>
      </c>
      <c r="R20" s="1" t="str">
        <f>IFERROR(__xludf.DUMMYFUNCTION("""COMPUTED_VALUE"""),"A Académico")</f>
        <v>A Académico</v>
      </c>
      <c r="S20" s="9" t="str">
        <f>IFERROR(__xludf.DUMMYFUNCTION("""COMPUTED_VALUE"""),"257894703")</f>
        <v>257894703</v>
      </c>
      <c r="T20" s="1" t="str">
        <f>IFERROR(__xludf.DUMMYFUNCTION("""COMPUTED_VALUE"""),"0257894703")</f>
        <v>0257894703</v>
      </c>
      <c r="U20" s="1">
        <f>IFERROR(__xludf.DUMMYFUNCTION("""COMPUTED_VALUE"""),6.0)</f>
        <v>6</v>
      </c>
      <c r="V20" s="1"/>
      <c r="W20" s="1"/>
      <c r="X20" s="1"/>
      <c r="Y20" s="1"/>
      <c r="Z20" s="1" t="str">
        <f>IFERROR(__xludf.DUMMYFUNCTION("""COMPUTED_VALUE"""),"T5124 Psicologo")</f>
        <v>T5124 Psicologo</v>
      </c>
    </row>
    <row r="21" hidden="1">
      <c r="A21" s="1" t="str">
        <f>IFERROR(__xludf.DUMMYFUNCTION("""COMPUTED_VALUE"""),"12090801 Departamento de Sociología")</f>
        <v>12090801 Departamento de Sociología</v>
      </c>
      <c r="B21" s="1" t="str">
        <f>IFERROR(__xludf.DUMMYFUNCTION("""COMPUTED_VALUE"""),"A3A001 Académico Prof. Asistente")</f>
        <v>A3A001 Académico Prof. Asistente</v>
      </c>
      <c r="C21" s="1" t="str">
        <f>IFERROR(__xludf.DUMMYFUNCTION("""COMPUTED_VALUE"""),"Prof. Asistente - Categ. Academica Ord.")</f>
        <v>Prof. Asistente - Categ. Academica Ord.</v>
      </c>
      <c r="D21" s="1" t="str">
        <f>IFERROR(__xludf.DUMMYFUNCTION("""COMPUTED_VALUE"""),"A3A Prof. Asistente - Categ. Academica Ord.")</f>
        <v>A3A Prof. Asistente - Categ. Academica Ord.</v>
      </c>
      <c r="E21" s="1" t="str">
        <f>IFERROR(__xludf.DUMMYFUNCTION("""COMPUTED_VALUE"""),"Masculino")</f>
        <v>Masculino</v>
      </c>
      <c r="F21" s="1" t="str">
        <f>IFERROR(__xludf.DUMMYFUNCTION("""COMPUTED_VALUE"""),"Arrau")</f>
        <v>Arrau</v>
      </c>
      <c r="G21" s="1" t="str">
        <f>IFERROR(__xludf.DUMMYFUNCTION("""COMPUTED_VALUE"""),"Corominas")</f>
        <v>Corominas</v>
      </c>
      <c r="H21" s="1" t="str">
        <f>IFERROR(__xludf.DUMMYFUNCTION("""COMPUTED_VALUE"""),"Carlos Alfonso")</f>
        <v>Carlos Alfonso</v>
      </c>
      <c r="I21" s="1" t="str">
        <f>IFERROR(__xludf.DUMMYFUNCTION("""COMPUTED_VALUE"""),"Arrau Corominas Carlos Alfonso")</f>
        <v>Arrau Corominas Carlos Alfonso</v>
      </c>
      <c r="J21" s="10">
        <f>IFERROR(__xludf.DUMMYFUNCTION("""COMPUTED_VALUE"""),29129.0)</f>
        <v>29129</v>
      </c>
      <c r="K21" s="10">
        <f>IFERROR(__xludf.DUMMYFUNCTION("""COMPUTED_VALUE"""),15312.0)</f>
        <v>15312</v>
      </c>
      <c r="L21" s="1">
        <f>IFERROR(__xludf.DUMMYFUNCTION("""COMPUTED_VALUE"""),82.0)</f>
        <v>82</v>
      </c>
      <c r="M21" s="1" t="str">
        <f>IFERROR(__xludf.DUMMYFUNCTION("""COMPUTED_VALUE"""),"0001 Casado")</f>
        <v>0001 Casado</v>
      </c>
      <c r="N21" s="1"/>
      <c r="O21" s="10">
        <f>IFERROR(__xludf.DUMMYFUNCTION("""COMPUTED_VALUE"""),38200.0)</f>
        <v>38200</v>
      </c>
      <c r="P21" s="10">
        <f>IFERROR(__xludf.DUMMYFUNCTION("""COMPUTED_VALUE"""),38321.0)</f>
        <v>38321</v>
      </c>
      <c r="Q21" s="1" t="str">
        <f>IFERROR(__xludf.DUMMYFUNCTION("""COMPUTED_VALUE"""),"C Contrata")</f>
        <v>C Contrata</v>
      </c>
      <c r="R21" s="1" t="str">
        <f>IFERROR(__xludf.DUMMYFUNCTION("""COMPUTED_VALUE"""),"A Académico")</f>
        <v>A Académico</v>
      </c>
      <c r="S21" s="9" t="str">
        <f>IFERROR(__xludf.DUMMYFUNCTION("""COMPUTED_VALUE"""),"36377488")</f>
        <v>36377488</v>
      </c>
      <c r="T21" s="1" t="str">
        <f>IFERROR(__xludf.DUMMYFUNCTION("""COMPUTED_VALUE"""),"0036377488")</f>
        <v>0036377488</v>
      </c>
      <c r="U21" s="1">
        <f>IFERROR(__xludf.DUMMYFUNCTION("""COMPUTED_VALUE"""),22.0)</f>
        <v>22</v>
      </c>
      <c r="V21" s="1" t="str">
        <f>IFERROR(__xludf.DUMMYFUNCTION("""COMPUTED_VALUE"""),"P0900 Doctor")</f>
        <v>P0900 Doctor</v>
      </c>
      <c r="W21" s="1">
        <f>IFERROR(__xludf.DUMMYFUNCTION("""COMPUTED_VALUE"""),26436.0)</f>
        <v>26436</v>
      </c>
      <c r="X21" s="1" t="str">
        <f>IFERROR(__xludf.DUMMYFUNCTION("""COMPUTED_VALUE"""),"Universidad De Saint Louis - Washington")</f>
        <v>Universidad De Saint Louis - Washington</v>
      </c>
      <c r="Y21" s="1" t="str">
        <f>IFERROR(__xludf.DUMMYFUNCTION("""COMPUTED_VALUE"""),"ESTADOS UNIDOS")</f>
        <v>ESTADOS UNIDOS</v>
      </c>
      <c r="Z21" s="1"/>
    </row>
    <row r="22">
      <c r="A22" s="1" t="str">
        <f>IFERROR(__xludf.DUMMYFUNCTION("""COMPUTED_VALUE"""),"12090801 Departamento de Sociología")</f>
        <v>12090801 Departamento de Sociología</v>
      </c>
      <c r="B22" s="1" t="str">
        <f>IFERROR(__xludf.DUMMYFUNCTION("""COMPUTED_VALUE"""),"002063 ACADEMICO MEDIA JORNADA")</f>
        <v>002063 ACADEMICO MEDIA JORNADA</v>
      </c>
      <c r="C22" s="1" t="str">
        <f>IFERROR(__xludf.DUMMYFUNCTION("""COMPUTED_VALUE"""),"Prof. Asociado - Categ. Academica Doc.")</f>
        <v>Prof. Asociado - Categ. Academica Doc.</v>
      </c>
      <c r="D22" s="1" t="str">
        <f>IFERROR(__xludf.DUMMYFUNCTION("""COMPUTED_VALUE"""),"A2B Prof. Asociado - Categ. Academica Doc.")</f>
        <v>A2B Prof. Asociado - Categ. Academica Doc.</v>
      </c>
      <c r="E22" s="1" t="str">
        <f>IFERROR(__xludf.DUMMYFUNCTION("""COMPUTED_VALUE"""),"Masculino")</f>
        <v>Masculino</v>
      </c>
      <c r="F22" s="1" t="str">
        <f>IFERROR(__xludf.DUMMYFUNCTION("""COMPUTED_VALUE"""),"Arriagada")</f>
        <v>Arriagada</v>
      </c>
      <c r="G22" s="1" t="str">
        <f>IFERROR(__xludf.DUMMYFUNCTION("""COMPUTED_VALUE"""),"Luco")</f>
        <v>Luco</v>
      </c>
      <c r="H22" s="1" t="str">
        <f>IFERROR(__xludf.DUMMYFUNCTION("""COMPUTED_VALUE"""),"Camilo Ramón")</f>
        <v>Camilo Ramón</v>
      </c>
      <c r="I22" s="1" t="str">
        <f>IFERROR(__xludf.DUMMYFUNCTION("""COMPUTED_VALUE"""),"Arriagada Luco Camilo Ramón")</f>
        <v>Arriagada Luco Camilo Ramón</v>
      </c>
      <c r="J22" s="10">
        <f>IFERROR(__xludf.DUMMYFUNCTION("""COMPUTED_VALUE"""),39517.0)</f>
        <v>39517</v>
      </c>
      <c r="K22" s="10">
        <f>IFERROR(__xludf.DUMMYFUNCTION("""COMPUTED_VALUE"""),23311.0)</f>
        <v>23311</v>
      </c>
      <c r="L22" s="1">
        <f>IFERROR(__xludf.DUMMYFUNCTION("""COMPUTED_VALUE"""),60.0)</f>
        <v>60</v>
      </c>
      <c r="M22" s="1" t="str">
        <f>IFERROR(__xludf.DUMMYFUNCTION("""COMPUTED_VALUE"""),"0001 Casado")</f>
        <v>0001 Casado</v>
      </c>
      <c r="N22" s="1" t="str">
        <f>IFERROR(__xludf.DUMMYFUNCTION("""COMPUTED_VALUE"""),"N0040 Profesional Superior")</f>
        <v>N0040 Profesional Superior</v>
      </c>
      <c r="O22" s="10">
        <f>IFERROR(__xludf.DUMMYFUNCTION("""COMPUTED_VALUE"""),39517.0)</f>
        <v>39517</v>
      </c>
      <c r="P22" s="10">
        <f>IFERROR(__xludf.DUMMYFUNCTION("""COMPUTED_VALUE"""),41333.0)</f>
        <v>41333</v>
      </c>
      <c r="Q22" s="1" t="str">
        <f>IFERROR(__xludf.DUMMYFUNCTION("""COMPUTED_VALUE"""),"P Propiedad")</f>
        <v>P Propiedad</v>
      </c>
      <c r="R22" s="1" t="str">
        <f>IFERROR(__xludf.DUMMYFUNCTION("""COMPUTED_VALUE"""),"A Académico")</f>
        <v>A Académico</v>
      </c>
      <c r="S22" s="9" t="str">
        <f>IFERROR(__xludf.DUMMYFUNCTION("""COMPUTED_VALUE"""),"008978610K")</f>
        <v>008978610K</v>
      </c>
      <c r="T22" s="1" t="str">
        <f>IFERROR(__xludf.DUMMYFUNCTION("""COMPUTED_VALUE"""),"008978610K")</f>
        <v>008978610K</v>
      </c>
      <c r="U22" s="1">
        <f>IFERROR(__xludf.DUMMYFUNCTION("""COMPUTED_VALUE"""),22.0)</f>
        <v>22</v>
      </c>
      <c r="V22" s="1" t="str">
        <f>IFERROR(__xludf.DUMMYFUNCTION("""COMPUTED_VALUE"""),"P0900 Doctor")</f>
        <v>P0900 Doctor</v>
      </c>
      <c r="W22" s="1">
        <f>IFERROR(__xludf.DUMMYFUNCTION("""COMPUTED_VALUE"""),41540.0)</f>
        <v>41540</v>
      </c>
      <c r="X22" s="1" t="str">
        <f>IFERROR(__xludf.DUMMYFUNCTION("""COMPUTED_VALUE"""),"FACULTAD LATINOAMERICANA DE CIENCIAS SOCIALES")</f>
        <v>FACULTAD LATINOAMERICANA DE CIENCIAS SOCIALES</v>
      </c>
      <c r="Y22" s="1" t="str">
        <f>IFERROR(__xludf.DUMMYFUNCTION("""COMPUTED_VALUE"""),"COSTA RICA")</f>
        <v>COSTA RICA</v>
      </c>
      <c r="Z22" s="1" t="str">
        <f>IFERROR(__xludf.DUMMYFUNCTION("""COMPUTED_VALUE"""),"T5082 Sociologo")</f>
        <v>T5082 Sociologo</v>
      </c>
    </row>
    <row r="23">
      <c r="A23" s="1" t="str">
        <f>IFERROR(__xludf.DUMMYFUNCTION("""COMPUTED_VALUE"""),"12090116 Dpto. de Antropología (funcionamiento)")</f>
        <v>12090116 Dpto. de Antropología (funcionamiento)</v>
      </c>
      <c r="B23" s="1" t="str">
        <f>IFERROR(__xludf.DUMMYFUNCTION("""COMPUTED_VALUE"""),"A2A001 Académico Prof. Asociado")</f>
        <v>A2A001 Académico Prof. Asociado</v>
      </c>
      <c r="C23" s="1" t="str">
        <f>IFERROR(__xludf.DUMMYFUNCTION("""COMPUTED_VALUE"""),"Prof. Asociado - Categ. Academica Ord.")</f>
        <v>Prof. Asociado - Categ. Academica Ord.</v>
      </c>
      <c r="D23" s="1" t="str">
        <f>IFERROR(__xludf.DUMMYFUNCTION("""COMPUTED_VALUE"""),"A2A Prof. Asociado - Categ. Academica Ord.")</f>
        <v>A2A Prof. Asociado - Categ. Academica Ord.</v>
      </c>
      <c r="E23" s="1" t="str">
        <f>IFERROR(__xludf.DUMMYFUNCTION("""COMPUTED_VALUE"""),"Masculino")</f>
        <v>Masculino</v>
      </c>
      <c r="F23" s="1" t="str">
        <f>IFERROR(__xludf.DUMMYFUNCTION("""COMPUTED_VALUE"""),"Aspillaga")</f>
        <v>Aspillaga</v>
      </c>
      <c r="G23" s="1" t="str">
        <f>IFERROR(__xludf.DUMMYFUNCTION("""COMPUTED_VALUE"""),"Fontaine")</f>
        <v>Fontaine</v>
      </c>
      <c r="H23" s="1" t="str">
        <f>IFERROR(__xludf.DUMMYFUNCTION("""COMPUTED_VALUE"""),"Eugenio Armando")</f>
        <v>Eugenio Armando</v>
      </c>
      <c r="I23" s="1" t="str">
        <f>IFERROR(__xludf.DUMMYFUNCTION("""COMPUTED_VALUE"""),"Aspillaga Fontaine Eugenio Armando")</f>
        <v>Aspillaga Fontaine Eugenio Armando</v>
      </c>
      <c r="J23" s="10">
        <f>IFERROR(__xludf.DUMMYFUNCTION("""COMPUTED_VALUE"""),30164.0)</f>
        <v>30164</v>
      </c>
      <c r="K23" s="10">
        <f>IFERROR(__xludf.DUMMYFUNCTION("""COMPUTED_VALUE"""),19768.0)</f>
        <v>19768</v>
      </c>
      <c r="L23" s="1">
        <f>IFERROR(__xludf.DUMMYFUNCTION("""COMPUTED_VALUE"""),69.0)</f>
        <v>69</v>
      </c>
      <c r="M23" s="1" t="str">
        <f>IFERROR(__xludf.DUMMYFUNCTION("""COMPUTED_VALUE"""),"0001 Casado")</f>
        <v>0001 Casado</v>
      </c>
      <c r="N23" s="1"/>
      <c r="O23" s="10">
        <f>IFERROR(__xludf.DUMMYFUNCTION("""COMPUTED_VALUE"""),44029.0)</f>
        <v>44029</v>
      </c>
      <c r="P23" s="10">
        <f>IFERROR(__xludf.DUMMYFUNCTION("""COMPUTED_VALUE"""),44063.0)</f>
        <v>44063</v>
      </c>
      <c r="Q23" s="1" t="str">
        <f>IFERROR(__xludf.DUMMYFUNCTION("""COMPUTED_VALUE"""),"C Contrata")</f>
        <v>C Contrata</v>
      </c>
      <c r="R23" s="1" t="str">
        <f>IFERROR(__xludf.DUMMYFUNCTION("""COMPUTED_VALUE"""),"A Académico")</f>
        <v>A Académico</v>
      </c>
      <c r="S23" s="9" t="str">
        <f>IFERROR(__xludf.DUMMYFUNCTION("""COMPUTED_VALUE"""),"60186960")</f>
        <v>60186960</v>
      </c>
      <c r="T23" s="1" t="str">
        <f>IFERROR(__xludf.DUMMYFUNCTION("""COMPUTED_VALUE"""),"0060186960")</f>
        <v>0060186960</v>
      </c>
      <c r="U23" s="1">
        <f>IFERROR(__xludf.DUMMYFUNCTION("""COMPUTED_VALUE"""),44.0)</f>
        <v>44</v>
      </c>
      <c r="V23" s="1"/>
      <c r="W23" s="1"/>
      <c r="X23" s="1"/>
      <c r="Y23" s="1"/>
      <c r="Z23" s="1" t="str">
        <f>IFERROR(__xludf.DUMMYFUNCTION("""COMPUTED_VALUE"""),"T5079 Profesor De Biologia Y Cs Naturales")</f>
        <v>T5079 Profesor De Biologia Y Cs Naturales</v>
      </c>
    </row>
    <row r="24">
      <c r="A24" s="1" t="str">
        <f>IFERROR(__xludf.DUMMYFUNCTION("""COMPUTED_VALUE"""),"12090118 Dpto. de  Psicología (funcionamiento)")</f>
        <v>12090118 Dpto. de  Psicología (funcionamiento)</v>
      </c>
      <c r="B24" s="1" t="str">
        <f>IFERROR(__xludf.DUMMYFUNCTION("""COMPUTED_VALUE"""),"A1B001 Académico Prof. Titular")</f>
        <v>A1B001 Académico Prof. Titular</v>
      </c>
      <c r="C24" s="1" t="str">
        <f>IFERROR(__xludf.DUMMYFUNCTION("""COMPUTED_VALUE"""),"Prof.Titular - Categ. Academica Doc.")</f>
        <v>Prof.Titular - Categ. Academica Doc.</v>
      </c>
      <c r="D24" s="1" t="str">
        <f>IFERROR(__xludf.DUMMYFUNCTION("""COMPUTED_VALUE"""),"A1B Prof.Titular - Categ. Academica Doc.")</f>
        <v>A1B Prof.Titular - Categ. Academica Doc.</v>
      </c>
      <c r="E24" s="1" t="str">
        <f>IFERROR(__xludf.DUMMYFUNCTION("""COMPUTED_VALUE"""),"Femenino")</f>
        <v>Femenino</v>
      </c>
      <c r="F24" s="1" t="str">
        <f>IFERROR(__xludf.DUMMYFUNCTION("""COMPUTED_VALUE"""),"Assael")</f>
        <v>Assael</v>
      </c>
      <c r="G24" s="1" t="str">
        <f>IFERROR(__xludf.DUMMYFUNCTION("""COMPUTED_VALUE"""),"Budnik")</f>
        <v>Budnik</v>
      </c>
      <c r="H24" s="1" t="str">
        <f>IFERROR(__xludf.DUMMYFUNCTION("""COMPUTED_VALUE"""),"Jenny")</f>
        <v>Jenny</v>
      </c>
      <c r="I24" s="1" t="str">
        <f>IFERROR(__xludf.DUMMYFUNCTION("""COMPUTED_VALUE"""),"Assael Budnik Jenny")</f>
        <v>Assael Budnik Jenny</v>
      </c>
      <c r="J24" s="10">
        <f>IFERROR(__xludf.DUMMYFUNCTION("""COMPUTED_VALUE"""),34912.0)</f>
        <v>34912</v>
      </c>
      <c r="K24" s="10">
        <f>IFERROR(__xludf.DUMMYFUNCTION("""COMPUTED_VALUE"""),21242.0)</f>
        <v>21242</v>
      </c>
      <c r="L24" s="1">
        <f>IFERROR(__xludf.DUMMYFUNCTION("""COMPUTED_VALUE"""),65.0)</f>
        <v>65</v>
      </c>
      <c r="M24" s="1" t="str">
        <f>IFERROR(__xludf.DUMMYFUNCTION("""COMPUTED_VALUE"""),"0001 Casado")</f>
        <v>0001 Casado</v>
      </c>
      <c r="N24" s="1" t="str">
        <f>IFERROR(__xludf.DUMMYFUNCTION("""COMPUTED_VALUE"""),"N0040 Profesional Superior")</f>
        <v>N0040 Profesional Superior</v>
      </c>
      <c r="O24" s="10">
        <f>IFERROR(__xludf.DUMMYFUNCTION("""COMPUTED_VALUE"""),43647.0)</f>
        <v>43647</v>
      </c>
      <c r="P24" s="10">
        <f>IFERROR(__xludf.DUMMYFUNCTION("""COMPUTED_VALUE"""),73050.0)</f>
        <v>73050</v>
      </c>
      <c r="Q24" s="1" t="str">
        <f>IFERROR(__xludf.DUMMYFUNCTION("""COMPUTED_VALUE"""),"P Propiedad")</f>
        <v>P Propiedad</v>
      </c>
      <c r="R24" s="1" t="str">
        <f>IFERROR(__xludf.DUMMYFUNCTION("""COMPUTED_VALUE"""),"A Académico")</f>
        <v>A Académico</v>
      </c>
      <c r="S24" s="9" t="str">
        <f>IFERROR(__xludf.DUMMYFUNCTION("""COMPUTED_VALUE"""),"64935976")</f>
        <v>64935976</v>
      </c>
      <c r="T24" s="1" t="str">
        <f>IFERROR(__xludf.DUMMYFUNCTION("""COMPUTED_VALUE"""),"0064935976")</f>
        <v>0064935976</v>
      </c>
      <c r="U24" s="1">
        <f>IFERROR(__xludf.DUMMYFUNCTION("""COMPUTED_VALUE"""),44.0)</f>
        <v>44</v>
      </c>
      <c r="V24" s="1"/>
      <c r="W24" s="1"/>
      <c r="X24" s="1"/>
      <c r="Y24" s="1"/>
      <c r="Z24" s="1" t="str">
        <f>IFERROR(__xludf.DUMMYFUNCTION("""COMPUTED_VALUE"""),"T5124 Psicologo")</f>
        <v>T5124 Psicologo</v>
      </c>
    </row>
    <row r="25" hidden="1">
      <c r="A25" s="1" t="str">
        <f>IFERROR(__xludf.DUMMYFUNCTION("""COMPUTED_VALUE"""),"12090119 Dpto. de Sociología (funcionamiento)")</f>
        <v>12090119 Dpto. de Sociología (funcionamiento)</v>
      </c>
      <c r="B25" s="1" t="str">
        <f>IFERROR(__xludf.DUMMYFUNCTION("""COMPUTED_VALUE"""),"A1B001 Académico Prof. Titular")</f>
        <v>A1B001 Académico Prof. Titular</v>
      </c>
      <c r="C25" s="1" t="str">
        <f>IFERROR(__xludf.DUMMYFUNCTION("""COMPUTED_VALUE"""),"Prof.Titular - Categ. Academica Doc.")</f>
        <v>Prof.Titular - Categ. Academica Doc.</v>
      </c>
      <c r="D25" s="1" t="str">
        <f>IFERROR(__xludf.DUMMYFUNCTION("""COMPUTED_VALUE"""),"A1B Prof.Titular - Categ. Academica Doc.")</f>
        <v>A1B Prof.Titular - Categ. Academica Doc.</v>
      </c>
      <c r="E25" s="1" t="str">
        <f>IFERROR(__xludf.DUMMYFUNCTION("""COMPUTED_VALUE"""),"Masculino")</f>
        <v>Masculino</v>
      </c>
      <c r="F25" s="1" t="str">
        <f>IFERROR(__xludf.DUMMYFUNCTION("""COMPUTED_VALUE"""),"Atria")</f>
        <v>Atria</v>
      </c>
      <c r="G25" s="1" t="str">
        <f>IFERROR(__xludf.DUMMYFUNCTION("""COMPUTED_VALUE"""),"Benapres")</f>
        <v>Benapres</v>
      </c>
      <c r="H25" s="1" t="str">
        <f>IFERROR(__xludf.DUMMYFUNCTION("""COMPUTED_VALUE"""),"Raul Guillermo")</f>
        <v>Raul Guillermo</v>
      </c>
      <c r="I25" s="1" t="str">
        <f>IFERROR(__xludf.DUMMYFUNCTION("""COMPUTED_VALUE"""),"Atria Benapres Raul Guillermo")</f>
        <v>Atria Benapres Raul Guillermo</v>
      </c>
      <c r="J25" s="10">
        <f>IFERROR(__xludf.DUMMYFUNCTION("""COMPUTED_VALUE"""),33329.0)</f>
        <v>33329</v>
      </c>
      <c r="K25" s="10">
        <f>IFERROR(__xludf.DUMMYFUNCTION("""COMPUTED_VALUE"""),15184.0)</f>
        <v>15184</v>
      </c>
      <c r="L25" s="1">
        <f>IFERROR(__xludf.DUMMYFUNCTION("""COMPUTED_VALUE"""),82.0)</f>
        <v>82</v>
      </c>
      <c r="M25" s="1" t="str">
        <f>IFERROR(__xludf.DUMMYFUNCTION("""COMPUTED_VALUE"""),"0001 Casado")</f>
        <v>0001 Casado</v>
      </c>
      <c r="N25" s="1"/>
      <c r="O25" s="10">
        <f>IFERROR(__xludf.DUMMYFUNCTION("""COMPUTED_VALUE"""),44805.0)</f>
        <v>44805</v>
      </c>
      <c r="P25" s="10">
        <f>IFERROR(__xludf.DUMMYFUNCTION("""COMPUTED_VALUE"""),73050.0)</f>
        <v>73050</v>
      </c>
      <c r="Q25" s="1" t="str">
        <f>IFERROR(__xludf.DUMMYFUNCTION("""COMPUTED_VALUE"""),"P Propiedad")</f>
        <v>P Propiedad</v>
      </c>
      <c r="R25" s="1" t="str">
        <f>IFERROR(__xludf.DUMMYFUNCTION("""COMPUTED_VALUE"""),"A Académico")</f>
        <v>A Académico</v>
      </c>
      <c r="S25" s="9" t="str">
        <f>IFERROR(__xludf.DUMMYFUNCTION("""COMPUTED_VALUE"""),"43664433")</f>
        <v>43664433</v>
      </c>
      <c r="T25" s="1" t="str">
        <f>IFERROR(__xludf.DUMMYFUNCTION("""COMPUTED_VALUE"""),"0043664433")</f>
        <v>0043664433</v>
      </c>
      <c r="U25" s="1">
        <f>IFERROR(__xludf.DUMMYFUNCTION("""COMPUTED_VALUE"""),44.0)</f>
        <v>44</v>
      </c>
      <c r="V25" s="1" t="str">
        <f>IFERROR(__xludf.DUMMYFUNCTION("""COMPUTED_VALUE"""),"P0401 Licenciado")</f>
        <v>P0401 Licenciado</v>
      </c>
      <c r="W25" s="1">
        <f>IFERROR(__xludf.DUMMYFUNCTION("""COMPUTED_VALUE"""),24473.0)</f>
        <v>24473</v>
      </c>
      <c r="X25" s="1" t="str">
        <f>IFERROR(__xludf.DUMMYFUNCTION("""COMPUTED_VALUE"""),"Pontificia Universidad Catolica De Chile")</f>
        <v>Pontificia Universidad Catolica De Chile</v>
      </c>
      <c r="Y25" s="1" t="str">
        <f>IFERROR(__xludf.DUMMYFUNCTION("""COMPUTED_VALUE"""),"CHILE")</f>
        <v>CHILE</v>
      </c>
      <c r="Z25" s="1" t="str">
        <f>IFERROR(__xludf.DUMMYFUNCTION("""COMPUTED_VALUE"""),"T5082 Sociologo")</f>
        <v>T5082 Sociologo</v>
      </c>
    </row>
    <row r="26" hidden="1">
      <c r="A26" s="1" t="str">
        <f>IFERROR(__xludf.DUMMYFUNCTION("""COMPUTED_VALUE"""),"12090801 Departamento de Sociología")</f>
        <v>12090801 Departamento de Sociología</v>
      </c>
      <c r="B26" s="1" t="str">
        <f>IFERROR(__xludf.DUMMYFUNCTION("""COMPUTED_VALUE"""),"A7A001 ACADEMICO PROF. ADJUNTO")</f>
        <v>A7A001 ACADEMICO PROF. ADJUNTO</v>
      </c>
      <c r="C26" s="1" t="str">
        <f>IFERROR(__xludf.DUMMYFUNCTION("""COMPUTED_VALUE"""),"Prof. Adjunto")</f>
        <v>Prof. Adjunto</v>
      </c>
      <c r="D26" s="1" t="str">
        <f>IFERROR(__xludf.DUMMYFUNCTION("""COMPUTED_VALUE"""),"A7A Prof. Adjunto")</f>
        <v>A7A Prof. Adjunto</v>
      </c>
      <c r="E26" s="1" t="str">
        <f>IFERROR(__xludf.DUMMYFUNCTION("""COMPUTED_VALUE"""),"Masculino")</f>
        <v>Masculino</v>
      </c>
      <c r="F26" s="1" t="str">
        <f>IFERROR(__xludf.DUMMYFUNCTION("""COMPUTED_VALUE"""),"Aymerich")</f>
        <v>Aymerich</v>
      </c>
      <c r="G26" s="1" t="str">
        <f>IFERROR(__xludf.DUMMYFUNCTION("""COMPUTED_VALUE"""),"Hegnauer")</f>
        <v>Hegnauer</v>
      </c>
      <c r="H26" s="1" t="str">
        <f>IFERROR(__xludf.DUMMYFUNCTION("""COMPUTED_VALUE"""),"Jaime Humberto")</f>
        <v>Jaime Humberto</v>
      </c>
      <c r="I26" s="1" t="str">
        <f>IFERROR(__xludf.DUMMYFUNCTION("""COMPUTED_VALUE"""),"Aymerich Hegnauer Jaime Humberto")</f>
        <v>Aymerich Hegnauer Jaime Humberto</v>
      </c>
      <c r="J26" s="10">
        <f>IFERROR(__xludf.DUMMYFUNCTION("""COMPUTED_VALUE"""),25781.0)</f>
        <v>25781</v>
      </c>
      <c r="K26" s="10">
        <f>IFERROR(__xludf.DUMMYFUNCTION("""COMPUTED_VALUE"""),15146.0)</f>
        <v>15146</v>
      </c>
      <c r="L26" s="1">
        <f>IFERROR(__xludf.DUMMYFUNCTION("""COMPUTED_VALUE"""),82.0)</f>
        <v>82</v>
      </c>
      <c r="M26" s="1" t="str">
        <f>IFERROR(__xludf.DUMMYFUNCTION("""COMPUTED_VALUE"""),"0003 Viudo")</f>
        <v>0003 Viudo</v>
      </c>
      <c r="N26" s="1" t="str">
        <f>IFERROR(__xludf.DUMMYFUNCTION("""COMPUTED_VALUE"""),"N0040 Profesional Superior")</f>
        <v>N0040 Profesional Superior</v>
      </c>
      <c r="O26" s="10">
        <f>IFERROR(__xludf.DUMMYFUNCTION("""COMPUTED_VALUE"""),38718.0)</f>
        <v>38718</v>
      </c>
      <c r="P26" s="10">
        <f>IFERROR(__xludf.DUMMYFUNCTION("""COMPUTED_VALUE"""),38807.0)</f>
        <v>38807</v>
      </c>
      <c r="Q26" s="1" t="str">
        <f>IFERROR(__xludf.DUMMYFUNCTION("""COMPUTED_VALUE"""),"C Contrata")</f>
        <v>C Contrata</v>
      </c>
      <c r="R26" s="1" t="str">
        <f>IFERROR(__xludf.DUMMYFUNCTION("""COMPUTED_VALUE"""),"A Académico")</f>
        <v>A Académico</v>
      </c>
      <c r="S26" s="9" t="str">
        <f>IFERROR(__xludf.DUMMYFUNCTION("""COMPUTED_VALUE"""),"004200815K")</f>
        <v>004200815K</v>
      </c>
      <c r="T26" s="1" t="str">
        <f>IFERROR(__xludf.DUMMYFUNCTION("""COMPUTED_VALUE"""),"004200815K")</f>
        <v>004200815K</v>
      </c>
      <c r="U26" s="1">
        <f>IFERROR(__xludf.DUMMYFUNCTION("""COMPUTED_VALUE"""),12.0)</f>
        <v>12</v>
      </c>
      <c r="V26" s="1" t="str">
        <f>IFERROR(__xludf.DUMMYFUNCTION("""COMPUTED_VALUE"""),"P0401 Licenciado")</f>
        <v>P0401 Licenciado</v>
      </c>
      <c r="W26" s="1">
        <f>IFERROR(__xludf.DUMMYFUNCTION("""COMPUTED_VALUE"""),25302.0)</f>
        <v>25302</v>
      </c>
      <c r="X26" s="1" t="str">
        <f>IFERROR(__xludf.DUMMYFUNCTION("""COMPUTED_VALUE"""),"Universidad De Chile")</f>
        <v>Universidad De Chile</v>
      </c>
      <c r="Y26" s="1" t="str">
        <f>IFERROR(__xludf.DUMMYFUNCTION("""COMPUTED_VALUE"""),"CHILE")</f>
        <v>CHILE</v>
      </c>
      <c r="Z26" s="1" t="str">
        <f>IFERROR(__xludf.DUMMYFUNCTION("""COMPUTED_VALUE"""),"T5063 Licenciado en Sociologia")</f>
        <v>T5063 Licenciado en Sociologia</v>
      </c>
    </row>
    <row r="27">
      <c r="A27" s="1" t="str">
        <f>IFERROR(__xludf.DUMMYFUNCTION("""COMPUTED_VALUE"""),"12090118 Dpto. de  Psicología (funcionamiento)")</f>
        <v>12090118 Dpto. de  Psicología (funcionamiento)</v>
      </c>
      <c r="B27" s="1" t="str">
        <f>IFERROR(__xludf.DUMMYFUNCTION("""COMPUTED_VALUE"""),"A4A001 ACADEMICO  INSTRUCTOR")</f>
        <v>A4A001 ACADEMICO  INSTRUCTOR</v>
      </c>
      <c r="C27" s="1" t="str">
        <f>IFERROR(__xludf.DUMMYFUNCTION("""COMPUTED_VALUE"""),"Instructor")</f>
        <v>Instructor</v>
      </c>
      <c r="D27" s="1" t="str">
        <f>IFERROR(__xludf.DUMMYFUNCTION("""COMPUTED_VALUE"""),"A4A Instructor")</f>
        <v>A4A Instructor</v>
      </c>
      <c r="E27" s="1" t="str">
        <f>IFERROR(__xludf.DUMMYFUNCTION("""COMPUTED_VALUE"""),"Femenino")</f>
        <v>Femenino</v>
      </c>
      <c r="F27" s="1" t="str">
        <f>IFERROR(__xludf.DUMMYFUNCTION("""COMPUTED_VALUE"""),"Bardelli")</f>
        <v>Bardelli</v>
      </c>
      <c r="G27" s="1" t="str">
        <f>IFERROR(__xludf.DUMMYFUNCTION("""COMPUTED_VALUE"""),"González")</f>
        <v>González</v>
      </c>
      <c r="H27" s="1" t="str">
        <f>IFERROR(__xludf.DUMMYFUNCTION("""COMPUTED_VALUE"""),"Marta Andrea")</f>
        <v>Marta Andrea</v>
      </c>
      <c r="I27" s="1" t="str">
        <f>IFERROR(__xludf.DUMMYFUNCTION("""COMPUTED_VALUE"""),"Bardelli González Marta Andrea")</f>
        <v>Bardelli González Marta Andrea</v>
      </c>
      <c r="J27" s="10">
        <f>IFERROR(__xludf.DUMMYFUNCTION("""COMPUTED_VALUE"""),42583.0)</f>
        <v>42583</v>
      </c>
      <c r="K27" s="10">
        <f>IFERROR(__xludf.DUMMYFUNCTION("""COMPUTED_VALUE"""),27093.0)</f>
        <v>27093</v>
      </c>
      <c r="L27" s="1">
        <f>IFERROR(__xludf.DUMMYFUNCTION("""COMPUTED_VALUE"""),49.0)</f>
        <v>49</v>
      </c>
      <c r="M27" s="1" t="str">
        <f>IFERROR(__xludf.DUMMYFUNCTION("""COMPUTED_VALUE"""),"0002 Soltero")</f>
        <v>0002 Soltero</v>
      </c>
      <c r="N27" s="1"/>
      <c r="O27" s="10">
        <f>IFERROR(__xludf.DUMMYFUNCTION("""COMPUTED_VALUE"""),42736.0)</f>
        <v>42736</v>
      </c>
      <c r="P27" s="10">
        <f>IFERROR(__xludf.DUMMYFUNCTION("""COMPUTED_VALUE"""),42855.0)</f>
        <v>42855</v>
      </c>
      <c r="Q27" s="1" t="str">
        <f>IFERROR(__xludf.DUMMYFUNCTION("""COMPUTED_VALUE"""),"C Contrata")</f>
        <v>C Contrata</v>
      </c>
      <c r="R27" s="1" t="str">
        <f>IFERROR(__xludf.DUMMYFUNCTION("""COMPUTED_VALUE"""),"A Académico")</f>
        <v>A Académico</v>
      </c>
      <c r="S27" s="9" t="str">
        <f>IFERROR(__xludf.DUMMYFUNCTION("""COMPUTED_VALUE"""),"126575513")</f>
        <v>126575513</v>
      </c>
      <c r="T27" s="1" t="str">
        <f>IFERROR(__xludf.DUMMYFUNCTION("""COMPUTED_VALUE"""),"0126575513")</f>
        <v>0126575513</v>
      </c>
      <c r="U27" s="1">
        <f>IFERROR(__xludf.DUMMYFUNCTION("""COMPUTED_VALUE"""),21.0)</f>
        <v>21</v>
      </c>
      <c r="V27" s="1"/>
      <c r="W27" s="1"/>
      <c r="X27" s="1"/>
      <c r="Y27" s="1"/>
      <c r="Z27" s="1" t="str">
        <f>IFERROR(__xludf.DUMMYFUNCTION("""COMPUTED_VALUE"""),"T5124 Psicologo")</f>
        <v>T5124 Psicologo</v>
      </c>
    </row>
    <row r="28" hidden="1">
      <c r="A28" s="1" t="str">
        <f>IFERROR(__xludf.DUMMYFUNCTION("""COMPUTED_VALUE"""),"12090701 Departamento de Psicología")</f>
        <v>12090701 Departamento de Psicología</v>
      </c>
      <c r="B28" s="1" t="str">
        <f>IFERROR(__xludf.DUMMYFUNCTION("""COMPUTED_VALUE"""),"A3A001 Académico Prof. Asistente")</f>
        <v>A3A001 Académico Prof. Asistente</v>
      </c>
      <c r="C28" s="1" t="str">
        <f>IFERROR(__xludf.DUMMYFUNCTION("""COMPUTED_VALUE"""),"Prof. Asistente - Categ. Academica Ord.")</f>
        <v>Prof. Asistente - Categ. Academica Ord.</v>
      </c>
      <c r="D28" s="1" t="str">
        <f>IFERROR(__xludf.DUMMYFUNCTION("""COMPUTED_VALUE"""),"A3A Prof. Asistente - Categ. Academica Ord.")</f>
        <v>A3A Prof. Asistente - Categ. Academica Ord.</v>
      </c>
      <c r="E28" s="1" t="str">
        <f>IFERROR(__xludf.DUMMYFUNCTION("""COMPUTED_VALUE"""),"Masculino")</f>
        <v>Masculino</v>
      </c>
      <c r="F28" s="1" t="str">
        <f>IFERROR(__xludf.DUMMYFUNCTION("""COMPUTED_VALUE"""),"Barría")</f>
        <v>Barría</v>
      </c>
      <c r="G28" s="1" t="str">
        <f>IFERROR(__xludf.DUMMYFUNCTION("""COMPUTED_VALUE"""),"Iroume")</f>
        <v>Iroume</v>
      </c>
      <c r="H28" s="1" t="str">
        <f>IFERROR(__xludf.DUMMYFUNCTION("""COMPUTED_VALUE"""),"Jorge Cristian")</f>
        <v>Jorge Cristian</v>
      </c>
      <c r="I28" s="1" t="str">
        <f>IFERROR(__xludf.DUMMYFUNCTION("""COMPUTED_VALUE"""),"Barría Iroume Jorge Cristian")</f>
        <v>Barría Iroume Jorge Cristian</v>
      </c>
      <c r="J28" s="10">
        <f>IFERROR(__xludf.DUMMYFUNCTION("""COMPUTED_VALUE"""),30225.0)</f>
        <v>30225</v>
      </c>
      <c r="K28" s="10">
        <f>IFERROR(__xludf.DUMMYFUNCTION("""COMPUTED_VALUE"""),18938.0)</f>
        <v>18938</v>
      </c>
      <c r="L28" s="1">
        <f>IFERROR(__xludf.DUMMYFUNCTION("""COMPUTED_VALUE"""),72.0)</f>
        <v>72</v>
      </c>
      <c r="M28" s="1" t="str">
        <f>IFERROR(__xludf.DUMMYFUNCTION("""COMPUTED_VALUE"""),"0001 Casado")</f>
        <v>0001 Casado</v>
      </c>
      <c r="N28" s="1"/>
      <c r="O28" s="10">
        <f>IFERROR(__xludf.DUMMYFUNCTION("""COMPUTED_VALUE"""),38718.0)</f>
        <v>38718</v>
      </c>
      <c r="P28" s="10">
        <f>IFERROR(__xludf.DUMMYFUNCTION("""COMPUTED_VALUE"""),38807.0)</f>
        <v>38807</v>
      </c>
      <c r="Q28" s="1" t="str">
        <f>IFERROR(__xludf.DUMMYFUNCTION("""COMPUTED_VALUE"""),"C Contrata")</f>
        <v>C Contrata</v>
      </c>
      <c r="R28" s="1" t="str">
        <f>IFERROR(__xludf.DUMMYFUNCTION("""COMPUTED_VALUE"""),"A Académico")</f>
        <v>A Académico</v>
      </c>
      <c r="S28" s="9" t="str">
        <f>IFERROR(__xludf.DUMMYFUNCTION("""COMPUTED_VALUE"""),"60695997")</f>
        <v>60695997</v>
      </c>
      <c r="T28" s="1" t="str">
        <f>IFERROR(__xludf.DUMMYFUNCTION("""COMPUTED_VALUE"""),"0060695997")</f>
        <v>0060695997</v>
      </c>
      <c r="U28" s="1">
        <f>IFERROR(__xludf.DUMMYFUNCTION("""COMPUTED_VALUE"""),6.0)</f>
        <v>6</v>
      </c>
      <c r="V28" s="1" t="str">
        <f>IFERROR(__xludf.DUMMYFUNCTION("""COMPUTED_VALUE"""),"P0850 Magister")</f>
        <v>P0850 Magister</v>
      </c>
      <c r="W28" s="1">
        <f>IFERROR(__xludf.DUMMYFUNCTION("""COMPUTED_VALUE"""),28146.0)</f>
        <v>28146</v>
      </c>
      <c r="X28" s="1" t="str">
        <f>IFERROR(__xludf.DUMMYFUNCTION("""COMPUTED_VALUE"""),"Universidad De Chile")</f>
        <v>Universidad De Chile</v>
      </c>
      <c r="Y28" s="1" t="str">
        <f>IFERROR(__xludf.DUMMYFUNCTION("""COMPUTED_VALUE"""),"CHILE")</f>
        <v>CHILE</v>
      </c>
      <c r="Z28" s="1" t="str">
        <f>IFERROR(__xludf.DUMMYFUNCTION("""COMPUTED_VALUE"""),"T5070 Medico-Cirujano")</f>
        <v>T5070 Medico-Cirujano</v>
      </c>
    </row>
    <row r="29">
      <c r="A29" s="1" t="str">
        <f>IFERROR(__xludf.DUMMYFUNCTION("""COMPUTED_VALUE"""),"12090701 Departamento de Psicología")</f>
        <v>12090701 Departamento de Psicología</v>
      </c>
      <c r="B29" s="1" t="str">
        <f>IFERROR(__xludf.DUMMYFUNCTION("""COMPUTED_VALUE"""),"A4A001 ACADEMICO  INSTRUCTOR")</f>
        <v>A4A001 ACADEMICO  INSTRUCTOR</v>
      </c>
      <c r="C29" s="1" t="str">
        <f>IFERROR(__xludf.DUMMYFUNCTION("""COMPUTED_VALUE"""),"Instructor")</f>
        <v>Instructor</v>
      </c>
      <c r="D29" s="1" t="str">
        <f>IFERROR(__xludf.DUMMYFUNCTION("""COMPUTED_VALUE"""),"A4A Instructor")</f>
        <v>A4A Instructor</v>
      </c>
      <c r="E29" s="1" t="str">
        <f>IFERROR(__xludf.DUMMYFUNCTION("""COMPUTED_VALUE"""),"Femenino")</f>
        <v>Femenino</v>
      </c>
      <c r="F29" s="1" t="str">
        <f>IFERROR(__xludf.DUMMYFUNCTION("""COMPUTED_VALUE"""),"Basilio")</f>
        <v>Basilio</v>
      </c>
      <c r="G29" s="1" t="str">
        <f>IFERROR(__xludf.DUMMYFUNCTION("""COMPUTED_VALUE"""),"Seyler")</f>
        <v>Seyler</v>
      </c>
      <c r="H29" s="1" t="str">
        <f>IFERROR(__xludf.DUMMYFUNCTION("""COMPUTED_VALUE"""),"Marisol Gabriela")</f>
        <v>Marisol Gabriela</v>
      </c>
      <c r="I29" s="1" t="str">
        <f>IFERROR(__xludf.DUMMYFUNCTION("""COMPUTED_VALUE"""),"Basilio Seyler Marisol Gabriela")</f>
        <v>Basilio Seyler Marisol Gabriela</v>
      </c>
      <c r="J29" s="10">
        <f>IFERROR(__xludf.DUMMYFUNCTION("""COMPUTED_VALUE"""),39326.0)</f>
        <v>39326</v>
      </c>
      <c r="K29" s="10">
        <f>IFERROR(__xludf.DUMMYFUNCTION("""COMPUTED_VALUE"""),30424.0)</f>
        <v>30424</v>
      </c>
      <c r="L29" s="1">
        <f>IFERROR(__xludf.DUMMYFUNCTION("""COMPUTED_VALUE"""),40.0)</f>
        <v>40</v>
      </c>
      <c r="M29" s="1" t="str">
        <f>IFERROR(__xludf.DUMMYFUNCTION("""COMPUTED_VALUE"""),"0002 Soltero")</f>
        <v>0002 Soltero</v>
      </c>
      <c r="N29" s="1"/>
      <c r="O29" s="10">
        <f>IFERROR(__xludf.DUMMYFUNCTION("""COMPUTED_VALUE"""),41275.0)</f>
        <v>41275</v>
      </c>
      <c r="P29" s="10">
        <f>IFERROR(__xludf.DUMMYFUNCTION("""COMPUTED_VALUE"""),41639.0)</f>
        <v>41639</v>
      </c>
      <c r="Q29" s="1" t="str">
        <f>IFERROR(__xludf.DUMMYFUNCTION("""COMPUTED_VALUE"""),"C Contrata")</f>
        <v>C Contrata</v>
      </c>
      <c r="R29" s="1" t="str">
        <f>IFERROR(__xludf.DUMMYFUNCTION("""COMPUTED_VALUE"""),"A Académico")</f>
        <v>A Académico</v>
      </c>
      <c r="S29" s="9" t="str">
        <f>IFERROR(__xludf.DUMMYFUNCTION("""COMPUTED_VALUE"""),"160787546")</f>
        <v>160787546</v>
      </c>
      <c r="T29" s="1" t="str">
        <f>IFERROR(__xludf.DUMMYFUNCTION("""COMPUTED_VALUE"""),"0160787546")</f>
        <v>0160787546</v>
      </c>
      <c r="U29" s="1">
        <f>IFERROR(__xludf.DUMMYFUNCTION("""COMPUTED_VALUE"""),2.0)</f>
        <v>2</v>
      </c>
      <c r="V29" s="1" t="str">
        <f>IFERROR(__xludf.DUMMYFUNCTION("""COMPUTED_VALUE"""),"P0401 Licenciado")</f>
        <v>P0401 Licenciado</v>
      </c>
      <c r="W29" s="1">
        <f>IFERROR(__xludf.DUMMYFUNCTION("""COMPUTED_VALUE"""),38874.0)</f>
        <v>38874</v>
      </c>
      <c r="X29" s="1" t="str">
        <f>IFERROR(__xludf.DUMMYFUNCTION("""COMPUTED_VALUE"""),"Universidad De Chile")</f>
        <v>Universidad De Chile</v>
      </c>
      <c r="Y29" s="1" t="str">
        <f>IFERROR(__xludf.DUMMYFUNCTION("""COMPUTED_VALUE"""),"CHILE")</f>
        <v>CHILE</v>
      </c>
      <c r="Z29" s="1"/>
    </row>
    <row r="30">
      <c r="A30" s="1" t="str">
        <f>IFERROR(__xludf.DUMMYFUNCTION("""COMPUTED_VALUE"""),"12091001 Escuela de Pregrado")</f>
        <v>12091001 Escuela de Pregrado</v>
      </c>
      <c r="B30" s="1" t="str">
        <f>IFERROR(__xludf.DUMMYFUNCTION("""COMPUTED_VALUE"""),"A3A001 Académico Prof. Asistente")</f>
        <v>A3A001 Académico Prof. Asistente</v>
      </c>
      <c r="C30" s="1" t="str">
        <f>IFERROR(__xludf.DUMMYFUNCTION("""COMPUTED_VALUE"""),"Prof. Asistente - Categ. Academica Ord.")</f>
        <v>Prof. Asistente - Categ. Academica Ord.</v>
      </c>
      <c r="D30" s="1" t="str">
        <f>IFERROR(__xludf.DUMMYFUNCTION("""COMPUTED_VALUE"""),"A3A Prof. Asistente - Categ. Academica Ord.")</f>
        <v>A3A Prof. Asistente - Categ. Academica Ord.</v>
      </c>
      <c r="E30" s="1" t="str">
        <f>IFERROR(__xludf.DUMMYFUNCTION("""COMPUTED_VALUE"""),"Masculino")</f>
        <v>Masculino</v>
      </c>
      <c r="F30" s="1" t="str">
        <f>IFERROR(__xludf.DUMMYFUNCTION("""COMPUTED_VALUE"""),"Becerra")</f>
        <v>Becerra</v>
      </c>
      <c r="G30" s="1" t="str">
        <f>IFERROR(__xludf.DUMMYFUNCTION("""COMPUTED_VALUE"""),"Silva")</f>
        <v>Silva</v>
      </c>
      <c r="H30" s="1" t="str">
        <f>IFERROR(__xludf.DUMMYFUNCTION("""COMPUTED_VALUE"""),"Juan Gonzalo")</f>
        <v>Juan Gonzalo</v>
      </c>
      <c r="I30" s="1" t="str">
        <f>IFERROR(__xludf.DUMMYFUNCTION("""COMPUTED_VALUE"""),"Becerra Silva Juan Gonzalo")</f>
        <v>Becerra Silva Juan Gonzalo</v>
      </c>
      <c r="J30" s="10">
        <f>IFERROR(__xludf.DUMMYFUNCTION("""COMPUTED_VALUE"""),31990.0)</f>
        <v>31990</v>
      </c>
      <c r="K30" s="10">
        <f>IFERROR(__xludf.DUMMYFUNCTION("""COMPUTED_VALUE"""),22017.0)</f>
        <v>22017</v>
      </c>
      <c r="L30" s="1">
        <f>IFERROR(__xludf.DUMMYFUNCTION("""COMPUTED_VALUE"""),63.0)</f>
        <v>63</v>
      </c>
      <c r="M30" s="1" t="str">
        <f>IFERROR(__xludf.DUMMYFUNCTION("""COMPUTED_VALUE"""),"0002 Soltero")</f>
        <v>0002 Soltero</v>
      </c>
      <c r="N30" s="1"/>
      <c r="O30" s="10">
        <f>IFERROR(__xludf.DUMMYFUNCTION("""COMPUTED_VALUE"""),36039.0)</f>
        <v>36039</v>
      </c>
      <c r="P30" s="10">
        <f>IFERROR(__xludf.DUMMYFUNCTION("""COMPUTED_VALUE"""),38498.0)</f>
        <v>38498</v>
      </c>
      <c r="Q30" s="1" t="str">
        <f>IFERROR(__xludf.DUMMYFUNCTION("""COMPUTED_VALUE"""),"P Propiedad")</f>
        <v>P Propiedad</v>
      </c>
      <c r="R30" s="1" t="str">
        <f>IFERROR(__xludf.DUMMYFUNCTION("""COMPUTED_VALUE"""),"A Académico")</f>
        <v>A Académico</v>
      </c>
      <c r="S30" s="9" t="str">
        <f>IFERROR(__xludf.DUMMYFUNCTION("""COMPUTED_VALUE"""),"89748941")</f>
        <v>89748941</v>
      </c>
      <c r="T30" s="1" t="str">
        <f>IFERROR(__xludf.DUMMYFUNCTION("""COMPUTED_VALUE"""),"0089748941")</f>
        <v>0089748941</v>
      </c>
      <c r="U30" s="1">
        <f>IFERROR(__xludf.DUMMYFUNCTION("""COMPUTED_VALUE"""),22.0)</f>
        <v>22</v>
      </c>
      <c r="V30" s="1" t="str">
        <f>IFERROR(__xludf.DUMMYFUNCTION("""COMPUTED_VALUE"""),"P0501 Con Titulo Profesional")</f>
        <v>P0501 Con Titulo Profesional</v>
      </c>
      <c r="W30" s="1">
        <f>IFERROR(__xludf.DUMMYFUNCTION("""COMPUTED_VALUE"""),31583.0)</f>
        <v>31583</v>
      </c>
      <c r="X30" s="1" t="str">
        <f>IFERROR(__xludf.DUMMYFUNCTION("""COMPUTED_VALUE"""),"Universidad De Chile")</f>
        <v>Universidad De Chile</v>
      </c>
      <c r="Y30" s="1" t="str">
        <f>IFERROR(__xludf.DUMMYFUNCTION("""COMPUTED_VALUE"""),"CHILE")</f>
        <v>CHILE</v>
      </c>
      <c r="Z30" s="1"/>
    </row>
    <row r="31" hidden="1">
      <c r="A31" s="1" t="str">
        <f>IFERROR(__xludf.DUMMYFUNCTION("""COMPUTED_VALUE"""),"12090701 Departamento de Psicología")</f>
        <v>12090701 Departamento de Psicología</v>
      </c>
      <c r="B31" s="1" t="str">
        <f>IFERROR(__xludf.DUMMYFUNCTION("""COMPUTED_VALUE"""),"A3A001 Académico Prof. Asistente")</f>
        <v>A3A001 Académico Prof. Asistente</v>
      </c>
      <c r="C31" s="1" t="str">
        <f>IFERROR(__xludf.DUMMYFUNCTION("""COMPUTED_VALUE"""),"Prof. Asistente - Categ. Academica Ord.")</f>
        <v>Prof. Asistente - Categ. Academica Ord.</v>
      </c>
      <c r="D31" s="1" t="str">
        <f>IFERROR(__xludf.DUMMYFUNCTION("""COMPUTED_VALUE"""),"A3A Prof. Asistente - Categ. Academica Ord.")</f>
        <v>A3A Prof. Asistente - Categ. Academica Ord.</v>
      </c>
      <c r="E31" s="1" t="str">
        <f>IFERROR(__xludf.DUMMYFUNCTION("""COMPUTED_VALUE"""),"Masculino")</f>
        <v>Masculino</v>
      </c>
      <c r="F31" s="1" t="str">
        <f>IFERROR(__xludf.DUMMYFUNCTION("""COMPUTED_VALUE"""),"Benítez")</f>
        <v>Benítez</v>
      </c>
      <c r="G31" s="1" t="str">
        <f>IFERROR(__xludf.DUMMYFUNCTION("""COMPUTED_VALUE"""),"Jiménez")</f>
        <v>Jiménez</v>
      </c>
      <c r="H31" s="1" t="str">
        <f>IFERROR(__xludf.DUMMYFUNCTION("""COMPUTED_VALUE"""),"Dagoberto José")</f>
        <v>Dagoberto José</v>
      </c>
      <c r="I31" s="1" t="str">
        <f>IFERROR(__xludf.DUMMYFUNCTION("""COMPUTED_VALUE"""),"Benítez Jiménez Dagoberto José")</f>
        <v>Benítez Jiménez Dagoberto José</v>
      </c>
      <c r="J31" s="10">
        <f>IFERROR(__xludf.DUMMYFUNCTION("""COMPUTED_VALUE"""),26390.0)</f>
        <v>26390</v>
      </c>
      <c r="K31" s="10">
        <f>IFERROR(__xludf.DUMMYFUNCTION("""COMPUTED_VALUE"""),15017.0)</f>
        <v>15017</v>
      </c>
      <c r="L31" s="1">
        <f>IFERROR(__xludf.DUMMYFUNCTION("""COMPUTED_VALUE"""),82.0)</f>
        <v>82</v>
      </c>
      <c r="M31" s="1" t="str">
        <f>IFERROR(__xludf.DUMMYFUNCTION("""COMPUTED_VALUE"""),"0001 Casado")</f>
        <v>0001 Casado</v>
      </c>
      <c r="N31" s="1"/>
      <c r="O31" s="10">
        <f>IFERROR(__xludf.DUMMYFUNCTION("""COMPUTED_VALUE"""),33909.0)</f>
        <v>33909</v>
      </c>
      <c r="P31" s="10">
        <f>IFERROR(__xludf.DUMMYFUNCTION("""COMPUTED_VALUE"""),34819.0)</f>
        <v>34819</v>
      </c>
      <c r="Q31" s="1" t="str">
        <f>IFERROR(__xludf.DUMMYFUNCTION("""COMPUTED_VALUE"""),"P Propiedad")</f>
        <v>P Propiedad</v>
      </c>
      <c r="R31" s="1" t="str">
        <f>IFERROR(__xludf.DUMMYFUNCTION("""COMPUTED_VALUE"""),"A Académico")</f>
        <v>A Académico</v>
      </c>
      <c r="S31" s="9" t="str">
        <f>IFERROR(__xludf.DUMMYFUNCTION("""COMPUTED_VALUE"""),"36300159")</f>
        <v>36300159</v>
      </c>
      <c r="T31" s="1" t="str">
        <f>IFERROR(__xludf.DUMMYFUNCTION("""COMPUTED_VALUE"""),"0036300159")</f>
        <v>0036300159</v>
      </c>
      <c r="U31" s="1">
        <f>IFERROR(__xludf.DUMMYFUNCTION("""COMPUTED_VALUE"""),12.0)</f>
        <v>12</v>
      </c>
      <c r="V31" s="1"/>
      <c r="W31" s="1"/>
      <c r="X31" s="1"/>
      <c r="Y31" s="1"/>
      <c r="Z31" s="1"/>
    </row>
    <row r="32" hidden="1">
      <c r="A32" s="1" t="str">
        <f>IFERROR(__xludf.DUMMYFUNCTION("""COMPUTED_VALUE"""),"12091001 Escuela de Pregrado")</f>
        <v>12091001 Escuela de Pregrado</v>
      </c>
      <c r="B32" s="1" t="str">
        <f>IFERROR(__xludf.DUMMYFUNCTION("""COMPUTED_VALUE"""),"A3A001 Académico Prof. Asistente")</f>
        <v>A3A001 Académico Prof. Asistente</v>
      </c>
      <c r="C32" s="1" t="str">
        <f>IFERROR(__xludf.DUMMYFUNCTION("""COMPUTED_VALUE"""),"Prof. Asistente - Categ. Academica Ord.")</f>
        <v>Prof. Asistente - Categ. Academica Ord.</v>
      </c>
      <c r="D32" s="1" t="str">
        <f>IFERROR(__xludf.DUMMYFUNCTION("""COMPUTED_VALUE"""),"A3A Prof. Asistente - Categ. Academica Ord.")</f>
        <v>A3A Prof. Asistente - Categ. Academica Ord.</v>
      </c>
      <c r="E32" s="1" t="str">
        <f>IFERROR(__xludf.DUMMYFUNCTION("""COMPUTED_VALUE"""),"Femenino")</f>
        <v>Femenino</v>
      </c>
      <c r="F32" s="1" t="str">
        <f>IFERROR(__xludf.DUMMYFUNCTION("""COMPUTED_VALUE"""),"Berardi")</f>
        <v>Berardi</v>
      </c>
      <c r="G32" s="1" t="str">
        <f>IFERROR(__xludf.DUMMYFUNCTION("""COMPUTED_VALUE"""),"Drudi")</f>
        <v>Drudi</v>
      </c>
      <c r="H32" s="1" t="str">
        <f>IFERROR(__xludf.DUMMYFUNCTION("""COMPUTED_VALUE"""),"Leda")</f>
        <v>Leda</v>
      </c>
      <c r="I32" s="1" t="str">
        <f>IFERROR(__xludf.DUMMYFUNCTION("""COMPUTED_VALUE"""),"Berardi Drudi Leda")</f>
        <v>Berardi Drudi Leda</v>
      </c>
      <c r="J32" s="10">
        <f>IFERROR(__xludf.DUMMYFUNCTION("""COMPUTED_VALUE"""),34090.0)</f>
        <v>34090</v>
      </c>
      <c r="K32" s="10">
        <f>IFERROR(__xludf.DUMMYFUNCTION("""COMPUTED_VALUE"""),17999.0)</f>
        <v>17999</v>
      </c>
      <c r="L32" s="1">
        <f>IFERROR(__xludf.DUMMYFUNCTION("""COMPUTED_VALUE"""),74.0)</f>
        <v>74</v>
      </c>
      <c r="M32" s="1" t="str">
        <f>IFERROR(__xludf.DUMMYFUNCTION("""COMPUTED_VALUE"""),"0002 Soltero")</f>
        <v>0002 Soltero</v>
      </c>
      <c r="N32" s="1"/>
      <c r="O32" s="10">
        <f>IFERROR(__xludf.DUMMYFUNCTION("""COMPUTED_VALUE"""),34151.0)</f>
        <v>34151</v>
      </c>
      <c r="P32" s="10">
        <f>IFERROR(__xludf.DUMMYFUNCTION("""COMPUTED_VALUE"""),38664.0)</f>
        <v>38664</v>
      </c>
      <c r="Q32" s="1" t="str">
        <f>IFERROR(__xludf.DUMMYFUNCTION("""COMPUTED_VALUE"""),"P Propiedad")</f>
        <v>P Propiedad</v>
      </c>
      <c r="R32" s="1" t="str">
        <f>IFERROR(__xludf.DUMMYFUNCTION("""COMPUTED_VALUE"""),"A Académico")</f>
        <v>A Académico</v>
      </c>
      <c r="S32" s="9" t="str">
        <f>IFERROR(__xludf.DUMMYFUNCTION("""COMPUTED_VALUE"""),"52092116")</f>
        <v>52092116</v>
      </c>
      <c r="T32" s="1" t="str">
        <f>IFERROR(__xludf.DUMMYFUNCTION("""COMPUTED_VALUE"""),"0052092116")</f>
        <v>0052092116</v>
      </c>
      <c r="U32" s="1">
        <f>IFERROR(__xludf.DUMMYFUNCTION("""COMPUTED_VALUE"""),22.0)</f>
        <v>22</v>
      </c>
      <c r="V32" s="1" t="str">
        <f>IFERROR(__xludf.DUMMYFUNCTION("""COMPUTED_VALUE"""),"P0850 Magister")</f>
        <v>P0850 Magister</v>
      </c>
      <c r="W32" s="1">
        <f>IFERROR(__xludf.DUMMYFUNCTION("""COMPUTED_VALUE"""),31412.0)</f>
        <v>31412</v>
      </c>
      <c r="X32" s="1" t="str">
        <f>IFERROR(__xludf.DUMMYFUNCTION("""COMPUTED_VALUE"""),"Universidad Central De Venezuela")</f>
        <v>Universidad Central De Venezuela</v>
      </c>
      <c r="Y32" s="1" t="str">
        <f>IFERROR(__xludf.DUMMYFUNCTION("""COMPUTED_VALUE"""),"VENEZUELA")</f>
        <v>VENEZUELA</v>
      </c>
      <c r="Z32" s="1" t="str">
        <f>IFERROR(__xludf.DUMMYFUNCTION("""COMPUTED_VALUE"""),"T5104 Profesor De Ingles")</f>
        <v>T5104 Profesor De Ingles</v>
      </c>
    </row>
    <row r="33" hidden="1">
      <c r="A33" s="1" t="str">
        <f>IFERROR(__xludf.DUMMYFUNCTION("""COMPUTED_VALUE"""),"12090301 Departamento de Antropología")</f>
        <v>12090301 Departamento de Antropología</v>
      </c>
      <c r="B33" s="1" t="str">
        <f>IFERROR(__xludf.DUMMYFUNCTION("""COMPUTED_VALUE"""),"A3A001 Académico Prof. Asistente")</f>
        <v>A3A001 Académico Prof. Asistente</v>
      </c>
      <c r="C33" s="1" t="str">
        <f>IFERROR(__xludf.DUMMYFUNCTION("""COMPUTED_VALUE"""),"Prof. Asistente - Categ. Academica Ord.")</f>
        <v>Prof. Asistente - Categ. Academica Ord.</v>
      </c>
      <c r="D33" s="1" t="str">
        <f>IFERROR(__xludf.DUMMYFUNCTION("""COMPUTED_VALUE"""),"A3A Prof. Asistente - Categ. Academica Ord.")</f>
        <v>A3A Prof. Asistente - Categ. Academica Ord.</v>
      </c>
      <c r="E33" s="1" t="str">
        <f>IFERROR(__xludf.DUMMYFUNCTION("""COMPUTED_VALUE"""),"Masculino")</f>
        <v>Masculino</v>
      </c>
      <c r="F33" s="1" t="str">
        <f>IFERROR(__xludf.DUMMYFUNCTION("""COMPUTED_VALUE"""),"Berenguer")</f>
        <v>Berenguer</v>
      </c>
      <c r="G33" s="1" t="str">
        <f>IFERROR(__xludf.DUMMYFUNCTION("""COMPUTED_VALUE"""),"Rodríguez")</f>
        <v>Rodríguez</v>
      </c>
      <c r="H33" s="1" t="str">
        <f>IFERROR(__xludf.DUMMYFUNCTION("""COMPUTED_VALUE"""),"José Angel")</f>
        <v>José Angel</v>
      </c>
      <c r="I33" s="1" t="str">
        <f>IFERROR(__xludf.DUMMYFUNCTION("""COMPUTED_VALUE"""),"Berenguer Rodríguez José Angel")</f>
        <v>Berenguer Rodríguez José Angel</v>
      </c>
      <c r="J33" s="10">
        <f>IFERROR(__xludf.DUMMYFUNCTION("""COMPUTED_VALUE"""),26573.0)</f>
        <v>26573</v>
      </c>
      <c r="K33" s="10">
        <f>IFERROR(__xludf.DUMMYFUNCTION("""COMPUTED_VALUE"""),16840.0)</f>
        <v>16840</v>
      </c>
      <c r="L33" s="1">
        <f>IFERROR(__xludf.DUMMYFUNCTION("""COMPUTED_VALUE"""),77.0)</f>
        <v>77</v>
      </c>
      <c r="M33" s="1" t="str">
        <f>IFERROR(__xludf.DUMMYFUNCTION("""COMPUTED_VALUE"""),"0001 Casado")</f>
        <v>0001 Casado</v>
      </c>
      <c r="N33" s="1"/>
      <c r="O33" s="10">
        <f>IFERROR(__xludf.DUMMYFUNCTION("""COMPUTED_VALUE"""),34425.0)</f>
        <v>34425</v>
      </c>
      <c r="P33" s="10">
        <f>IFERROR(__xludf.DUMMYFUNCTION("""COMPUTED_VALUE"""),36799.0)</f>
        <v>36799</v>
      </c>
      <c r="Q33" s="1" t="str">
        <f>IFERROR(__xludf.DUMMYFUNCTION("""COMPUTED_VALUE"""),"P Propiedad")</f>
        <v>P Propiedad</v>
      </c>
      <c r="R33" s="1" t="str">
        <f>IFERROR(__xludf.DUMMYFUNCTION("""COMPUTED_VALUE"""),"A Académico")</f>
        <v>A Académico</v>
      </c>
      <c r="S33" s="9" t="str">
        <f>IFERROR(__xludf.DUMMYFUNCTION("""COMPUTED_VALUE"""),"50268535")</f>
        <v>50268535</v>
      </c>
      <c r="T33" s="1" t="str">
        <f>IFERROR(__xludf.DUMMYFUNCTION("""COMPUTED_VALUE"""),"0050268535")</f>
        <v>0050268535</v>
      </c>
      <c r="U33" s="1">
        <f>IFERROR(__xludf.DUMMYFUNCTION("""COMPUTED_VALUE"""),12.0)</f>
        <v>12</v>
      </c>
      <c r="V33" s="1"/>
      <c r="W33" s="1"/>
      <c r="X33" s="1"/>
      <c r="Y33" s="1"/>
      <c r="Z33" s="1"/>
    </row>
    <row r="34" hidden="1">
      <c r="A34" s="1" t="str">
        <f>IFERROR(__xludf.DUMMYFUNCTION("""COMPUTED_VALUE"""),"12090501 Departamento de Investigaciónes Mediáticas y de la Comunicación")</f>
        <v>12090501 Departamento de Investigaciónes Mediáticas y de la Comunicación</v>
      </c>
      <c r="B34" s="1" t="str">
        <f>IFERROR(__xludf.DUMMYFUNCTION("""COMPUTED_VALUE"""),"A3A001 Académico Prof. Asistente")</f>
        <v>A3A001 Académico Prof. Asistente</v>
      </c>
      <c r="C34" s="1" t="str">
        <f>IFERROR(__xludf.DUMMYFUNCTION("""COMPUTED_VALUE"""),"Prof. Asistente - Categ. Academica Ord.")</f>
        <v>Prof. Asistente - Categ. Academica Ord.</v>
      </c>
      <c r="D34" s="1" t="str">
        <f>IFERROR(__xludf.DUMMYFUNCTION("""COMPUTED_VALUE"""),"A3A Prof. Asistente - Categ. Academica Ord.")</f>
        <v>A3A Prof. Asistente - Categ. Academica Ord.</v>
      </c>
      <c r="E34" s="1" t="str">
        <f>IFERROR(__xludf.DUMMYFUNCTION("""COMPUTED_VALUE"""),"Masculino")</f>
        <v>Masculino</v>
      </c>
      <c r="F34" s="1" t="str">
        <f>IFERROR(__xludf.DUMMYFUNCTION("""COMPUTED_VALUE"""),"Berríos")</f>
        <v>Berríos</v>
      </c>
      <c r="G34" s="1" t="str">
        <f>IFERROR(__xludf.DUMMYFUNCTION("""COMPUTED_VALUE"""),"Caro")</f>
        <v>Caro</v>
      </c>
      <c r="H34" s="1" t="str">
        <f>IFERROR(__xludf.DUMMYFUNCTION("""COMPUTED_VALUE"""),"José Mario")</f>
        <v>José Mario</v>
      </c>
      <c r="I34" s="1" t="str">
        <f>IFERROR(__xludf.DUMMYFUNCTION("""COMPUTED_VALUE"""),"Berríos Caro José Mario")</f>
        <v>Berríos Caro José Mario</v>
      </c>
      <c r="J34" s="10">
        <f>IFERROR(__xludf.DUMMYFUNCTION("""COMPUTED_VALUE"""),34060.0)</f>
        <v>34060</v>
      </c>
      <c r="K34" s="10">
        <f>IFERROR(__xludf.DUMMYFUNCTION("""COMPUTED_VALUE"""),15913.0)</f>
        <v>15913</v>
      </c>
      <c r="L34" s="1">
        <f>IFERROR(__xludf.DUMMYFUNCTION("""COMPUTED_VALUE"""),80.0)</f>
        <v>80</v>
      </c>
      <c r="M34" s="1" t="str">
        <f>IFERROR(__xludf.DUMMYFUNCTION("""COMPUTED_VALUE"""),"0001 Casado")</f>
        <v>0001 Casado</v>
      </c>
      <c r="N34" s="1"/>
      <c r="O34" s="10">
        <f>IFERROR(__xludf.DUMMYFUNCTION("""COMPUTED_VALUE"""),34394.0)</f>
        <v>34394</v>
      </c>
      <c r="P34" s="10">
        <f>IFERROR(__xludf.DUMMYFUNCTION("""COMPUTED_VALUE"""),34969.0)</f>
        <v>34969</v>
      </c>
      <c r="Q34" s="1" t="str">
        <f>IFERROR(__xludf.DUMMYFUNCTION("""COMPUTED_VALUE"""),"P Propiedad")</f>
        <v>P Propiedad</v>
      </c>
      <c r="R34" s="1" t="str">
        <f>IFERROR(__xludf.DUMMYFUNCTION("""COMPUTED_VALUE"""),"A Académico")</f>
        <v>A Académico</v>
      </c>
      <c r="S34" s="9" t="str">
        <f>IFERROR(__xludf.DUMMYFUNCTION("""COMPUTED_VALUE"""),"50754960")</f>
        <v>50754960</v>
      </c>
      <c r="T34" s="1" t="str">
        <f>IFERROR(__xludf.DUMMYFUNCTION("""COMPUTED_VALUE"""),"0050754960")</f>
        <v>0050754960</v>
      </c>
      <c r="U34" s="1">
        <f>IFERROR(__xludf.DUMMYFUNCTION("""COMPUTED_VALUE"""),22.0)</f>
        <v>22</v>
      </c>
      <c r="V34" s="1"/>
      <c r="W34" s="1"/>
      <c r="X34" s="1"/>
      <c r="Y34" s="1"/>
      <c r="Z34" s="1"/>
    </row>
    <row r="35" hidden="1">
      <c r="A35" s="1" t="str">
        <f>IFERROR(__xludf.DUMMYFUNCTION("""COMPUTED_VALUE"""),"12090701 Departamento de Psicología")</f>
        <v>12090701 Departamento de Psicología</v>
      </c>
      <c r="B35" s="1" t="str">
        <f>IFERROR(__xludf.DUMMYFUNCTION("""COMPUTED_VALUE"""),"A2B001 Académico Prof. Asociado")</f>
        <v>A2B001 Académico Prof. Asociado</v>
      </c>
      <c r="C35" s="1" t="str">
        <f>IFERROR(__xludf.DUMMYFUNCTION("""COMPUTED_VALUE"""),"Prof. Asociado - Categ. Academica Doc.")</f>
        <v>Prof. Asociado - Categ. Academica Doc.</v>
      </c>
      <c r="D35" s="1" t="str">
        <f>IFERROR(__xludf.DUMMYFUNCTION("""COMPUTED_VALUE"""),"A2B Prof. Asociado - Categ. Academica Doc.")</f>
        <v>A2B Prof. Asociado - Categ. Academica Doc.</v>
      </c>
      <c r="E35" s="1" t="str">
        <f>IFERROR(__xludf.DUMMYFUNCTION("""COMPUTED_VALUE"""),"Masculino")</f>
        <v>Masculino</v>
      </c>
      <c r="F35" s="1" t="str">
        <f>IFERROR(__xludf.DUMMYFUNCTION("""COMPUTED_VALUE"""),"Betancourt")</f>
        <v>Betancourt</v>
      </c>
      <c r="G35" s="1" t="str">
        <f>IFERROR(__xludf.DUMMYFUNCTION("""COMPUTED_VALUE"""),"Mainhard")</f>
        <v>Mainhard</v>
      </c>
      <c r="H35" s="1" t="str">
        <f>IFERROR(__xludf.DUMMYFUNCTION("""COMPUTED_VALUE"""),"Sigmon Ronald")</f>
        <v>Sigmon Ronald</v>
      </c>
      <c r="I35" s="1" t="str">
        <f>IFERROR(__xludf.DUMMYFUNCTION("""COMPUTED_VALUE"""),"Betancourt Mainhard Sigmon Ronald")</f>
        <v>Betancourt Mainhard Sigmon Ronald</v>
      </c>
      <c r="J35" s="10">
        <f>IFERROR(__xludf.DUMMYFUNCTION("""COMPUTED_VALUE"""),35855.0)</f>
        <v>35855</v>
      </c>
      <c r="K35" s="10">
        <f>IFERROR(__xludf.DUMMYFUNCTION("""COMPUTED_VALUE"""),19241.0)</f>
        <v>19241</v>
      </c>
      <c r="L35" s="1">
        <f>IFERROR(__xludf.DUMMYFUNCTION("""COMPUTED_VALUE"""),71.0)</f>
        <v>71</v>
      </c>
      <c r="M35" s="1" t="str">
        <f>IFERROR(__xludf.DUMMYFUNCTION("""COMPUTED_VALUE"""),"0001 Casado")</f>
        <v>0001 Casado</v>
      </c>
      <c r="N35" s="1"/>
      <c r="O35" s="10">
        <f>IFERROR(__xludf.DUMMYFUNCTION("""COMPUTED_VALUE"""),41091.0)</f>
        <v>41091</v>
      </c>
      <c r="P35" s="10">
        <f>IFERROR(__xludf.DUMMYFUNCTION("""COMPUTED_VALUE"""),41952.0)</f>
        <v>41952</v>
      </c>
      <c r="Q35" s="1" t="str">
        <f>IFERROR(__xludf.DUMMYFUNCTION("""COMPUTED_VALUE"""),"P Propiedad")</f>
        <v>P Propiedad</v>
      </c>
      <c r="R35" s="1" t="str">
        <f>IFERROR(__xludf.DUMMYFUNCTION("""COMPUTED_VALUE"""),"A Académico")</f>
        <v>A Académico</v>
      </c>
      <c r="S35" s="9" t="str">
        <f>IFERROR(__xludf.DUMMYFUNCTION("""COMPUTED_VALUE"""),"63088188")</f>
        <v>63088188</v>
      </c>
      <c r="T35" s="1" t="str">
        <f>IFERROR(__xludf.DUMMYFUNCTION("""COMPUTED_VALUE"""),"0063088188")</f>
        <v>0063088188</v>
      </c>
      <c r="U35" s="1">
        <f>IFERROR(__xludf.DUMMYFUNCTION("""COMPUTED_VALUE"""),22.0)</f>
        <v>22</v>
      </c>
      <c r="V35" s="1" t="str">
        <f>IFERROR(__xludf.DUMMYFUNCTION("""COMPUTED_VALUE"""),"P0900 Doctor")</f>
        <v>P0900 Doctor</v>
      </c>
      <c r="W35" s="1">
        <f>IFERROR(__xludf.DUMMYFUNCTION("""COMPUTED_VALUE"""),37741.0)</f>
        <v>37741</v>
      </c>
      <c r="X35" s="1" t="str">
        <f>IFERROR(__xludf.DUMMYFUNCTION("""COMPUTED_VALUE"""),"Universidad De Chile")</f>
        <v>Universidad De Chile</v>
      </c>
      <c r="Y35" s="1" t="str">
        <f>IFERROR(__xludf.DUMMYFUNCTION("""COMPUTED_VALUE"""),"CHILE")</f>
        <v>CHILE</v>
      </c>
      <c r="Z35" s="1" t="str">
        <f>IFERROR(__xludf.DUMMYFUNCTION("""COMPUTED_VALUE"""),"T5124 Psicologo")</f>
        <v>T5124 Psicologo</v>
      </c>
    </row>
    <row r="36">
      <c r="A36" s="1" t="str">
        <f>IFERROR(__xludf.DUMMYFUNCTION("""COMPUTED_VALUE"""),"12090501 Departamento de Investigaciónes Mediáticas y de la Comunicación")</f>
        <v>12090501 Departamento de Investigaciónes Mediáticas y de la Comunicación</v>
      </c>
      <c r="B36" s="1" t="str">
        <f>IFERROR(__xludf.DUMMYFUNCTION("""COMPUTED_VALUE"""),"000304 ACADEMICO 12 HORAS PROFESOR ASISTENTE GRADO 9")</f>
        <v>000304 ACADEMICO 12 HORAS PROFESOR ASISTENTE GRADO 9</v>
      </c>
      <c r="C36" s="1" t="str">
        <f>IFERROR(__xludf.DUMMYFUNCTION("""COMPUTED_VALUE"""),"Prof. Asistente - Categ. Academica Ord.")</f>
        <v>Prof. Asistente - Categ. Academica Ord.</v>
      </c>
      <c r="D36" s="1" t="str">
        <f>IFERROR(__xludf.DUMMYFUNCTION("""COMPUTED_VALUE"""),"A3A Prof. Asistente - Categ. Academica Ord.")</f>
        <v>A3A Prof. Asistente - Categ. Academica Ord.</v>
      </c>
      <c r="E36" s="1" t="str">
        <f>IFERROR(__xludf.DUMMYFUNCTION("""COMPUTED_VALUE"""),"Masculino")</f>
        <v>Masculino</v>
      </c>
      <c r="F36" s="1" t="str">
        <f>IFERROR(__xludf.DUMMYFUNCTION("""COMPUTED_VALUE"""),"Blanco")</f>
        <v>Blanco</v>
      </c>
      <c r="G36" s="1" t="str">
        <f>IFERROR(__xludf.DUMMYFUNCTION("""COMPUTED_VALUE"""),"Inostroza")</f>
        <v>Inostroza</v>
      </c>
      <c r="H36" s="1" t="str">
        <f>IFERROR(__xludf.DUMMYFUNCTION("""COMPUTED_VALUE"""),"Fernando Alejandro")</f>
        <v>Fernando Alejandro</v>
      </c>
      <c r="I36" s="1" t="str">
        <f>IFERROR(__xludf.DUMMYFUNCTION("""COMPUTED_VALUE"""),"Blanco Inostroza Fernando Alejandro")</f>
        <v>Blanco Inostroza Fernando Alejandro</v>
      </c>
      <c r="J36" s="10">
        <f>IFERROR(__xludf.DUMMYFUNCTION("""COMPUTED_VALUE"""),37622.0)</f>
        <v>37622</v>
      </c>
      <c r="K36" s="10">
        <f>IFERROR(__xludf.DUMMYFUNCTION("""COMPUTED_VALUE"""),23802.0)</f>
        <v>23802</v>
      </c>
      <c r="L36" s="1">
        <f>IFERROR(__xludf.DUMMYFUNCTION("""COMPUTED_VALUE"""),58.0)</f>
        <v>58</v>
      </c>
      <c r="M36" s="1" t="str">
        <f>IFERROR(__xludf.DUMMYFUNCTION("""COMPUTED_VALUE"""),"0001 Casado")</f>
        <v>0001 Casado</v>
      </c>
      <c r="N36" s="1"/>
      <c r="O36" s="10">
        <f>IFERROR(__xludf.DUMMYFUNCTION("""COMPUTED_VALUE"""),37803.0)</f>
        <v>37803</v>
      </c>
      <c r="P36" s="10">
        <f>IFERROR(__xludf.DUMMYFUNCTION("""COMPUTED_VALUE"""),37833.0)</f>
        <v>37833</v>
      </c>
      <c r="Q36" s="1" t="str">
        <f>IFERROR(__xludf.DUMMYFUNCTION("""COMPUTED_VALUE"""),"C Contrata")</f>
        <v>C Contrata</v>
      </c>
      <c r="R36" s="1" t="str">
        <f>IFERROR(__xludf.DUMMYFUNCTION("""COMPUTED_VALUE"""),"A Académico")</f>
        <v>A Académico</v>
      </c>
      <c r="S36" s="9" t="str">
        <f>IFERROR(__xludf.DUMMYFUNCTION("""COMPUTED_VALUE"""),"96148747")</f>
        <v>96148747</v>
      </c>
      <c r="T36" s="1" t="str">
        <f>IFERROR(__xludf.DUMMYFUNCTION("""COMPUTED_VALUE"""),"0096148747")</f>
        <v>0096148747</v>
      </c>
      <c r="U36" s="1">
        <f>IFERROR(__xludf.DUMMYFUNCTION("""COMPUTED_VALUE"""),12.0)</f>
        <v>12</v>
      </c>
      <c r="V36" s="1" t="str">
        <f>IFERROR(__xludf.DUMMYFUNCTION("""COMPUTED_VALUE"""),"P0850 Magister")</f>
        <v>P0850 Magister</v>
      </c>
      <c r="W36" s="1">
        <f>IFERROR(__xludf.DUMMYFUNCTION("""COMPUTED_VALUE"""),31778.0)</f>
        <v>31778</v>
      </c>
      <c r="X36" s="1" t="str">
        <f>IFERROR(__xludf.DUMMYFUNCTION("""COMPUTED_VALUE"""),"Universidad De Chile")</f>
        <v>Universidad De Chile</v>
      </c>
      <c r="Y36" s="1" t="str">
        <f>IFERROR(__xludf.DUMMYFUNCTION("""COMPUTED_VALUE"""),"CHILE")</f>
        <v>CHILE</v>
      </c>
      <c r="Z36" s="1" t="str">
        <f>IFERROR(__xludf.DUMMYFUNCTION("""COMPUTED_VALUE"""),"T5056 Licenciatura en Lengua y Civiliz. Francesa")</f>
        <v>T5056 Licenciatura en Lengua y Civiliz. Francesa</v>
      </c>
    </row>
    <row r="37" hidden="1">
      <c r="A37" s="1" t="str">
        <f>IFERROR(__xludf.DUMMYFUNCTION("""COMPUTED_VALUE"""),"12090501 Departamento de Investigaciónes Mediáticas y de la Comunicación")</f>
        <v>12090501 Departamento de Investigaciónes Mediáticas y de la Comunicación</v>
      </c>
      <c r="B37" s="1" t="str">
        <f>IFERROR(__xludf.DUMMYFUNCTION("""COMPUTED_VALUE"""),"A3A001 Académico Prof. Asistente")</f>
        <v>A3A001 Académico Prof. Asistente</v>
      </c>
      <c r="C37" s="1" t="str">
        <f>IFERROR(__xludf.DUMMYFUNCTION("""COMPUTED_VALUE"""),"Prof. Asistente - Categ. Academica Ord.")</f>
        <v>Prof. Asistente - Categ. Academica Ord.</v>
      </c>
      <c r="D37" s="1" t="str">
        <f>IFERROR(__xludf.DUMMYFUNCTION("""COMPUTED_VALUE"""),"A3A Prof. Asistente - Categ. Academica Ord.")</f>
        <v>A3A Prof. Asistente - Categ. Academica Ord.</v>
      </c>
      <c r="E37" s="1" t="str">
        <f>IFERROR(__xludf.DUMMYFUNCTION("""COMPUTED_VALUE"""),"Femenino")</f>
        <v>Femenino</v>
      </c>
      <c r="F37" s="1" t="str">
        <f>IFERROR(__xludf.DUMMYFUNCTION("""COMPUTED_VALUE"""),"Bluthenthal")</f>
        <v>Bluthenthal</v>
      </c>
      <c r="G37" s="1" t="str">
        <f>IFERROR(__xludf.DUMMYFUNCTION("""COMPUTED_VALUE"""),"Geis")</f>
        <v>Geis</v>
      </c>
      <c r="H37" s="1" t="str">
        <f>IFERROR(__xludf.DUMMYFUNCTION("""COMPUTED_VALUE"""),"Irene")</f>
        <v>Irene</v>
      </c>
      <c r="I37" s="1" t="str">
        <f>IFERROR(__xludf.DUMMYFUNCTION("""COMPUTED_VALUE"""),"Bluthenthal Geis Irene")</f>
        <v>Bluthenthal Geis Irene</v>
      </c>
      <c r="J37" s="10">
        <f>IFERROR(__xludf.DUMMYFUNCTION("""COMPUTED_VALUE"""),36039.0)</f>
        <v>36039</v>
      </c>
      <c r="K37" s="10">
        <f>IFERROR(__xludf.DUMMYFUNCTION("""COMPUTED_VALUE"""),13917.0)</f>
        <v>13917</v>
      </c>
      <c r="L37" s="1">
        <f>IFERROR(__xludf.DUMMYFUNCTION("""COMPUTED_VALUE"""),85.0)</f>
        <v>85</v>
      </c>
      <c r="M37" s="1" t="str">
        <f>IFERROR(__xludf.DUMMYFUNCTION("""COMPUTED_VALUE"""),"0005 Divorciado")</f>
        <v>0005 Divorciado</v>
      </c>
      <c r="N37" s="1"/>
      <c r="O37" s="10">
        <f>IFERROR(__xludf.DUMMYFUNCTION("""COMPUTED_VALUE"""),37803.0)</f>
        <v>37803</v>
      </c>
      <c r="P37" s="10">
        <f>IFERROR(__xludf.DUMMYFUNCTION("""COMPUTED_VALUE"""),37833.0)</f>
        <v>37833</v>
      </c>
      <c r="Q37" s="1" t="str">
        <f>IFERROR(__xludf.DUMMYFUNCTION("""COMPUTED_VALUE"""),"C Contrata")</f>
        <v>C Contrata</v>
      </c>
      <c r="R37" s="1" t="str">
        <f>IFERROR(__xludf.DUMMYFUNCTION("""COMPUTED_VALUE"""),"A Académico")</f>
        <v>A Académico</v>
      </c>
      <c r="S37" s="9" t="str">
        <f>IFERROR(__xludf.DUMMYFUNCTION("""COMPUTED_VALUE"""),"003630264K")</f>
        <v>003630264K</v>
      </c>
      <c r="T37" s="1" t="str">
        <f>IFERROR(__xludf.DUMMYFUNCTION("""COMPUTED_VALUE"""),"003630264K")</f>
        <v>003630264K</v>
      </c>
      <c r="U37" s="1">
        <f>IFERROR(__xludf.DUMMYFUNCTION("""COMPUTED_VALUE"""),12.0)</f>
        <v>12</v>
      </c>
      <c r="V37" s="1" t="str">
        <f>IFERROR(__xludf.DUMMYFUNCTION("""COMPUTED_VALUE"""),"P0501 Con Titulo Profesional")</f>
        <v>P0501 Con Titulo Profesional</v>
      </c>
      <c r="W37" s="1">
        <f>IFERROR(__xludf.DUMMYFUNCTION("""COMPUTED_VALUE"""),25568.0)</f>
        <v>25568</v>
      </c>
      <c r="X37" s="1" t="str">
        <f>IFERROR(__xludf.DUMMYFUNCTION("""COMPUTED_VALUE"""),"Universidad De Chile")</f>
        <v>Universidad De Chile</v>
      </c>
      <c r="Y37" s="1" t="str">
        <f>IFERROR(__xludf.DUMMYFUNCTION("""COMPUTED_VALUE"""),"CHILE")</f>
        <v>CHILE</v>
      </c>
      <c r="Z37" s="1" t="str">
        <f>IFERROR(__xludf.DUMMYFUNCTION("""COMPUTED_VALUE"""),"T5074 Periodista")</f>
        <v>T5074 Periodista</v>
      </c>
    </row>
    <row r="38">
      <c r="A38" s="1" t="str">
        <f>IFERROR(__xludf.DUMMYFUNCTION("""COMPUTED_VALUE"""),"12090118 Dpto. de  Psicología (funcionamiento)")</f>
        <v>12090118 Dpto. de  Psicología (funcionamiento)</v>
      </c>
      <c r="B38" s="1" t="str">
        <f>IFERROR(__xludf.DUMMYFUNCTION("""COMPUTED_VALUE"""),"A3A001 Académico Prof. Asistente")</f>
        <v>A3A001 Académico Prof. Asistente</v>
      </c>
      <c r="C38" s="1" t="str">
        <f>IFERROR(__xludf.DUMMYFUNCTION("""COMPUTED_VALUE"""),"Prof. Asistente - Categ. Academica Ord.")</f>
        <v>Prof. Asistente - Categ. Academica Ord.</v>
      </c>
      <c r="D38" s="1" t="str">
        <f>IFERROR(__xludf.DUMMYFUNCTION("""COMPUTED_VALUE"""),"A3A Prof. Asistente - Categ. Academica Ord.")</f>
        <v>A3A Prof. Asistente - Categ. Academica Ord.</v>
      </c>
      <c r="E38" s="1" t="str">
        <f>IFERROR(__xludf.DUMMYFUNCTION("""COMPUTED_VALUE"""),"Femenino")</f>
        <v>Femenino</v>
      </c>
      <c r="F38" s="1" t="str">
        <f>IFERROR(__xludf.DUMMYFUNCTION("""COMPUTED_VALUE"""),"Bolívar")</f>
        <v>Bolívar</v>
      </c>
      <c r="G38" s="1" t="str">
        <f>IFERROR(__xludf.DUMMYFUNCTION("""COMPUTED_VALUE"""),"Fernández")</f>
        <v>Fernández</v>
      </c>
      <c r="H38" s="1" t="str">
        <f>IFERROR(__xludf.DUMMYFUNCTION("""COMPUTED_VALUE"""),"Daniela Angélica")</f>
        <v>Daniela Angélica</v>
      </c>
      <c r="I38" s="1" t="str">
        <f>IFERROR(__xludf.DUMMYFUNCTION("""COMPUTED_VALUE"""),"Bolívar Fernández Daniela Angélica")</f>
        <v>Bolívar Fernández Daniela Angélica</v>
      </c>
      <c r="J38" s="10">
        <f>IFERROR(__xludf.DUMMYFUNCTION("""COMPUTED_VALUE"""),42217.0)</f>
        <v>42217</v>
      </c>
      <c r="K38" s="10">
        <f>IFERROR(__xludf.DUMMYFUNCTION("""COMPUTED_VALUE"""),27062.0)</f>
        <v>27062</v>
      </c>
      <c r="L38" s="1">
        <f>IFERROR(__xludf.DUMMYFUNCTION("""COMPUTED_VALUE"""),49.0)</f>
        <v>49</v>
      </c>
      <c r="M38" s="1" t="str">
        <f>IFERROR(__xludf.DUMMYFUNCTION("""COMPUTED_VALUE"""),"0001 Casado")</f>
        <v>0001 Casado</v>
      </c>
      <c r="N38" s="1" t="str">
        <f>IFERROR(__xludf.DUMMYFUNCTION("""COMPUTED_VALUE"""),"N0040 Profesional Superior")</f>
        <v>N0040 Profesional Superior</v>
      </c>
      <c r="O38" s="10">
        <f>IFERROR(__xludf.DUMMYFUNCTION("""COMPUTED_VALUE"""),42736.0)</f>
        <v>42736</v>
      </c>
      <c r="P38" s="10">
        <f>IFERROR(__xludf.DUMMYFUNCTION("""COMPUTED_VALUE"""),42855.0)</f>
        <v>42855</v>
      </c>
      <c r="Q38" s="1" t="str">
        <f>IFERROR(__xludf.DUMMYFUNCTION("""COMPUTED_VALUE"""),"C Contrata")</f>
        <v>C Contrata</v>
      </c>
      <c r="R38" s="1" t="str">
        <f>IFERROR(__xludf.DUMMYFUNCTION("""COMPUTED_VALUE"""),"A Académico")</f>
        <v>A Académico</v>
      </c>
      <c r="S38" s="9" t="str">
        <f>IFERROR(__xludf.DUMMYFUNCTION("""COMPUTED_VALUE"""),"126910029")</f>
        <v>126910029</v>
      </c>
      <c r="T38" s="1" t="str">
        <f>IFERROR(__xludf.DUMMYFUNCTION("""COMPUTED_VALUE"""),"0126910029")</f>
        <v>0126910029</v>
      </c>
      <c r="U38" s="1">
        <f>IFERROR(__xludf.DUMMYFUNCTION("""COMPUTED_VALUE"""),22.0)</f>
        <v>22</v>
      </c>
      <c r="V38" s="1" t="str">
        <f>IFERROR(__xludf.DUMMYFUNCTION("""COMPUTED_VALUE"""),"P0900 Doctor")</f>
        <v>P0900 Doctor</v>
      </c>
      <c r="W38" s="1">
        <f>IFERROR(__xludf.DUMMYFUNCTION("""COMPUTED_VALUE"""),41002.0)</f>
        <v>41002</v>
      </c>
      <c r="X38" s="1" t="str">
        <f>IFERROR(__xludf.DUMMYFUNCTION("""COMPUTED_VALUE"""),"Katholieke Universiteit Leuven")</f>
        <v>Katholieke Universiteit Leuven</v>
      </c>
      <c r="Y38" s="1" t="str">
        <f>IFERROR(__xludf.DUMMYFUNCTION("""COMPUTED_VALUE"""),"BÉLGICA")</f>
        <v>BÉLGICA</v>
      </c>
      <c r="Z38" s="1" t="str">
        <f>IFERROR(__xludf.DUMMYFUNCTION("""COMPUTED_VALUE"""),"T5276 Psicologo")</f>
        <v>T5276 Psicologo</v>
      </c>
    </row>
    <row r="39" hidden="1">
      <c r="A39" s="1" t="str">
        <f>IFERROR(__xludf.DUMMYFUNCTION("""COMPUTED_VALUE"""),"12090601 Departamento de Educación")</f>
        <v>12090601 Departamento de Educación</v>
      </c>
      <c r="B39" s="1" t="str">
        <f>IFERROR(__xludf.DUMMYFUNCTION("""COMPUTED_VALUE"""),"A7A001 ACADEMICO PROF. ADJUNTO")</f>
        <v>A7A001 ACADEMICO PROF. ADJUNTO</v>
      </c>
      <c r="C39" s="1" t="str">
        <f>IFERROR(__xludf.DUMMYFUNCTION("""COMPUTED_VALUE"""),"Prof. Adjunto")</f>
        <v>Prof. Adjunto</v>
      </c>
      <c r="D39" s="1" t="str">
        <f>IFERROR(__xludf.DUMMYFUNCTION("""COMPUTED_VALUE"""),"A7A Prof. Adjunto")</f>
        <v>A7A Prof. Adjunto</v>
      </c>
      <c r="E39" s="1" t="str">
        <f>IFERROR(__xludf.DUMMYFUNCTION("""COMPUTED_VALUE"""),"Femenino")</f>
        <v>Femenino</v>
      </c>
      <c r="F39" s="1" t="str">
        <f>IFERROR(__xludf.DUMMYFUNCTION("""COMPUTED_VALUE"""),"Bravo")</f>
        <v>Bravo</v>
      </c>
      <c r="G39" s="1" t="str">
        <f>IFERROR(__xludf.DUMMYFUNCTION("""COMPUTED_VALUE"""),"Veloso")</f>
        <v>Veloso</v>
      </c>
      <c r="H39" s="1" t="str">
        <f>IFERROR(__xludf.DUMMYFUNCTION("""COMPUTED_VALUE"""),"Norma Lily Rosa")</f>
        <v>Norma Lily Rosa</v>
      </c>
      <c r="I39" s="1" t="str">
        <f>IFERROR(__xludf.DUMMYFUNCTION("""COMPUTED_VALUE"""),"Bravo Veloso Norma Lily Rosa")</f>
        <v>Bravo Veloso Norma Lily Rosa</v>
      </c>
      <c r="J39" s="10">
        <f>IFERROR(__xludf.DUMMYFUNCTION("""COMPUTED_VALUE"""),40269.0)</f>
        <v>40269</v>
      </c>
      <c r="K39" s="10">
        <f>IFERROR(__xludf.DUMMYFUNCTION("""COMPUTED_VALUE"""),14646.0)</f>
        <v>14646</v>
      </c>
      <c r="L39" s="1">
        <f>IFERROR(__xludf.DUMMYFUNCTION("""COMPUTED_VALUE"""),83.0)</f>
        <v>83</v>
      </c>
      <c r="M39" s="1" t="str">
        <f>IFERROR(__xludf.DUMMYFUNCTION("""COMPUTED_VALUE"""),"0001 Casado")</f>
        <v>0001 Casado</v>
      </c>
      <c r="N39" s="1"/>
      <c r="O39" s="10">
        <f>IFERROR(__xludf.DUMMYFUNCTION("""COMPUTED_VALUE"""),41091.0)</f>
        <v>41091</v>
      </c>
      <c r="P39" s="10">
        <f>IFERROR(__xludf.DUMMYFUNCTION("""COMPUTED_VALUE"""),41274.0)</f>
        <v>41274</v>
      </c>
      <c r="Q39" s="1" t="str">
        <f>IFERROR(__xludf.DUMMYFUNCTION("""COMPUTED_VALUE"""),"C Contrata")</f>
        <v>C Contrata</v>
      </c>
      <c r="R39" s="1" t="str">
        <f>IFERROR(__xludf.DUMMYFUNCTION("""COMPUTED_VALUE"""),"A Académico")</f>
        <v>A Académico</v>
      </c>
      <c r="S39" s="9" t="str">
        <f>IFERROR(__xludf.DUMMYFUNCTION("""COMPUTED_VALUE"""),"26514789")</f>
        <v>26514789</v>
      </c>
      <c r="T39" s="1" t="str">
        <f>IFERROR(__xludf.DUMMYFUNCTION("""COMPUTED_VALUE"""),"0026514789")</f>
        <v>0026514789</v>
      </c>
      <c r="U39" s="1">
        <f>IFERROR(__xludf.DUMMYFUNCTION("""COMPUTED_VALUE"""),6.0)</f>
        <v>6</v>
      </c>
      <c r="V39" s="1" t="str">
        <f>IFERROR(__xludf.DUMMYFUNCTION("""COMPUTED_VALUE"""),"P0900 Doctor")</f>
        <v>P0900 Doctor</v>
      </c>
      <c r="W39" s="1">
        <f>IFERROR(__xludf.DUMMYFUNCTION("""COMPUTED_VALUE"""),26597.0)</f>
        <v>26597</v>
      </c>
      <c r="X39" s="1" t="str">
        <f>IFERROR(__xludf.DUMMYFUNCTION("""COMPUTED_VALUE"""),"Universidad de las Cs. y Técnicas del Languedoc")</f>
        <v>Universidad de las Cs. y Técnicas del Languedoc</v>
      </c>
      <c r="Y39" s="1" t="str">
        <f>IFERROR(__xludf.DUMMYFUNCTION("""COMPUTED_VALUE"""),"FRANCIA")</f>
        <v>FRANCIA</v>
      </c>
      <c r="Z39" s="1" t="str">
        <f>IFERROR(__xludf.DUMMYFUNCTION("""COMPUTED_VALUE"""),"T5079 Profesor De Biologia Y Cs Naturales")</f>
        <v>T5079 Profesor De Biologia Y Cs Naturales</v>
      </c>
    </row>
    <row r="40" hidden="1">
      <c r="A40" s="1" t="str">
        <f>IFERROR(__xludf.DUMMYFUNCTION("""COMPUTED_VALUE"""),"12090801 Departamento de Sociología")</f>
        <v>12090801 Departamento de Sociología</v>
      </c>
      <c r="B40" s="1" t="str">
        <f>IFERROR(__xludf.DUMMYFUNCTION("""COMPUTED_VALUE"""),"A7A001 ACADEMICO PROF. ADJUNTO")</f>
        <v>A7A001 ACADEMICO PROF. ADJUNTO</v>
      </c>
      <c r="C40" s="1" t="str">
        <f>IFERROR(__xludf.DUMMYFUNCTION("""COMPUTED_VALUE"""),"Prof. Adjunto")</f>
        <v>Prof. Adjunto</v>
      </c>
      <c r="D40" s="1" t="str">
        <f>IFERROR(__xludf.DUMMYFUNCTION("""COMPUTED_VALUE"""),"A7A Prof. Adjunto")</f>
        <v>A7A Prof. Adjunto</v>
      </c>
      <c r="E40" s="1" t="str">
        <f>IFERROR(__xludf.DUMMYFUNCTION("""COMPUTED_VALUE"""),"Masculino")</f>
        <v>Masculino</v>
      </c>
      <c r="F40" s="1" t="str">
        <f>IFERROR(__xludf.DUMMYFUNCTION("""COMPUTED_VALUE"""),"Briones")</f>
        <v>Briones</v>
      </c>
      <c r="G40" s="1" t="str">
        <f>IFERROR(__xludf.DUMMYFUNCTION("""COMPUTED_VALUE"""),"Aedo")</f>
        <v>Aedo</v>
      </c>
      <c r="H40" s="1" t="str">
        <f>IFERROR(__xludf.DUMMYFUNCTION("""COMPUTED_VALUE"""),"Sergio Guillermo")</f>
        <v>Sergio Guillermo</v>
      </c>
      <c r="I40" s="1" t="str">
        <f>IFERROR(__xludf.DUMMYFUNCTION("""COMPUTED_VALUE"""),"Briones Aedo Sergio Guillermo")</f>
        <v>Briones Aedo Sergio Guillermo</v>
      </c>
      <c r="J40" s="10">
        <f>IFERROR(__xludf.DUMMYFUNCTION("""COMPUTED_VALUE"""),19511.0)</f>
        <v>19511</v>
      </c>
      <c r="K40" s="10">
        <f>IFERROR(__xludf.DUMMYFUNCTION("""COMPUTED_VALUE"""),7847.0)</f>
        <v>7847</v>
      </c>
      <c r="L40" s="1">
        <f>IFERROR(__xludf.DUMMYFUNCTION("""COMPUTED_VALUE"""),102.0)</f>
        <v>102</v>
      </c>
      <c r="M40" s="1" t="str">
        <f>IFERROR(__xludf.DUMMYFUNCTION("""COMPUTED_VALUE"""),"0001 Casado")</f>
        <v>0001 Casado</v>
      </c>
      <c r="N40" s="1"/>
      <c r="O40" s="10">
        <f>IFERROR(__xludf.DUMMYFUNCTION("""COMPUTED_VALUE"""),34912.0)</f>
        <v>34912</v>
      </c>
      <c r="P40" s="10">
        <f>IFERROR(__xludf.DUMMYFUNCTION("""COMPUTED_VALUE"""),37955.0)</f>
        <v>37955</v>
      </c>
      <c r="Q40" s="1" t="str">
        <f>IFERROR(__xludf.DUMMYFUNCTION("""COMPUTED_VALUE"""),"A Ad Honorem Propiedad")</f>
        <v>A Ad Honorem Propiedad</v>
      </c>
      <c r="R40" s="1" t="str">
        <f>IFERROR(__xludf.DUMMYFUNCTION("""COMPUTED_VALUE"""),"A Académico")</f>
        <v>A Académico</v>
      </c>
      <c r="S40" s="9" t="str">
        <f>IFERROR(__xludf.DUMMYFUNCTION("""COMPUTED_VALUE"""),"16018732")</f>
        <v>16018732</v>
      </c>
      <c r="T40" s="1" t="str">
        <f>IFERROR(__xludf.DUMMYFUNCTION("""COMPUTED_VALUE"""),"0016018732")</f>
        <v>0016018732</v>
      </c>
      <c r="U40" s="1">
        <f>IFERROR(__xludf.DUMMYFUNCTION("""COMPUTED_VALUE"""),6.0)</f>
        <v>6</v>
      </c>
      <c r="V40" s="1" t="str">
        <f>IFERROR(__xludf.DUMMYFUNCTION("""COMPUTED_VALUE"""),"P0501 Con Titulo Profesional")</f>
        <v>P0501 Con Titulo Profesional</v>
      </c>
      <c r="W40" s="1">
        <f>IFERROR(__xludf.DUMMYFUNCTION("""COMPUTED_VALUE"""),20454.0)</f>
        <v>20454</v>
      </c>
      <c r="X40" s="1" t="str">
        <f>IFERROR(__xludf.DUMMYFUNCTION("""COMPUTED_VALUE"""),"Universidad De Chile")</f>
        <v>Universidad De Chile</v>
      </c>
      <c r="Y40" s="1" t="str">
        <f>IFERROR(__xludf.DUMMYFUNCTION("""COMPUTED_VALUE"""),"CHILE")</f>
        <v>CHILE</v>
      </c>
      <c r="Z40" s="1"/>
    </row>
    <row r="41">
      <c r="A41" s="1" t="str">
        <f>IFERROR(__xludf.DUMMYFUNCTION("""COMPUTED_VALUE"""),"12090601 Departamento de Educación")</f>
        <v>12090601 Departamento de Educación</v>
      </c>
      <c r="B41" s="1" t="str">
        <f>IFERROR(__xludf.DUMMYFUNCTION("""COMPUTED_VALUE"""),"002070 Profesor Asistente")</f>
        <v>002070 Profesor Asistente</v>
      </c>
      <c r="C41" s="1" t="str">
        <f>IFERROR(__xludf.DUMMYFUNCTION("""COMPUTED_VALUE"""),"Prof. Asistente - Categ. Academica Doc.")</f>
        <v>Prof. Asistente - Categ. Academica Doc.</v>
      </c>
      <c r="D41" s="1" t="str">
        <f>IFERROR(__xludf.DUMMYFUNCTION("""COMPUTED_VALUE"""),"A3B Prof. Asistente - Categ. Academica Doc.")</f>
        <v>A3B Prof. Asistente - Categ. Academica Doc.</v>
      </c>
      <c r="E41" s="1" t="str">
        <f>IFERROR(__xludf.DUMMYFUNCTION("""COMPUTED_VALUE"""),"Femenino")</f>
        <v>Femenino</v>
      </c>
      <c r="F41" s="1" t="str">
        <f>IFERROR(__xludf.DUMMYFUNCTION("""COMPUTED_VALUE"""),"Briones")</f>
        <v>Briones</v>
      </c>
      <c r="G41" s="1" t="str">
        <f>IFERROR(__xludf.DUMMYFUNCTION("""COMPUTED_VALUE"""),"Álvarez")</f>
        <v>Álvarez</v>
      </c>
      <c r="H41" s="1" t="str">
        <f>IFERROR(__xludf.DUMMYFUNCTION("""COMPUTED_VALUE"""),"María Eugenia")</f>
        <v>María Eugenia</v>
      </c>
      <c r="I41" s="1" t="str">
        <f>IFERROR(__xludf.DUMMYFUNCTION("""COMPUTED_VALUE"""),"Briones Álvarez María Eugenia")</f>
        <v>Briones Álvarez María Eugenia</v>
      </c>
      <c r="J41" s="10">
        <f>IFERROR(__xludf.DUMMYFUNCTION("""COMPUTED_VALUE"""),39569.0)</f>
        <v>39569</v>
      </c>
      <c r="K41" s="10">
        <f>IFERROR(__xludf.DUMMYFUNCTION("""COMPUTED_VALUE"""),21192.0)</f>
        <v>21192</v>
      </c>
      <c r="L41" s="1">
        <f>IFERROR(__xludf.DUMMYFUNCTION("""COMPUTED_VALUE"""),66.0)</f>
        <v>66</v>
      </c>
      <c r="M41" s="1" t="str">
        <f>IFERROR(__xludf.DUMMYFUNCTION("""COMPUTED_VALUE"""),"0005 Divorciado")</f>
        <v>0005 Divorciado</v>
      </c>
      <c r="N41" s="1"/>
      <c r="O41" s="10">
        <f>IFERROR(__xludf.DUMMYFUNCTION("""COMPUTED_VALUE"""),39814.0)</f>
        <v>39814</v>
      </c>
      <c r="P41" s="10">
        <f>IFERROR(__xludf.DUMMYFUNCTION("""COMPUTED_VALUE"""),39874.0)</f>
        <v>39874</v>
      </c>
      <c r="Q41" s="1" t="str">
        <f>IFERROR(__xludf.DUMMYFUNCTION("""COMPUTED_VALUE"""),"C Contrata")</f>
        <v>C Contrata</v>
      </c>
      <c r="R41" s="1" t="str">
        <f>IFERROR(__xludf.DUMMYFUNCTION("""COMPUTED_VALUE"""),"A Académico")</f>
        <v>A Académico</v>
      </c>
      <c r="S41" s="9" t="str">
        <f>IFERROR(__xludf.DUMMYFUNCTION("""COMPUTED_VALUE"""),"83744545")</f>
        <v>83744545</v>
      </c>
      <c r="T41" s="1" t="str">
        <f>IFERROR(__xludf.DUMMYFUNCTION("""COMPUTED_VALUE"""),"0083744545")</f>
        <v>0083744545</v>
      </c>
      <c r="U41" s="1">
        <f>IFERROR(__xludf.DUMMYFUNCTION("""COMPUTED_VALUE"""),12.0)</f>
        <v>12</v>
      </c>
      <c r="V41" s="1" t="str">
        <f>IFERROR(__xludf.DUMMYFUNCTION("""COMPUTED_VALUE"""),"P0855 Magister En Educacion")</f>
        <v>P0855 Magister En Educacion</v>
      </c>
      <c r="W41" s="1">
        <f>IFERROR(__xludf.DUMMYFUNCTION("""COMPUTED_VALUE"""),34842.0)</f>
        <v>34842</v>
      </c>
      <c r="X41" s="1" t="str">
        <f>IFERROR(__xludf.DUMMYFUNCTION("""COMPUTED_VALUE"""),"Universidad De Chile")</f>
        <v>Universidad De Chile</v>
      </c>
      <c r="Y41" s="1" t="str">
        <f>IFERROR(__xludf.DUMMYFUNCTION("""COMPUTED_VALUE"""),"CHILE")</f>
        <v>CHILE</v>
      </c>
      <c r="Z41" s="1" t="str">
        <f>IFERROR(__xludf.DUMMYFUNCTION("""COMPUTED_VALUE"""),"T5020 Educadora De Parvulos")</f>
        <v>T5020 Educadora De Parvulos</v>
      </c>
    </row>
    <row r="42" hidden="1">
      <c r="A42" s="1" t="str">
        <f>IFERROR(__xludf.DUMMYFUNCTION("""COMPUTED_VALUE"""),"12090301 Departamento de Antropología")</f>
        <v>12090301 Departamento de Antropología</v>
      </c>
      <c r="B42" s="1" t="str">
        <f>IFERROR(__xludf.DUMMYFUNCTION("""COMPUTED_VALUE"""),"A1A001 Académico Prof. Titular")</f>
        <v>A1A001 Académico Prof. Titular</v>
      </c>
      <c r="C42" s="1" t="str">
        <f>IFERROR(__xludf.DUMMYFUNCTION("""COMPUTED_VALUE"""),"Prof.Titular - Categ. Academica Ord.")</f>
        <v>Prof.Titular - Categ. Academica Ord.</v>
      </c>
      <c r="D42" s="1" t="str">
        <f>IFERROR(__xludf.DUMMYFUNCTION("""COMPUTED_VALUE"""),"A1A Prof.Titular - Categ. Academica Ord.")</f>
        <v>A1A Prof.Titular - Categ. Academica Ord.</v>
      </c>
      <c r="E42" s="1" t="str">
        <f>IFERROR(__xludf.DUMMYFUNCTION("""COMPUTED_VALUE"""),"Femenino")</f>
        <v>Femenino</v>
      </c>
      <c r="F42" s="1" t="str">
        <f>IFERROR(__xludf.DUMMYFUNCTION("""COMPUTED_VALUE"""),"Bunster")</f>
        <v>Bunster</v>
      </c>
      <c r="G42" s="1" t="str">
        <f>IFERROR(__xludf.DUMMYFUNCTION("""COMPUTED_VALUE"""),"Burotto")</f>
        <v>Burotto</v>
      </c>
      <c r="H42" s="1" t="str">
        <f>IFERROR(__xludf.DUMMYFUNCTION("""COMPUTED_VALUE"""),"María Ximena del Carmen")</f>
        <v>María Ximena del Carmen</v>
      </c>
      <c r="I42" s="1" t="str">
        <f>IFERROR(__xludf.DUMMYFUNCTION("""COMPUTED_VALUE"""),"Bunster Burotto María Ximena del Carmen")</f>
        <v>Bunster Burotto María Ximena del Carmen</v>
      </c>
      <c r="J42" s="10">
        <f>IFERROR(__xludf.DUMMYFUNCTION("""COMPUTED_VALUE"""),19085.0)</f>
        <v>19085</v>
      </c>
      <c r="K42" s="10">
        <f>IFERROR(__xludf.DUMMYFUNCTION("""COMPUTED_VALUE"""),11592.0)</f>
        <v>11592</v>
      </c>
      <c r="L42" s="1">
        <f>IFERROR(__xludf.DUMMYFUNCTION("""COMPUTED_VALUE"""),92.0)</f>
        <v>92</v>
      </c>
      <c r="M42" s="1" t="str">
        <f>IFERROR(__xludf.DUMMYFUNCTION("""COMPUTED_VALUE"""),"0002 Soltero")</f>
        <v>0002 Soltero</v>
      </c>
      <c r="N42" s="1"/>
      <c r="O42" s="10">
        <f>IFERROR(__xludf.DUMMYFUNCTION("""COMPUTED_VALUE"""),34759.0)</f>
        <v>34759</v>
      </c>
      <c r="P42" s="10">
        <f>IFERROR(__xludf.DUMMYFUNCTION("""COMPUTED_VALUE"""),38657.0)</f>
        <v>38657</v>
      </c>
      <c r="Q42" s="1" t="str">
        <f>IFERROR(__xludf.DUMMYFUNCTION("""COMPUTED_VALUE"""),"P Propiedad")</f>
        <v>P Propiedad</v>
      </c>
      <c r="R42" s="1" t="str">
        <f>IFERROR(__xludf.DUMMYFUNCTION("""COMPUTED_VALUE"""),"A Académico")</f>
        <v>A Académico</v>
      </c>
      <c r="S42" s="9" t="str">
        <f>IFERROR(__xludf.DUMMYFUNCTION("""COMPUTED_VALUE"""),"29757399")</f>
        <v>29757399</v>
      </c>
      <c r="T42" s="1" t="str">
        <f>IFERROR(__xludf.DUMMYFUNCTION("""COMPUTED_VALUE"""),"0029757399")</f>
        <v>0029757399</v>
      </c>
      <c r="U42" s="1">
        <f>IFERROR(__xludf.DUMMYFUNCTION("""COMPUTED_VALUE"""),22.0)</f>
        <v>22</v>
      </c>
      <c r="V42" s="1" t="str">
        <f>IFERROR(__xludf.DUMMYFUNCTION("""COMPUTED_VALUE"""),"P0900 Doctor")</f>
        <v>P0900 Doctor</v>
      </c>
      <c r="W42" s="1">
        <f>IFERROR(__xludf.DUMMYFUNCTION("""COMPUTED_VALUE"""),25203.0)</f>
        <v>25203</v>
      </c>
      <c r="X42" s="1" t="str">
        <f>IFERROR(__xludf.DUMMYFUNCTION("""COMPUTED_VALUE"""),"Columbia University")</f>
        <v>Columbia University</v>
      </c>
      <c r="Y42" s="1" t="str">
        <f>IFERROR(__xludf.DUMMYFUNCTION("""COMPUTED_VALUE"""),"ESTADOS UNIDOS")</f>
        <v>ESTADOS UNIDOS</v>
      </c>
      <c r="Z42" s="1" t="str">
        <f>IFERROR(__xludf.DUMMYFUNCTION("""COMPUTED_VALUE"""),"T5003 Antropologo")</f>
        <v>T5003 Antropologo</v>
      </c>
    </row>
    <row r="43">
      <c r="A43" s="1" t="str">
        <f>IFERROR(__xludf.DUMMYFUNCTION("""COMPUTED_VALUE"""),"12090301 Departamento de Antropología")</f>
        <v>12090301 Departamento de Antropología</v>
      </c>
      <c r="B43" s="1" t="str">
        <f>IFERROR(__xludf.DUMMYFUNCTION("""COMPUTED_VALUE"""),"A3A001 Académico Prof. Asistente")</f>
        <v>A3A001 Académico Prof. Asistente</v>
      </c>
      <c r="C43" s="1" t="str">
        <f>IFERROR(__xludf.DUMMYFUNCTION("""COMPUTED_VALUE"""),"Prof. Asistente - Categ. Academica Ord.")</f>
        <v>Prof. Asistente - Categ. Academica Ord.</v>
      </c>
      <c r="D43" s="1" t="str">
        <f>IFERROR(__xludf.DUMMYFUNCTION("""COMPUTED_VALUE"""),"A3A Prof. Asistente - Categ. Academica Ord.")</f>
        <v>A3A Prof. Asistente - Categ. Academica Ord.</v>
      </c>
      <c r="E43" s="1" t="str">
        <f>IFERROR(__xludf.DUMMYFUNCTION("""COMPUTED_VALUE"""),"Masculino")</f>
        <v>Masculino</v>
      </c>
      <c r="F43" s="1" t="str">
        <f>IFERROR(__xludf.DUMMYFUNCTION("""COMPUTED_VALUE"""),"Cabeza")</f>
        <v>Cabeza</v>
      </c>
      <c r="G43" s="1" t="str">
        <f>IFERROR(__xludf.DUMMYFUNCTION("""COMPUTED_VALUE"""),"Monteira")</f>
        <v>Monteira</v>
      </c>
      <c r="H43" s="1" t="str">
        <f>IFERROR(__xludf.DUMMYFUNCTION("""COMPUTED_VALUE"""),"Angel Emilio")</f>
        <v>Angel Emilio</v>
      </c>
      <c r="I43" s="1" t="str">
        <f>IFERROR(__xludf.DUMMYFUNCTION("""COMPUTED_VALUE"""),"Cabeza Monteira Angel Emilio")</f>
        <v>Cabeza Monteira Angel Emilio</v>
      </c>
      <c r="J43" s="10">
        <f>IFERROR(__xludf.DUMMYFUNCTION("""COMPUTED_VALUE"""),32721.0)</f>
        <v>32721</v>
      </c>
      <c r="K43" s="10">
        <f>IFERROR(__xludf.DUMMYFUNCTION("""COMPUTED_VALUE"""),21270.0)</f>
        <v>21270</v>
      </c>
      <c r="L43" s="1">
        <f>IFERROR(__xludf.DUMMYFUNCTION("""COMPUTED_VALUE"""),65.0)</f>
        <v>65</v>
      </c>
      <c r="M43" s="1" t="str">
        <f>IFERROR(__xludf.DUMMYFUNCTION("""COMPUTED_VALUE"""),"0002 Soltero")</f>
        <v>0002 Soltero</v>
      </c>
      <c r="N43" s="1" t="str">
        <f>IFERROR(__xludf.DUMMYFUNCTION("""COMPUTED_VALUE"""),"N0040 Profesional Superior")</f>
        <v>N0040 Profesional Superior</v>
      </c>
      <c r="O43" s="10">
        <f>IFERROR(__xludf.DUMMYFUNCTION("""COMPUTED_VALUE"""),34394.0)</f>
        <v>34394</v>
      </c>
      <c r="P43" s="10">
        <f>IFERROR(__xludf.DUMMYFUNCTION("""COMPUTED_VALUE"""),34607.0)</f>
        <v>34607</v>
      </c>
      <c r="Q43" s="1" t="str">
        <f>IFERROR(__xludf.DUMMYFUNCTION("""COMPUTED_VALUE"""),"C Contrata")</f>
        <v>C Contrata</v>
      </c>
      <c r="R43" s="1" t="str">
        <f>IFERROR(__xludf.DUMMYFUNCTION("""COMPUTED_VALUE"""),"A Académico")</f>
        <v>A Académico</v>
      </c>
      <c r="S43" s="9" t="str">
        <f>IFERROR(__xludf.DUMMYFUNCTION("""COMPUTED_VALUE"""),"54084838")</f>
        <v>54084838</v>
      </c>
      <c r="T43" s="1" t="str">
        <f>IFERROR(__xludf.DUMMYFUNCTION("""COMPUTED_VALUE"""),"0054084838")</f>
        <v>0054084838</v>
      </c>
      <c r="U43" s="1">
        <f>IFERROR(__xludf.DUMMYFUNCTION("""COMPUTED_VALUE"""),6.0)</f>
        <v>6</v>
      </c>
      <c r="V43" s="1"/>
      <c r="W43" s="1"/>
      <c r="X43" s="1"/>
      <c r="Y43" s="1"/>
      <c r="Z43" s="1"/>
    </row>
    <row r="44">
      <c r="A44" s="1" t="str">
        <f>IFERROR(__xludf.DUMMYFUNCTION("""COMPUTED_VALUE"""),"12090119 Dpto. de Sociología (funcionamiento)")</f>
        <v>12090119 Dpto. de Sociología (funcionamiento)</v>
      </c>
      <c r="B44" s="1" t="str">
        <f>IFERROR(__xludf.DUMMYFUNCTION("""COMPUTED_VALUE"""),"A3A001 Académico Prof. Asistente")</f>
        <v>A3A001 Académico Prof. Asistente</v>
      </c>
      <c r="C44" s="1" t="str">
        <f>IFERROR(__xludf.DUMMYFUNCTION("""COMPUTED_VALUE"""),"Prof. Asistente - Categ. Academica Ord.")</f>
        <v>Prof. Asistente - Categ. Academica Ord.</v>
      </c>
      <c r="D44" s="1" t="str">
        <f>IFERROR(__xludf.DUMMYFUNCTION("""COMPUTED_VALUE"""),"A3A Prof. Asistente - Categ. Academica Ord.")</f>
        <v>A3A Prof. Asistente - Categ. Academica Ord.</v>
      </c>
      <c r="E44" s="1" t="str">
        <f>IFERROR(__xludf.DUMMYFUNCTION("""COMPUTED_VALUE"""),"Masculino")</f>
        <v>Masculino</v>
      </c>
      <c r="F44" s="1" t="str">
        <f>IFERROR(__xludf.DUMMYFUNCTION("""COMPUTED_VALUE"""),"Cabib")</f>
        <v>Cabib</v>
      </c>
      <c r="G44" s="1" t="str">
        <f>IFERROR(__xludf.DUMMYFUNCTION("""COMPUTED_VALUE"""),"Madero")</f>
        <v>Madero</v>
      </c>
      <c r="H44" s="1" t="str">
        <f>IFERROR(__xludf.DUMMYFUNCTION("""COMPUTED_VALUE"""),"Ignacio Andrés")</f>
        <v>Ignacio Andrés</v>
      </c>
      <c r="I44" s="1" t="str">
        <f>IFERROR(__xludf.DUMMYFUNCTION("""COMPUTED_VALUE"""),"Cabib Madero Ignacio Andrés")</f>
        <v>Cabib Madero Ignacio Andrés</v>
      </c>
      <c r="J44" s="10">
        <f>IFERROR(__xludf.DUMMYFUNCTION("""COMPUTED_VALUE"""),42856.0)</f>
        <v>42856</v>
      </c>
      <c r="K44" s="10">
        <f>IFERROR(__xludf.DUMMYFUNCTION("""COMPUTED_VALUE"""),32176.0)</f>
        <v>32176</v>
      </c>
      <c r="L44" s="1">
        <f>IFERROR(__xludf.DUMMYFUNCTION("""COMPUTED_VALUE"""),35.0)</f>
        <v>35</v>
      </c>
      <c r="M44" s="1" t="str">
        <f>IFERROR(__xludf.DUMMYFUNCTION("""COMPUTED_VALUE"""),"0002 Soltero")</f>
        <v>0002 Soltero</v>
      </c>
      <c r="N44" s="1" t="str">
        <f>IFERROR(__xludf.DUMMYFUNCTION("""COMPUTED_VALUE"""),"N0040 Profesional Superior")</f>
        <v>N0040 Profesional Superior</v>
      </c>
      <c r="O44" s="10">
        <f>IFERROR(__xludf.DUMMYFUNCTION("""COMPUTED_VALUE"""),43466.0)</f>
        <v>43466</v>
      </c>
      <c r="P44" s="10">
        <f>IFERROR(__xludf.DUMMYFUNCTION("""COMPUTED_VALUE"""),43524.0)</f>
        <v>43524</v>
      </c>
      <c r="Q44" s="1" t="str">
        <f>IFERROR(__xludf.DUMMYFUNCTION("""COMPUTED_VALUE"""),"C Contrata")</f>
        <v>C Contrata</v>
      </c>
      <c r="R44" s="1" t="str">
        <f>IFERROR(__xludf.DUMMYFUNCTION("""COMPUTED_VALUE"""),"A Académico")</f>
        <v>A Académico</v>
      </c>
      <c r="S44" s="9" t="str">
        <f>IFERROR(__xludf.DUMMYFUNCTION("""COMPUTED_VALUE"""),"016607164K")</f>
        <v>016607164K</v>
      </c>
      <c r="T44" s="1" t="str">
        <f>IFERROR(__xludf.DUMMYFUNCTION("""COMPUTED_VALUE"""),"016607164K")</f>
        <v>016607164K</v>
      </c>
      <c r="U44" s="1">
        <f>IFERROR(__xludf.DUMMYFUNCTION("""COMPUTED_VALUE"""),22.0)</f>
        <v>22</v>
      </c>
      <c r="V44" s="1" t="str">
        <f>IFERROR(__xludf.DUMMYFUNCTION("""COMPUTED_VALUE"""),"P0900 Doctor")</f>
        <v>P0900 Doctor</v>
      </c>
      <c r="W44" s="1">
        <f>IFERROR(__xludf.DUMMYFUNCTION("""COMPUTED_VALUE"""),42306.0)</f>
        <v>42306</v>
      </c>
      <c r="X44" s="1" t="str">
        <f>IFERROR(__xludf.DUMMYFUNCTION("""COMPUTED_VALUE"""),"Université de Lausanne")</f>
        <v>Université de Lausanne</v>
      </c>
      <c r="Y44" s="1" t="str">
        <f>IFERROR(__xludf.DUMMYFUNCTION("""COMPUTED_VALUE"""),"SUIZA")</f>
        <v>SUIZA</v>
      </c>
      <c r="Z44" s="1" t="str">
        <f>IFERROR(__xludf.DUMMYFUNCTION("""COMPUTED_VALUE"""),"T5082 Sociologo")</f>
        <v>T5082 Sociologo</v>
      </c>
    </row>
    <row r="45">
      <c r="A45" s="1" t="str">
        <f>IFERROR(__xludf.DUMMYFUNCTION("""COMPUTED_VALUE"""),"12090501 Departamento de Investigaciónes Mediáticas y de la Comunicación")</f>
        <v>12090501 Departamento de Investigaciónes Mediáticas y de la Comunicación</v>
      </c>
      <c r="B45" s="1" t="str">
        <f>IFERROR(__xludf.DUMMYFUNCTION("""COMPUTED_VALUE"""),"A3A001 Académico Prof. Asistente")</f>
        <v>A3A001 Académico Prof. Asistente</v>
      </c>
      <c r="C45" s="1" t="str">
        <f>IFERROR(__xludf.DUMMYFUNCTION("""COMPUTED_VALUE"""),"Prof. Asistente - Categ. Academica Ord.")</f>
        <v>Prof. Asistente - Categ. Academica Ord.</v>
      </c>
      <c r="D45" s="1" t="str">
        <f>IFERROR(__xludf.DUMMYFUNCTION("""COMPUTED_VALUE"""),"A3A Prof. Asistente - Categ. Academica Ord.")</f>
        <v>A3A Prof. Asistente - Categ. Academica Ord.</v>
      </c>
      <c r="E45" s="1" t="str">
        <f>IFERROR(__xludf.DUMMYFUNCTION("""COMPUTED_VALUE"""),"Femenino")</f>
        <v>Femenino</v>
      </c>
      <c r="F45" s="1" t="str">
        <f>IFERROR(__xludf.DUMMYFUNCTION("""COMPUTED_VALUE"""),"Calderón")</f>
        <v>Calderón</v>
      </c>
      <c r="G45" s="1" t="str">
        <f>IFERROR(__xludf.DUMMYFUNCTION("""COMPUTED_VALUE"""),"González")</f>
        <v>González</v>
      </c>
      <c r="H45" s="1" t="str">
        <f>IFERROR(__xludf.DUMMYFUNCTION("""COMPUTED_VALUE"""),"Teresa Laura")</f>
        <v>Teresa Laura</v>
      </c>
      <c r="I45" s="1" t="str">
        <f>IFERROR(__xludf.DUMMYFUNCTION("""COMPUTED_VALUE"""),"Calderón González Teresa Laura")</f>
        <v>Calderón González Teresa Laura</v>
      </c>
      <c r="J45" s="10">
        <f>IFERROR(__xludf.DUMMYFUNCTION("""COMPUTED_VALUE"""),35977.0)</f>
        <v>35977</v>
      </c>
      <c r="K45" s="10">
        <f>IFERROR(__xludf.DUMMYFUNCTION("""COMPUTED_VALUE"""),20178.0)</f>
        <v>20178</v>
      </c>
      <c r="L45" s="1">
        <f>IFERROR(__xludf.DUMMYFUNCTION("""COMPUTED_VALUE"""),68.0)</f>
        <v>68</v>
      </c>
      <c r="M45" s="1" t="str">
        <f>IFERROR(__xludf.DUMMYFUNCTION("""COMPUTED_VALUE"""),"0001 Casado")</f>
        <v>0001 Casado</v>
      </c>
      <c r="N45" s="1" t="str">
        <f>IFERROR(__xludf.DUMMYFUNCTION("""COMPUTED_VALUE"""),"N0040 Profesional Superior")</f>
        <v>N0040 Profesional Superior</v>
      </c>
      <c r="O45" s="10">
        <f>IFERROR(__xludf.DUMMYFUNCTION("""COMPUTED_VALUE"""),37803.0)</f>
        <v>37803</v>
      </c>
      <c r="P45" s="10">
        <f>IFERROR(__xludf.DUMMYFUNCTION("""COMPUTED_VALUE"""),37833.0)</f>
        <v>37833</v>
      </c>
      <c r="Q45" s="1" t="str">
        <f>IFERROR(__xludf.DUMMYFUNCTION("""COMPUTED_VALUE"""),"C Contrata")</f>
        <v>C Contrata</v>
      </c>
      <c r="R45" s="1" t="str">
        <f>IFERROR(__xludf.DUMMYFUNCTION("""COMPUTED_VALUE"""),"A Académico")</f>
        <v>A Académico</v>
      </c>
      <c r="S45" s="9" t="str">
        <f>IFERROR(__xludf.DUMMYFUNCTION("""COMPUTED_VALUE"""),"73847265")</f>
        <v>73847265</v>
      </c>
      <c r="T45" s="1" t="str">
        <f>IFERROR(__xludf.DUMMYFUNCTION("""COMPUTED_VALUE"""),"0073847265")</f>
        <v>0073847265</v>
      </c>
      <c r="U45" s="1">
        <f>IFERROR(__xludf.DUMMYFUNCTION("""COMPUTED_VALUE"""),22.0)</f>
        <v>22</v>
      </c>
      <c r="V45" s="1" t="str">
        <f>IFERROR(__xludf.DUMMYFUNCTION("""COMPUTED_VALUE"""),"P0501 Con Titulo Profesional")</f>
        <v>P0501 Con Titulo Profesional</v>
      </c>
      <c r="W45" s="1">
        <f>IFERROR(__xludf.DUMMYFUNCTION("""COMPUTED_VALUE"""),29951.0)</f>
        <v>29951</v>
      </c>
      <c r="X45" s="1" t="str">
        <f>IFERROR(__xludf.DUMMYFUNCTION("""COMPUTED_VALUE"""),"Pontificia Universidad Catolica De Chile")</f>
        <v>Pontificia Universidad Catolica De Chile</v>
      </c>
      <c r="Y45" s="1" t="str">
        <f>IFERROR(__xludf.DUMMYFUNCTION("""COMPUTED_VALUE"""),"CHILE")</f>
        <v>CHILE</v>
      </c>
      <c r="Z45" s="1" t="str">
        <f>IFERROR(__xludf.DUMMYFUNCTION("""COMPUTED_VALUE"""),"T5191 Profesor De Castellano")</f>
        <v>T5191 Profesor De Castellano</v>
      </c>
    </row>
    <row r="46">
      <c r="A46" s="1" t="str">
        <f>IFERROR(__xludf.DUMMYFUNCTION("""COMPUTED_VALUE"""),"12090116 Dpto. de Antropología (funcionamiento)")</f>
        <v>12090116 Dpto. de Antropología (funcionamiento)</v>
      </c>
      <c r="B46" s="1" t="str">
        <f>IFERROR(__xludf.DUMMYFUNCTION("""COMPUTED_VALUE"""),"A3A001 Académico Prof. Asistente")</f>
        <v>A3A001 Académico Prof. Asistente</v>
      </c>
      <c r="C46" s="1" t="str">
        <f>IFERROR(__xludf.DUMMYFUNCTION("""COMPUTED_VALUE"""),"Prof. Asistente - Categ. Academica Ord.")</f>
        <v>Prof. Asistente - Categ. Academica Ord.</v>
      </c>
      <c r="D46" s="1" t="str">
        <f>IFERROR(__xludf.DUMMYFUNCTION("""COMPUTED_VALUE"""),"A3A Prof. Asistente - Categ. Academica Ord.")</f>
        <v>A3A Prof. Asistente - Categ. Academica Ord.</v>
      </c>
      <c r="E46" s="1" t="str">
        <f>IFERROR(__xludf.DUMMYFUNCTION("""COMPUTED_VALUE"""),"Masculino")</f>
        <v>Masculino</v>
      </c>
      <c r="F46" s="1" t="str">
        <f>IFERROR(__xludf.DUMMYFUNCTION("""COMPUTED_VALUE"""),"Campbell")</f>
        <v>Campbell</v>
      </c>
      <c r="G46" s="1" t="str">
        <f>IFERROR(__xludf.DUMMYFUNCTION("""COMPUTED_VALUE"""),"Toro")</f>
        <v>Toro</v>
      </c>
      <c r="H46" s="1" t="str">
        <f>IFERROR(__xludf.DUMMYFUNCTION("""COMPUTED_VALUE"""),"Roberto Juan José")</f>
        <v>Roberto Juan José</v>
      </c>
      <c r="I46" s="1" t="str">
        <f>IFERROR(__xludf.DUMMYFUNCTION("""COMPUTED_VALUE"""),"Campbell Toro Roberto Juan José")</f>
        <v>Campbell Toro Roberto Juan José</v>
      </c>
      <c r="J46" s="10">
        <f>IFERROR(__xludf.DUMMYFUNCTION("""COMPUTED_VALUE"""),41422.0)</f>
        <v>41422</v>
      </c>
      <c r="K46" s="10">
        <f>IFERROR(__xludf.DUMMYFUNCTION("""COMPUTED_VALUE"""),29241.0)</f>
        <v>29241</v>
      </c>
      <c r="L46" s="1">
        <f>IFERROR(__xludf.DUMMYFUNCTION("""COMPUTED_VALUE"""),43.0)</f>
        <v>43</v>
      </c>
      <c r="M46" s="1" t="str">
        <f>IFERROR(__xludf.DUMMYFUNCTION("""COMPUTED_VALUE"""),"0001 Casado")</f>
        <v>0001 Casado</v>
      </c>
      <c r="N46" s="1"/>
      <c r="O46" s="10">
        <f>IFERROR(__xludf.DUMMYFUNCTION("""COMPUTED_VALUE"""),43282.0)</f>
        <v>43282</v>
      </c>
      <c r="P46" s="10">
        <f>IFERROR(__xludf.DUMMYFUNCTION("""COMPUTED_VALUE"""),43465.0)</f>
        <v>43465</v>
      </c>
      <c r="Q46" s="1" t="str">
        <f>IFERROR(__xludf.DUMMYFUNCTION("""COMPUTED_VALUE"""),"K Ad Honorem Contrata")</f>
        <v>K Ad Honorem Contrata</v>
      </c>
      <c r="R46" s="1" t="str">
        <f>IFERROR(__xludf.DUMMYFUNCTION("""COMPUTED_VALUE"""),"A Académico")</f>
        <v>A Académico</v>
      </c>
      <c r="S46" s="9" t="str">
        <f>IFERROR(__xludf.DUMMYFUNCTION("""COMPUTED_VALUE"""),"138820351")</f>
        <v>138820351</v>
      </c>
      <c r="T46" s="1" t="str">
        <f>IFERROR(__xludf.DUMMYFUNCTION("""COMPUTED_VALUE"""),"0138820351")</f>
        <v>0138820351</v>
      </c>
      <c r="U46" s="1">
        <f>IFERROR(__xludf.DUMMYFUNCTION("""COMPUTED_VALUE"""),6.0)</f>
        <v>6</v>
      </c>
      <c r="V46" s="1" t="str">
        <f>IFERROR(__xludf.DUMMYFUNCTION("""COMPUTED_VALUE"""),"P0900 Doctor")</f>
        <v>P0900 Doctor</v>
      </c>
      <c r="W46" s="1">
        <f>IFERROR(__xludf.DUMMYFUNCTION("""COMPUTED_VALUE"""),40894.0)</f>
        <v>40894</v>
      </c>
      <c r="X46" s="1" t="str">
        <f>IFERROR(__xludf.DUMMYFUNCTION("""COMPUTED_VALUE"""),"UNIVERSIDAD DE PITTSBURGH")</f>
        <v>UNIVERSIDAD DE PITTSBURGH</v>
      </c>
      <c r="Y46" s="1" t="str">
        <f>IFERROR(__xludf.DUMMYFUNCTION("""COMPUTED_VALUE"""),"ESTADOS UNIDOS")</f>
        <v>ESTADOS UNIDOS</v>
      </c>
      <c r="Z46" s="1" t="str">
        <f>IFERROR(__xludf.DUMMYFUNCTION("""COMPUTED_VALUE"""),"T5373 Arqueólogo")</f>
        <v>T5373 Arqueólogo</v>
      </c>
    </row>
    <row r="47">
      <c r="A47" s="1" t="str">
        <f>IFERROR(__xludf.DUMMYFUNCTION("""COMPUTED_VALUE"""),"12090701 Departamento de Psicología")</f>
        <v>12090701 Departamento de Psicología</v>
      </c>
      <c r="B47" s="1" t="str">
        <f>IFERROR(__xludf.DUMMYFUNCTION("""COMPUTED_VALUE"""),"A4A001 ACADEMICO  INSTRUCTOR")</f>
        <v>A4A001 ACADEMICO  INSTRUCTOR</v>
      </c>
      <c r="C47" s="1" t="str">
        <f>IFERROR(__xludf.DUMMYFUNCTION("""COMPUTED_VALUE"""),"Instructor")</f>
        <v>Instructor</v>
      </c>
      <c r="D47" s="1" t="str">
        <f>IFERROR(__xludf.DUMMYFUNCTION("""COMPUTED_VALUE"""),"A4A Instructor")</f>
        <v>A4A Instructor</v>
      </c>
      <c r="E47" s="1" t="str">
        <f>IFERROR(__xludf.DUMMYFUNCTION("""COMPUTED_VALUE"""),"Masculino")</f>
        <v>Masculino</v>
      </c>
      <c r="F47" s="1" t="str">
        <f>IFERROR(__xludf.DUMMYFUNCTION("""COMPUTED_VALUE"""),"Campillay")</f>
        <v>Campillay</v>
      </c>
      <c r="G47" s="1" t="str">
        <f>IFERROR(__xludf.DUMMYFUNCTION("""COMPUTED_VALUE"""),"Araya")</f>
        <v>Araya</v>
      </c>
      <c r="H47" s="1" t="str">
        <f>IFERROR(__xludf.DUMMYFUNCTION("""COMPUTED_VALUE"""),"Miguel Angel")</f>
        <v>Miguel Angel</v>
      </c>
      <c r="I47" s="1" t="str">
        <f>IFERROR(__xludf.DUMMYFUNCTION("""COMPUTED_VALUE"""),"Campillay Araya Miguel Angel")</f>
        <v>Campillay Araya Miguel Angel</v>
      </c>
      <c r="J47" s="10">
        <f>IFERROR(__xludf.DUMMYFUNCTION("""COMPUTED_VALUE"""),40148.0)</f>
        <v>40148</v>
      </c>
      <c r="K47" s="10">
        <f>IFERROR(__xludf.DUMMYFUNCTION("""COMPUTED_VALUE"""),29489.0)</f>
        <v>29489</v>
      </c>
      <c r="L47" s="1">
        <f>IFERROR(__xludf.DUMMYFUNCTION("""COMPUTED_VALUE"""),43.0)</f>
        <v>43</v>
      </c>
      <c r="M47" s="1" t="str">
        <f>IFERROR(__xludf.DUMMYFUNCTION("""COMPUTED_VALUE"""),"0001 Casado")</f>
        <v>0001 Casado</v>
      </c>
      <c r="N47" s="1"/>
      <c r="O47" s="10">
        <f>IFERROR(__xludf.DUMMYFUNCTION("""COMPUTED_VALUE"""),40725.0)</f>
        <v>40725</v>
      </c>
      <c r="P47" s="10">
        <f>IFERROR(__xludf.DUMMYFUNCTION("""COMPUTED_VALUE"""),40755.0)</f>
        <v>40755</v>
      </c>
      <c r="Q47" s="1" t="str">
        <f>IFERROR(__xludf.DUMMYFUNCTION("""COMPUTED_VALUE"""),"C Contrata")</f>
        <v>C Contrata</v>
      </c>
      <c r="R47" s="1" t="str">
        <f>IFERROR(__xludf.DUMMYFUNCTION("""COMPUTED_VALUE"""),"A Académico")</f>
        <v>A Académico</v>
      </c>
      <c r="S47" s="9" t="str">
        <f>IFERROR(__xludf.DUMMYFUNCTION("""COMPUTED_VALUE"""),"138709949")</f>
        <v>138709949</v>
      </c>
      <c r="T47" s="1" t="str">
        <f>IFERROR(__xludf.DUMMYFUNCTION("""COMPUTED_VALUE"""),"0138709949")</f>
        <v>0138709949</v>
      </c>
      <c r="U47" s="1">
        <f>IFERROR(__xludf.DUMMYFUNCTION("""COMPUTED_VALUE"""),6.0)</f>
        <v>6</v>
      </c>
      <c r="V47" s="1"/>
      <c r="W47" s="1"/>
      <c r="X47" s="1"/>
      <c r="Y47" s="1"/>
      <c r="Z47" s="1" t="str">
        <f>IFERROR(__xludf.DUMMYFUNCTION("""COMPUTED_VALUE"""),"T5124 Psicologo")</f>
        <v>T5124 Psicologo</v>
      </c>
    </row>
    <row r="48" hidden="1">
      <c r="A48" s="1" t="str">
        <f>IFERROR(__xludf.DUMMYFUNCTION("""COMPUTED_VALUE"""),"12090701 Departamento de Psicología")</f>
        <v>12090701 Departamento de Psicología</v>
      </c>
      <c r="B48" s="1" t="str">
        <f>IFERROR(__xludf.DUMMYFUNCTION("""COMPUTED_VALUE"""),"A3A001 Académico Prof. Asistente")</f>
        <v>A3A001 Académico Prof. Asistente</v>
      </c>
      <c r="C48" s="1" t="str">
        <f>IFERROR(__xludf.DUMMYFUNCTION("""COMPUTED_VALUE"""),"Prof. Asistente - Categ. Academica Ord.")</f>
        <v>Prof. Asistente - Categ. Academica Ord.</v>
      </c>
      <c r="D48" s="1" t="str">
        <f>IFERROR(__xludf.DUMMYFUNCTION("""COMPUTED_VALUE"""),"A3A Prof. Asistente - Categ. Academica Ord.")</f>
        <v>A3A Prof. Asistente - Categ. Academica Ord.</v>
      </c>
      <c r="E48" s="1" t="str">
        <f>IFERROR(__xludf.DUMMYFUNCTION("""COMPUTED_VALUE"""),"Femenino")</f>
        <v>Femenino</v>
      </c>
      <c r="F48" s="1" t="str">
        <f>IFERROR(__xludf.DUMMYFUNCTION("""COMPUTED_VALUE"""),"Campos")</f>
        <v>Campos</v>
      </c>
      <c r="G48" s="1" t="str">
        <f>IFERROR(__xludf.DUMMYFUNCTION("""COMPUTED_VALUE"""),"González")</f>
        <v>González</v>
      </c>
      <c r="H48" s="1" t="str">
        <f>IFERROR(__xludf.DUMMYFUNCTION("""COMPUTED_VALUE"""),"Sylvia María")</f>
        <v>Sylvia María</v>
      </c>
      <c r="I48" s="1" t="str">
        <f>IFERROR(__xludf.DUMMYFUNCTION("""COMPUTED_VALUE"""),"Campos González Sylvia María")</f>
        <v>Campos González Sylvia María</v>
      </c>
      <c r="J48" s="10">
        <f>IFERROR(__xludf.DUMMYFUNCTION("""COMPUTED_VALUE"""),36495.0)</f>
        <v>36495</v>
      </c>
      <c r="K48" s="10">
        <f>IFERROR(__xludf.DUMMYFUNCTION("""COMPUTED_VALUE"""),18045.0)</f>
        <v>18045</v>
      </c>
      <c r="L48" s="1">
        <f>IFERROR(__xludf.DUMMYFUNCTION("""COMPUTED_VALUE"""),74.0)</f>
        <v>74</v>
      </c>
      <c r="M48" s="1" t="str">
        <f>IFERROR(__xludf.DUMMYFUNCTION("""COMPUTED_VALUE"""),"0001 Casado")</f>
        <v>0001 Casado</v>
      </c>
      <c r="N48" s="1"/>
      <c r="O48" s="10">
        <f>IFERROR(__xludf.DUMMYFUNCTION("""COMPUTED_VALUE"""),36800.0)</f>
        <v>36800</v>
      </c>
      <c r="P48" s="10">
        <f>IFERROR(__xludf.DUMMYFUNCTION("""COMPUTED_VALUE"""),39141.0)</f>
        <v>39141</v>
      </c>
      <c r="Q48" s="1" t="str">
        <f>IFERROR(__xludf.DUMMYFUNCTION("""COMPUTED_VALUE"""),"P Propiedad")</f>
        <v>P Propiedad</v>
      </c>
      <c r="R48" s="1" t="str">
        <f>IFERROR(__xludf.DUMMYFUNCTION("""COMPUTED_VALUE"""),"A Académico")</f>
        <v>A Académico</v>
      </c>
      <c r="S48" s="9" t="str">
        <f>IFERROR(__xludf.DUMMYFUNCTION("""COMPUTED_VALUE"""),"52008131")</f>
        <v>52008131</v>
      </c>
      <c r="T48" s="1" t="str">
        <f>IFERROR(__xludf.DUMMYFUNCTION("""COMPUTED_VALUE"""),"0052008131")</f>
        <v>0052008131</v>
      </c>
      <c r="U48" s="1">
        <f>IFERROR(__xludf.DUMMYFUNCTION("""COMPUTED_VALUE"""),6.0)</f>
        <v>6</v>
      </c>
      <c r="V48" s="1" t="str">
        <f>IFERROR(__xludf.DUMMYFUNCTION("""COMPUTED_VALUE"""),"P0501 Con Titulo Profesional")</f>
        <v>P0501 Con Titulo Profesional</v>
      </c>
      <c r="W48" s="1">
        <f>IFERROR(__xludf.DUMMYFUNCTION("""COMPUTED_VALUE"""),29172.0)</f>
        <v>29172</v>
      </c>
      <c r="X48" s="1" t="str">
        <f>IFERROR(__xludf.DUMMYFUNCTION("""COMPUTED_VALUE"""),"Universidad De Chile")</f>
        <v>Universidad De Chile</v>
      </c>
      <c r="Y48" s="1" t="str">
        <f>IFERROR(__xludf.DUMMYFUNCTION("""COMPUTED_VALUE"""),"CHILE")</f>
        <v>CHILE</v>
      </c>
      <c r="Z48" s="1" t="str">
        <f>IFERROR(__xludf.DUMMYFUNCTION("""COMPUTED_VALUE"""),"T5276 Psicologo")</f>
        <v>T5276 Psicologo</v>
      </c>
    </row>
    <row r="49" hidden="1">
      <c r="A49" s="1" t="str">
        <f>IFERROR(__xludf.DUMMYFUNCTION("""COMPUTED_VALUE"""),"12090501 Departamento de Investigaciónes Mediáticas y de la Comunicación")</f>
        <v>12090501 Departamento de Investigaciónes Mediáticas y de la Comunicación</v>
      </c>
      <c r="B49" s="1" t="str">
        <f>IFERROR(__xludf.DUMMYFUNCTION("""COMPUTED_VALUE"""),"A7A001 ACADEMICO PROF. ADJUNTO")</f>
        <v>A7A001 ACADEMICO PROF. ADJUNTO</v>
      </c>
      <c r="C49" s="1" t="str">
        <f>IFERROR(__xludf.DUMMYFUNCTION("""COMPUTED_VALUE"""),"Prof. Adjunto")</f>
        <v>Prof. Adjunto</v>
      </c>
      <c r="D49" s="1" t="str">
        <f>IFERROR(__xludf.DUMMYFUNCTION("""COMPUTED_VALUE"""),"A7A Prof. Adjunto")</f>
        <v>A7A Prof. Adjunto</v>
      </c>
      <c r="E49" s="1" t="str">
        <f>IFERROR(__xludf.DUMMYFUNCTION("""COMPUTED_VALUE"""),"Masculino")</f>
        <v>Masculino</v>
      </c>
      <c r="F49" s="1" t="str">
        <f>IFERROR(__xludf.DUMMYFUNCTION("""COMPUTED_VALUE"""),"Campos")</f>
        <v>Campos</v>
      </c>
      <c r="G49" s="1" t="str">
        <f>IFERROR(__xludf.DUMMYFUNCTION("""COMPUTED_VALUE"""),"Ulloa")</f>
        <v>Ulloa</v>
      </c>
      <c r="H49" s="1" t="str">
        <f>IFERROR(__xludf.DUMMYFUNCTION("""COMPUTED_VALUE"""),"Sergio Alfredo")</f>
        <v>Sergio Alfredo</v>
      </c>
      <c r="I49" s="1" t="str">
        <f>IFERROR(__xludf.DUMMYFUNCTION("""COMPUTED_VALUE"""),"Campos Ulloa Sergio Alfredo")</f>
        <v>Campos Ulloa Sergio Alfredo</v>
      </c>
      <c r="J49" s="10">
        <f>IFERROR(__xludf.DUMMYFUNCTION("""COMPUTED_VALUE"""),36465.0)</f>
        <v>36465</v>
      </c>
      <c r="K49" s="10">
        <f>IFERROR(__xludf.DUMMYFUNCTION("""COMPUTED_VALUE"""),17954.0)</f>
        <v>17954</v>
      </c>
      <c r="L49" s="1">
        <f>IFERROR(__xludf.DUMMYFUNCTION("""COMPUTED_VALUE"""),74.0)</f>
        <v>74</v>
      </c>
      <c r="M49" s="1" t="str">
        <f>IFERROR(__xludf.DUMMYFUNCTION("""COMPUTED_VALUE"""),"0001 Casado")</f>
        <v>0001 Casado</v>
      </c>
      <c r="N49" s="1" t="str">
        <f>IFERROR(__xludf.DUMMYFUNCTION("""COMPUTED_VALUE"""),"N0040 Profesional Superior")</f>
        <v>N0040 Profesional Superior</v>
      </c>
      <c r="O49" s="10">
        <f>IFERROR(__xludf.DUMMYFUNCTION("""COMPUTED_VALUE"""),37803.0)</f>
        <v>37803</v>
      </c>
      <c r="P49" s="10">
        <f>IFERROR(__xludf.DUMMYFUNCTION("""COMPUTED_VALUE"""),37833.0)</f>
        <v>37833</v>
      </c>
      <c r="Q49" s="1" t="str">
        <f>IFERROR(__xludf.DUMMYFUNCTION("""COMPUTED_VALUE"""),"C Contrata")</f>
        <v>C Contrata</v>
      </c>
      <c r="R49" s="1" t="str">
        <f>IFERROR(__xludf.DUMMYFUNCTION("""COMPUTED_VALUE"""),"A Académico")</f>
        <v>A Académico</v>
      </c>
      <c r="S49" s="9" t="str">
        <f>IFERROR(__xludf.DUMMYFUNCTION("""COMPUTED_VALUE"""),"52617030")</f>
        <v>52617030</v>
      </c>
      <c r="T49" s="1" t="str">
        <f>IFERROR(__xludf.DUMMYFUNCTION("""COMPUTED_VALUE"""),"0052617030")</f>
        <v>0052617030</v>
      </c>
      <c r="U49" s="1">
        <f>IFERROR(__xludf.DUMMYFUNCTION("""COMPUTED_VALUE"""),21.0)</f>
        <v>21</v>
      </c>
      <c r="V49" s="1" t="str">
        <f>IFERROR(__xludf.DUMMYFUNCTION("""COMPUTED_VALUE"""),"P0401 Licenciado")</f>
        <v>P0401 Licenciado</v>
      </c>
      <c r="W49" s="1">
        <f>IFERROR(__xludf.DUMMYFUNCTION("""COMPUTED_VALUE"""),34577.0)</f>
        <v>34577</v>
      </c>
      <c r="X49" s="1" t="str">
        <f>IFERROR(__xludf.DUMMYFUNCTION("""COMPUTED_VALUE"""),"Universidad De Santiago De Chile")</f>
        <v>Universidad De Santiago De Chile</v>
      </c>
      <c r="Y49" s="1" t="str">
        <f>IFERROR(__xludf.DUMMYFUNCTION("""COMPUTED_VALUE"""),"CHILE")</f>
        <v>CHILE</v>
      </c>
      <c r="Z49" s="1" t="str">
        <f>IFERROR(__xludf.DUMMYFUNCTION("""COMPUTED_VALUE"""),"T5074 Periodista")</f>
        <v>T5074 Periodista</v>
      </c>
    </row>
    <row r="50" hidden="1">
      <c r="A50" s="1" t="str">
        <f>IFERROR(__xludf.DUMMYFUNCTION("""COMPUTED_VALUE"""),"12090601 Departamento de Educación")</f>
        <v>12090601 Departamento de Educación</v>
      </c>
      <c r="B50" s="1" t="str">
        <f>IFERROR(__xludf.DUMMYFUNCTION("""COMPUTED_VALUE"""),"A3A001 Académico Prof. Asistente")</f>
        <v>A3A001 Académico Prof. Asistente</v>
      </c>
      <c r="C50" s="1" t="str">
        <f>IFERROR(__xludf.DUMMYFUNCTION("""COMPUTED_VALUE"""),"Prof. Asistente - Categ. Academica Ord.")</f>
        <v>Prof. Asistente - Categ. Academica Ord.</v>
      </c>
      <c r="D50" s="1" t="str">
        <f>IFERROR(__xludf.DUMMYFUNCTION("""COMPUTED_VALUE"""),"A3A Prof. Asistente - Categ. Academica Ord.")</f>
        <v>A3A Prof. Asistente - Categ. Academica Ord.</v>
      </c>
      <c r="E50" s="1" t="str">
        <f>IFERROR(__xludf.DUMMYFUNCTION("""COMPUTED_VALUE"""),"Masculino")</f>
        <v>Masculino</v>
      </c>
      <c r="F50" s="1" t="str">
        <f>IFERROR(__xludf.DUMMYFUNCTION("""COMPUTED_VALUE"""),"Cañete")</f>
        <v>Cañete</v>
      </c>
      <c r="G50" s="1" t="str">
        <f>IFERROR(__xludf.DUMMYFUNCTION("""COMPUTED_VALUE"""),"Escalona")</f>
        <v>Escalona</v>
      </c>
      <c r="H50" s="1" t="str">
        <f>IFERROR(__xludf.DUMMYFUNCTION("""COMPUTED_VALUE"""),"Félix Reinaldo")</f>
        <v>Félix Reinaldo</v>
      </c>
      <c r="I50" s="1" t="str">
        <f>IFERROR(__xludf.DUMMYFUNCTION("""COMPUTED_VALUE"""),"Cañete Escalona Félix Reinaldo")</f>
        <v>Cañete Escalona Félix Reinaldo</v>
      </c>
      <c r="J50" s="10">
        <f>IFERROR(__xludf.DUMMYFUNCTION("""COMPUTED_VALUE"""),23408.0)</f>
        <v>23408</v>
      </c>
      <c r="K50" s="10">
        <f>IFERROR(__xludf.DUMMYFUNCTION("""COMPUTED_VALUE"""),10455.0)</f>
        <v>10455</v>
      </c>
      <c r="L50" s="1">
        <f>IFERROR(__xludf.DUMMYFUNCTION("""COMPUTED_VALUE"""),95.0)</f>
        <v>95</v>
      </c>
      <c r="M50" s="1" t="str">
        <f>IFERROR(__xludf.DUMMYFUNCTION("""COMPUTED_VALUE"""),"0001 Casado")</f>
        <v>0001 Casado</v>
      </c>
      <c r="N50" s="1" t="str">
        <f>IFERROR(__xludf.DUMMYFUNCTION("""COMPUTED_VALUE"""),"N0040 Profesional Superior")</f>
        <v>N0040 Profesional Superior</v>
      </c>
      <c r="O50" s="10">
        <f>IFERROR(__xludf.DUMMYFUNCTION("""COMPUTED_VALUE"""),36251.0)</f>
        <v>36251</v>
      </c>
      <c r="P50" s="10">
        <f>IFERROR(__xludf.DUMMYFUNCTION("""COMPUTED_VALUE"""),38664.0)</f>
        <v>38664</v>
      </c>
      <c r="Q50" s="1" t="str">
        <f>IFERROR(__xludf.DUMMYFUNCTION("""COMPUTED_VALUE"""),"P Propiedad")</f>
        <v>P Propiedad</v>
      </c>
      <c r="R50" s="1" t="str">
        <f>IFERROR(__xludf.DUMMYFUNCTION("""COMPUTED_VALUE"""),"A Académico")</f>
        <v>A Académico</v>
      </c>
      <c r="S50" s="9" t="str">
        <f>IFERROR(__xludf.DUMMYFUNCTION("""COMPUTED_VALUE"""),"23381427")</f>
        <v>23381427</v>
      </c>
      <c r="T50" s="1" t="str">
        <f>IFERROR(__xludf.DUMMYFUNCTION("""COMPUTED_VALUE"""),"0023381427")</f>
        <v>0023381427</v>
      </c>
      <c r="U50" s="1">
        <f>IFERROR(__xludf.DUMMYFUNCTION("""COMPUTED_VALUE"""),44.0)</f>
        <v>44</v>
      </c>
      <c r="V50" s="1" t="str">
        <f>IFERROR(__xludf.DUMMYFUNCTION("""COMPUTED_VALUE"""),"P0501 Con Titulo Profesional")</f>
        <v>P0501 Con Titulo Profesional</v>
      </c>
      <c r="W50" s="1">
        <f>IFERROR(__xludf.DUMMYFUNCTION("""COMPUTED_VALUE"""),22761.0)</f>
        <v>22761</v>
      </c>
      <c r="X50" s="1" t="str">
        <f>IFERROR(__xludf.DUMMYFUNCTION("""COMPUTED_VALUE"""),"Universidad De Chile")</f>
        <v>Universidad De Chile</v>
      </c>
      <c r="Y50" s="1" t="str">
        <f>IFERROR(__xludf.DUMMYFUNCTION("""COMPUTED_VALUE"""),"CHILE")</f>
        <v>CHILE</v>
      </c>
      <c r="Z50" s="1"/>
    </row>
    <row r="51" hidden="1">
      <c r="A51" s="1" t="str">
        <f>IFERROR(__xludf.DUMMYFUNCTION("""COMPUTED_VALUE"""),"12090501 Departamento de Investigaciónes Mediáticas y de la Comunicación")</f>
        <v>12090501 Departamento de Investigaciónes Mediáticas y de la Comunicación</v>
      </c>
      <c r="B51" s="1" t="str">
        <f>IFERROR(__xludf.DUMMYFUNCTION("""COMPUTED_VALUE"""),"A3A001 Académico Prof. Asistente")</f>
        <v>A3A001 Académico Prof. Asistente</v>
      </c>
      <c r="C51" s="1" t="str">
        <f>IFERROR(__xludf.DUMMYFUNCTION("""COMPUTED_VALUE"""),"Prof. Asistente - Categ. Academica Ord.")</f>
        <v>Prof. Asistente - Categ. Academica Ord.</v>
      </c>
      <c r="D51" s="1" t="str">
        <f>IFERROR(__xludf.DUMMYFUNCTION("""COMPUTED_VALUE"""),"A3A Prof. Asistente - Categ. Academica Ord.")</f>
        <v>A3A Prof. Asistente - Categ. Academica Ord.</v>
      </c>
      <c r="E51" s="1" t="str">
        <f>IFERROR(__xludf.DUMMYFUNCTION("""COMPUTED_VALUE"""),"Masculino")</f>
        <v>Masculino</v>
      </c>
      <c r="F51" s="1" t="str">
        <f>IFERROR(__xludf.DUMMYFUNCTION("""COMPUTED_VALUE"""),"Cárdenas")</f>
        <v>Cárdenas</v>
      </c>
      <c r="G51" s="1" t="str">
        <f>IFERROR(__xludf.DUMMYFUNCTION("""COMPUTED_VALUE"""),"Squella")</f>
        <v>Squella</v>
      </c>
      <c r="H51" s="1" t="str">
        <f>IFERROR(__xludf.DUMMYFUNCTION("""COMPUTED_VALUE"""),"Juan Pablo")</f>
        <v>Juan Pablo</v>
      </c>
      <c r="I51" s="1" t="str">
        <f>IFERROR(__xludf.DUMMYFUNCTION("""COMPUTED_VALUE"""),"Cárdenas Squella Juan Pablo")</f>
        <v>Cárdenas Squella Juan Pablo</v>
      </c>
      <c r="J51" s="10">
        <f>IFERROR(__xludf.DUMMYFUNCTION("""COMPUTED_VALUE"""),36770.0)</f>
        <v>36770</v>
      </c>
      <c r="K51" s="10">
        <f>IFERROR(__xludf.DUMMYFUNCTION("""COMPUTED_VALUE"""),18233.0)</f>
        <v>18233</v>
      </c>
      <c r="L51" s="1">
        <f>IFERROR(__xludf.DUMMYFUNCTION("""COMPUTED_VALUE"""),74.0)</f>
        <v>74</v>
      </c>
      <c r="M51" s="1" t="str">
        <f>IFERROR(__xludf.DUMMYFUNCTION("""COMPUTED_VALUE"""),"0001 Casado")</f>
        <v>0001 Casado</v>
      </c>
      <c r="N51" s="1" t="str">
        <f>IFERROR(__xludf.DUMMYFUNCTION("""COMPUTED_VALUE"""),"N0040 Profesional Superior")</f>
        <v>N0040 Profesional Superior</v>
      </c>
      <c r="O51" s="10">
        <f>IFERROR(__xludf.DUMMYFUNCTION("""COMPUTED_VALUE"""),37803.0)</f>
        <v>37803</v>
      </c>
      <c r="P51" s="10">
        <f>IFERROR(__xludf.DUMMYFUNCTION("""COMPUTED_VALUE"""),37833.0)</f>
        <v>37833</v>
      </c>
      <c r="Q51" s="1" t="str">
        <f>IFERROR(__xludf.DUMMYFUNCTION("""COMPUTED_VALUE"""),"C Contrata")</f>
        <v>C Contrata</v>
      </c>
      <c r="R51" s="1" t="str">
        <f>IFERROR(__xludf.DUMMYFUNCTION("""COMPUTED_VALUE"""),"A Académico")</f>
        <v>A Académico</v>
      </c>
      <c r="S51" s="9" t="str">
        <f>IFERROR(__xludf.DUMMYFUNCTION("""COMPUTED_VALUE"""),"56338144")</f>
        <v>56338144</v>
      </c>
      <c r="T51" s="1" t="str">
        <f>IFERROR(__xludf.DUMMYFUNCTION("""COMPUTED_VALUE"""),"0056338144")</f>
        <v>0056338144</v>
      </c>
      <c r="U51" s="1">
        <f>IFERROR(__xludf.DUMMYFUNCTION("""COMPUTED_VALUE"""),22.0)</f>
        <v>22</v>
      </c>
      <c r="V51" s="1"/>
      <c r="W51" s="1"/>
      <c r="X51" s="1"/>
      <c r="Y51" s="1"/>
      <c r="Z51" s="1" t="str">
        <f>IFERROR(__xludf.DUMMYFUNCTION("""COMPUTED_VALUE"""),"T5074 Periodista")</f>
        <v>T5074 Periodista</v>
      </c>
    </row>
    <row r="52">
      <c r="A52" s="1" t="str">
        <f>IFERROR(__xludf.DUMMYFUNCTION("""COMPUTED_VALUE"""),"12090701 Departamento de Psicología")</f>
        <v>12090701 Departamento de Psicología</v>
      </c>
      <c r="B52" s="1" t="str">
        <f>IFERROR(__xludf.DUMMYFUNCTION("""COMPUTED_VALUE"""),"A4A001 ACADEMICO  INSTRUCTOR")</f>
        <v>A4A001 ACADEMICO  INSTRUCTOR</v>
      </c>
      <c r="C52" s="1" t="str">
        <f>IFERROR(__xludf.DUMMYFUNCTION("""COMPUTED_VALUE"""),"Instructor")</f>
        <v>Instructor</v>
      </c>
      <c r="D52" s="1" t="str">
        <f>IFERROR(__xludf.DUMMYFUNCTION("""COMPUTED_VALUE"""),"A4A Instructor")</f>
        <v>A4A Instructor</v>
      </c>
      <c r="E52" s="1" t="str">
        <f>IFERROR(__xludf.DUMMYFUNCTION("""COMPUTED_VALUE"""),"Femenino")</f>
        <v>Femenino</v>
      </c>
      <c r="F52" s="1" t="str">
        <f>IFERROR(__xludf.DUMMYFUNCTION("""COMPUTED_VALUE"""),"Carrasco")</f>
        <v>Carrasco</v>
      </c>
      <c r="G52" s="1" t="str">
        <f>IFERROR(__xludf.DUMMYFUNCTION("""COMPUTED_VALUE"""),"Chaparro")</f>
        <v>Chaparro</v>
      </c>
      <c r="H52" s="1" t="str">
        <f>IFERROR(__xludf.DUMMYFUNCTION("""COMPUTED_VALUE"""),"Ximena de las Mercedes")</f>
        <v>Ximena de las Mercedes</v>
      </c>
      <c r="I52" s="1" t="str">
        <f>IFERROR(__xludf.DUMMYFUNCTION("""COMPUTED_VALUE"""),"Carrasco Chaparro Ximena de las Mercedes")</f>
        <v>Carrasco Chaparro Ximena de las Mercedes</v>
      </c>
      <c r="J52" s="10">
        <f>IFERROR(__xludf.DUMMYFUNCTION("""COMPUTED_VALUE"""),34943.0)</f>
        <v>34943</v>
      </c>
      <c r="K52" s="10">
        <f>IFERROR(__xludf.DUMMYFUNCTION("""COMPUTED_VALUE"""),23690.0)</f>
        <v>23690</v>
      </c>
      <c r="L52" s="1">
        <f>IFERROR(__xludf.DUMMYFUNCTION("""COMPUTED_VALUE"""),59.0)</f>
        <v>59</v>
      </c>
      <c r="M52" s="1" t="str">
        <f>IFERROR(__xludf.DUMMYFUNCTION("""COMPUTED_VALUE"""),"0001 Casado")</f>
        <v>0001 Casado</v>
      </c>
      <c r="N52" s="1"/>
      <c r="O52" s="10">
        <f>IFERROR(__xludf.DUMMYFUNCTION("""COMPUTED_VALUE"""),36161.0)</f>
        <v>36161</v>
      </c>
      <c r="P52" s="10">
        <f>IFERROR(__xludf.DUMMYFUNCTION("""COMPUTED_VALUE"""),36464.0)</f>
        <v>36464</v>
      </c>
      <c r="Q52" s="1" t="str">
        <f>IFERROR(__xludf.DUMMYFUNCTION("""COMPUTED_VALUE"""),"C Contrata")</f>
        <v>C Contrata</v>
      </c>
      <c r="R52" s="1" t="str">
        <f>IFERROR(__xludf.DUMMYFUNCTION("""COMPUTED_VALUE"""),"A Académico")</f>
        <v>A Académico</v>
      </c>
      <c r="S52" s="9" t="str">
        <f>IFERROR(__xludf.DUMMYFUNCTION("""COMPUTED_VALUE"""),"65287846")</f>
        <v>65287846</v>
      </c>
      <c r="T52" s="1" t="str">
        <f>IFERROR(__xludf.DUMMYFUNCTION("""COMPUTED_VALUE"""),"0065287846")</f>
        <v>0065287846</v>
      </c>
      <c r="U52" s="1">
        <f>IFERROR(__xludf.DUMMYFUNCTION("""COMPUTED_VALUE"""),6.0)</f>
        <v>6</v>
      </c>
      <c r="V52" s="1" t="str">
        <f>IFERROR(__xludf.DUMMYFUNCTION("""COMPUTED_VALUE"""),"P0850 Magister")</f>
        <v>P0850 Magister</v>
      </c>
      <c r="W52" s="1">
        <f>IFERROR(__xludf.DUMMYFUNCTION("""COMPUTED_VALUE"""),1.0)</f>
        <v>1</v>
      </c>
      <c r="X52" s="1" t="str">
        <f>IFERROR(__xludf.DUMMYFUNCTION("""COMPUTED_VALUE"""),"Sin Información")</f>
        <v>Sin Información</v>
      </c>
      <c r="Y52" s="1" t="str">
        <f>IFERROR(__xludf.DUMMYFUNCTION("""COMPUTED_VALUE"""),"CHILE")</f>
        <v>CHILE</v>
      </c>
      <c r="Z52" s="1" t="str">
        <f>IFERROR(__xludf.DUMMYFUNCTION("""COMPUTED_VALUE"""),"T5070 Medico-Cirujano")</f>
        <v>T5070 Medico-Cirujano</v>
      </c>
    </row>
    <row r="53" hidden="1">
      <c r="A53" s="1" t="str">
        <f>IFERROR(__xludf.DUMMYFUNCTION("""COMPUTED_VALUE"""),"12090501 Departamento de Investigaciónes Mediáticas y de la Comunicación")</f>
        <v>12090501 Departamento de Investigaciónes Mediáticas y de la Comunicación</v>
      </c>
      <c r="B53" s="1" t="str">
        <f>IFERROR(__xludf.DUMMYFUNCTION("""COMPUTED_VALUE"""),"A3A001 Académico Prof. Asistente")</f>
        <v>A3A001 Académico Prof. Asistente</v>
      </c>
      <c r="C53" s="1" t="str">
        <f>IFERROR(__xludf.DUMMYFUNCTION("""COMPUTED_VALUE"""),"Prof. Asistente - Categ. Academica Ord.")</f>
        <v>Prof. Asistente - Categ. Academica Ord.</v>
      </c>
      <c r="D53" s="1" t="str">
        <f>IFERROR(__xludf.DUMMYFUNCTION("""COMPUTED_VALUE"""),"A3A Prof. Asistente - Categ. Academica Ord.")</f>
        <v>A3A Prof. Asistente - Categ. Academica Ord.</v>
      </c>
      <c r="E53" s="1" t="str">
        <f>IFERROR(__xludf.DUMMYFUNCTION("""COMPUTED_VALUE"""),"Masculino")</f>
        <v>Masculino</v>
      </c>
      <c r="F53" s="1" t="str">
        <f>IFERROR(__xludf.DUMMYFUNCTION("""COMPUTED_VALUE"""),"Castillo")</f>
        <v>Castillo</v>
      </c>
      <c r="G53" s="1" t="str">
        <f>IFERROR(__xludf.DUMMYFUNCTION("""COMPUTED_VALUE"""),"Sánchez")</f>
        <v>Sánchez</v>
      </c>
      <c r="H53" s="1" t="str">
        <f>IFERROR(__xludf.DUMMYFUNCTION("""COMPUTED_VALUE"""),"Guillermo Mauricio")</f>
        <v>Guillermo Mauricio</v>
      </c>
      <c r="I53" s="1" t="str">
        <f>IFERROR(__xludf.DUMMYFUNCTION("""COMPUTED_VALUE"""),"Castillo Sánchez Guillermo Mauricio")</f>
        <v>Castillo Sánchez Guillermo Mauricio</v>
      </c>
      <c r="J53" s="10">
        <f>IFERROR(__xludf.DUMMYFUNCTION("""COMPUTED_VALUE"""),30011.0)</f>
        <v>30011</v>
      </c>
      <c r="K53" s="10">
        <f>IFERROR(__xludf.DUMMYFUNCTION("""COMPUTED_VALUE"""),18897.0)</f>
        <v>18897</v>
      </c>
      <c r="L53" s="1">
        <f>IFERROR(__xludf.DUMMYFUNCTION("""COMPUTED_VALUE"""),72.0)</f>
        <v>72</v>
      </c>
      <c r="M53" s="1" t="str">
        <f>IFERROR(__xludf.DUMMYFUNCTION("""COMPUTED_VALUE"""),"0001 Casado")</f>
        <v>0001 Casado</v>
      </c>
      <c r="N53" s="1"/>
      <c r="O53" s="10">
        <f>IFERROR(__xludf.DUMMYFUNCTION("""COMPUTED_VALUE"""),34429.0)</f>
        <v>34429</v>
      </c>
      <c r="P53" s="10">
        <f>IFERROR(__xludf.DUMMYFUNCTION("""COMPUTED_VALUE"""),34789.0)</f>
        <v>34789</v>
      </c>
      <c r="Q53" s="1" t="str">
        <f>IFERROR(__xludf.DUMMYFUNCTION("""COMPUTED_VALUE"""),"P Propiedad")</f>
        <v>P Propiedad</v>
      </c>
      <c r="R53" s="1" t="str">
        <f>IFERROR(__xludf.DUMMYFUNCTION("""COMPUTED_VALUE"""),"A Académico")</f>
        <v>A Académico</v>
      </c>
      <c r="S53" s="9" t="str">
        <f>IFERROR(__xludf.DUMMYFUNCTION("""COMPUTED_VALUE"""),"55246793")</f>
        <v>55246793</v>
      </c>
      <c r="T53" s="1" t="str">
        <f>IFERROR(__xludf.DUMMYFUNCTION("""COMPUTED_VALUE"""),"0055246793")</f>
        <v>0055246793</v>
      </c>
      <c r="U53" s="1">
        <f>IFERROR(__xludf.DUMMYFUNCTION("""COMPUTED_VALUE"""),6.0)</f>
        <v>6</v>
      </c>
      <c r="V53" s="1"/>
      <c r="W53" s="1"/>
      <c r="X53" s="1"/>
      <c r="Y53" s="1"/>
      <c r="Z53" s="1"/>
    </row>
    <row r="54">
      <c r="A54" s="1" t="str">
        <f>IFERROR(__xludf.DUMMYFUNCTION("""COMPUTED_VALUE"""),"12090301 Departamento de Antropología")</f>
        <v>12090301 Departamento de Antropología</v>
      </c>
      <c r="B54" s="1" t="str">
        <f>IFERROR(__xludf.DUMMYFUNCTION("""COMPUTED_VALUE"""),"A3A001 Académico Prof. Asistente")</f>
        <v>A3A001 Académico Prof. Asistente</v>
      </c>
      <c r="C54" s="1" t="str">
        <f>IFERROR(__xludf.DUMMYFUNCTION("""COMPUTED_VALUE"""),"Prof. Asistente - Categ. Academica Ord.")</f>
        <v>Prof. Asistente - Categ. Academica Ord.</v>
      </c>
      <c r="D54" s="1" t="str">
        <f>IFERROR(__xludf.DUMMYFUNCTION("""COMPUTED_VALUE"""),"A3A Prof. Asistente - Categ. Academica Ord.")</f>
        <v>A3A Prof. Asistente - Categ. Academica Ord.</v>
      </c>
      <c r="E54" s="1" t="str">
        <f>IFERROR(__xludf.DUMMYFUNCTION("""COMPUTED_VALUE"""),"Masculino")</f>
        <v>Masculino</v>
      </c>
      <c r="F54" s="1" t="str">
        <f>IFERROR(__xludf.DUMMYFUNCTION("""COMPUTED_VALUE"""),"Castro")</f>
        <v>Castro</v>
      </c>
      <c r="G54" s="1" t="str">
        <f>IFERROR(__xludf.DUMMYFUNCTION("""COMPUTED_VALUE"""),"Domínguez")</f>
        <v>Domínguez</v>
      </c>
      <c r="H54" s="1" t="str">
        <f>IFERROR(__xludf.DUMMYFUNCTION("""COMPUTED_VALUE"""),"Mario Marcelo")</f>
        <v>Mario Marcelo</v>
      </c>
      <c r="I54" s="1" t="str">
        <f>IFERROR(__xludf.DUMMYFUNCTION("""COMPUTED_VALUE"""),"Castro Domínguez Mario Marcelo")</f>
        <v>Castro Domínguez Mario Marcelo</v>
      </c>
      <c r="J54" s="10">
        <f>IFERROR(__xludf.DUMMYFUNCTION("""COMPUTED_VALUE"""),29281.0)</f>
        <v>29281</v>
      </c>
      <c r="K54" s="10">
        <f>IFERROR(__xludf.DUMMYFUNCTION("""COMPUTED_VALUE"""),20836.0)</f>
        <v>20836</v>
      </c>
      <c r="L54" s="1">
        <f>IFERROR(__xludf.DUMMYFUNCTION("""COMPUTED_VALUE"""),67.0)</f>
        <v>67</v>
      </c>
      <c r="M54" s="1" t="str">
        <f>IFERROR(__xludf.DUMMYFUNCTION("""COMPUTED_VALUE"""),"0001 Casado")</f>
        <v>0001 Casado</v>
      </c>
      <c r="N54" s="1" t="str">
        <f>IFERROR(__xludf.DUMMYFUNCTION("""COMPUTED_VALUE"""),"N0041 Profesional Superior Sin Titulo")</f>
        <v>N0041 Profesional Superior Sin Titulo</v>
      </c>
      <c r="O54" s="10">
        <f>IFERROR(__xludf.DUMMYFUNCTION("""COMPUTED_VALUE"""),33482.0)</f>
        <v>33482</v>
      </c>
      <c r="P54" s="10">
        <f>IFERROR(__xludf.DUMMYFUNCTION("""COMPUTED_VALUE"""),39903.0)</f>
        <v>39903</v>
      </c>
      <c r="Q54" s="1" t="str">
        <f>IFERROR(__xludf.DUMMYFUNCTION("""COMPUTED_VALUE"""),"P Propiedad")</f>
        <v>P Propiedad</v>
      </c>
      <c r="R54" s="1" t="str">
        <f>IFERROR(__xludf.DUMMYFUNCTION("""COMPUTED_VALUE"""),"A Académico")</f>
        <v>A Académico</v>
      </c>
      <c r="S54" s="9" t="str">
        <f>IFERROR(__xludf.DUMMYFUNCTION("""COMPUTED_VALUE"""),"70668556")</f>
        <v>70668556</v>
      </c>
      <c r="T54" s="1" t="str">
        <f>IFERROR(__xludf.DUMMYFUNCTION("""COMPUTED_VALUE"""),"0070668556")</f>
        <v>0070668556</v>
      </c>
      <c r="U54" s="1">
        <f>IFERROR(__xludf.DUMMYFUNCTION("""COMPUTED_VALUE"""),6.0)</f>
        <v>6</v>
      </c>
      <c r="V54" s="1" t="str">
        <f>IFERROR(__xludf.DUMMYFUNCTION("""COMPUTED_VALUE"""),"P0902 Doctor Of Philosophy")</f>
        <v>P0902 Doctor Of Philosophy</v>
      </c>
      <c r="W54" s="1">
        <f>IFERROR(__xludf.DUMMYFUNCTION("""COMPUTED_VALUE"""),37417.0)</f>
        <v>37417</v>
      </c>
      <c r="X54" s="1" t="str">
        <f>IFERROR(__xludf.DUMMYFUNCTION("""COMPUTED_VALUE"""),"UNIVERSITY OF TORON")</f>
        <v>UNIVERSITY OF TORON</v>
      </c>
      <c r="Y54" s="1" t="str">
        <f>IFERROR(__xludf.DUMMYFUNCTION("""COMPUTED_VALUE"""),"CANADA")</f>
        <v>CANADA</v>
      </c>
      <c r="Z54" s="1" t="str">
        <f>IFERROR(__xludf.DUMMYFUNCTION("""COMPUTED_VALUE"""),"T5003 Antropologo")</f>
        <v>T5003 Antropologo</v>
      </c>
    </row>
    <row r="55" hidden="1">
      <c r="A55" s="1" t="str">
        <f>IFERROR(__xludf.DUMMYFUNCTION("""COMPUTED_VALUE"""),"12090301 Departamento de Antropología")</f>
        <v>12090301 Departamento de Antropología</v>
      </c>
      <c r="B55" s="1" t="str">
        <f>IFERROR(__xludf.DUMMYFUNCTION("""COMPUTED_VALUE"""),"A1A001 Académico Prof. Titular")</f>
        <v>A1A001 Académico Prof. Titular</v>
      </c>
      <c r="C55" s="1" t="str">
        <f>IFERROR(__xludf.DUMMYFUNCTION("""COMPUTED_VALUE"""),"Prof.Titular - Categ. Academica Ord.")</f>
        <v>Prof.Titular - Categ. Academica Ord.</v>
      </c>
      <c r="D55" s="1" t="str">
        <f>IFERROR(__xludf.DUMMYFUNCTION("""COMPUTED_VALUE"""),"A1A Prof.Titular - Categ. Academica Ord.")</f>
        <v>A1A Prof.Titular - Categ. Academica Ord.</v>
      </c>
      <c r="E55" s="1" t="str">
        <f>IFERROR(__xludf.DUMMYFUNCTION("""COMPUTED_VALUE"""),"Femenino")</f>
        <v>Femenino</v>
      </c>
      <c r="F55" s="1" t="str">
        <f>IFERROR(__xludf.DUMMYFUNCTION("""COMPUTED_VALUE"""),"Castro")</f>
        <v>Castro</v>
      </c>
      <c r="G55" s="1" t="str">
        <f>IFERROR(__xludf.DUMMYFUNCTION("""COMPUTED_VALUE"""),"Lucic")</f>
        <v>Lucic</v>
      </c>
      <c r="H55" s="1" t="str">
        <f>IFERROR(__xludf.DUMMYFUNCTION("""COMPUTED_VALUE"""),"Milka Slavia")</f>
        <v>Milka Slavia</v>
      </c>
      <c r="I55" s="1" t="str">
        <f>IFERROR(__xludf.DUMMYFUNCTION("""COMPUTED_VALUE"""),"Castro Lucic Milka Slavia")</f>
        <v>Castro Lucic Milka Slavia</v>
      </c>
      <c r="J55" s="10">
        <f>IFERROR(__xludf.DUMMYFUNCTION("""COMPUTED_VALUE"""),28399.0)</f>
        <v>28399</v>
      </c>
      <c r="K55" s="10">
        <f>IFERROR(__xludf.DUMMYFUNCTION("""COMPUTED_VALUE"""),15281.0)</f>
        <v>15281</v>
      </c>
      <c r="L55" s="1">
        <f>IFERROR(__xludf.DUMMYFUNCTION("""COMPUTED_VALUE"""),82.0)</f>
        <v>82</v>
      </c>
      <c r="M55" s="1" t="str">
        <f>IFERROR(__xludf.DUMMYFUNCTION("""COMPUTED_VALUE"""),"0001 Casado")</f>
        <v>0001 Casado</v>
      </c>
      <c r="N55" s="1" t="str">
        <f>IFERROR(__xludf.DUMMYFUNCTION("""COMPUTED_VALUE"""),"N0040 Profesional Superior")</f>
        <v>N0040 Profesional Superior</v>
      </c>
      <c r="O55" s="10">
        <f>IFERROR(__xludf.DUMMYFUNCTION("""COMPUTED_VALUE"""),38412.0)</f>
        <v>38412</v>
      </c>
      <c r="P55" s="10">
        <f>IFERROR(__xludf.DUMMYFUNCTION("""COMPUTED_VALUE"""),38664.0)</f>
        <v>38664</v>
      </c>
      <c r="Q55" s="1" t="str">
        <f>IFERROR(__xludf.DUMMYFUNCTION("""COMPUTED_VALUE"""),"P Propiedad")</f>
        <v>P Propiedad</v>
      </c>
      <c r="R55" s="1" t="str">
        <f>IFERROR(__xludf.DUMMYFUNCTION("""COMPUTED_VALUE"""),"A Académico")</f>
        <v>A Académico</v>
      </c>
      <c r="S55" s="9" t="str">
        <f>IFERROR(__xludf.DUMMYFUNCTION("""COMPUTED_VALUE"""),"47703077")</f>
        <v>47703077</v>
      </c>
      <c r="T55" s="1" t="str">
        <f>IFERROR(__xludf.DUMMYFUNCTION("""COMPUTED_VALUE"""),"0047703077")</f>
        <v>0047703077</v>
      </c>
      <c r="U55" s="1">
        <f>IFERROR(__xludf.DUMMYFUNCTION("""COMPUTED_VALUE"""),44.0)</f>
        <v>44</v>
      </c>
      <c r="V55" s="1" t="str">
        <f>IFERROR(__xludf.DUMMYFUNCTION("""COMPUTED_VALUE"""),"P0900 Doctor")</f>
        <v>P0900 Doctor</v>
      </c>
      <c r="W55" s="1">
        <f>IFERROR(__xludf.DUMMYFUNCTION("""COMPUTED_VALUE"""),39644.0)</f>
        <v>39644</v>
      </c>
      <c r="X55" s="1" t="str">
        <f>IFERROR(__xludf.DUMMYFUNCTION("""COMPUTED_VALUE"""),"Academia Antropologia")</f>
        <v>Academia Antropologia</v>
      </c>
      <c r="Y55" s="1" t="str">
        <f>IFERROR(__xludf.DUMMYFUNCTION("""COMPUTED_VALUE"""),"ESPAÑA")</f>
        <v>ESPAÑA</v>
      </c>
      <c r="Z55" s="1" t="str">
        <f>IFERROR(__xludf.DUMMYFUNCTION("""COMPUTED_VALUE"""),"T5054 Licenciado en Antropologia")</f>
        <v>T5054 Licenciado en Antropologia</v>
      </c>
    </row>
    <row r="56" hidden="1">
      <c r="A56" s="1" t="str">
        <f>IFERROR(__xludf.DUMMYFUNCTION("""COMPUTED_VALUE"""),"12090116 Dpto. de Antropología (funcionamiento)")</f>
        <v>12090116 Dpto. de Antropología (funcionamiento)</v>
      </c>
      <c r="B56" s="1" t="str">
        <f>IFERROR(__xludf.DUMMYFUNCTION("""COMPUTED_VALUE"""),"A1A001 Académico Prof. Titular")</f>
        <v>A1A001 Académico Prof. Titular</v>
      </c>
      <c r="C56" s="1" t="str">
        <f>IFERROR(__xludf.DUMMYFUNCTION("""COMPUTED_VALUE"""),"Prof.Titular - Categ. Academica Ord.")</f>
        <v>Prof.Titular - Categ. Academica Ord.</v>
      </c>
      <c r="D56" s="1" t="str">
        <f>IFERROR(__xludf.DUMMYFUNCTION("""COMPUTED_VALUE"""),"A1A Prof.Titular - Categ. Academica Ord.")</f>
        <v>A1A Prof.Titular - Categ. Academica Ord.</v>
      </c>
      <c r="E56" s="1" t="str">
        <f>IFERROR(__xludf.DUMMYFUNCTION("""COMPUTED_VALUE"""),"Femenino")</f>
        <v>Femenino</v>
      </c>
      <c r="F56" s="1" t="str">
        <f>IFERROR(__xludf.DUMMYFUNCTION("""COMPUTED_VALUE"""),"Castro")</f>
        <v>Castro</v>
      </c>
      <c r="G56" s="1" t="str">
        <f>IFERROR(__xludf.DUMMYFUNCTION("""COMPUTED_VALUE"""),"Rojas")</f>
        <v>Rojas</v>
      </c>
      <c r="H56" s="1" t="str">
        <f>IFERROR(__xludf.DUMMYFUNCTION("""COMPUTED_VALUE"""),"María Victoria")</f>
        <v>María Victoria</v>
      </c>
      <c r="I56" s="1" t="str">
        <f>IFERROR(__xludf.DUMMYFUNCTION("""COMPUTED_VALUE"""),"Castro Rojas María Victoria")</f>
        <v>Castro Rojas María Victoria</v>
      </c>
      <c r="J56" s="10">
        <f>IFERROR(__xludf.DUMMYFUNCTION("""COMPUTED_VALUE"""),25508.0)</f>
        <v>25508</v>
      </c>
      <c r="K56" s="10">
        <f>IFERROR(__xludf.DUMMYFUNCTION("""COMPUTED_VALUE"""),16256.0)</f>
        <v>16256</v>
      </c>
      <c r="L56" s="1">
        <f>IFERROR(__xludf.DUMMYFUNCTION("""COMPUTED_VALUE"""),79.0)</f>
        <v>79</v>
      </c>
      <c r="M56" s="1" t="str">
        <f>IFERROR(__xludf.DUMMYFUNCTION("""COMPUTED_VALUE"""),"0001 Casado")</f>
        <v>0001 Casado</v>
      </c>
      <c r="N56" s="1"/>
      <c r="O56" s="10">
        <f>IFERROR(__xludf.DUMMYFUNCTION("""COMPUTED_VALUE"""),44562.0)</f>
        <v>44562</v>
      </c>
      <c r="P56" s="10">
        <f>IFERROR(__xludf.DUMMYFUNCTION("""COMPUTED_VALUE"""),44736.0)</f>
        <v>44736</v>
      </c>
      <c r="Q56" s="1" t="str">
        <f>IFERROR(__xludf.DUMMYFUNCTION("""COMPUTED_VALUE"""),"C Contrata")</f>
        <v>C Contrata</v>
      </c>
      <c r="R56" s="1" t="str">
        <f>IFERROR(__xludf.DUMMYFUNCTION("""COMPUTED_VALUE"""),"A Académico")</f>
        <v>A Académico</v>
      </c>
      <c r="S56" s="9" t="str">
        <f>IFERROR(__xludf.DUMMYFUNCTION("""COMPUTED_VALUE"""),"004756333K")</f>
        <v>004756333K</v>
      </c>
      <c r="T56" s="1" t="str">
        <f>IFERROR(__xludf.DUMMYFUNCTION("""COMPUTED_VALUE"""),"004756333K")</f>
        <v>004756333K</v>
      </c>
      <c r="U56" s="1">
        <f>IFERROR(__xludf.DUMMYFUNCTION("""COMPUTED_VALUE"""),21.0)</f>
        <v>21</v>
      </c>
      <c r="V56" s="1" t="str">
        <f>IFERROR(__xludf.DUMMYFUNCTION("""COMPUTED_VALUE"""),"P0850 Magister")</f>
        <v>P0850 Magister</v>
      </c>
      <c r="W56" s="1">
        <f>IFERROR(__xludf.DUMMYFUNCTION("""COMPUTED_VALUE"""),31412.0)</f>
        <v>31412</v>
      </c>
      <c r="X56" s="1" t="str">
        <f>IFERROR(__xludf.DUMMYFUNCTION("""COMPUTED_VALUE"""),"Universidad De Chile")</f>
        <v>Universidad De Chile</v>
      </c>
      <c r="Y56" s="1" t="str">
        <f>IFERROR(__xludf.DUMMYFUNCTION("""COMPUTED_VALUE"""),"CHILE")</f>
        <v>CHILE</v>
      </c>
      <c r="Z56" s="1" t="str">
        <f>IFERROR(__xludf.DUMMYFUNCTION("""COMPUTED_VALUE"""),"T5089 Profesor De Ens.Media Filosofia")</f>
        <v>T5089 Profesor De Ens.Media Filosofia</v>
      </c>
    </row>
    <row r="57" hidden="1">
      <c r="A57" s="1" t="str">
        <f>IFERROR(__xludf.DUMMYFUNCTION("""COMPUTED_VALUE"""),"12090801 Departamento de Sociología")</f>
        <v>12090801 Departamento de Sociología</v>
      </c>
      <c r="B57" s="1" t="str">
        <f>IFERROR(__xludf.DUMMYFUNCTION("""COMPUTED_VALUE"""),"A3A001 Académico Prof. Asistente")</f>
        <v>A3A001 Académico Prof. Asistente</v>
      </c>
      <c r="C57" s="1" t="str">
        <f>IFERROR(__xludf.DUMMYFUNCTION("""COMPUTED_VALUE"""),"Prof. Asistente - Categ. Academica Ord.")</f>
        <v>Prof. Asistente - Categ. Academica Ord.</v>
      </c>
      <c r="D57" s="1" t="str">
        <f>IFERROR(__xludf.DUMMYFUNCTION("""COMPUTED_VALUE"""),"A3A Prof. Asistente - Categ. Academica Ord.")</f>
        <v>A3A Prof. Asistente - Categ. Academica Ord.</v>
      </c>
      <c r="E57" s="1" t="str">
        <f>IFERROR(__xludf.DUMMYFUNCTION("""COMPUTED_VALUE"""),"Masculino")</f>
        <v>Masculino</v>
      </c>
      <c r="F57" s="1" t="str">
        <f>IFERROR(__xludf.DUMMYFUNCTION("""COMPUTED_VALUE"""),"Chacón")</f>
        <v>Chacón</v>
      </c>
      <c r="G57" s="1" t="str">
        <f>IFERROR(__xludf.DUMMYFUNCTION("""COMPUTED_VALUE"""),"Herrera")</f>
        <v>Herrera</v>
      </c>
      <c r="H57" s="1" t="str">
        <f>IFERROR(__xludf.DUMMYFUNCTION("""COMPUTED_VALUE"""),"Arturo Roberto")</f>
        <v>Arturo Roberto</v>
      </c>
      <c r="I57" s="1" t="str">
        <f>IFERROR(__xludf.DUMMYFUNCTION("""COMPUTED_VALUE"""),"Chacón Herrera Arturo Roberto")</f>
        <v>Chacón Herrera Arturo Roberto</v>
      </c>
      <c r="J57" s="10">
        <f>IFERROR(__xludf.DUMMYFUNCTION("""COMPUTED_VALUE"""),26543.0)</f>
        <v>26543</v>
      </c>
      <c r="K57" s="10">
        <f>IFERROR(__xludf.DUMMYFUNCTION("""COMPUTED_VALUE"""),12664.0)</f>
        <v>12664</v>
      </c>
      <c r="L57" s="1">
        <f>IFERROR(__xludf.DUMMYFUNCTION("""COMPUTED_VALUE"""),89.0)</f>
        <v>89</v>
      </c>
      <c r="M57" s="1" t="str">
        <f>IFERROR(__xludf.DUMMYFUNCTION("""COMPUTED_VALUE"""),"0001 Casado")</f>
        <v>0001 Casado</v>
      </c>
      <c r="N57" s="1"/>
      <c r="O57" s="10">
        <f>IFERROR(__xludf.DUMMYFUNCTION("""COMPUTED_VALUE"""),38718.0)</f>
        <v>38718</v>
      </c>
      <c r="P57" s="10">
        <f>IFERROR(__xludf.DUMMYFUNCTION("""COMPUTED_VALUE"""),38807.0)</f>
        <v>38807</v>
      </c>
      <c r="Q57" s="1" t="str">
        <f>IFERROR(__xludf.DUMMYFUNCTION("""COMPUTED_VALUE"""),"C Contrata")</f>
        <v>C Contrata</v>
      </c>
      <c r="R57" s="1" t="str">
        <f>IFERROR(__xludf.DUMMYFUNCTION("""COMPUTED_VALUE"""),"A Académico")</f>
        <v>A Académico</v>
      </c>
      <c r="S57" s="9" t="str">
        <f>IFERROR(__xludf.DUMMYFUNCTION("""COMPUTED_VALUE"""),"36401397")</f>
        <v>36401397</v>
      </c>
      <c r="T57" s="1" t="str">
        <f>IFERROR(__xludf.DUMMYFUNCTION("""COMPUTED_VALUE"""),"0036401397")</f>
        <v>0036401397</v>
      </c>
      <c r="U57" s="1">
        <f>IFERROR(__xludf.DUMMYFUNCTION("""COMPUTED_VALUE"""),6.0)</f>
        <v>6</v>
      </c>
      <c r="V57" s="1" t="str">
        <f>IFERROR(__xludf.DUMMYFUNCTION("""COMPUTED_VALUE"""),"P0850 Magister")</f>
        <v>P0850 Magister</v>
      </c>
      <c r="W57" s="1">
        <f>IFERROR(__xludf.DUMMYFUNCTION("""COMPUTED_VALUE"""),25730.0)</f>
        <v>25730</v>
      </c>
      <c r="X57" s="1" t="str">
        <f>IFERROR(__xludf.DUMMYFUNCTION("""COMPUTED_VALUE"""),"Universidad De Toronto")</f>
        <v>Universidad De Toronto</v>
      </c>
      <c r="Y57" s="1" t="str">
        <f>IFERROR(__xludf.DUMMYFUNCTION("""COMPUTED_VALUE"""),"CANADA")</f>
        <v>CANADA</v>
      </c>
      <c r="Z57" s="1" t="str">
        <f>IFERROR(__xludf.DUMMYFUNCTION("""COMPUTED_VALUE"""),"T5063 Licenciado en Sociologia")</f>
        <v>T5063 Licenciado en Sociologia</v>
      </c>
    </row>
    <row r="58" hidden="1">
      <c r="A58" s="1" t="str">
        <f>IFERROR(__xludf.DUMMYFUNCTION("""COMPUTED_VALUE"""),"12090601 Departamento de Educación")</f>
        <v>12090601 Departamento de Educación</v>
      </c>
      <c r="B58" s="1" t="str">
        <f>IFERROR(__xludf.DUMMYFUNCTION("""COMPUTED_VALUE"""),"A3B001 Académico Prof. Asistente")</f>
        <v>A3B001 Académico Prof. Asistente</v>
      </c>
      <c r="C58" s="1" t="str">
        <f>IFERROR(__xludf.DUMMYFUNCTION("""COMPUTED_VALUE"""),"Prof. Asistente - Categ. Academica Doc.")</f>
        <v>Prof. Asistente - Categ. Academica Doc.</v>
      </c>
      <c r="D58" s="1" t="str">
        <f>IFERROR(__xludf.DUMMYFUNCTION("""COMPUTED_VALUE"""),"A3B Prof. Asistente - Categ. Academica Doc.")</f>
        <v>A3B Prof. Asistente - Categ. Academica Doc.</v>
      </c>
      <c r="E58" s="1" t="str">
        <f>IFERROR(__xludf.DUMMYFUNCTION("""COMPUTED_VALUE"""),"Femenino")</f>
        <v>Femenino</v>
      </c>
      <c r="F58" s="1" t="str">
        <f>IFERROR(__xludf.DUMMYFUNCTION("""COMPUTED_VALUE"""),"Champin")</f>
        <v>Champin</v>
      </c>
      <c r="G58" s="1" t="str">
        <f>IFERROR(__xludf.DUMMYFUNCTION("""COMPUTED_VALUE"""),"Dattwyler")</f>
        <v>Dattwyler</v>
      </c>
      <c r="H58" s="1" t="str">
        <f>IFERROR(__xludf.DUMMYFUNCTION("""COMPUTED_VALUE"""),"June Elizabeth")</f>
        <v>June Elizabeth</v>
      </c>
      <c r="I58" s="1" t="str">
        <f>IFERROR(__xludf.DUMMYFUNCTION("""COMPUTED_VALUE"""),"Champin Dattwyler June Elizabeth")</f>
        <v>Champin Dattwyler June Elizabeth</v>
      </c>
      <c r="J58" s="10">
        <f>IFERROR(__xludf.DUMMYFUNCTION("""COMPUTED_VALUE"""),39417.0)</f>
        <v>39417</v>
      </c>
      <c r="K58" s="10">
        <f>IFERROR(__xludf.DUMMYFUNCTION("""COMPUTED_VALUE"""),18523.0)</f>
        <v>18523</v>
      </c>
      <c r="L58" s="1">
        <f>IFERROR(__xludf.DUMMYFUNCTION("""COMPUTED_VALUE"""),73.0)</f>
        <v>73</v>
      </c>
      <c r="M58" s="1" t="str">
        <f>IFERROR(__xludf.DUMMYFUNCTION("""COMPUTED_VALUE"""),"0002 Soltero")</f>
        <v>0002 Soltero</v>
      </c>
      <c r="N58" s="1"/>
      <c r="O58" s="10">
        <f>IFERROR(__xludf.DUMMYFUNCTION("""COMPUTED_VALUE"""),40179.0)</f>
        <v>40179</v>
      </c>
      <c r="P58" s="10">
        <f>IFERROR(__xludf.DUMMYFUNCTION("""COMPUTED_VALUE"""),40268.0)</f>
        <v>40268</v>
      </c>
      <c r="Q58" s="1" t="str">
        <f>IFERROR(__xludf.DUMMYFUNCTION("""COMPUTED_VALUE"""),"C Contrata")</f>
        <v>C Contrata</v>
      </c>
      <c r="R58" s="1" t="str">
        <f>IFERROR(__xludf.DUMMYFUNCTION("""COMPUTED_VALUE"""),"A Académico")</f>
        <v>A Académico</v>
      </c>
      <c r="S58" s="9" t="str">
        <f>IFERROR(__xludf.DUMMYFUNCTION("""COMPUTED_VALUE"""),"63641987")</f>
        <v>63641987</v>
      </c>
      <c r="T58" s="1" t="str">
        <f>IFERROR(__xludf.DUMMYFUNCTION("""COMPUTED_VALUE"""),"0063641987")</f>
        <v>0063641987</v>
      </c>
      <c r="U58" s="1">
        <f>IFERROR(__xludf.DUMMYFUNCTION("""COMPUTED_VALUE"""),6.0)</f>
        <v>6</v>
      </c>
      <c r="V58" s="1" t="str">
        <f>IFERROR(__xludf.DUMMYFUNCTION("""COMPUTED_VALUE"""),"P0855 Magister En Educacion")</f>
        <v>P0855 Magister En Educacion</v>
      </c>
      <c r="W58" s="1">
        <f>IFERROR(__xludf.DUMMYFUNCTION("""COMPUTED_VALUE"""),39080.0)</f>
        <v>39080</v>
      </c>
      <c r="X58" s="1" t="str">
        <f>IFERROR(__xludf.DUMMYFUNCTION("""COMPUTED_VALUE"""),"Universidad De Chile")</f>
        <v>Universidad De Chile</v>
      </c>
      <c r="Y58" s="1" t="str">
        <f>IFERROR(__xludf.DUMMYFUNCTION("""COMPUTED_VALUE"""),"CHILE")</f>
        <v>CHILE</v>
      </c>
      <c r="Z58" s="1" t="str">
        <f>IFERROR(__xludf.DUMMYFUNCTION("""COMPUTED_VALUE"""),"T5079 Profesor De Biologia Y Cs Naturales")</f>
        <v>T5079 Profesor De Biologia Y Cs Naturales</v>
      </c>
    </row>
    <row r="59">
      <c r="A59" s="1" t="str">
        <f>IFERROR(__xludf.DUMMYFUNCTION("""COMPUTED_VALUE"""),"12090801 Departamento de Sociología")</f>
        <v>12090801 Departamento de Sociología</v>
      </c>
      <c r="B59" s="1" t="str">
        <f>IFERROR(__xludf.DUMMYFUNCTION("""COMPUTED_VALUE"""),"A4A001 ACADEMICO  INSTRUCTOR")</f>
        <v>A4A001 ACADEMICO  INSTRUCTOR</v>
      </c>
      <c r="C59" s="1" t="str">
        <f>IFERROR(__xludf.DUMMYFUNCTION("""COMPUTED_VALUE"""),"Instructor")</f>
        <v>Instructor</v>
      </c>
      <c r="D59" s="1" t="str">
        <f>IFERROR(__xludf.DUMMYFUNCTION("""COMPUTED_VALUE"""),"A4A Instructor")</f>
        <v>A4A Instructor</v>
      </c>
      <c r="E59" s="1" t="str">
        <f>IFERROR(__xludf.DUMMYFUNCTION("""COMPUTED_VALUE"""),"Masculino")</f>
        <v>Masculino</v>
      </c>
      <c r="F59" s="1" t="str">
        <f>IFERROR(__xludf.DUMMYFUNCTION("""COMPUTED_VALUE"""),"Chernilo")</f>
        <v>Chernilo</v>
      </c>
      <c r="G59" s="1" t="str">
        <f>IFERROR(__xludf.DUMMYFUNCTION("""COMPUTED_VALUE"""),"Steiner")</f>
        <v>Steiner</v>
      </c>
      <c r="H59" s="1" t="str">
        <f>IFERROR(__xludf.DUMMYFUNCTION("""COMPUTED_VALUE"""),"Daniel Enrique")</f>
        <v>Daniel Enrique</v>
      </c>
      <c r="I59" s="1" t="str">
        <f>IFERROR(__xludf.DUMMYFUNCTION("""COMPUTED_VALUE"""),"Chernilo Steiner Daniel Enrique")</f>
        <v>Chernilo Steiner Daniel Enrique</v>
      </c>
      <c r="J59" s="10">
        <f>IFERROR(__xludf.DUMMYFUNCTION("""COMPUTED_VALUE"""),36708.0)</f>
        <v>36708</v>
      </c>
      <c r="K59" s="10">
        <f>IFERROR(__xludf.DUMMYFUNCTION("""COMPUTED_VALUE"""),27391.0)</f>
        <v>27391</v>
      </c>
      <c r="L59" s="1">
        <f>IFERROR(__xludf.DUMMYFUNCTION("""COMPUTED_VALUE"""),49.0)</f>
        <v>49</v>
      </c>
      <c r="M59" s="1" t="str">
        <f>IFERROR(__xludf.DUMMYFUNCTION("""COMPUTED_VALUE"""),"0001 Casado")</f>
        <v>0001 Casado</v>
      </c>
      <c r="N59" s="1"/>
      <c r="O59" s="10">
        <f>IFERROR(__xludf.DUMMYFUNCTION("""COMPUTED_VALUE"""),38353.0)</f>
        <v>38353</v>
      </c>
      <c r="P59" s="10">
        <f>IFERROR(__xludf.DUMMYFUNCTION("""COMPUTED_VALUE"""),38472.0)</f>
        <v>38472</v>
      </c>
      <c r="Q59" s="1" t="str">
        <f>IFERROR(__xludf.DUMMYFUNCTION("""COMPUTED_VALUE"""),"K Ad Honorem Contrata")</f>
        <v>K Ad Honorem Contrata</v>
      </c>
      <c r="R59" s="1" t="str">
        <f>IFERROR(__xludf.DUMMYFUNCTION("""COMPUTED_VALUE"""),"A Académico")</f>
        <v>A Académico</v>
      </c>
      <c r="S59" s="9" t="str">
        <f>IFERROR(__xludf.DUMMYFUNCTION("""COMPUTED_VALUE"""),"128518797")</f>
        <v>128518797</v>
      </c>
      <c r="T59" s="1" t="str">
        <f>IFERROR(__xludf.DUMMYFUNCTION("""COMPUTED_VALUE"""),"0128518797")</f>
        <v>0128518797</v>
      </c>
      <c r="U59" s="1">
        <f>IFERROR(__xludf.DUMMYFUNCTION("""COMPUTED_VALUE"""),4.0)</f>
        <v>4</v>
      </c>
      <c r="V59" s="1" t="str">
        <f>IFERROR(__xludf.DUMMYFUNCTION("""COMPUTED_VALUE"""),"P0501 Con Titulo Profesional")</f>
        <v>P0501 Con Titulo Profesional</v>
      </c>
      <c r="W59" s="1">
        <f>IFERROR(__xludf.DUMMYFUNCTION("""COMPUTED_VALUE"""),32143.0)</f>
        <v>32143</v>
      </c>
      <c r="X59" s="1" t="str">
        <f>IFERROR(__xludf.DUMMYFUNCTION("""COMPUTED_VALUE"""),"Universidad De Chile")</f>
        <v>Universidad De Chile</v>
      </c>
      <c r="Y59" s="1" t="str">
        <f>IFERROR(__xludf.DUMMYFUNCTION("""COMPUTED_VALUE"""),"CHILE")</f>
        <v>CHILE</v>
      </c>
      <c r="Z59" s="1"/>
    </row>
    <row r="60" hidden="1">
      <c r="A60" s="1" t="str">
        <f>IFERROR(__xludf.DUMMYFUNCTION("""COMPUTED_VALUE"""),"12090701 Departamento de Psicología")</f>
        <v>12090701 Departamento de Psicología</v>
      </c>
      <c r="B60" s="1" t="str">
        <f>IFERROR(__xludf.DUMMYFUNCTION("""COMPUTED_VALUE"""),"A3A001 Académico Prof. Asistente")</f>
        <v>A3A001 Académico Prof. Asistente</v>
      </c>
      <c r="C60" s="1" t="str">
        <f>IFERROR(__xludf.DUMMYFUNCTION("""COMPUTED_VALUE"""),"Prof. Asistente - Categ. Academica Ord.")</f>
        <v>Prof. Asistente - Categ. Academica Ord.</v>
      </c>
      <c r="D60" s="1" t="str">
        <f>IFERROR(__xludf.DUMMYFUNCTION("""COMPUTED_VALUE"""),"A3A Prof. Asistente - Categ. Academica Ord.")</f>
        <v>A3A Prof. Asistente - Categ. Academica Ord.</v>
      </c>
      <c r="E60" s="1" t="str">
        <f>IFERROR(__xludf.DUMMYFUNCTION("""COMPUTED_VALUE"""),"Masculino")</f>
        <v>Masculino</v>
      </c>
      <c r="F60" s="1" t="str">
        <f>IFERROR(__xludf.DUMMYFUNCTION("""COMPUTED_VALUE"""),"Cifuentes")</f>
        <v>Cifuentes</v>
      </c>
      <c r="G60" s="1" t="str">
        <f>IFERROR(__xludf.DUMMYFUNCTION("""COMPUTED_VALUE"""),"Gatica")</f>
        <v>Gatica</v>
      </c>
      <c r="H60" s="1" t="str">
        <f>IFERROR(__xludf.DUMMYFUNCTION("""COMPUTED_VALUE"""),"Salvador Manuel Antonio")</f>
        <v>Salvador Manuel Antonio</v>
      </c>
      <c r="I60" s="1" t="str">
        <f>IFERROR(__xludf.DUMMYFUNCTION("""COMPUTED_VALUE"""),"Cifuentes Gatica Salvador Manuel Antonio")</f>
        <v>Cifuentes Gatica Salvador Manuel Antonio</v>
      </c>
      <c r="J60" s="10">
        <f>IFERROR(__xludf.DUMMYFUNCTION("""COMPUTED_VALUE"""),21306.0)</f>
        <v>21306</v>
      </c>
      <c r="K60" s="10">
        <f>IFERROR(__xludf.DUMMYFUNCTION("""COMPUTED_VALUE"""),10496.0)</f>
        <v>10496</v>
      </c>
      <c r="L60" s="1">
        <f>IFERROR(__xludf.DUMMYFUNCTION("""COMPUTED_VALUE"""),95.0)</f>
        <v>95</v>
      </c>
      <c r="M60" s="1" t="str">
        <f>IFERROR(__xludf.DUMMYFUNCTION("""COMPUTED_VALUE"""),"0002 Soltero")</f>
        <v>0002 Soltero</v>
      </c>
      <c r="N60" s="1"/>
      <c r="O60" s="10">
        <f>IFERROR(__xludf.DUMMYFUNCTION("""COMPUTED_VALUE"""),34213.0)</f>
        <v>34213</v>
      </c>
      <c r="P60" s="10">
        <f>IFERROR(__xludf.DUMMYFUNCTION("""COMPUTED_VALUE"""),34479.0)</f>
        <v>34479</v>
      </c>
      <c r="Q60" s="1" t="str">
        <f>IFERROR(__xludf.DUMMYFUNCTION("""COMPUTED_VALUE"""),"P Propiedad")</f>
        <v>P Propiedad</v>
      </c>
      <c r="R60" s="1" t="str">
        <f>IFERROR(__xludf.DUMMYFUNCTION("""COMPUTED_VALUE"""),"A Académico")</f>
        <v>A Académico</v>
      </c>
      <c r="S60" s="9" t="str">
        <f>IFERROR(__xludf.DUMMYFUNCTION("""COMPUTED_VALUE"""),"25935675")</f>
        <v>25935675</v>
      </c>
      <c r="T60" s="1" t="str">
        <f>IFERROR(__xludf.DUMMYFUNCTION("""COMPUTED_VALUE"""),"0025935675")</f>
        <v>0025935675</v>
      </c>
      <c r="U60" s="1">
        <f>IFERROR(__xludf.DUMMYFUNCTION("""COMPUTED_VALUE"""),44.0)</f>
        <v>44</v>
      </c>
      <c r="V60" s="1"/>
      <c r="W60" s="1"/>
      <c r="X60" s="1"/>
      <c r="Y60" s="1"/>
      <c r="Z60" s="1"/>
    </row>
    <row r="61">
      <c r="A61" s="1" t="str">
        <f>IFERROR(__xludf.DUMMYFUNCTION("""COMPUTED_VALUE"""),"12090501 Departamento de Investigaciónes Mediáticas y de la Comunicación")</f>
        <v>12090501 Departamento de Investigaciónes Mediáticas y de la Comunicación</v>
      </c>
      <c r="B61" s="1" t="str">
        <f>IFERROR(__xludf.DUMMYFUNCTION("""COMPUTED_VALUE"""),"A3A001 Académico Prof. Asistente")</f>
        <v>A3A001 Académico Prof. Asistente</v>
      </c>
      <c r="C61" s="1" t="str">
        <f>IFERROR(__xludf.DUMMYFUNCTION("""COMPUTED_VALUE"""),"Prof. Asistente - Categ. Academica Ord.")</f>
        <v>Prof. Asistente - Categ. Academica Ord.</v>
      </c>
      <c r="D61" s="1" t="str">
        <f>IFERROR(__xludf.DUMMYFUNCTION("""COMPUTED_VALUE"""),"A3A Prof. Asistente - Categ. Academica Ord.")</f>
        <v>A3A Prof. Asistente - Categ. Academica Ord.</v>
      </c>
      <c r="E61" s="1" t="str">
        <f>IFERROR(__xludf.DUMMYFUNCTION("""COMPUTED_VALUE"""),"Femenino")</f>
        <v>Femenino</v>
      </c>
      <c r="F61" s="1" t="str">
        <f>IFERROR(__xludf.DUMMYFUNCTION("""COMPUTED_VALUE"""),"Clemente")</f>
        <v>Clemente</v>
      </c>
      <c r="G61" s="1" t="str">
        <f>IFERROR(__xludf.DUMMYFUNCTION("""COMPUTED_VALUE"""),"Briones")</f>
        <v>Briones</v>
      </c>
      <c r="H61" s="1" t="str">
        <f>IFERROR(__xludf.DUMMYFUNCTION("""COMPUTED_VALUE"""),"María del Pilar")</f>
        <v>María del Pilar</v>
      </c>
      <c r="I61" s="1" t="str">
        <f>IFERROR(__xludf.DUMMYFUNCTION("""COMPUTED_VALUE"""),"Clemente Briones María del Pilar")</f>
        <v>Clemente Briones María del Pilar</v>
      </c>
      <c r="J61" s="10">
        <f>IFERROR(__xludf.DUMMYFUNCTION("""COMPUTED_VALUE"""),34973.0)</f>
        <v>34973</v>
      </c>
      <c r="K61" s="10">
        <f>IFERROR(__xludf.DUMMYFUNCTION("""COMPUTED_VALUE"""),22739.0)</f>
        <v>22739</v>
      </c>
      <c r="L61" s="1">
        <f>IFERROR(__xludf.DUMMYFUNCTION("""COMPUTED_VALUE"""),61.0)</f>
        <v>61</v>
      </c>
      <c r="M61" s="1" t="str">
        <f>IFERROR(__xludf.DUMMYFUNCTION("""COMPUTED_VALUE"""),"0001 Casado")</f>
        <v>0001 Casado</v>
      </c>
      <c r="N61" s="1" t="str">
        <f>IFERROR(__xludf.DUMMYFUNCTION("""COMPUTED_VALUE"""),"N0040 Profesional Superior")</f>
        <v>N0040 Profesional Superior</v>
      </c>
      <c r="O61" s="10">
        <f>IFERROR(__xludf.DUMMYFUNCTION("""COMPUTED_VALUE"""),36069.0)</f>
        <v>36069</v>
      </c>
      <c r="P61" s="10">
        <f>IFERROR(__xludf.DUMMYFUNCTION("""COMPUTED_VALUE"""),37833.0)</f>
        <v>37833</v>
      </c>
      <c r="Q61" s="1" t="str">
        <f>IFERROR(__xludf.DUMMYFUNCTION("""COMPUTED_VALUE"""),"P Propiedad")</f>
        <v>P Propiedad</v>
      </c>
      <c r="R61" s="1" t="str">
        <f>IFERROR(__xludf.DUMMYFUNCTION("""COMPUTED_VALUE"""),"A Académico")</f>
        <v>A Académico</v>
      </c>
      <c r="S61" s="9" t="str">
        <f>IFERROR(__xludf.DUMMYFUNCTION("""COMPUTED_VALUE"""),"64229524")</f>
        <v>64229524</v>
      </c>
      <c r="T61" s="1" t="str">
        <f>IFERROR(__xludf.DUMMYFUNCTION("""COMPUTED_VALUE"""),"0064229524")</f>
        <v>0064229524</v>
      </c>
      <c r="U61" s="1">
        <f>IFERROR(__xludf.DUMMYFUNCTION("""COMPUTED_VALUE"""),12.0)</f>
        <v>12</v>
      </c>
      <c r="V61" s="1" t="str">
        <f>IFERROR(__xludf.DUMMYFUNCTION("""COMPUTED_VALUE"""),"P0401 Licenciado")</f>
        <v>P0401 Licenciado</v>
      </c>
      <c r="W61" s="1">
        <f>IFERROR(__xludf.DUMMYFUNCTION("""COMPUTED_VALUE"""),32142.0)</f>
        <v>32142</v>
      </c>
      <c r="X61" s="1" t="str">
        <f>IFERROR(__xludf.DUMMYFUNCTION("""COMPUTED_VALUE"""),"Universidad De Chile")</f>
        <v>Universidad De Chile</v>
      </c>
      <c r="Y61" s="1" t="str">
        <f>IFERROR(__xludf.DUMMYFUNCTION("""COMPUTED_VALUE"""),"CHILE")</f>
        <v>CHILE</v>
      </c>
      <c r="Z61" s="1" t="str">
        <f>IFERROR(__xludf.DUMMYFUNCTION("""COMPUTED_VALUE"""),"T5074 Periodista")</f>
        <v>T5074 Periodista</v>
      </c>
    </row>
    <row r="62" hidden="1">
      <c r="A62" s="1" t="str">
        <f>IFERROR(__xludf.DUMMYFUNCTION("""COMPUTED_VALUE"""),"12090501 Departamento de Investigaciónes Mediáticas y de la Comunicación")</f>
        <v>12090501 Departamento de Investigaciónes Mediáticas y de la Comunicación</v>
      </c>
      <c r="B62" s="1" t="str">
        <f>IFERROR(__xludf.DUMMYFUNCTION("""COMPUTED_VALUE"""),"A3A001 Académico Prof. Asistente")</f>
        <v>A3A001 Académico Prof. Asistente</v>
      </c>
      <c r="C62" s="1" t="str">
        <f>IFERROR(__xludf.DUMMYFUNCTION("""COMPUTED_VALUE"""),"Prof. Asistente - Categ. Academica Ord.")</f>
        <v>Prof. Asistente - Categ. Academica Ord.</v>
      </c>
      <c r="D62" s="1" t="str">
        <f>IFERROR(__xludf.DUMMYFUNCTION("""COMPUTED_VALUE"""),"A3A Prof. Asistente - Categ. Academica Ord.")</f>
        <v>A3A Prof. Asistente - Categ. Academica Ord.</v>
      </c>
      <c r="E62" s="1" t="str">
        <f>IFERROR(__xludf.DUMMYFUNCTION("""COMPUTED_VALUE"""),"Masculino")</f>
        <v>Masculino</v>
      </c>
      <c r="F62" s="1" t="str">
        <f>IFERROR(__xludf.DUMMYFUNCTION("""COMPUTED_VALUE"""),"Concha")</f>
        <v>Concha</v>
      </c>
      <c r="G62" s="1" t="str">
        <f>IFERROR(__xludf.DUMMYFUNCTION("""COMPUTED_VALUE"""),"Contreras")</f>
        <v>Contreras</v>
      </c>
      <c r="H62" s="1" t="str">
        <f>IFERROR(__xludf.DUMMYFUNCTION("""COMPUTED_VALUE"""),"Edmundo")</f>
        <v>Edmundo</v>
      </c>
      <c r="I62" s="1" t="str">
        <f>IFERROR(__xludf.DUMMYFUNCTION("""COMPUTED_VALUE"""),"Concha Contreras Edmundo")</f>
        <v>Concha Contreras Edmundo</v>
      </c>
      <c r="J62" s="10">
        <f>IFERROR(__xludf.DUMMYFUNCTION("""COMPUTED_VALUE"""),27851.0)</f>
        <v>27851</v>
      </c>
      <c r="K62" s="10">
        <f>IFERROR(__xludf.DUMMYFUNCTION("""COMPUTED_VALUE"""),6789.0)</f>
        <v>6789</v>
      </c>
      <c r="L62" s="1">
        <f>IFERROR(__xludf.DUMMYFUNCTION("""COMPUTED_VALUE"""),105.0)</f>
        <v>105</v>
      </c>
      <c r="M62" s="1" t="str">
        <f>IFERROR(__xludf.DUMMYFUNCTION("""COMPUTED_VALUE"""),"0001 Casado")</f>
        <v>0001 Casado</v>
      </c>
      <c r="N62" s="1"/>
      <c r="O62" s="10">
        <f>IFERROR(__xludf.DUMMYFUNCTION("""COMPUTED_VALUE"""),35065.0)</f>
        <v>35065</v>
      </c>
      <c r="P62" s="10">
        <f>IFERROR(__xludf.DUMMYFUNCTION("""COMPUTED_VALUE"""),35155.0)</f>
        <v>35155</v>
      </c>
      <c r="Q62" s="1" t="str">
        <f>IFERROR(__xludf.DUMMYFUNCTION("""COMPUTED_VALUE"""),"C Contrata")</f>
        <v>C Contrata</v>
      </c>
      <c r="R62" s="1" t="str">
        <f>IFERROR(__xludf.DUMMYFUNCTION("""COMPUTED_VALUE"""),"A Académico")</f>
        <v>A Académico</v>
      </c>
      <c r="S62" s="9" t="str">
        <f>IFERROR(__xludf.DUMMYFUNCTION("""COMPUTED_VALUE"""),"13836795")</f>
        <v>13836795</v>
      </c>
      <c r="T62" s="1" t="str">
        <f>IFERROR(__xludf.DUMMYFUNCTION("""COMPUTED_VALUE"""),"0013836795")</f>
        <v>0013836795</v>
      </c>
      <c r="U62" s="1">
        <f>IFERROR(__xludf.DUMMYFUNCTION("""COMPUTED_VALUE"""),6.0)</f>
        <v>6</v>
      </c>
      <c r="V62" s="1"/>
      <c r="W62" s="1"/>
      <c r="X62" s="1"/>
      <c r="Y62" s="1"/>
      <c r="Z62" s="1"/>
    </row>
    <row r="63">
      <c r="A63" s="1" t="str">
        <f>IFERROR(__xludf.DUMMYFUNCTION("""COMPUTED_VALUE"""),"12090301 Departamento de Antropología")</f>
        <v>12090301 Departamento de Antropología</v>
      </c>
      <c r="B63" s="1" t="str">
        <f>IFERROR(__xludf.DUMMYFUNCTION("""COMPUTED_VALUE"""),"A4A001 ACADEMICO  INSTRUCTOR")</f>
        <v>A4A001 ACADEMICO  INSTRUCTOR</v>
      </c>
      <c r="C63" s="1" t="str">
        <f>IFERROR(__xludf.DUMMYFUNCTION("""COMPUTED_VALUE"""),"Instructor")</f>
        <v>Instructor</v>
      </c>
      <c r="D63" s="1" t="str">
        <f>IFERROR(__xludf.DUMMYFUNCTION("""COMPUTED_VALUE"""),"A4A Instructor")</f>
        <v>A4A Instructor</v>
      </c>
      <c r="E63" s="1" t="str">
        <f>IFERROR(__xludf.DUMMYFUNCTION("""COMPUTED_VALUE"""),"Femenino")</f>
        <v>Femenino</v>
      </c>
      <c r="F63" s="1" t="str">
        <f>IFERROR(__xludf.DUMMYFUNCTION("""COMPUTED_VALUE"""),"Constantinescu")</f>
        <v>Constantinescu</v>
      </c>
      <c r="G63" s="1" t="str">
        <f>IFERROR(__xludf.DUMMYFUNCTION("""COMPUTED_VALUE"""),"Cabrera")</f>
        <v>Cabrera</v>
      </c>
      <c r="H63" s="1" t="str">
        <f>IFERROR(__xludf.DUMMYFUNCTION("""COMPUTED_VALUE"""),"Florence Marie")</f>
        <v>Florence Marie</v>
      </c>
      <c r="I63" s="1" t="str">
        <f>IFERROR(__xludf.DUMMYFUNCTION("""COMPUTED_VALUE"""),"Constantinescu Cabrera Florence Marie")</f>
        <v>Constantinescu Cabrera Florence Marie</v>
      </c>
      <c r="J63" s="10">
        <f>IFERROR(__xludf.DUMMYFUNCTION("""COMPUTED_VALUE"""),34455.0)</f>
        <v>34455</v>
      </c>
      <c r="K63" s="10">
        <f>IFERROR(__xludf.DUMMYFUNCTION("""COMPUTED_VALUE"""),25032.0)</f>
        <v>25032</v>
      </c>
      <c r="L63" s="1">
        <f>IFERROR(__xludf.DUMMYFUNCTION("""COMPUTED_VALUE"""),55.0)</f>
        <v>55</v>
      </c>
      <c r="M63" s="1" t="str">
        <f>IFERROR(__xludf.DUMMYFUNCTION("""COMPUTED_VALUE"""),"0005 Divorciado")</f>
        <v>0005 Divorciado</v>
      </c>
      <c r="N63" s="1"/>
      <c r="O63" s="10">
        <f>IFERROR(__xludf.DUMMYFUNCTION("""COMPUTED_VALUE"""),36161.0)</f>
        <v>36161</v>
      </c>
      <c r="P63" s="10">
        <f>IFERROR(__xludf.DUMMYFUNCTION("""COMPUTED_VALUE"""),36525.0)</f>
        <v>36525</v>
      </c>
      <c r="Q63" s="1" t="str">
        <f>IFERROR(__xludf.DUMMYFUNCTION("""COMPUTED_VALUE"""),"C Contrata")</f>
        <v>C Contrata</v>
      </c>
      <c r="R63" s="1" t="str">
        <f>IFERROR(__xludf.DUMMYFUNCTION("""COMPUTED_VALUE"""),"A Académico")</f>
        <v>A Académico</v>
      </c>
      <c r="S63" s="9" t="str">
        <f>IFERROR(__xludf.DUMMYFUNCTION("""COMPUTED_VALUE"""),"103472067")</f>
        <v>103472067</v>
      </c>
      <c r="T63" s="1" t="str">
        <f>IFERROR(__xludf.DUMMYFUNCTION("""COMPUTED_VALUE"""),"0103472067")</f>
        <v>0103472067</v>
      </c>
      <c r="U63" s="1">
        <f>IFERROR(__xludf.DUMMYFUNCTION("""COMPUTED_VALUE"""),22.0)</f>
        <v>22</v>
      </c>
      <c r="V63" s="1"/>
      <c r="W63" s="1"/>
      <c r="X63" s="1"/>
      <c r="Y63" s="1"/>
      <c r="Z63" s="1"/>
    </row>
    <row r="64" hidden="1">
      <c r="A64" s="1" t="str">
        <f>IFERROR(__xludf.DUMMYFUNCTION("""COMPUTED_VALUE"""),"12090501 Departamento de Investigaciónes Mediáticas y de la Comunicación")</f>
        <v>12090501 Departamento de Investigaciónes Mediáticas y de la Comunicación</v>
      </c>
      <c r="B64" s="1" t="str">
        <f>IFERROR(__xludf.DUMMYFUNCTION("""COMPUTED_VALUE"""),"A1A001 Académico Prof. Titular")</f>
        <v>A1A001 Académico Prof. Titular</v>
      </c>
      <c r="C64" s="1" t="str">
        <f>IFERROR(__xludf.DUMMYFUNCTION("""COMPUTED_VALUE"""),"Prof.Titular - Categ. Academica Ord.")</f>
        <v>Prof.Titular - Categ. Academica Ord.</v>
      </c>
      <c r="D64" s="1" t="str">
        <f>IFERROR(__xludf.DUMMYFUNCTION("""COMPUTED_VALUE"""),"A1A Prof.Titular - Categ. Academica Ord.")</f>
        <v>A1A Prof.Titular - Categ. Academica Ord.</v>
      </c>
      <c r="E64" s="1" t="str">
        <f>IFERROR(__xludf.DUMMYFUNCTION("""COMPUTED_VALUE"""),"Masculino")</f>
        <v>Masculino</v>
      </c>
      <c r="F64" s="1" t="str">
        <f>IFERROR(__xludf.DUMMYFUNCTION("""COMPUTED_VALUE"""),"Contardo")</f>
        <v>Contardo</v>
      </c>
      <c r="G64" s="1" t="str">
        <f>IFERROR(__xludf.DUMMYFUNCTION("""COMPUTED_VALUE"""),"Egaña")</f>
        <v>Egaña</v>
      </c>
      <c r="H64" s="1" t="str">
        <f>IFERROR(__xludf.DUMMYFUNCTION("""COMPUTED_VALUE"""),"Sergio")</f>
        <v>Sergio</v>
      </c>
      <c r="I64" s="1" t="str">
        <f>IFERROR(__xludf.DUMMYFUNCTION("""COMPUTED_VALUE"""),"Contardo Egaña Sergio")</f>
        <v>Contardo Egaña Sergio</v>
      </c>
      <c r="J64" s="10">
        <f>IFERROR(__xludf.DUMMYFUNCTION("""COMPUTED_VALUE"""),27120.0)</f>
        <v>27120</v>
      </c>
      <c r="K64" s="10">
        <f>IFERROR(__xludf.DUMMYFUNCTION("""COMPUTED_VALUE"""),9280.0)</f>
        <v>9280</v>
      </c>
      <c r="L64" s="1">
        <f>IFERROR(__xludf.DUMMYFUNCTION("""COMPUTED_VALUE"""),98.0)</f>
        <v>98</v>
      </c>
      <c r="M64" s="1" t="str">
        <f>IFERROR(__xludf.DUMMYFUNCTION("""COMPUTED_VALUE"""),"0001 Casado")</f>
        <v>0001 Casado</v>
      </c>
      <c r="N64" s="1"/>
      <c r="O64" s="10">
        <f>IFERROR(__xludf.DUMMYFUNCTION("""COMPUTED_VALUE"""),35796.0)</f>
        <v>35796</v>
      </c>
      <c r="P64" s="10">
        <f>IFERROR(__xludf.DUMMYFUNCTION("""COMPUTED_VALUE"""),37833.0)</f>
        <v>37833</v>
      </c>
      <c r="Q64" s="1" t="str">
        <f>IFERROR(__xludf.DUMMYFUNCTION("""COMPUTED_VALUE"""),"P Propiedad")</f>
        <v>P Propiedad</v>
      </c>
      <c r="R64" s="1" t="str">
        <f>IFERROR(__xludf.DUMMYFUNCTION("""COMPUTED_VALUE"""),"A Académico")</f>
        <v>A Académico</v>
      </c>
      <c r="S64" s="9" t="str">
        <f>IFERROR(__xludf.DUMMYFUNCTION("""COMPUTED_VALUE"""),"19240215")</f>
        <v>19240215</v>
      </c>
      <c r="T64" s="1" t="str">
        <f>IFERROR(__xludf.DUMMYFUNCTION("""COMPUTED_VALUE"""),"0019240215")</f>
        <v>0019240215</v>
      </c>
      <c r="U64" s="1">
        <f>IFERROR(__xludf.DUMMYFUNCTION("""COMPUTED_VALUE"""),22.0)</f>
        <v>22</v>
      </c>
      <c r="V64" s="1" t="str">
        <f>IFERROR(__xludf.DUMMYFUNCTION("""COMPUTED_VALUE"""),"P0501 Con Titulo Profesional")</f>
        <v>P0501 Con Titulo Profesional</v>
      </c>
      <c r="W64" s="1">
        <f>IFERROR(__xludf.DUMMYFUNCTION("""COMPUTED_VALUE"""),18629.0)</f>
        <v>18629</v>
      </c>
      <c r="X64" s="1" t="str">
        <f>IFERROR(__xludf.DUMMYFUNCTION("""COMPUTED_VALUE"""),"Universidad De Chile")</f>
        <v>Universidad De Chile</v>
      </c>
      <c r="Y64" s="1" t="str">
        <f>IFERROR(__xludf.DUMMYFUNCTION("""COMPUTED_VALUE"""),"CHILE")</f>
        <v>CHILE</v>
      </c>
      <c r="Z64" s="1"/>
    </row>
    <row r="65" hidden="1">
      <c r="A65" s="1" t="str">
        <f>IFERROR(__xludf.DUMMYFUNCTION("""COMPUTED_VALUE"""),"12090801 Departamento de Sociología")</f>
        <v>12090801 Departamento de Sociología</v>
      </c>
      <c r="B65" s="1" t="str">
        <f>IFERROR(__xludf.DUMMYFUNCTION("""COMPUTED_VALUE"""),"000285 ACADEMICO MEDIA JORNADA")</f>
        <v>000285 ACADEMICO MEDIA JORNADA</v>
      </c>
      <c r="C65" s="1" t="str">
        <f>IFERROR(__xludf.DUMMYFUNCTION("""COMPUTED_VALUE"""),"Prof. Asociado - Categ. Academica Ord.")</f>
        <v>Prof. Asociado - Categ. Academica Ord.</v>
      </c>
      <c r="D65" s="1" t="str">
        <f>IFERROR(__xludf.DUMMYFUNCTION("""COMPUTED_VALUE"""),"A2A Prof. Asociado - Categ. Academica Ord.")</f>
        <v>A2A Prof. Asociado - Categ. Academica Ord.</v>
      </c>
      <c r="E65" s="1" t="str">
        <f>IFERROR(__xludf.DUMMYFUNCTION("""COMPUTED_VALUE"""),"Femenino")</f>
        <v>Femenino</v>
      </c>
      <c r="F65" s="1" t="str">
        <f>IFERROR(__xludf.DUMMYFUNCTION("""COMPUTED_VALUE"""),"Cooper")</f>
        <v>Cooper</v>
      </c>
      <c r="G65" s="1" t="str">
        <f>IFERROR(__xludf.DUMMYFUNCTION("""COMPUTED_VALUE"""),"Mayr")</f>
        <v>Mayr</v>
      </c>
      <c r="H65" s="1" t="str">
        <f>IFERROR(__xludf.DUMMYFUNCTION("""COMPUTED_VALUE"""),"Doris")</f>
        <v>Doris</v>
      </c>
      <c r="I65" s="1" t="str">
        <f>IFERROR(__xludf.DUMMYFUNCTION("""COMPUTED_VALUE"""),"Cooper Mayr Doris")</f>
        <v>Cooper Mayr Doris</v>
      </c>
      <c r="J65" s="10">
        <f>IFERROR(__xludf.DUMMYFUNCTION("""COMPUTED_VALUE"""),30773.0)</f>
        <v>30773</v>
      </c>
      <c r="K65" s="10">
        <f>IFERROR(__xludf.DUMMYFUNCTION("""COMPUTED_VALUE"""),17213.0)</f>
        <v>17213</v>
      </c>
      <c r="L65" s="1">
        <f>IFERROR(__xludf.DUMMYFUNCTION("""COMPUTED_VALUE"""),76.0)</f>
        <v>76</v>
      </c>
      <c r="M65" s="1" t="str">
        <f>IFERROR(__xludf.DUMMYFUNCTION("""COMPUTED_VALUE"""),"0002 Soltero")</f>
        <v>0002 Soltero</v>
      </c>
      <c r="N65" s="1"/>
      <c r="O65" s="10">
        <f>IFERROR(__xludf.DUMMYFUNCTION("""COMPUTED_VALUE"""),37469.0)</f>
        <v>37469</v>
      </c>
      <c r="P65" s="10">
        <f>IFERROR(__xludf.DUMMYFUNCTION("""COMPUTED_VALUE"""),38657.0)</f>
        <v>38657</v>
      </c>
      <c r="Q65" s="1" t="str">
        <f>IFERROR(__xludf.DUMMYFUNCTION("""COMPUTED_VALUE"""),"P Propiedad")</f>
        <v>P Propiedad</v>
      </c>
      <c r="R65" s="1" t="str">
        <f>IFERROR(__xludf.DUMMYFUNCTION("""COMPUTED_VALUE"""),"A Académico")</f>
        <v>A Académico</v>
      </c>
      <c r="S65" s="9" t="str">
        <f>IFERROR(__xludf.DUMMYFUNCTION("""COMPUTED_VALUE"""),"54780222")</f>
        <v>54780222</v>
      </c>
      <c r="T65" s="1" t="str">
        <f>IFERROR(__xludf.DUMMYFUNCTION("""COMPUTED_VALUE"""),"0054780222")</f>
        <v>0054780222</v>
      </c>
      <c r="U65" s="1">
        <f>IFERROR(__xludf.DUMMYFUNCTION("""COMPUTED_VALUE"""),22.0)</f>
        <v>22</v>
      </c>
      <c r="V65" s="1" t="str">
        <f>IFERROR(__xludf.DUMMYFUNCTION("""COMPUTED_VALUE"""),"P0850 Magister")</f>
        <v>P0850 Magister</v>
      </c>
      <c r="W65" s="1">
        <f>IFERROR(__xludf.DUMMYFUNCTION("""COMPUTED_VALUE"""),32381.0)</f>
        <v>32381</v>
      </c>
      <c r="X65" s="1" t="str">
        <f>IFERROR(__xludf.DUMMYFUNCTION("""COMPUTED_VALUE"""),"Universidad De Chile")</f>
        <v>Universidad De Chile</v>
      </c>
      <c r="Y65" s="1" t="str">
        <f>IFERROR(__xludf.DUMMYFUNCTION("""COMPUTED_VALUE"""),"CHILE")</f>
        <v>CHILE</v>
      </c>
      <c r="Z65" s="1" t="str">
        <f>IFERROR(__xludf.DUMMYFUNCTION("""COMPUTED_VALUE"""),"T5082 Sociologo")</f>
        <v>T5082 Sociologo</v>
      </c>
    </row>
    <row r="66">
      <c r="A66" s="1" t="str">
        <f>IFERROR(__xludf.DUMMYFUNCTION("""COMPUTED_VALUE"""),"12090701 Departamento de Psicología")</f>
        <v>12090701 Departamento de Psicología</v>
      </c>
      <c r="B66" s="1" t="str">
        <f>IFERROR(__xludf.DUMMYFUNCTION("""COMPUTED_VALUE"""),"A5A001 ACADEMICO AYUDANTE")</f>
        <v>A5A001 ACADEMICO AYUDANTE</v>
      </c>
      <c r="C66" s="1" t="str">
        <f>IFERROR(__xludf.DUMMYFUNCTION("""COMPUTED_VALUE"""),"Ayudante")</f>
        <v>Ayudante</v>
      </c>
      <c r="D66" s="1" t="str">
        <f>IFERROR(__xludf.DUMMYFUNCTION("""COMPUTED_VALUE"""),"A5A Ayudante")</f>
        <v>A5A Ayudante</v>
      </c>
      <c r="E66" s="1" t="str">
        <f>IFERROR(__xludf.DUMMYFUNCTION("""COMPUTED_VALUE"""),"Femenino")</f>
        <v>Femenino</v>
      </c>
      <c r="F66" s="1" t="str">
        <f>IFERROR(__xludf.DUMMYFUNCTION("""COMPUTED_VALUE"""),"Corbalán")</f>
        <v>Corbalán</v>
      </c>
      <c r="G66" s="1" t="str">
        <f>IFERROR(__xludf.DUMMYFUNCTION("""COMPUTED_VALUE"""),"Pössel")</f>
        <v>Pössel</v>
      </c>
      <c r="H66" s="1" t="str">
        <f>IFERROR(__xludf.DUMMYFUNCTION("""COMPUTED_VALUE"""),"Francisca Johanna")</f>
        <v>Francisca Johanna</v>
      </c>
      <c r="I66" s="1" t="str">
        <f>IFERROR(__xludf.DUMMYFUNCTION("""COMPUTED_VALUE"""),"Corbalán Pössel Francisca Johanna")</f>
        <v>Corbalán Pössel Francisca Johanna</v>
      </c>
      <c r="J66" s="10">
        <f>IFERROR(__xludf.DUMMYFUNCTION("""COMPUTED_VALUE"""),39722.0)</f>
        <v>39722</v>
      </c>
      <c r="K66" s="10">
        <f>IFERROR(__xludf.DUMMYFUNCTION("""COMPUTED_VALUE"""),30440.0)</f>
        <v>30440</v>
      </c>
      <c r="L66" s="1">
        <f>IFERROR(__xludf.DUMMYFUNCTION("""COMPUTED_VALUE"""),40.0)</f>
        <v>40</v>
      </c>
      <c r="M66" s="1" t="str">
        <f>IFERROR(__xludf.DUMMYFUNCTION("""COMPUTED_VALUE"""),"0002 Soltero")</f>
        <v>0002 Soltero</v>
      </c>
      <c r="N66" s="1" t="str">
        <f>IFERROR(__xludf.DUMMYFUNCTION("""COMPUTED_VALUE"""),"N0040 Profesional Superior")</f>
        <v>N0040 Profesional Superior</v>
      </c>
      <c r="O66" s="10">
        <f>IFERROR(__xludf.DUMMYFUNCTION("""COMPUTED_VALUE"""),42005.0)</f>
        <v>42005</v>
      </c>
      <c r="P66" s="10">
        <f>IFERROR(__xludf.DUMMYFUNCTION("""COMPUTED_VALUE"""),42369.0)</f>
        <v>42369</v>
      </c>
      <c r="Q66" s="1" t="str">
        <f>IFERROR(__xludf.DUMMYFUNCTION("""COMPUTED_VALUE"""),"C Contrata")</f>
        <v>C Contrata</v>
      </c>
      <c r="R66" s="1" t="str">
        <f>IFERROR(__xludf.DUMMYFUNCTION("""COMPUTED_VALUE"""),"A Académico")</f>
        <v>A Académico</v>
      </c>
      <c r="S66" s="9" t="str">
        <f>IFERROR(__xludf.DUMMYFUNCTION("""COMPUTED_VALUE"""),"164317196")</f>
        <v>164317196</v>
      </c>
      <c r="T66" s="1" t="str">
        <f>IFERROR(__xludf.DUMMYFUNCTION("""COMPUTED_VALUE"""),"0164317196")</f>
        <v>0164317196</v>
      </c>
      <c r="U66" s="1">
        <f>IFERROR(__xludf.DUMMYFUNCTION("""COMPUTED_VALUE"""),2.0)</f>
        <v>2</v>
      </c>
      <c r="V66" s="1" t="str">
        <f>IFERROR(__xludf.DUMMYFUNCTION("""COMPUTED_VALUE"""),"P0800 Magíster")</f>
        <v>P0800 Magíster</v>
      </c>
      <c r="W66" s="1">
        <f>IFERROR(__xludf.DUMMYFUNCTION("""COMPUTED_VALUE"""),41214.0)</f>
        <v>41214</v>
      </c>
      <c r="X66" s="1" t="str">
        <f>IFERROR(__xludf.DUMMYFUNCTION("""COMPUTED_VALUE"""),"Institute of Education University of London")</f>
        <v>Institute of Education University of London</v>
      </c>
      <c r="Y66" s="1" t="str">
        <f>IFERROR(__xludf.DUMMYFUNCTION("""COMPUTED_VALUE"""),"INGLATERRA")</f>
        <v>INGLATERRA</v>
      </c>
      <c r="Z66" s="1" t="str">
        <f>IFERROR(__xludf.DUMMYFUNCTION("""COMPUTED_VALUE"""),"T5124 Psicologo")</f>
        <v>T5124 Psicologo</v>
      </c>
    </row>
    <row r="67">
      <c r="A67" s="1" t="str">
        <f>IFERROR(__xludf.DUMMYFUNCTION("""COMPUTED_VALUE"""),"12090701 Departamento de Psicología")</f>
        <v>12090701 Departamento de Psicología</v>
      </c>
      <c r="B67" s="1" t="str">
        <f>IFERROR(__xludf.DUMMYFUNCTION("""COMPUTED_VALUE"""),"A8A001 ACADEMICO INSTRUCTOR ADJUNTO")</f>
        <v>A8A001 ACADEMICO INSTRUCTOR ADJUNTO</v>
      </c>
      <c r="C67" s="1" t="str">
        <f>IFERROR(__xludf.DUMMYFUNCTION("""COMPUTED_VALUE"""),"Inst. Adjunto")</f>
        <v>Inst. Adjunto</v>
      </c>
      <c r="D67" s="1" t="str">
        <f>IFERROR(__xludf.DUMMYFUNCTION("""COMPUTED_VALUE"""),"A8A Inst. Adjunto")</f>
        <v>A8A Inst. Adjunto</v>
      </c>
      <c r="E67" s="1" t="str">
        <f>IFERROR(__xludf.DUMMYFUNCTION("""COMPUTED_VALUE"""),"Femenino")</f>
        <v>Femenino</v>
      </c>
      <c r="F67" s="1" t="str">
        <f>IFERROR(__xludf.DUMMYFUNCTION("""COMPUTED_VALUE"""),"Cordeu")</f>
        <v>Cordeu</v>
      </c>
      <c r="G67" s="1" t="str">
        <f>IFERROR(__xludf.DUMMYFUNCTION("""COMPUTED_VALUE"""),"Cuccia")</f>
        <v>Cuccia</v>
      </c>
      <c r="H67" s="1" t="str">
        <f>IFERROR(__xludf.DUMMYFUNCTION("""COMPUTED_VALUE"""),"Cecilia Paula")</f>
        <v>Cecilia Paula</v>
      </c>
      <c r="I67" s="1" t="str">
        <f>IFERROR(__xludf.DUMMYFUNCTION("""COMPUTED_VALUE"""),"Cordeu Cuccia Cecilia Paula")</f>
        <v>Cordeu Cuccia Cecilia Paula</v>
      </c>
      <c r="J67" s="10">
        <f>IFERROR(__xludf.DUMMYFUNCTION("""COMPUTED_VALUE"""),40179.0)</f>
        <v>40179</v>
      </c>
      <c r="K67" s="10">
        <f>IFERROR(__xludf.DUMMYFUNCTION("""COMPUTED_VALUE"""),26676.0)</f>
        <v>26676</v>
      </c>
      <c r="L67" s="1">
        <f>IFERROR(__xludf.DUMMYFUNCTION("""COMPUTED_VALUE"""),51.0)</f>
        <v>51</v>
      </c>
      <c r="M67" s="1" t="str">
        <f>IFERROR(__xludf.DUMMYFUNCTION("""COMPUTED_VALUE"""),"0001 Casado")</f>
        <v>0001 Casado</v>
      </c>
      <c r="N67" s="1" t="str">
        <f>IFERROR(__xludf.DUMMYFUNCTION("""COMPUTED_VALUE"""),"N0040 Profesional Superior")</f>
        <v>N0040 Profesional Superior</v>
      </c>
      <c r="O67" s="10">
        <f>IFERROR(__xludf.DUMMYFUNCTION("""COMPUTED_VALUE"""),42736.0)</f>
        <v>42736</v>
      </c>
      <c r="P67" s="10">
        <f>IFERROR(__xludf.DUMMYFUNCTION("""COMPUTED_VALUE"""),42855.0)</f>
        <v>42855</v>
      </c>
      <c r="Q67" s="1" t="str">
        <f>IFERROR(__xludf.DUMMYFUNCTION("""COMPUTED_VALUE"""),"C Contrata")</f>
        <v>C Contrata</v>
      </c>
      <c r="R67" s="1" t="str">
        <f>IFERROR(__xludf.DUMMYFUNCTION("""COMPUTED_VALUE"""),"A Académico")</f>
        <v>A Académico</v>
      </c>
      <c r="S67" s="9" t="str">
        <f>IFERROR(__xludf.DUMMYFUNCTION("""COMPUTED_VALUE"""),"146491960")</f>
        <v>146491960</v>
      </c>
      <c r="T67" s="1" t="str">
        <f>IFERROR(__xludf.DUMMYFUNCTION("""COMPUTED_VALUE"""),"0146491960")</f>
        <v>0146491960</v>
      </c>
      <c r="U67" s="1">
        <f>IFERROR(__xludf.DUMMYFUNCTION("""COMPUTED_VALUE"""),12.0)</f>
        <v>12</v>
      </c>
      <c r="V67" s="1" t="str">
        <f>IFERROR(__xludf.DUMMYFUNCTION("""COMPUTED_VALUE"""),"P0800 Magíster")</f>
        <v>P0800 Magíster</v>
      </c>
      <c r="W67" s="1">
        <f>IFERROR(__xludf.DUMMYFUNCTION("""COMPUTED_VALUE"""),39742.0)</f>
        <v>39742</v>
      </c>
      <c r="X67" s="1" t="str">
        <f>IFERROR(__xludf.DUMMYFUNCTION("""COMPUTED_VALUE"""),"Universidad De Chile")</f>
        <v>Universidad De Chile</v>
      </c>
      <c r="Y67" s="1" t="str">
        <f>IFERROR(__xludf.DUMMYFUNCTION("""COMPUTED_VALUE"""),"CHILE")</f>
        <v>CHILE</v>
      </c>
      <c r="Z67" s="1" t="str">
        <f>IFERROR(__xludf.DUMMYFUNCTION("""COMPUTED_VALUE"""),"T5276 Psicologo")</f>
        <v>T5276 Psicologo</v>
      </c>
    </row>
    <row r="68">
      <c r="A68" s="1" t="str">
        <f>IFERROR(__xludf.DUMMYFUNCTION("""COMPUTED_VALUE"""),"12090116 Dpto. de Antropología (funcionamiento)")</f>
        <v>12090116 Dpto. de Antropología (funcionamiento)</v>
      </c>
      <c r="B68" s="1" t="str">
        <f>IFERROR(__xludf.DUMMYFUNCTION("""COMPUTED_VALUE"""),"A2A001 Académico Prof. Asociado")</f>
        <v>A2A001 Académico Prof. Asociado</v>
      </c>
      <c r="C68" s="1" t="str">
        <f>IFERROR(__xludf.DUMMYFUNCTION("""COMPUTED_VALUE"""),"Prof. Asociado - Categ. Academica Ord.")</f>
        <v>Prof. Asociado - Categ. Academica Ord.</v>
      </c>
      <c r="D68" s="1" t="str">
        <f>IFERROR(__xludf.DUMMYFUNCTION("""COMPUTED_VALUE"""),"A2A Prof. Asociado - Categ. Academica Ord.")</f>
        <v>A2A Prof. Asociado - Categ. Academica Ord.</v>
      </c>
      <c r="E68" s="1" t="str">
        <f>IFERROR(__xludf.DUMMYFUNCTION("""COMPUTED_VALUE"""),"Masculino")</f>
        <v>Masculino</v>
      </c>
      <c r="F68" s="1" t="str">
        <f>IFERROR(__xludf.DUMMYFUNCTION("""COMPUTED_VALUE"""),"Cornejo")</f>
        <v>Cornejo</v>
      </c>
      <c r="G68" s="1" t="str">
        <f>IFERROR(__xludf.DUMMYFUNCTION("""COMPUTED_VALUE"""),"Bustamante")</f>
        <v>Bustamante</v>
      </c>
      <c r="H68" s="1" t="str">
        <f>IFERROR(__xludf.DUMMYFUNCTION("""COMPUTED_VALUE"""),"Luis Eduardo")</f>
        <v>Luis Eduardo</v>
      </c>
      <c r="I68" s="1" t="str">
        <f>IFERROR(__xludf.DUMMYFUNCTION("""COMPUTED_VALUE"""),"Cornejo Bustamante Luis Eduardo")</f>
        <v>Cornejo Bustamante Luis Eduardo</v>
      </c>
      <c r="J68" s="10">
        <f>IFERROR(__xludf.DUMMYFUNCTION("""COMPUTED_VALUE"""),33543.0)</f>
        <v>33543</v>
      </c>
      <c r="K68" s="10">
        <f>IFERROR(__xludf.DUMMYFUNCTION("""COMPUTED_VALUE"""),21626.0)</f>
        <v>21626</v>
      </c>
      <c r="L68" s="1">
        <f>IFERROR(__xludf.DUMMYFUNCTION("""COMPUTED_VALUE"""),64.0)</f>
        <v>64</v>
      </c>
      <c r="M68" s="1" t="str">
        <f>IFERROR(__xludf.DUMMYFUNCTION("""COMPUTED_VALUE"""),"0001 Casado")</f>
        <v>0001 Casado</v>
      </c>
      <c r="N68" s="1"/>
      <c r="O68" s="10">
        <f>IFERROR(__xludf.DUMMYFUNCTION("""COMPUTED_VALUE"""),42186.0)</f>
        <v>42186</v>
      </c>
      <c r="P68" s="10">
        <f>IFERROR(__xludf.DUMMYFUNCTION("""COMPUTED_VALUE"""),42308.0)</f>
        <v>42308</v>
      </c>
      <c r="Q68" s="1" t="str">
        <f>IFERROR(__xludf.DUMMYFUNCTION("""COMPUTED_VALUE"""),"P Propiedad")</f>
        <v>P Propiedad</v>
      </c>
      <c r="R68" s="1" t="str">
        <f>IFERROR(__xludf.DUMMYFUNCTION("""COMPUTED_VALUE"""),"A Académico")</f>
        <v>A Académico</v>
      </c>
      <c r="S68" s="9" t="str">
        <f>IFERROR(__xludf.DUMMYFUNCTION("""COMPUTED_VALUE"""),"81756031")</f>
        <v>81756031</v>
      </c>
      <c r="T68" s="1" t="str">
        <f>IFERROR(__xludf.DUMMYFUNCTION("""COMPUTED_VALUE"""),"0081756031")</f>
        <v>0081756031</v>
      </c>
      <c r="U68" s="1">
        <f>IFERROR(__xludf.DUMMYFUNCTION("""COMPUTED_VALUE"""),6.0)</f>
        <v>6</v>
      </c>
      <c r="V68" s="1" t="str">
        <f>IFERROR(__xludf.DUMMYFUNCTION("""COMPUTED_VALUE"""),"P0401 Licenciado")</f>
        <v>P0401 Licenciado</v>
      </c>
      <c r="W68" s="1">
        <f>IFERROR(__xludf.DUMMYFUNCTION("""COMPUTED_VALUE"""),31119.0)</f>
        <v>31119</v>
      </c>
      <c r="X68" s="1" t="str">
        <f>IFERROR(__xludf.DUMMYFUNCTION("""COMPUTED_VALUE"""),"Universidad De Chile")</f>
        <v>Universidad De Chile</v>
      </c>
      <c r="Y68" s="1" t="str">
        <f>IFERROR(__xludf.DUMMYFUNCTION("""COMPUTED_VALUE"""),"CHILE")</f>
        <v>CHILE</v>
      </c>
      <c r="Z68" s="1" t="str">
        <f>IFERROR(__xludf.DUMMYFUNCTION("""COMPUTED_VALUE"""),"T5054 Licenciado en Antropologia")</f>
        <v>T5054 Licenciado en Antropologia</v>
      </c>
    </row>
    <row r="69" hidden="1">
      <c r="A69" s="1" t="str">
        <f>IFERROR(__xludf.DUMMYFUNCTION("""COMPUTED_VALUE"""),"12090701 Departamento de Psicología")</f>
        <v>12090701 Departamento de Psicología</v>
      </c>
      <c r="B69" s="1" t="str">
        <f>IFERROR(__xludf.DUMMYFUNCTION("""COMPUTED_VALUE"""),"A3A001 Académico Prof. Asistente")</f>
        <v>A3A001 Académico Prof. Asistente</v>
      </c>
      <c r="C69" s="1" t="str">
        <f>IFERROR(__xludf.DUMMYFUNCTION("""COMPUTED_VALUE"""),"Prof. Asistente - Categ. Academica Ord.")</f>
        <v>Prof. Asistente - Categ. Academica Ord.</v>
      </c>
      <c r="D69" s="1" t="str">
        <f>IFERROR(__xludf.DUMMYFUNCTION("""COMPUTED_VALUE"""),"A3A Prof. Asistente - Categ. Academica Ord.")</f>
        <v>A3A Prof. Asistente - Categ. Academica Ord.</v>
      </c>
      <c r="E69" s="1" t="str">
        <f>IFERROR(__xludf.DUMMYFUNCTION("""COMPUTED_VALUE"""),"Masculino")</f>
        <v>Masculino</v>
      </c>
      <c r="F69" s="1" t="str">
        <f>IFERROR(__xludf.DUMMYFUNCTION("""COMPUTED_VALUE"""),"Cornejo")</f>
        <v>Cornejo</v>
      </c>
      <c r="G69" s="1" t="str">
        <f>IFERROR(__xludf.DUMMYFUNCTION("""COMPUTED_VALUE"""),"Romero")</f>
        <v>Romero</v>
      </c>
      <c r="H69" s="1" t="str">
        <f>IFERROR(__xludf.DUMMYFUNCTION("""COMPUTED_VALUE"""),"Raúl Humberto")</f>
        <v>Raúl Humberto</v>
      </c>
      <c r="I69" s="1" t="str">
        <f>IFERROR(__xludf.DUMMYFUNCTION("""COMPUTED_VALUE"""),"Cornejo Romero Raúl Humberto")</f>
        <v>Cornejo Romero Raúl Humberto</v>
      </c>
      <c r="J69" s="10">
        <f>IFERROR(__xludf.DUMMYFUNCTION("""COMPUTED_VALUE"""),35004.0)</f>
        <v>35004</v>
      </c>
      <c r="K69" s="10">
        <f>IFERROR(__xludf.DUMMYFUNCTION("""COMPUTED_VALUE"""),18338.0)</f>
        <v>18338</v>
      </c>
      <c r="L69" s="1">
        <f>IFERROR(__xludf.DUMMYFUNCTION("""COMPUTED_VALUE"""),73.0)</f>
        <v>73</v>
      </c>
      <c r="M69" s="1" t="str">
        <f>IFERROR(__xludf.DUMMYFUNCTION("""COMPUTED_VALUE"""),"0002 Soltero")</f>
        <v>0002 Soltero</v>
      </c>
      <c r="N69" s="1" t="str">
        <f>IFERROR(__xludf.DUMMYFUNCTION("""COMPUTED_VALUE"""),"N0040 Profesional Superior")</f>
        <v>N0040 Profesional Superior</v>
      </c>
      <c r="O69" s="10">
        <f>IFERROR(__xludf.DUMMYFUNCTION("""COMPUTED_VALUE"""),36892.0)</f>
        <v>36892</v>
      </c>
      <c r="P69" s="10">
        <f>IFERROR(__xludf.DUMMYFUNCTION("""COMPUTED_VALUE"""),37256.0)</f>
        <v>37256</v>
      </c>
      <c r="Q69" s="1" t="str">
        <f>IFERROR(__xludf.DUMMYFUNCTION("""COMPUTED_VALUE"""),"C Contrata")</f>
        <v>C Contrata</v>
      </c>
      <c r="R69" s="1" t="str">
        <f>IFERROR(__xludf.DUMMYFUNCTION("""COMPUTED_VALUE"""),"A Académico")</f>
        <v>A Académico</v>
      </c>
      <c r="S69" s="9" t="str">
        <f>IFERROR(__xludf.DUMMYFUNCTION("""COMPUTED_VALUE"""),"60877270")</f>
        <v>60877270</v>
      </c>
      <c r="T69" s="1" t="str">
        <f>IFERROR(__xludf.DUMMYFUNCTION("""COMPUTED_VALUE"""),"0060877270")</f>
        <v>0060877270</v>
      </c>
      <c r="U69" s="1">
        <f>IFERROR(__xludf.DUMMYFUNCTION("""COMPUTED_VALUE"""),6.0)</f>
        <v>6</v>
      </c>
      <c r="V69" s="1" t="str">
        <f>IFERROR(__xludf.DUMMYFUNCTION("""COMPUTED_VALUE"""),"P0850 Magister")</f>
        <v>P0850 Magister</v>
      </c>
      <c r="W69" s="1">
        <f>IFERROR(__xludf.DUMMYFUNCTION("""COMPUTED_VALUE"""),1.0)</f>
        <v>1</v>
      </c>
      <c r="X69" s="1" t="str">
        <f>IFERROR(__xludf.DUMMYFUNCTION("""COMPUTED_VALUE"""),"Sin Información")</f>
        <v>Sin Información</v>
      </c>
      <c r="Y69" s="1" t="str">
        <f>IFERROR(__xludf.DUMMYFUNCTION("""COMPUTED_VALUE"""),"CHILE")</f>
        <v>CHILE</v>
      </c>
      <c r="Z69" s="1"/>
    </row>
    <row r="70" hidden="1">
      <c r="A70" s="1" t="str">
        <f>IFERROR(__xludf.DUMMYFUNCTION("""COMPUTED_VALUE"""),"12090701 Departamento de Psicología")</f>
        <v>12090701 Departamento de Psicología</v>
      </c>
      <c r="B70" s="1" t="str">
        <f>IFERROR(__xludf.DUMMYFUNCTION("""COMPUTED_VALUE"""),"A3A001 Académico Prof. Asistente")</f>
        <v>A3A001 Académico Prof. Asistente</v>
      </c>
      <c r="C70" s="1" t="str">
        <f>IFERROR(__xludf.DUMMYFUNCTION("""COMPUTED_VALUE"""),"Prof. Asistente - Categ. Academica Ord.")</f>
        <v>Prof. Asistente - Categ. Academica Ord.</v>
      </c>
      <c r="D70" s="1" t="str">
        <f>IFERROR(__xludf.DUMMYFUNCTION("""COMPUTED_VALUE"""),"A3A Prof. Asistente - Categ. Academica Ord.")</f>
        <v>A3A Prof. Asistente - Categ. Academica Ord.</v>
      </c>
      <c r="E70" s="1" t="str">
        <f>IFERROR(__xludf.DUMMYFUNCTION("""COMPUTED_VALUE"""),"Masculino")</f>
        <v>Masculino</v>
      </c>
      <c r="F70" s="1" t="str">
        <f>IFERROR(__xludf.DUMMYFUNCTION("""COMPUTED_VALUE"""),"Cornejo")</f>
        <v>Cornejo</v>
      </c>
      <c r="G70" s="1" t="str">
        <f>IFERROR(__xludf.DUMMYFUNCTION("""COMPUTED_VALUE"""),"Romero")</f>
        <v>Romero</v>
      </c>
      <c r="H70" s="1" t="str">
        <f>IFERROR(__xludf.DUMMYFUNCTION("""COMPUTED_VALUE"""),"Raúl Humberto")</f>
        <v>Raúl Humberto</v>
      </c>
      <c r="I70" s="1" t="str">
        <f>IFERROR(__xludf.DUMMYFUNCTION("""COMPUTED_VALUE"""),"Cornejo Romero Raúl Humberto")</f>
        <v>Cornejo Romero Raúl Humberto</v>
      </c>
      <c r="J70" s="10">
        <f>IFERROR(__xludf.DUMMYFUNCTION("""COMPUTED_VALUE"""),35004.0)</f>
        <v>35004</v>
      </c>
      <c r="K70" s="10">
        <f>IFERROR(__xludf.DUMMYFUNCTION("""COMPUTED_VALUE"""),18338.0)</f>
        <v>18338</v>
      </c>
      <c r="L70" s="1">
        <f>IFERROR(__xludf.DUMMYFUNCTION("""COMPUTED_VALUE"""),73.0)</f>
        <v>73</v>
      </c>
      <c r="M70" s="1" t="str">
        <f>IFERROR(__xludf.DUMMYFUNCTION("""COMPUTED_VALUE"""),"0002 Soltero")</f>
        <v>0002 Soltero</v>
      </c>
      <c r="N70" s="1" t="str">
        <f>IFERROR(__xludf.DUMMYFUNCTION("""COMPUTED_VALUE"""),"N0040 Profesional Superior")</f>
        <v>N0040 Profesional Superior</v>
      </c>
      <c r="O70" s="10">
        <f>IFERROR(__xludf.DUMMYFUNCTION("""COMPUTED_VALUE"""),37257.0)</f>
        <v>37257</v>
      </c>
      <c r="P70" s="10">
        <f>IFERROR(__xludf.DUMMYFUNCTION("""COMPUTED_VALUE"""),37256.0)</f>
        <v>37256</v>
      </c>
      <c r="Q70" s="1" t="str">
        <f>IFERROR(__xludf.DUMMYFUNCTION("""COMPUTED_VALUE"""),"C Contrata")</f>
        <v>C Contrata</v>
      </c>
      <c r="R70" s="1" t="str">
        <f>IFERROR(__xludf.DUMMYFUNCTION("""COMPUTED_VALUE"""),"A Académico")</f>
        <v>A Académico</v>
      </c>
      <c r="S70" s="9" t="str">
        <f>IFERROR(__xludf.DUMMYFUNCTION("""COMPUTED_VALUE"""),"60877270")</f>
        <v>60877270</v>
      </c>
      <c r="T70" s="1" t="str">
        <f>IFERROR(__xludf.DUMMYFUNCTION("""COMPUTED_VALUE"""),"0060877270")</f>
        <v>0060877270</v>
      </c>
      <c r="U70" s="1">
        <f>IFERROR(__xludf.DUMMYFUNCTION("""COMPUTED_VALUE"""),6.0)</f>
        <v>6</v>
      </c>
      <c r="V70" s="1" t="str">
        <f>IFERROR(__xludf.DUMMYFUNCTION("""COMPUTED_VALUE"""),"P0850 Magister")</f>
        <v>P0850 Magister</v>
      </c>
      <c r="W70" s="1">
        <f>IFERROR(__xludf.DUMMYFUNCTION("""COMPUTED_VALUE"""),1.0)</f>
        <v>1</v>
      </c>
      <c r="X70" s="1" t="str">
        <f>IFERROR(__xludf.DUMMYFUNCTION("""COMPUTED_VALUE"""),"Sin Información")</f>
        <v>Sin Información</v>
      </c>
      <c r="Y70" s="1" t="str">
        <f>IFERROR(__xludf.DUMMYFUNCTION("""COMPUTED_VALUE"""),"CHILE")</f>
        <v>CHILE</v>
      </c>
      <c r="Z70" s="1"/>
    </row>
    <row r="71">
      <c r="A71" s="1" t="str">
        <f>IFERROR(__xludf.DUMMYFUNCTION("""COMPUTED_VALUE"""),"12090701 Departamento de Psicología")</f>
        <v>12090701 Departamento de Psicología</v>
      </c>
      <c r="B71" s="1" t="str">
        <f>IFERROR(__xludf.DUMMYFUNCTION("""COMPUTED_VALUE"""),"A3A001 Académico Prof. Asistente")</f>
        <v>A3A001 Académico Prof. Asistente</v>
      </c>
      <c r="C71" s="1" t="str">
        <f>IFERROR(__xludf.DUMMYFUNCTION("""COMPUTED_VALUE"""),"Prof. Asistente - Categ. Academica Ord.")</f>
        <v>Prof. Asistente - Categ. Academica Ord.</v>
      </c>
      <c r="D71" s="1" t="str">
        <f>IFERROR(__xludf.DUMMYFUNCTION("""COMPUTED_VALUE"""),"A3A Prof. Asistente - Categ. Academica Ord.")</f>
        <v>A3A Prof. Asistente - Categ. Academica Ord.</v>
      </c>
      <c r="E71" s="1" t="str">
        <f>IFERROR(__xludf.DUMMYFUNCTION("""COMPUTED_VALUE"""),"Masculino")</f>
        <v>Masculino</v>
      </c>
      <c r="F71" s="1" t="str">
        <f>IFERROR(__xludf.DUMMYFUNCTION("""COMPUTED_VALUE"""),"Cortés")</f>
        <v>Cortés</v>
      </c>
      <c r="G71" s="1" t="str">
        <f>IFERROR(__xludf.DUMMYFUNCTION("""COMPUTED_VALUE"""),"Silva")</f>
        <v>Silva</v>
      </c>
      <c r="H71" s="1" t="str">
        <f>IFERROR(__xludf.DUMMYFUNCTION("""COMPUTED_VALUE"""),"Cristian Armando")</f>
        <v>Cristian Armando</v>
      </c>
      <c r="I71" s="1" t="str">
        <f>IFERROR(__xludf.DUMMYFUNCTION("""COMPUTED_VALUE"""),"Cortés Silva Cristian Armando")</f>
        <v>Cortés Silva Cristian Armando</v>
      </c>
      <c r="J71" s="10">
        <f>IFERROR(__xludf.DUMMYFUNCTION("""COMPUTED_VALUE"""),30590.0)</f>
        <v>30590</v>
      </c>
      <c r="K71" s="10">
        <f>IFERROR(__xludf.DUMMYFUNCTION("""COMPUTED_VALUE"""),19915.0)</f>
        <v>19915</v>
      </c>
      <c r="L71" s="1">
        <f>IFERROR(__xludf.DUMMYFUNCTION("""COMPUTED_VALUE"""),69.0)</f>
        <v>69</v>
      </c>
      <c r="M71" s="1" t="str">
        <f>IFERROR(__xludf.DUMMYFUNCTION("""COMPUTED_VALUE"""),"0001 Casado")</f>
        <v>0001 Casado</v>
      </c>
      <c r="N71" s="1"/>
      <c r="O71" s="10">
        <f>IFERROR(__xludf.DUMMYFUNCTION("""COMPUTED_VALUE"""),35704.0)</f>
        <v>35704</v>
      </c>
      <c r="P71" s="10">
        <f>IFERROR(__xludf.DUMMYFUNCTION("""COMPUTED_VALUE"""),36950.0)</f>
        <v>36950</v>
      </c>
      <c r="Q71" s="1" t="str">
        <f>IFERROR(__xludf.DUMMYFUNCTION("""COMPUTED_VALUE"""),"P Propiedad")</f>
        <v>P Propiedad</v>
      </c>
      <c r="R71" s="1" t="str">
        <f>IFERROR(__xludf.DUMMYFUNCTION("""COMPUTED_VALUE"""),"A Académico")</f>
        <v>A Académico</v>
      </c>
      <c r="S71" s="9" t="str">
        <f>IFERROR(__xludf.DUMMYFUNCTION("""COMPUTED_VALUE"""),"72738217")</f>
        <v>72738217</v>
      </c>
      <c r="T71" s="1" t="str">
        <f>IFERROR(__xludf.DUMMYFUNCTION("""COMPUTED_VALUE"""),"0072738217")</f>
        <v>0072738217</v>
      </c>
      <c r="U71" s="1">
        <f>IFERROR(__xludf.DUMMYFUNCTION("""COMPUTED_VALUE"""),6.0)</f>
        <v>6</v>
      </c>
      <c r="V71" s="1"/>
      <c r="W71" s="1"/>
      <c r="X71" s="1"/>
      <c r="Y71" s="1"/>
      <c r="Z71" s="1" t="str">
        <f>IFERROR(__xludf.DUMMYFUNCTION("""COMPUTED_VALUE"""),"T5276 Psicologo")</f>
        <v>T5276 Psicologo</v>
      </c>
    </row>
    <row r="72" hidden="1">
      <c r="A72" s="1" t="str">
        <f>IFERROR(__xludf.DUMMYFUNCTION("""COMPUTED_VALUE"""),"12090117 Dpto. Educación (funcionamiento)")</f>
        <v>12090117 Dpto. Educación (funcionamiento)</v>
      </c>
      <c r="B72" s="1" t="str">
        <f>IFERROR(__xludf.DUMMYFUNCTION("""COMPUTED_VALUE"""),"A3A001 Académico Prof. Asistente")</f>
        <v>A3A001 Académico Prof. Asistente</v>
      </c>
      <c r="C72" s="1" t="str">
        <f>IFERROR(__xludf.DUMMYFUNCTION("""COMPUTED_VALUE"""),"Prof. Asistente - Categ. Academica Ord.")</f>
        <v>Prof. Asistente - Categ. Academica Ord.</v>
      </c>
      <c r="D72" s="1" t="str">
        <f>IFERROR(__xludf.DUMMYFUNCTION("""COMPUTED_VALUE"""),"A3A Prof. Asistente - Categ. Academica Ord.")</f>
        <v>A3A Prof. Asistente - Categ. Academica Ord.</v>
      </c>
      <c r="E72" s="1" t="str">
        <f>IFERROR(__xludf.DUMMYFUNCTION("""COMPUTED_VALUE"""),"Femenino")</f>
        <v>Femenino</v>
      </c>
      <c r="F72" s="1" t="str">
        <f>IFERROR(__xludf.DUMMYFUNCTION("""COMPUTED_VALUE"""),"Corvalán")</f>
        <v>Corvalán</v>
      </c>
      <c r="G72" s="1" t="str">
        <f>IFERROR(__xludf.DUMMYFUNCTION("""COMPUTED_VALUE"""),"Bustos")</f>
        <v>Bustos</v>
      </c>
      <c r="H72" s="1" t="str">
        <f>IFERROR(__xludf.DUMMYFUNCTION("""COMPUTED_VALUE"""),"María Isabel del Milagro")</f>
        <v>María Isabel del Milagro</v>
      </c>
      <c r="I72" s="1" t="str">
        <f>IFERROR(__xludf.DUMMYFUNCTION("""COMPUTED_VALUE"""),"Corvalán Bustos María Isabel del Milagro")</f>
        <v>Corvalán Bustos María Isabel del Milagro</v>
      </c>
      <c r="J72" s="10">
        <f>IFERROR(__xludf.DUMMYFUNCTION("""COMPUTED_VALUE"""),37935.0)</f>
        <v>37935</v>
      </c>
      <c r="K72" s="10">
        <f>IFERROR(__xludf.DUMMYFUNCTION("""COMPUTED_VALUE"""),18568.0)</f>
        <v>18568</v>
      </c>
      <c r="L72" s="1">
        <f>IFERROR(__xludf.DUMMYFUNCTION("""COMPUTED_VALUE"""),73.0)</f>
        <v>73</v>
      </c>
      <c r="M72" s="1" t="str">
        <f>IFERROR(__xludf.DUMMYFUNCTION("""COMPUTED_VALUE"""),"0002 Soltero")</f>
        <v>0002 Soltero</v>
      </c>
      <c r="N72" s="1"/>
      <c r="O72" s="10">
        <f>IFERROR(__xludf.DUMMYFUNCTION("""COMPUTED_VALUE"""),42186.0)</f>
        <v>42186</v>
      </c>
      <c r="P72" s="10">
        <f>IFERROR(__xludf.DUMMYFUNCTION("""COMPUTED_VALUE"""),42562.0)</f>
        <v>42562</v>
      </c>
      <c r="Q72" s="1" t="str">
        <f>IFERROR(__xludf.DUMMYFUNCTION("""COMPUTED_VALUE"""),"P Propiedad")</f>
        <v>P Propiedad</v>
      </c>
      <c r="R72" s="1" t="str">
        <f>IFERROR(__xludf.DUMMYFUNCTION("""COMPUTED_VALUE"""),"A Académico")</f>
        <v>A Académico</v>
      </c>
      <c r="S72" s="9" t="str">
        <f>IFERROR(__xludf.DUMMYFUNCTION("""COMPUTED_VALUE"""),"53274706")</f>
        <v>53274706</v>
      </c>
      <c r="T72" s="1" t="str">
        <f>IFERROR(__xludf.DUMMYFUNCTION("""COMPUTED_VALUE"""),"0053274706")</f>
        <v>0053274706</v>
      </c>
      <c r="U72" s="1">
        <f>IFERROR(__xludf.DUMMYFUNCTION("""COMPUTED_VALUE"""),44.0)</f>
        <v>44</v>
      </c>
      <c r="V72" s="1" t="str">
        <f>IFERROR(__xludf.DUMMYFUNCTION("""COMPUTED_VALUE"""),"P0855 Magister En Educacion")</f>
        <v>P0855 Magister En Educacion</v>
      </c>
      <c r="W72" s="1">
        <f>IFERROR(__xludf.DUMMYFUNCTION("""COMPUTED_VALUE"""),36704.0)</f>
        <v>36704</v>
      </c>
      <c r="X72" s="1" t="str">
        <f>IFERROR(__xludf.DUMMYFUNCTION("""COMPUTED_VALUE"""),"Universidad De Chile")</f>
        <v>Universidad De Chile</v>
      </c>
      <c r="Y72" s="1" t="str">
        <f>IFERROR(__xludf.DUMMYFUNCTION("""COMPUTED_VALUE"""),"CHILE")</f>
        <v>CHILE</v>
      </c>
      <c r="Z72" s="1" t="str">
        <f>IFERROR(__xludf.DUMMYFUNCTION("""COMPUTED_VALUE"""),"T5093 Profesor De Ens.Media Ingles")</f>
        <v>T5093 Profesor De Ens.Media Ingles</v>
      </c>
    </row>
    <row r="73">
      <c r="A73" s="1" t="str">
        <f>IFERROR(__xludf.DUMMYFUNCTION("""COMPUTED_VALUE"""),"12090601 Departamento de Educación")</f>
        <v>12090601 Departamento de Educación</v>
      </c>
      <c r="B73" s="1" t="str">
        <f>IFERROR(__xludf.DUMMYFUNCTION("""COMPUTED_VALUE"""),"A3B001 Académico Prof. Asistente")</f>
        <v>A3B001 Académico Prof. Asistente</v>
      </c>
      <c r="C73" s="1" t="str">
        <f>IFERROR(__xludf.DUMMYFUNCTION("""COMPUTED_VALUE"""),"Prof. Asistente - Categ. Academica Doc.")</f>
        <v>Prof. Asistente - Categ. Academica Doc.</v>
      </c>
      <c r="D73" s="1" t="str">
        <f>IFERROR(__xludf.DUMMYFUNCTION("""COMPUTED_VALUE"""),"A3B Prof. Asistente - Categ. Academica Doc.")</f>
        <v>A3B Prof. Asistente - Categ. Academica Doc.</v>
      </c>
      <c r="E73" s="1" t="str">
        <f>IFERROR(__xludf.DUMMYFUNCTION("""COMPUTED_VALUE"""),"Femenino")</f>
        <v>Femenino</v>
      </c>
      <c r="F73" s="1" t="str">
        <f>IFERROR(__xludf.DUMMYFUNCTION("""COMPUTED_VALUE"""),"Corvalán")</f>
        <v>Corvalán</v>
      </c>
      <c r="G73" s="1" t="str">
        <f>IFERROR(__xludf.DUMMYFUNCTION("""COMPUTED_VALUE"""),"Bustos")</f>
        <v>Bustos</v>
      </c>
      <c r="H73" s="1" t="str">
        <f>IFERROR(__xludf.DUMMYFUNCTION("""COMPUTED_VALUE"""),"Olivia Alejandra del Rosario")</f>
        <v>Olivia Alejandra del Rosario</v>
      </c>
      <c r="I73" s="1" t="str">
        <f>IFERROR(__xludf.DUMMYFUNCTION("""COMPUTED_VALUE"""),"Corvalán Bustos Olivia Alejandra del Rosario")</f>
        <v>Corvalán Bustos Olivia Alejandra del Rosario</v>
      </c>
      <c r="J73" s="10">
        <f>IFERROR(__xludf.DUMMYFUNCTION("""COMPUTED_VALUE"""),38838.0)</f>
        <v>38838</v>
      </c>
      <c r="K73" s="10">
        <f>IFERROR(__xludf.DUMMYFUNCTION("""COMPUTED_VALUE"""),20089.0)</f>
        <v>20089</v>
      </c>
      <c r="L73" s="1">
        <f>IFERROR(__xludf.DUMMYFUNCTION("""COMPUTED_VALUE"""),69.0)</f>
        <v>69</v>
      </c>
      <c r="M73" s="1" t="str">
        <f>IFERROR(__xludf.DUMMYFUNCTION("""COMPUTED_VALUE"""),"0002 Soltero")</f>
        <v>0002 Soltero</v>
      </c>
      <c r="N73" s="1"/>
      <c r="O73" s="10">
        <f>IFERROR(__xludf.DUMMYFUNCTION("""COMPUTED_VALUE"""),39083.0)</f>
        <v>39083</v>
      </c>
      <c r="P73" s="10">
        <f>IFERROR(__xludf.DUMMYFUNCTION("""COMPUTED_VALUE"""),39294.0)</f>
        <v>39294</v>
      </c>
      <c r="Q73" s="1" t="str">
        <f>IFERROR(__xludf.DUMMYFUNCTION("""COMPUTED_VALUE"""),"C Contrata")</f>
        <v>C Contrata</v>
      </c>
      <c r="R73" s="1" t="str">
        <f>IFERROR(__xludf.DUMMYFUNCTION("""COMPUTED_VALUE"""),"A Académico")</f>
        <v>A Académico</v>
      </c>
      <c r="S73" s="9" t="str">
        <f>IFERROR(__xludf.DUMMYFUNCTION("""COMPUTED_VALUE"""),"68709202")</f>
        <v>68709202</v>
      </c>
      <c r="T73" s="1" t="str">
        <f>IFERROR(__xludf.DUMMYFUNCTION("""COMPUTED_VALUE"""),"0068709202")</f>
        <v>0068709202</v>
      </c>
      <c r="U73" s="1">
        <f>IFERROR(__xludf.DUMMYFUNCTION("""COMPUTED_VALUE"""),6.0)</f>
        <v>6</v>
      </c>
      <c r="V73" s="1"/>
      <c r="W73" s="1"/>
      <c r="X73" s="1"/>
      <c r="Y73" s="1"/>
      <c r="Z73" s="1" t="str">
        <f>IFERROR(__xludf.DUMMYFUNCTION("""COMPUTED_VALUE"""),"T5084 Profesor De Estado")</f>
        <v>T5084 Profesor De Estado</v>
      </c>
    </row>
    <row r="74" hidden="1">
      <c r="A74" s="1" t="str">
        <f>IFERROR(__xludf.DUMMYFUNCTION("""COMPUTED_VALUE"""),"12090501 Departamento de Investigaciónes Mediáticas y de la Comunicación")</f>
        <v>12090501 Departamento de Investigaciónes Mediáticas y de la Comunicación</v>
      </c>
      <c r="B74" s="1" t="str">
        <f>IFERROR(__xludf.DUMMYFUNCTION("""COMPUTED_VALUE"""),"A3A001 Académico Prof. Asistente")</f>
        <v>A3A001 Académico Prof. Asistente</v>
      </c>
      <c r="C74" s="1" t="str">
        <f>IFERROR(__xludf.DUMMYFUNCTION("""COMPUTED_VALUE"""),"Prof. Asistente - Categ. Academica Ord.")</f>
        <v>Prof. Asistente - Categ. Academica Ord.</v>
      </c>
      <c r="D74" s="1" t="str">
        <f>IFERROR(__xludf.DUMMYFUNCTION("""COMPUTED_VALUE"""),"A3A Prof. Asistente - Categ. Academica Ord.")</f>
        <v>A3A Prof. Asistente - Categ. Academica Ord.</v>
      </c>
      <c r="E74" s="1" t="str">
        <f>IFERROR(__xludf.DUMMYFUNCTION("""COMPUTED_VALUE"""),"Masculino")</f>
        <v>Masculino</v>
      </c>
      <c r="F74" s="1" t="str">
        <f>IFERROR(__xludf.DUMMYFUNCTION("""COMPUTED_VALUE"""),"Cruz")</f>
        <v>Cruz</v>
      </c>
      <c r="G74" s="1" t="str">
        <f>IFERROR(__xludf.DUMMYFUNCTION("""COMPUTED_VALUE"""),"Pino")</f>
        <v>Pino</v>
      </c>
      <c r="H74" s="1" t="str">
        <f>IFERROR(__xludf.DUMMYFUNCTION("""COMPUTED_VALUE"""),"Luis Alejandro")</f>
        <v>Luis Alejandro</v>
      </c>
      <c r="I74" s="1" t="str">
        <f>IFERROR(__xludf.DUMMYFUNCTION("""COMPUTED_VALUE"""),"Cruz Pino Luis Alejandro")</f>
        <v>Cruz Pino Luis Alejandro</v>
      </c>
      <c r="J74" s="10">
        <f>IFERROR(__xludf.DUMMYFUNCTION("""COMPUTED_VALUE"""),27120.0)</f>
        <v>27120</v>
      </c>
      <c r="K74" s="10">
        <f>IFERROR(__xludf.DUMMYFUNCTION("""COMPUTED_VALUE"""),16777.0)</f>
        <v>16777</v>
      </c>
      <c r="L74" s="1">
        <f>IFERROR(__xludf.DUMMYFUNCTION("""COMPUTED_VALUE"""),78.0)</f>
        <v>78</v>
      </c>
      <c r="M74" s="1" t="str">
        <f>IFERROR(__xludf.DUMMYFUNCTION("""COMPUTED_VALUE"""),"0001 Casado")</f>
        <v>0001 Casado</v>
      </c>
      <c r="N74" s="1"/>
      <c r="O74" s="10">
        <f>IFERROR(__xludf.DUMMYFUNCTION("""COMPUTED_VALUE"""),36008.0)</f>
        <v>36008</v>
      </c>
      <c r="P74" s="10">
        <f>IFERROR(__xludf.DUMMYFUNCTION("""COMPUTED_VALUE"""),37833.0)</f>
        <v>37833</v>
      </c>
      <c r="Q74" s="1" t="str">
        <f>IFERROR(__xludf.DUMMYFUNCTION("""COMPUTED_VALUE"""),"P Propiedad")</f>
        <v>P Propiedad</v>
      </c>
      <c r="R74" s="1" t="str">
        <f>IFERROR(__xludf.DUMMYFUNCTION("""COMPUTED_VALUE"""),"A Académico")</f>
        <v>A Académico</v>
      </c>
      <c r="S74" s="9" t="str">
        <f>IFERROR(__xludf.DUMMYFUNCTION("""COMPUTED_VALUE"""),"004930126K")</f>
        <v>004930126K</v>
      </c>
      <c r="T74" s="1" t="str">
        <f>IFERROR(__xludf.DUMMYFUNCTION("""COMPUTED_VALUE"""),"004930126K")</f>
        <v>004930126K</v>
      </c>
      <c r="U74" s="1">
        <f>IFERROR(__xludf.DUMMYFUNCTION("""COMPUTED_VALUE"""),6.0)</f>
        <v>6</v>
      </c>
      <c r="V74" s="1" t="str">
        <f>IFERROR(__xludf.DUMMYFUNCTION("""COMPUTED_VALUE"""),"P0501 Con Titulo Profesional")</f>
        <v>P0501 Con Titulo Profesional</v>
      </c>
      <c r="W74" s="1">
        <f>IFERROR(__xludf.DUMMYFUNCTION("""COMPUTED_VALUE"""),27394.0)</f>
        <v>27394</v>
      </c>
      <c r="X74" s="1" t="str">
        <f>IFERROR(__xludf.DUMMYFUNCTION("""COMPUTED_VALUE"""),"Universidad De Chile")</f>
        <v>Universidad De Chile</v>
      </c>
      <c r="Y74" s="1" t="str">
        <f>IFERROR(__xludf.DUMMYFUNCTION("""COMPUTED_VALUE"""),"CHILE")</f>
        <v>CHILE</v>
      </c>
      <c r="Z74" s="1" t="str">
        <f>IFERROR(__xludf.DUMMYFUNCTION("""COMPUTED_VALUE"""),"T5032 Ingeniero Comercial")</f>
        <v>T5032 Ingeniero Comercial</v>
      </c>
    </row>
    <row r="75" hidden="1">
      <c r="A75" s="1" t="str">
        <f>IFERROR(__xludf.DUMMYFUNCTION("""COMPUTED_VALUE"""),"12090119 Dpto. de Sociología (funcionamiento)")</f>
        <v>12090119 Dpto. de Sociología (funcionamiento)</v>
      </c>
      <c r="B75" s="1" t="str">
        <f>IFERROR(__xludf.DUMMYFUNCTION("""COMPUTED_VALUE"""),"A7A001 ACADEMICO PROF. ADJUNTO")</f>
        <v>A7A001 ACADEMICO PROF. ADJUNTO</v>
      </c>
      <c r="C75" s="1" t="str">
        <f>IFERROR(__xludf.DUMMYFUNCTION("""COMPUTED_VALUE"""),"Prof. Adjunto")</f>
        <v>Prof. Adjunto</v>
      </c>
      <c r="D75" s="1" t="str">
        <f>IFERROR(__xludf.DUMMYFUNCTION("""COMPUTED_VALUE"""),"A7A Prof. Adjunto")</f>
        <v>A7A Prof. Adjunto</v>
      </c>
      <c r="E75" s="1" t="str">
        <f>IFERROR(__xludf.DUMMYFUNCTION("""COMPUTED_VALUE"""),"Masculino")</f>
        <v>Masculino</v>
      </c>
      <c r="F75" s="1" t="str">
        <f>IFERROR(__xludf.DUMMYFUNCTION("""COMPUTED_VALUE"""),"Cumsille")</f>
        <v>Cumsille</v>
      </c>
      <c r="G75" s="1" t="str">
        <f>IFERROR(__xludf.DUMMYFUNCTION("""COMPUTED_VALUE"""),"Garib")</f>
        <v>Garib</v>
      </c>
      <c r="H75" s="1" t="str">
        <f>IFERROR(__xludf.DUMMYFUNCTION("""COMPUTED_VALUE"""),"Guillermo Elías")</f>
        <v>Guillermo Elías</v>
      </c>
      <c r="I75" s="1" t="str">
        <f>IFERROR(__xludf.DUMMYFUNCTION("""COMPUTED_VALUE"""),"Cumsille Garib Guillermo Elías")</f>
        <v>Cumsille Garib Guillermo Elías</v>
      </c>
      <c r="J75" s="10">
        <f>IFERROR(__xludf.DUMMYFUNCTION("""COMPUTED_VALUE"""),23955.0)</f>
        <v>23955</v>
      </c>
      <c r="K75" s="10">
        <f>IFERROR(__xludf.DUMMYFUNCTION("""COMPUTED_VALUE"""),14240.0)</f>
        <v>14240</v>
      </c>
      <c r="L75" s="1">
        <f>IFERROR(__xludf.DUMMYFUNCTION("""COMPUTED_VALUE"""),85.0)</f>
        <v>85</v>
      </c>
      <c r="M75" s="1" t="str">
        <f>IFERROR(__xludf.DUMMYFUNCTION("""COMPUTED_VALUE"""),"0001 Casado")</f>
        <v>0001 Casado</v>
      </c>
      <c r="N75" s="1"/>
      <c r="O75" s="10">
        <f>IFERROR(__xludf.DUMMYFUNCTION("""COMPUTED_VALUE"""),43375.0)</f>
        <v>43375</v>
      </c>
      <c r="P75" s="10">
        <f>IFERROR(__xludf.DUMMYFUNCTION("""COMPUTED_VALUE"""),43550.0)</f>
        <v>43550</v>
      </c>
      <c r="Q75" s="1" t="str">
        <f>IFERROR(__xludf.DUMMYFUNCTION("""COMPUTED_VALUE"""),"C Contrata")</f>
        <v>C Contrata</v>
      </c>
      <c r="R75" s="1" t="str">
        <f>IFERROR(__xludf.DUMMYFUNCTION("""COMPUTED_VALUE"""),"A Académico")</f>
        <v>A Académico</v>
      </c>
      <c r="S75" s="9" t="str">
        <f>IFERROR(__xludf.DUMMYFUNCTION("""COMPUTED_VALUE"""),"004286885K")</f>
        <v>004286885K</v>
      </c>
      <c r="T75" s="1" t="str">
        <f>IFERROR(__xludf.DUMMYFUNCTION("""COMPUTED_VALUE"""),"004286885K")</f>
        <v>004286885K</v>
      </c>
      <c r="U75" s="1">
        <f>IFERROR(__xludf.DUMMYFUNCTION("""COMPUTED_VALUE"""),12.0)</f>
        <v>12</v>
      </c>
      <c r="V75" s="1"/>
      <c r="W75" s="1"/>
      <c r="X75" s="1"/>
      <c r="Y75" s="1"/>
      <c r="Z75" s="1" t="str">
        <f>IFERROR(__xludf.DUMMYFUNCTION("""COMPUTED_VALUE"""),"T5063 Licenciado en Sociologia")</f>
        <v>T5063 Licenciado en Sociologia</v>
      </c>
    </row>
    <row r="76">
      <c r="A76" s="1" t="str">
        <f>IFERROR(__xludf.DUMMYFUNCTION("""COMPUTED_VALUE"""),"12090701 Departamento de Psicología")</f>
        <v>12090701 Departamento de Psicología</v>
      </c>
      <c r="B76" s="1" t="str">
        <f>IFERROR(__xludf.DUMMYFUNCTION("""COMPUTED_VALUE"""),"A5A001 ACADEMICO AYUDANTE")</f>
        <v>A5A001 ACADEMICO AYUDANTE</v>
      </c>
      <c r="C76" s="1" t="str">
        <f>IFERROR(__xludf.DUMMYFUNCTION("""COMPUTED_VALUE"""),"Ayudante")</f>
        <v>Ayudante</v>
      </c>
      <c r="D76" s="1" t="str">
        <f>IFERROR(__xludf.DUMMYFUNCTION("""COMPUTED_VALUE"""),"A5A Ayudante")</f>
        <v>A5A Ayudante</v>
      </c>
      <c r="E76" s="1" t="str">
        <f>IFERROR(__xludf.DUMMYFUNCTION("""COMPUTED_VALUE"""),"Masculino")</f>
        <v>Masculino</v>
      </c>
      <c r="F76" s="1" t="str">
        <f>IFERROR(__xludf.DUMMYFUNCTION("""COMPUTED_VALUE"""),"Curivil")</f>
        <v>Curivil</v>
      </c>
      <c r="G76" s="1" t="str">
        <f>IFERROR(__xludf.DUMMYFUNCTION("""COMPUTED_VALUE"""),"Bravo")</f>
        <v>Bravo</v>
      </c>
      <c r="H76" s="1" t="str">
        <f>IFERROR(__xludf.DUMMYFUNCTION("""COMPUTED_VALUE"""),"Pablo Neftalí")</f>
        <v>Pablo Neftalí</v>
      </c>
      <c r="I76" s="1" t="str">
        <f>IFERROR(__xludf.DUMMYFUNCTION("""COMPUTED_VALUE"""),"Curivil Bravo Pablo Neftalí")</f>
        <v>Curivil Bravo Pablo Neftalí</v>
      </c>
      <c r="J76" s="10">
        <f>IFERROR(__xludf.DUMMYFUNCTION("""COMPUTED_VALUE"""),39448.0)</f>
        <v>39448</v>
      </c>
      <c r="K76" s="10">
        <f>IFERROR(__xludf.DUMMYFUNCTION("""COMPUTED_VALUE"""),28156.0)</f>
        <v>28156</v>
      </c>
      <c r="L76" s="1">
        <f>IFERROR(__xludf.DUMMYFUNCTION("""COMPUTED_VALUE"""),46.0)</f>
        <v>46</v>
      </c>
      <c r="M76" s="1" t="str">
        <f>IFERROR(__xludf.DUMMYFUNCTION("""COMPUTED_VALUE"""),"0002 Soltero")</f>
        <v>0002 Soltero</v>
      </c>
      <c r="N76" s="1"/>
      <c r="O76" s="10">
        <f>IFERROR(__xludf.DUMMYFUNCTION("""COMPUTED_VALUE"""),41640.0)</f>
        <v>41640</v>
      </c>
      <c r="P76" s="10">
        <f>IFERROR(__xludf.DUMMYFUNCTION("""COMPUTED_VALUE"""),42004.0)</f>
        <v>42004</v>
      </c>
      <c r="Q76" s="1" t="str">
        <f>IFERROR(__xludf.DUMMYFUNCTION("""COMPUTED_VALUE"""),"C Contrata")</f>
        <v>C Contrata</v>
      </c>
      <c r="R76" s="1" t="str">
        <f>IFERROR(__xludf.DUMMYFUNCTION("""COMPUTED_VALUE"""),"A Académico")</f>
        <v>A Académico</v>
      </c>
      <c r="S76" s="9" t="str">
        <f>IFERROR(__xludf.DUMMYFUNCTION("""COMPUTED_VALUE"""),"132757399")</f>
        <v>132757399</v>
      </c>
      <c r="T76" s="1" t="str">
        <f>IFERROR(__xludf.DUMMYFUNCTION("""COMPUTED_VALUE"""),"0132757399")</f>
        <v>0132757399</v>
      </c>
      <c r="U76" s="1">
        <f>IFERROR(__xludf.DUMMYFUNCTION("""COMPUTED_VALUE"""),2.0)</f>
        <v>2</v>
      </c>
      <c r="V76" s="1" t="str">
        <f>IFERROR(__xludf.DUMMYFUNCTION("""COMPUTED_VALUE"""),"P0401 Licenciado")</f>
        <v>P0401 Licenciado</v>
      </c>
      <c r="W76" s="1">
        <f>IFERROR(__xludf.DUMMYFUNCTION("""COMPUTED_VALUE"""),39366.0)</f>
        <v>39366</v>
      </c>
      <c r="X76" s="1" t="str">
        <f>IFERROR(__xludf.DUMMYFUNCTION("""COMPUTED_VALUE"""),"Universidad De Chile")</f>
        <v>Universidad De Chile</v>
      </c>
      <c r="Y76" s="1" t="str">
        <f>IFERROR(__xludf.DUMMYFUNCTION("""COMPUTED_VALUE"""),"CHILE")</f>
        <v>CHILE</v>
      </c>
      <c r="Z76" s="1" t="str">
        <f>IFERROR(__xludf.DUMMYFUNCTION("""COMPUTED_VALUE"""),"T5006 Bachiller")</f>
        <v>T5006 Bachiller</v>
      </c>
    </row>
    <row r="77" hidden="1">
      <c r="A77" s="1" t="str">
        <f>IFERROR(__xludf.DUMMYFUNCTION("""COMPUTED_VALUE"""),"12090116 Dpto. de Antropología (funcionamiento)")</f>
        <v>12090116 Dpto. de Antropología (funcionamiento)</v>
      </c>
      <c r="B77" s="1" t="str">
        <f>IFERROR(__xludf.DUMMYFUNCTION("""COMPUTED_VALUE"""),"A1A001 Académico Prof. Titular")</f>
        <v>A1A001 Académico Prof. Titular</v>
      </c>
      <c r="C77" s="1" t="str">
        <f>IFERROR(__xludf.DUMMYFUNCTION("""COMPUTED_VALUE"""),"Prof.Titular - Categ. Academica Ord.")</f>
        <v>Prof.Titular - Categ. Academica Ord.</v>
      </c>
      <c r="D77" s="1" t="str">
        <f>IFERROR(__xludf.DUMMYFUNCTION("""COMPUTED_VALUE"""),"A1A Prof.Titular - Categ. Academica Ord.")</f>
        <v>A1A Prof.Titular - Categ. Academica Ord.</v>
      </c>
      <c r="E77" s="1" t="str">
        <f>IFERROR(__xludf.DUMMYFUNCTION("""COMPUTED_VALUE"""),"Masculino")</f>
        <v>Masculino</v>
      </c>
      <c r="F77" s="1" t="str">
        <f>IFERROR(__xludf.DUMMYFUNCTION("""COMPUTED_VALUE"""),"Dannemann")</f>
        <v>Dannemann</v>
      </c>
      <c r="G77" s="1" t="str">
        <f>IFERROR(__xludf.DUMMYFUNCTION("""COMPUTED_VALUE"""),"Rothstein")</f>
        <v>Rothstein</v>
      </c>
      <c r="H77" s="1" t="str">
        <f>IFERROR(__xludf.DUMMYFUNCTION("""COMPUTED_VALUE"""),"Manuel Teodoro Juan María")</f>
        <v>Manuel Teodoro Juan María</v>
      </c>
      <c r="I77" s="1" t="str">
        <f>IFERROR(__xludf.DUMMYFUNCTION("""COMPUTED_VALUE"""),"Dannemann Rothstein Manuel Teodoro Juan María")</f>
        <v>Dannemann Rothstein Manuel Teodoro Juan María</v>
      </c>
      <c r="J77" s="10">
        <f>IFERROR(__xludf.DUMMYFUNCTION("""COMPUTED_VALUE"""),20729.0)</f>
        <v>20729</v>
      </c>
      <c r="K77" s="10">
        <f>IFERROR(__xludf.DUMMYFUNCTION("""COMPUTED_VALUE"""),11825.0)</f>
        <v>11825</v>
      </c>
      <c r="L77" s="1">
        <f>IFERROR(__xludf.DUMMYFUNCTION("""COMPUTED_VALUE"""),91.0)</f>
        <v>91</v>
      </c>
      <c r="M77" s="1" t="str">
        <f>IFERROR(__xludf.DUMMYFUNCTION("""COMPUTED_VALUE"""),"0003 Viudo")</f>
        <v>0003 Viudo</v>
      </c>
      <c r="N77" s="1"/>
      <c r="O77" s="10">
        <f>IFERROR(__xludf.DUMMYFUNCTION("""COMPUTED_VALUE"""),44197.0)</f>
        <v>44197</v>
      </c>
      <c r="P77" s="10">
        <f>IFERROR(__xludf.DUMMYFUNCTION("""COMPUTED_VALUE"""),44294.0)</f>
        <v>44294</v>
      </c>
      <c r="Q77" s="1" t="str">
        <f>IFERROR(__xludf.DUMMYFUNCTION("""COMPUTED_VALUE"""),"K Ad Honorem Contrata")</f>
        <v>K Ad Honorem Contrata</v>
      </c>
      <c r="R77" s="1" t="str">
        <f>IFERROR(__xludf.DUMMYFUNCTION("""COMPUTED_VALUE"""),"A Académico")</f>
        <v>A Académico</v>
      </c>
      <c r="S77" s="9" t="str">
        <f>IFERROR(__xludf.DUMMYFUNCTION("""COMPUTED_VALUE"""),"22804960")</f>
        <v>22804960</v>
      </c>
      <c r="T77" s="1" t="str">
        <f>IFERROR(__xludf.DUMMYFUNCTION("""COMPUTED_VALUE"""),"0022804960")</f>
        <v>0022804960</v>
      </c>
      <c r="U77" s="1">
        <f>IFERROR(__xludf.DUMMYFUNCTION("""COMPUTED_VALUE"""),6.0)</f>
        <v>6</v>
      </c>
      <c r="V77" s="1" t="str">
        <f>IFERROR(__xludf.DUMMYFUNCTION("""COMPUTED_VALUE"""),"P0900 Doctor")</f>
        <v>P0900 Doctor</v>
      </c>
      <c r="W77" s="1">
        <f>IFERROR(__xludf.DUMMYFUNCTION("""COMPUTED_VALUE"""),27759.0)</f>
        <v>27759</v>
      </c>
      <c r="X77" s="1" t="str">
        <f>IFERROR(__xludf.DUMMYFUNCTION("""COMPUTED_VALUE"""),"Universidad De Chile")</f>
        <v>Universidad De Chile</v>
      </c>
      <c r="Y77" s="1" t="str">
        <f>IFERROR(__xludf.DUMMYFUNCTION("""COMPUTED_VALUE"""),"CHILE")</f>
        <v>CHILE</v>
      </c>
      <c r="Z77" s="1" t="str">
        <f>IFERROR(__xludf.DUMMYFUNCTION("""COMPUTED_VALUE"""),"T5084 Profesor De Estado")</f>
        <v>T5084 Profesor De Estado</v>
      </c>
    </row>
    <row r="78" hidden="1">
      <c r="A78" s="1" t="str">
        <f>IFERROR(__xludf.DUMMYFUNCTION("""COMPUTED_VALUE"""),"12090116 Dpto. de Antropología (funcionamiento)")</f>
        <v>12090116 Dpto. de Antropología (funcionamiento)</v>
      </c>
      <c r="B78" s="1" t="str">
        <f>IFERROR(__xludf.DUMMYFUNCTION("""COMPUTED_VALUE"""),"A1A001 Académico Prof. Titular")</f>
        <v>A1A001 Académico Prof. Titular</v>
      </c>
      <c r="C78" s="1" t="str">
        <f>IFERROR(__xludf.DUMMYFUNCTION("""COMPUTED_VALUE"""),"Prof.Titular - Categ. Academica Ord.")</f>
        <v>Prof.Titular - Categ. Academica Ord.</v>
      </c>
      <c r="D78" s="1" t="str">
        <f>IFERROR(__xludf.DUMMYFUNCTION("""COMPUTED_VALUE"""),"A1A Prof.Titular - Categ. Academica Ord.")</f>
        <v>A1A Prof.Titular - Categ. Academica Ord.</v>
      </c>
      <c r="E78" s="1" t="str">
        <f>IFERROR(__xludf.DUMMYFUNCTION("""COMPUTED_VALUE"""),"Masculino")</f>
        <v>Masculino</v>
      </c>
      <c r="F78" s="1" t="str">
        <f>IFERROR(__xludf.DUMMYFUNCTION("""COMPUTED_VALUE"""),"Dannemann")</f>
        <v>Dannemann</v>
      </c>
      <c r="G78" s="1" t="str">
        <f>IFERROR(__xludf.DUMMYFUNCTION("""COMPUTED_VALUE"""),"Rothstein")</f>
        <v>Rothstein</v>
      </c>
      <c r="H78" s="1" t="str">
        <f>IFERROR(__xludf.DUMMYFUNCTION("""COMPUTED_VALUE"""),"Manuel Teodoro Juan María")</f>
        <v>Manuel Teodoro Juan María</v>
      </c>
      <c r="I78" s="1" t="str">
        <f>IFERROR(__xludf.DUMMYFUNCTION("""COMPUTED_VALUE"""),"Dannemann Rothstein Manuel Teodoro Juan María")</f>
        <v>Dannemann Rothstein Manuel Teodoro Juan María</v>
      </c>
      <c r="J78" s="10">
        <f>IFERROR(__xludf.DUMMYFUNCTION("""COMPUTED_VALUE"""),20729.0)</f>
        <v>20729</v>
      </c>
      <c r="K78" s="10">
        <f>IFERROR(__xludf.DUMMYFUNCTION("""COMPUTED_VALUE"""),11825.0)</f>
        <v>11825</v>
      </c>
      <c r="L78" s="1">
        <f>IFERROR(__xludf.DUMMYFUNCTION("""COMPUTED_VALUE"""),91.0)</f>
        <v>91</v>
      </c>
      <c r="M78" s="1" t="str">
        <f>IFERROR(__xludf.DUMMYFUNCTION("""COMPUTED_VALUE"""),"0003 Viudo")</f>
        <v>0003 Viudo</v>
      </c>
      <c r="N78" s="1"/>
      <c r="O78" s="10">
        <f>IFERROR(__xludf.DUMMYFUNCTION("""COMPUTED_VALUE"""),44197.0)</f>
        <v>44197</v>
      </c>
      <c r="P78" s="10">
        <f>IFERROR(__xludf.DUMMYFUNCTION("""COMPUTED_VALUE"""),44294.0)</f>
        <v>44294</v>
      </c>
      <c r="Q78" s="1" t="str">
        <f>IFERROR(__xludf.DUMMYFUNCTION("""COMPUTED_VALUE"""),"C Contrata")</f>
        <v>C Contrata</v>
      </c>
      <c r="R78" s="1" t="str">
        <f>IFERROR(__xludf.DUMMYFUNCTION("""COMPUTED_VALUE"""),"A Académico")</f>
        <v>A Académico</v>
      </c>
      <c r="S78" s="9" t="str">
        <f>IFERROR(__xludf.DUMMYFUNCTION("""COMPUTED_VALUE"""),"22804960")</f>
        <v>22804960</v>
      </c>
      <c r="T78" s="1" t="str">
        <f>IFERROR(__xludf.DUMMYFUNCTION("""COMPUTED_VALUE"""),"0022804960")</f>
        <v>0022804960</v>
      </c>
      <c r="U78" s="1">
        <f>IFERROR(__xludf.DUMMYFUNCTION("""COMPUTED_VALUE"""),6.0)</f>
        <v>6</v>
      </c>
      <c r="V78" s="1" t="str">
        <f>IFERROR(__xludf.DUMMYFUNCTION("""COMPUTED_VALUE"""),"P0900 Doctor")</f>
        <v>P0900 Doctor</v>
      </c>
      <c r="W78" s="1">
        <f>IFERROR(__xludf.DUMMYFUNCTION("""COMPUTED_VALUE"""),27759.0)</f>
        <v>27759</v>
      </c>
      <c r="X78" s="1" t="str">
        <f>IFERROR(__xludf.DUMMYFUNCTION("""COMPUTED_VALUE"""),"Universidad De Chile")</f>
        <v>Universidad De Chile</v>
      </c>
      <c r="Y78" s="1" t="str">
        <f>IFERROR(__xludf.DUMMYFUNCTION("""COMPUTED_VALUE"""),"CHILE")</f>
        <v>CHILE</v>
      </c>
      <c r="Z78" s="1" t="str">
        <f>IFERROR(__xludf.DUMMYFUNCTION("""COMPUTED_VALUE"""),"T5084 Profesor De Estado")</f>
        <v>T5084 Profesor De Estado</v>
      </c>
    </row>
    <row r="79">
      <c r="A79" s="1" t="str">
        <f>IFERROR(__xludf.DUMMYFUNCTION("""COMPUTED_VALUE"""),"12090501 Departamento de Investigaciónes Mediáticas y de la Comunicación")</f>
        <v>12090501 Departamento de Investigaciónes Mediáticas y de la Comunicación</v>
      </c>
      <c r="B79" s="1" t="str">
        <f>IFERROR(__xludf.DUMMYFUNCTION("""COMPUTED_VALUE"""),"A4A001 ACADEMICO  INSTRUCTOR")</f>
        <v>A4A001 ACADEMICO  INSTRUCTOR</v>
      </c>
      <c r="C79" s="1" t="str">
        <f>IFERROR(__xludf.DUMMYFUNCTION("""COMPUTED_VALUE"""),"Instructor")</f>
        <v>Instructor</v>
      </c>
      <c r="D79" s="1" t="str">
        <f>IFERROR(__xludf.DUMMYFUNCTION("""COMPUTED_VALUE"""),"A4A Instructor")</f>
        <v>A4A Instructor</v>
      </c>
      <c r="E79" s="1" t="str">
        <f>IFERROR(__xludf.DUMMYFUNCTION("""COMPUTED_VALUE"""),"Masculino")</f>
        <v>Masculino</v>
      </c>
      <c r="F79" s="1" t="str">
        <f>IFERROR(__xludf.DUMMYFUNCTION("""COMPUTED_VALUE"""),"de la Carrera")</f>
        <v>de la Carrera</v>
      </c>
      <c r="G79" s="1" t="str">
        <f>IFERROR(__xludf.DUMMYFUNCTION("""COMPUTED_VALUE"""),"Díaz")</f>
        <v>Díaz</v>
      </c>
      <c r="H79" s="1" t="str">
        <f>IFERROR(__xludf.DUMMYFUNCTION("""COMPUTED_VALUE"""),"Alejandro Eugenio")</f>
        <v>Alejandro Eugenio</v>
      </c>
      <c r="I79" s="1" t="str">
        <f>IFERROR(__xludf.DUMMYFUNCTION("""COMPUTED_VALUE"""),"de la Carrera Díaz Alejandro Eugenio")</f>
        <v>de la Carrera Díaz Alejandro Eugenio</v>
      </c>
      <c r="J79" s="10">
        <f>IFERROR(__xludf.DUMMYFUNCTION("""COMPUTED_VALUE"""),32356.0)</f>
        <v>32356</v>
      </c>
      <c r="K79" s="10">
        <f>IFERROR(__xludf.DUMMYFUNCTION("""COMPUTED_VALUE"""),20754.0)</f>
        <v>20754</v>
      </c>
      <c r="L79" s="1">
        <f>IFERROR(__xludf.DUMMYFUNCTION("""COMPUTED_VALUE"""),67.0)</f>
        <v>67</v>
      </c>
      <c r="M79" s="1" t="str">
        <f>IFERROR(__xludf.DUMMYFUNCTION("""COMPUTED_VALUE"""),"0001 Casado")</f>
        <v>0001 Casado</v>
      </c>
      <c r="N79" s="1"/>
      <c r="O79" s="10">
        <f>IFERROR(__xludf.DUMMYFUNCTION("""COMPUTED_VALUE"""),33420.0)</f>
        <v>33420</v>
      </c>
      <c r="P79" s="10">
        <f>IFERROR(__xludf.DUMMYFUNCTION("""COMPUTED_VALUE"""),34789.0)</f>
        <v>34789</v>
      </c>
      <c r="Q79" s="1" t="str">
        <f>IFERROR(__xludf.DUMMYFUNCTION("""COMPUTED_VALUE"""),"P Propiedad")</f>
        <v>P Propiedad</v>
      </c>
      <c r="R79" s="1" t="str">
        <f>IFERROR(__xludf.DUMMYFUNCTION("""COMPUTED_VALUE"""),"A Académico")</f>
        <v>A Académico</v>
      </c>
      <c r="S79" s="9" t="str">
        <f>IFERROR(__xludf.DUMMYFUNCTION("""COMPUTED_VALUE"""),"007074192K")</f>
        <v>007074192K</v>
      </c>
      <c r="T79" s="1" t="str">
        <f>IFERROR(__xludf.DUMMYFUNCTION("""COMPUTED_VALUE"""),"007074192K")</f>
        <v>007074192K</v>
      </c>
      <c r="U79" s="1">
        <f>IFERROR(__xludf.DUMMYFUNCTION("""COMPUTED_VALUE"""),12.0)</f>
        <v>12</v>
      </c>
      <c r="V79" s="1"/>
      <c r="W79" s="1"/>
      <c r="X79" s="1"/>
      <c r="Y79" s="1"/>
      <c r="Z79" s="1"/>
    </row>
    <row r="80" hidden="1">
      <c r="A80" s="1" t="str">
        <f>IFERROR(__xludf.DUMMYFUNCTION("""COMPUTED_VALUE"""),"12090801 Departamento de Sociología")</f>
        <v>12090801 Departamento de Sociología</v>
      </c>
      <c r="B80" s="1" t="str">
        <f>IFERROR(__xludf.DUMMYFUNCTION("""COMPUTED_VALUE"""),"A2A001 Académico Prof. Asociado")</f>
        <v>A2A001 Académico Prof. Asociado</v>
      </c>
      <c r="C80" s="1" t="str">
        <f>IFERROR(__xludf.DUMMYFUNCTION("""COMPUTED_VALUE"""),"Prof. Asociado - Categ. Academica Ord.")</f>
        <v>Prof. Asociado - Categ. Academica Ord.</v>
      </c>
      <c r="D80" s="1" t="str">
        <f>IFERROR(__xludf.DUMMYFUNCTION("""COMPUTED_VALUE"""),"A2A Prof. Asociado - Categ. Academica Ord.")</f>
        <v>A2A Prof. Asociado - Categ. Academica Ord.</v>
      </c>
      <c r="E80" s="1" t="str">
        <f>IFERROR(__xludf.DUMMYFUNCTION("""COMPUTED_VALUE"""),"Masculino")</f>
        <v>Masculino</v>
      </c>
      <c r="F80" s="1" t="str">
        <f>IFERROR(__xludf.DUMMYFUNCTION("""COMPUTED_VALUE"""),"de la Puente")</f>
        <v>de la Puente</v>
      </c>
      <c r="G80" s="1" t="str">
        <f>IFERROR(__xludf.DUMMYFUNCTION("""COMPUTED_VALUE"""),"Lafoy")</f>
        <v>Lafoy</v>
      </c>
      <c r="H80" s="1" t="str">
        <f>IFERROR(__xludf.DUMMYFUNCTION("""COMPUTED_VALUE"""),"Erasmo Patricio Mario")</f>
        <v>Erasmo Patricio Mario</v>
      </c>
      <c r="I80" s="1" t="str">
        <f>IFERROR(__xludf.DUMMYFUNCTION("""COMPUTED_VALUE"""),"de la Puente Lafoy Erasmo Patricio Mario")</f>
        <v>de la Puente Lafoy Erasmo Patricio Mario</v>
      </c>
      <c r="J80" s="10">
        <f>IFERROR(__xludf.DUMMYFUNCTION("""COMPUTED_VALUE"""),26268.0)</f>
        <v>26268</v>
      </c>
      <c r="K80" s="10">
        <f>IFERROR(__xludf.DUMMYFUNCTION("""COMPUTED_VALUE"""),13856.0)</f>
        <v>13856</v>
      </c>
      <c r="L80" s="1">
        <f>IFERROR(__xludf.DUMMYFUNCTION("""COMPUTED_VALUE"""),86.0)</f>
        <v>86</v>
      </c>
      <c r="M80" s="1" t="str">
        <f>IFERROR(__xludf.DUMMYFUNCTION("""COMPUTED_VALUE"""),"0002 Soltero")</f>
        <v>0002 Soltero</v>
      </c>
      <c r="N80" s="1"/>
      <c r="O80" s="10">
        <f>IFERROR(__xludf.DUMMYFUNCTION("""COMPUTED_VALUE"""),33939.0)</f>
        <v>33939</v>
      </c>
      <c r="P80" s="10">
        <f>IFERROR(__xludf.DUMMYFUNCTION("""COMPUTED_VALUE"""),38657.0)</f>
        <v>38657</v>
      </c>
      <c r="Q80" s="1" t="str">
        <f>IFERROR(__xludf.DUMMYFUNCTION("""COMPUTED_VALUE"""),"P Propiedad")</f>
        <v>P Propiedad</v>
      </c>
      <c r="R80" s="1" t="str">
        <f>IFERROR(__xludf.DUMMYFUNCTION("""COMPUTED_VALUE"""),"A Académico")</f>
        <v>A Académico</v>
      </c>
      <c r="S80" s="9" t="str">
        <f>IFERROR(__xludf.DUMMYFUNCTION("""COMPUTED_VALUE"""),"36379782")</f>
        <v>36379782</v>
      </c>
      <c r="T80" s="1" t="str">
        <f>IFERROR(__xludf.DUMMYFUNCTION("""COMPUTED_VALUE"""),"0036379782")</f>
        <v>0036379782</v>
      </c>
      <c r="U80" s="1">
        <f>IFERROR(__xludf.DUMMYFUNCTION("""COMPUTED_VALUE"""),44.0)</f>
        <v>44</v>
      </c>
      <c r="V80" s="1" t="str">
        <f>IFERROR(__xludf.DUMMYFUNCTION("""COMPUTED_VALUE"""),"P0401 Licenciado")</f>
        <v>P0401 Licenciado</v>
      </c>
      <c r="W80" s="1">
        <f>IFERROR(__xludf.DUMMYFUNCTION("""COMPUTED_VALUE"""),30995.0)</f>
        <v>30995</v>
      </c>
      <c r="X80" s="1" t="str">
        <f>IFERROR(__xludf.DUMMYFUNCTION("""COMPUTED_VALUE"""),"Universidad De Chile")</f>
        <v>Universidad De Chile</v>
      </c>
      <c r="Y80" s="1" t="str">
        <f>IFERROR(__xludf.DUMMYFUNCTION("""COMPUTED_VALUE"""),"CHILE")</f>
        <v>CHILE</v>
      </c>
      <c r="Z80" s="1" t="str">
        <f>IFERROR(__xludf.DUMMYFUNCTION("""COMPUTED_VALUE"""),"T5082 Sociologo")</f>
        <v>T5082 Sociologo</v>
      </c>
    </row>
    <row r="81" hidden="1">
      <c r="A81" s="1" t="str">
        <f>IFERROR(__xludf.DUMMYFUNCTION("""COMPUTED_VALUE"""),"12090501 Departamento de Investigaciónes Mediáticas y de la Comunicación")</f>
        <v>12090501 Departamento de Investigaciónes Mediáticas y de la Comunicación</v>
      </c>
      <c r="B81" s="1" t="str">
        <f>IFERROR(__xludf.DUMMYFUNCTION("""COMPUTED_VALUE"""),"A3A001 Académico Prof. Asistente")</f>
        <v>A3A001 Académico Prof. Asistente</v>
      </c>
      <c r="C81" s="1" t="str">
        <f>IFERROR(__xludf.DUMMYFUNCTION("""COMPUTED_VALUE"""),"Prof. Asistente - Categ. Academica Ord.")</f>
        <v>Prof. Asistente - Categ. Academica Ord.</v>
      </c>
      <c r="D81" s="1" t="str">
        <f>IFERROR(__xludf.DUMMYFUNCTION("""COMPUTED_VALUE"""),"A3A Prof. Asistente - Categ. Academica Ord.")</f>
        <v>A3A Prof. Asistente - Categ. Academica Ord.</v>
      </c>
      <c r="E81" s="1" t="str">
        <f>IFERROR(__xludf.DUMMYFUNCTION("""COMPUTED_VALUE"""),"Masculino")</f>
        <v>Masculino</v>
      </c>
      <c r="F81" s="1" t="str">
        <f>IFERROR(__xludf.DUMMYFUNCTION("""COMPUTED_VALUE"""),"del Villar")</f>
        <v>del Villar</v>
      </c>
      <c r="G81" s="1" t="str">
        <f>IFERROR(__xludf.DUMMYFUNCTION("""COMPUTED_VALUE"""),"Muñoz")</f>
        <v>Muñoz</v>
      </c>
      <c r="H81" s="1" t="str">
        <f>IFERROR(__xludf.DUMMYFUNCTION("""COMPUTED_VALUE"""),"Fidel Rafael")</f>
        <v>Fidel Rafael</v>
      </c>
      <c r="I81" s="1" t="str">
        <f>IFERROR(__xludf.DUMMYFUNCTION("""COMPUTED_VALUE"""),"del Villar Muñoz Fidel Rafael")</f>
        <v>del Villar Muñoz Fidel Rafael</v>
      </c>
      <c r="J81" s="10">
        <f>IFERROR(__xludf.DUMMYFUNCTION("""COMPUTED_VALUE"""),33298.0)</f>
        <v>33298</v>
      </c>
      <c r="K81" s="10">
        <f>IFERROR(__xludf.DUMMYFUNCTION("""COMPUTED_VALUE"""),17105.0)</f>
        <v>17105</v>
      </c>
      <c r="L81" s="1">
        <f>IFERROR(__xludf.DUMMYFUNCTION("""COMPUTED_VALUE"""),77.0)</f>
        <v>77</v>
      </c>
      <c r="M81" s="1" t="str">
        <f>IFERROR(__xludf.DUMMYFUNCTION("""COMPUTED_VALUE"""),"0001 Casado")</f>
        <v>0001 Casado</v>
      </c>
      <c r="N81" s="1" t="str">
        <f>IFERROR(__xludf.DUMMYFUNCTION("""COMPUTED_VALUE"""),"N0040 Profesional Superior")</f>
        <v>N0040 Profesional Superior</v>
      </c>
      <c r="O81" s="10">
        <f>IFERROR(__xludf.DUMMYFUNCTION("""COMPUTED_VALUE"""),33909.0)</f>
        <v>33909</v>
      </c>
      <c r="P81" s="10">
        <f>IFERROR(__xludf.DUMMYFUNCTION("""COMPUTED_VALUE"""),37833.0)</f>
        <v>37833</v>
      </c>
      <c r="Q81" s="1" t="str">
        <f>IFERROR(__xludf.DUMMYFUNCTION("""COMPUTED_VALUE"""),"P Propiedad")</f>
        <v>P Propiedad</v>
      </c>
      <c r="R81" s="1" t="str">
        <f>IFERROR(__xludf.DUMMYFUNCTION("""COMPUTED_VALUE"""),"A Académico")</f>
        <v>A Académico</v>
      </c>
      <c r="S81" s="9" t="str">
        <f>IFERROR(__xludf.DUMMYFUNCTION("""COMPUTED_VALUE"""),"51271181")</f>
        <v>51271181</v>
      </c>
      <c r="T81" s="1" t="str">
        <f>IFERROR(__xludf.DUMMYFUNCTION("""COMPUTED_VALUE"""),"0051271181")</f>
        <v>0051271181</v>
      </c>
      <c r="U81" s="1">
        <f>IFERROR(__xludf.DUMMYFUNCTION("""COMPUTED_VALUE"""),44.0)</f>
        <v>44</v>
      </c>
      <c r="V81" s="1" t="str">
        <f>IFERROR(__xludf.DUMMYFUNCTION("""COMPUTED_VALUE"""),"P0900 Doctor")</f>
        <v>P0900 Doctor</v>
      </c>
      <c r="W81" s="1">
        <f>IFERROR(__xludf.DUMMYFUNCTION("""COMPUTED_VALUE"""),42340.0)</f>
        <v>42340</v>
      </c>
      <c r="X81" s="1" t="str">
        <f>IFERROR(__xludf.DUMMYFUNCTION("""COMPUTED_VALUE"""),"Universite Sorbonne Nouvelle Paris 3")</f>
        <v>Universite Sorbonne Nouvelle Paris 3</v>
      </c>
      <c r="Y81" s="1" t="str">
        <f>IFERROR(__xludf.DUMMYFUNCTION("""COMPUTED_VALUE"""),"FRANCIA")</f>
        <v>FRANCIA</v>
      </c>
      <c r="Z81" s="1" t="str">
        <f>IFERROR(__xludf.DUMMYFUNCTION("""COMPUTED_VALUE"""),"T5082 Sociologo")</f>
        <v>T5082 Sociologo</v>
      </c>
    </row>
    <row r="82" hidden="1">
      <c r="A82" s="1" t="str">
        <f>IFERROR(__xludf.DUMMYFUNCTION("""COMPUTED_VALUE"""),"12090501 Departamento de Investigaciónes Mediáticas y de la Comunicación")</f>
        <v>12090501 Departamento de Investigaciónes Mediáticas y de la Comunicación</v>
      </c>
      <c r="B82" s="1" t="str">
        <f>IFERROR(__xludf.DUMMYFUNCTION("""COMPUTED_VALUE"""),"A2A001 Académico Prof. Asociado")</f>
        <v>A2A001 Académico Prof. Asociado</v>
      </c>
      <c r="C82" s="1" t="str">
        <f>IFERROR(__xludf.DUMMYFUNCTION("""COMPUTED_VALUE"""),"Prof. Asociado - Categ. Academica Ord.")</f>
        <v>Prof. Asociado - Categ. Academica Ord.</v>
      </c>
      <c r="D82" s="1" t="str">
        <f>IFERROR(__xludf.DUMMYFUNCTION("""COMPUTED_VALUE"""),"A2A Prof. Asociado - Categ. Academica Ord.")</f>
        <v>A2A Prof. Asociado - Categ. Academica Ord.</v>
      </c>
      <c r="E82" s="1" t="str">
        <f>IFERROR(__xludf.DUMMYFUNCTION("""COMPUTED_VALUE"""),"Femenino")</f>
        <v>Femenino</v>
      </c>
      <c r="F82" s="1" t="str">
        <f>IFERROR(__xludf.DUMMYFUNCTION("""COMPUTED_VALUE"""),"Délano")</f>
        <v>Délano</v>
      </c>
      <c r="G82" s="1" t="str">
        <f>IFERROR(__xludf.DUMMYFUNCTION("""COMPUTED_VALUE"""),"Alfonso")</f>
        <v>Alfonso</v>
      </c>
      <c r="H82" s="1" t="str">
        <f>IFERROR(__xludf.DUMMYFUNCTION("""COMPUTED_VALUE"""),"Bárbara Jean")</f>
        <v>Bárbara Jean</v>
      </c>
      <c r="I82" s="1" t="str">
        <f>IFERROR(__xludf.DUMMYFUNCTION("""COMPUTED_VALUE"""),"Délano Alfonso Bárbara Jean")</f>
        <v>Délano Alfonso Bárbara Jean</v>
      </c>
      <c r="J82" s="10">
        <f>IFERROR(__xludf.DUMMYFUNCTION("""COMPUTED_VALUE"""),25538.0)</f>
        <v>25538</v>
      </c>
      <c r="K82" s="10">
        <f>IFERROR(__xludf.DUMMYFUNCTION("""COMPUTED_VALUE"""),18111.0)</f>
        <v>18111</v>
      </c>
      <c r="L82" s="1">
        <f>IFERROR(__xludf.DUMMYFUNCTION("""COMPUTED_VALUE"""),74.0)</f>
        <v>74</v>
      </c>
      <c r="M82" s="1" t="str">
        <f>IFERROR(__xludf.DUMMYFUNCTION("""COMPUTED_VALUE"""),"0005 Divorciado")</f>
        <v>0005 Divorciado</v>
      </c>
      <c r="N82" s="1"/>
      <c r="O82" s="10">
        <f>IFERROR(__xludf.DUMMYFUNCTION("""COMPUTED_VALUE"""),34182.0)</f>
        <v>34182</v>
      </c>
      <c r="P82" s="10">
        <f>IFERROR(__xludf.DUMMYFUNCTION("""COMPUTED_VALUE"""),35795.0)</f>
        <v>35795</v>
      </c>
      <c r="Q82" s="1" t="str">
        <f>IFERROR(__xludf.DUMMYFUNCTION("""COMPUTED_VALUE"""),"P Propiedad")</f>
        <v>P Propiedad</v>
      </c>
      <c r="R82" s="1" t="str">
        <f>IFERROR(__xludf.DUMMYFUNCTION("""COMPUTED_VALUE"""),"A Académico")</f>
        <v>A Académico</v>
      </c>
      <c r="S82" s="9" t="str">
        <f>IFERROR(__xludf.DUMMYFUNCTION("""COMPUTED_VALUE"""),"62242531")</f>
        <v>62242531</v>
      </c>
      <c r="T82" s="1" t="str">
        <f>IFERROR(__xludf.DUMMYFUNCTION("""COMPUTED_VALUE"""),"0062242531")</f>
        <v>0062242531</v>
      </c>
      <c r="U82" s="1">
        <f>IFERROR(__xludf.DUMMYFUNCTION("""COMPUTED_VALUE"""),6.0)</f>
        <v>6</v>
      </c>
      <c r="V82" s="1"/>
      <c r="W82" s="1"/>
      <c r="X82" s="1"/>
      <c r="Y82" s="1"/>
      <c r="Z82" s="1"/>
    </row>
    <row r="83" hidden="1">
      <c r="A83" s="1" t="str">
        <f>IFERROR(__xludf.DUMMYFUNCTION("""COMPUTED_VALUE"""),"12090701 Departamento de Psicología")</f>
        <v>12090701 Departamento de Psicología</v>
      </c>
      <c r="B83" s="1" t="str">
        <f>IFERROR(__xludf.DUMMYFUNCTION("""COMPUTED_VALUE"""),"A2A001 Académico Prof. Asociado")</f>
        <v>A2A001 Académico Prof. Asociado</v>
      </c>
      <c r="C83" s="1" t="str">
        <f>IFERROR(__xludf.DUMMYFUNCTION("""COMPUTED_VALUE"""),"Prof. Asociado - Categ. Academica Ord.")</f>
        <v>Prof. Asociado - Categ. Academica Ord.</v>
      </c>
      <c r="D83" s="1" t="str">
        <f>IFERROR(__xludf.DUMMYFUNCTION("""COMPUTED_VALUE"""),"A2A Prof. Asociado - Categ. Academica Ord.")</f>
        <v>A2A Prof. Asociado - Categ. Academica Ord.</v>
      </c>
      <c r="E83" s="1" t="str">
        <f>IFERROR(__xludf.DUMMYFUNCTION("""COMPUTED_VALUE"""),"Masculino")</f>
        <v>Masculino</v>
      </c>
      <c r="F83" s="1" t="str">
        <f>IFERROR(__xludf.DUMMYFUNCTION("""COMPUTED_VALUE"""),"Descouvieres")</f>
        <v>Descouvieres</v>
      </c>
      <c r="G83" s="1" t="str">
        <f>IFERROR(__xludf.DUMMYFUNCTION("""COMPUTED_VALUE"""),"Carrillo")</f>
        <v>Carrillo</v>
      </c>
      <c r="H83" s="1" t="str">
        <f>IFERROR(__xludf.DUMMYFUNCTION("""COMPUTED_VALUE"""),"Carlos")</f>
        <v>Carlos</v>
      </c>
      <c r="I83" s="1" t="str">
        <f>IFERROR(__xludf.DUMMYFUNCTION("""COMPUTED_VALUE"""),"Descouvieres Carrillo Carlos")</f>
        <v>Descouvieres Carrillo Carlos</v>
      </c>
      <c r="J83" s="10">
        <f>IFERROR(__xludf.DUMMYFUNCTION("""COMPUTED_VALUE"""),19784.0)</f>
        <v>19784</v>
      </c>
      <c r="K83" s="10">
        <f>IFERROR(__xludf.DUMMYFUNCTION("""COMPUTED_VALUE"""),12851.0)</f>
        <v>12851</v>
      </c>
      <c r="L83" s="1">
        <f>IFERROR(__xludf.DUMMYFUNCTION("""COMPUTED_VALUE"""),88.0)</f>
        <v>88</v>
      </c>
      <c r="M83" s="1" t="str">
        <f>IFERROR(__xludf.DUMMYFUNCTION("""COMPUTED_VALUE"""),"0001 Casado")</f>
        <v>0001 Casado</v>
      </c>
      <c r="N83" s="1"/>
      <c r="O83" s="10">
        <f>IFERROR(__xludf.DUMMYFUNCTION("""COMPUTED_VALUE"""),33725.0)</f>
        <v>33725</v>
      </c>
      <c r="P83" s="10">
        <f>IFERROR(__xludf.DUMMYFUNCTION("""COMPUTED_VALUE"""),40240.0)</f>
        <v>40240</v>
      </c>
      <c r="Q83" s="1" t="str">
        <f>IFERROR(__xludf.DUMMYFUNCTION("""COMPUTED_VALUE"""),"P Propiedad")</f>
        <v>P Propiedad</v>
      </c>
      <c r="R83" s="1" t="str">
        <f>IFERROR(__xludf.DUMMYFUNCTION("""COMPUTED_VALUE"""),"A Académico")</f>
        <v>A Académico</v>
      </c>
      <c r="S83" s="9" t="str">
        <f>IFERROR(__xludf.DUMMYFUNCTION("""COMPUTED_VALUE"""),"31900867")</f>
        <v>31900867</v>
      </c>
      <c r="T83" s="1" t="str">
        <f>IFERROR(__xludf.DUMMYFUNCTION("""COMPUTED_VALUE"""),"0031900867")</f>
        <v>0031900867</v>
      </c>
      <c r="U83" s="1">
        <f>IFERROR(__xludf.DUMMYFUNCTION("""COMPUTED_VALUE"""),44.0)</f>
        <v>44</v>
      </c>
      <c r="V83" s="1" t="str">
        <f>IFERROR(__xludf.DUMMYFUNCTION("""COMPUTED_VALUE"""),"P0900 Doctor")</f>
        <v>P0900 Doctor</v>
      </c>
      <c r="W83" s="1">
        <f>IFERROR(__xludf.DUMMYFUNCTION("""COMPUTED_VALUE"""),24472.0)</f>
        <v>24472</v>
      </c>
      <c r="X83" s="1" t="str">
        <f>IFERROR(__xludf.DUMMYFUNCTION("""COMPUTED_VALUE"""),"Universidad De La Sorbonne")</f>
        <v>Universidad De La Sorbonne</v>
      </c>
      <c r="Y83" s="1" t="str">
        <f>IFERROR(__xludf.DUMMYFUNCTION("""COMPUTED_VALUE"""),"FRANCIA")</f>
        <v>FRANCIA</v>
      </c>
      <c r="Z83" s="1" t="str">
        <f>IFERROR(__xludf.DUMMYFUNCTION("""COMPUTED_VALUE"""),"T5276 Psicologo")</f>
        <v>T5276 Psicologo</v>
      </c>
    </row>
    <row r="84">
      <c r="A84" s="1" t="str">
        <f>IFERROR(__xludf.DUMMYFUNCTION("""COMPUTED_VALUE"""),"12090801 Departamento de Sociología")</f>
        <v>12090801 Departamento de Sociología</v>
      </c>
      <c r="B84" s="1" t="str">
        <f>IFERROR(__xludf.DUMMYFUNCTION("""COMPUTED_VALUE"""),"A3A001 Académico Prof. Asistente")</f>
        <v>A3A001 Académico Prof. Asistente</v>
      </c>
      <c r="C84" s="1" t="str">
        <f>IFERROR(__xludf.DUMMYFUNCTION("""COMPUTED_VALUE"""),"Prof. Asistente - Categ. Academica Ord.")</f>
        <v>Prof. Asistente - Categ. Academica Ord.</v>
      </c>
      <c r="D84" s="1" t="str">
        <f>IFERROR(__xludf.DUMMYFUNCTION("""COMPUTED_VALUE"""),"A3A Prof. Asistente - Categ. Academica Ord.")</f>
        <v>A3A Prof. Asistente - Categ. Academica Ord.</v>
      </c>
      <c r="E84" s="1" t="str">
        <f>IFERROR(__xludf.DUMMYFUNCTION("""COMPUTED_VALUE"""),"Femenino")</f>
        <v>Femenino</v>
      </c>
      <c r="F84" s="1" t="str">
        <f>IFERROR(__xludf.DUMMYFUNCTION("""COMPUTED_VALUE"""),"Di Silvestre")</f>
        <v>Di Silvestre</v>
      </c>
      <c r="G84" s="1" t="str">
        <f>IFERROR(__xludf.DUMMYFUNCTION("""COMPUTED_VALUE"""),"Paradizo")</f>
        <v>Paradizo</v>
      </c>
      <c r="H84" s="1" t="str">
        <f>IFERROR(__xludf.DUMMYFUNCTION("""COMPUTED_VALUE"""),"María Cristina")</f>
        <v>María Cristina</v>
      </c>
      <c r="I84" s="1" t="str">
        <f>IFERROR(__xludf.DUMMYFUNCTION("""COMPUTED_VALUE"""),"Di Silvestre Paradizo María Cristina")</f>
        <v>Di Silvestre Paradizo María Cristina</v>
      </c>
      <c r="J84" s="10">
        <f>IFERROR(__xludf.DUMMYFUNCTION("""COMPUTED_VALUE"""),31503.0)</f>
        <v>31503</v>
      </c>
      <c r="K84" s="10">
        <f>IFERROR(__xludf.DUMMYFUNCTION("""COMPUTED_VALUE"""),19965.0)</f>
        <v>19965</v>
      </c>
      <c r="L84" s="1">
        <f>IFERROR(__xludf.DUMMYFUNCTION("""COMPUTED_VALUE"""),69.0)</f>
        <v>69</v>
      </c>
      <c r="M84" s="1" t="str">
        <f>IFERROR(__xludf.DUMMYFUNCTION("""COMPUTED_VALUE"""),"0005 Divorciado")</f>
        <v>0005 Divorciado</v>
      </c>
      <c r="N84" s="1"/>
      <c r="O84" s="10">
        <f>IFERROR(__xludf.DUMMYFUNCTION("""COMPUTED_VALUE"""),33786.0)</f>
        <v>33786</v>
      </c>
      <c r="P84" s="10">
        <f>IFERROR(__xludf.DUMMYFUNCTION("""COMPUTED_VALUE"""),38664.0)</f>
        <v>38664</v>
      </c>
      <c r="Q84" s="1" t="str">
        <f>IFERROR(__xludf.DUMMYFUNCTION("""COMPUTED_VALUE"""),"P Propiedad")</f>
        <v>P Propiedad</v>
      </c>
      <c r="R84" s="1" t="str">
        <f>IFERROR(__xludf.DUMMYFUNCTION("""COMPUTED_VALUE"""),"A Académico")</f>
        <v>A Académico</v>
      </c>
      <c r="S84" s="9" t="str">
        <f>IFERROR(__xludf.DUMMYFUNCTION("""COMPUTED_VALUE"""),"006028086K")</f>
        <v>006028086K</v>
      </c>
      <c r="T84" s="1" t="str">
        <f>IFERROR(__xludf.DUMMYFUNCTION("""COMPUTED_VALUE"""),"006028086K")</f>
        <v>006028086K</v>
      </c>
      <c r="U84" s="1">
        <f>IFERROR(__xludf.DUMMYFUNCTION("""COMPUTED_VALUE"""),22.0)</f>
        <v>22</v>
      </c>
      <c r="V84" s="1" t="str">
        <f>IFERROR(__xludf.DUMMYFUNCTION("""COMPUTED_VALUE"""),"P0850 Magister")</f>
        <v>P0850 Magister</v>
      </c>
      <c r="W84" s="1">
        <f>IFERROR(__xludf.DUMMYFUNCTION("""COMPUTED_VALUE"""),30995.0)</f>
        <v>30995</v>
      </c>
      <c r="X84" s="1" t="str">
        <f>IFERROR(__xludf.DUMMYFUNCTION("""COMPUTED_VALUE"""),"Universidad De Chile")</f>
        <v>Universidad De Chile</v>
      </c>
      <c r="Y84" s="1" t="str">
        <f>IFERROR(__xludf.DUMMYFUNCTION("""COMPUTED_VALUE"""),"CHILE")</f>
        <v>CHILE</v>
      </c>
      <c r="Z84" s="1" t="str">
        <f>IFERROR(__xludf.DUMMYFUNCTION("""COMPUTED_VALUE"""),"T5082 Sociologo")</f>
        <v>T5082 Sociologo</v>
      </c>
    </row>
    <row r="85" hidden="1">
      <c r="A85" s="1" t="str">
        <f>IFERROR(__xludf.DUMMYFUNCTION("""COMPUTED_VALUE"""),"12090601 Departamento de Educación")</f>
        <v>12090601 Departamento de Educación</v>
      </c>
      <c r="B85" s="1" t="str">
        <f>IFERROR(__xludf.DUMMYFUNCTION("""COMPUTED_VALUE"""),"001064 Academico")</f>
        <v>001064 Academico</v>
      </c>
      <c r="C85" s="1" t="str">
        <f>IFERROR(__xludf.DUMMYFUNCTION("""COMPUTED_VALUE"""),"Prof. Asistente - Categ. Academica Ord.")</f>
        <v>Prof. Asistente - Categ. Academica Ord.</v>
      </c>
      <c r="D85" s="1" t="str">
        <f>IFERROR(__xludf.DUMMYFUNCTION("""COMPUTED_VALUE"""),"A3A Prof. Asistente - Categ. Academica Ord.")</f>
        <v>A3A Prof. Asistente - Categ. Academica Ord.</v>
      </c>
      <c r="E85" s="1" t="str">
        <f>IFERROR(__xludf.DUMMYFUNCTION("""COMPUTED_VALUE"""),"Femenino")</f>
        <v>Femenino</v>
      </c>
      <c r="F85" s="1" t="str">
        <f>IFERROR(__xludf.DUMMYFUNCTION("""COMPUTED_VALUE"""),"Díaz")</f>
        <v>Díaz</v>
      </c>
      <c r="G85" s="1" t="str">
        <f>IFERROR(__xludf.DUMMYFUNCTION("""COMPUTED_VALUE"""),"Castillo")</f>
        <v>Castillo</v>
      </c>
      <c r="H85" s="1" t="str">
        <f>IFERROR(__xludf.DUMMYFUNCTION("""COMPUTED_VALUE"""),"Alondra Esmeralda")</f>
        <v>Alondra Esmeralda</v>
      </c>
      <c r="I85" s="1" t="str">
        <f>IFERROR(__xludf.DUMMYFUNCTION("""COMPUTED_VALUE"""),"Díaz Castillo Alondra Esmeralda")</f>
        <v>Díaz Castillo Alondra Esmeralda</v>
      </c>
      <c r="J85" s="10">
        <f>IFERROR(__xludf.DUMMYFUNCTION("""COMPUTED_VALUE"""),37196.0)</f>
        <v>37196</v>
      </c>
      <c r="K85" s="10">
        <f>IFERROR(__xludf.DUMMYFUNCTION("""COMPUTED_VALUE"""),16464.0)</f>
        <v>16464</v>
      </c>
      <c r="L85" s="1">
        <f>IFERROR(__xludf.DUMMYFUNCTION("""COMPUTED_VALUE"""),78.0)</f>
        <v>78</v>
      </c>
      <c r="M85" s="1" t="str">
        <f>IFERROR(__xludf.DUMMYFUNCTION("""COMPUTED_VALUE"""),"0002 Soltero")</f>
        <v>0002 Soltero</v>
      </c>
      <c r="N85" s="1" t="str">
        <f>IFERROR(__xludf.DUMMYFUNCTION("""COMPUTED_VALUE"""),"N0040 Profesional Superior")</f>
        <v>N0040 Profesional Superior</v>
      </c>
      <c r="O85" s="10">
        <f>IFERROR(__xludf.DUMMYFUNCTION("""COMPUTED_VALUE"""),39083.0)</f>
        <v>39083</v>
      </c>
      <c r="P85" s="10">
        <f>IFERROR(__xludf.DUMMYFUNCTION("""COMPUTED_VALUE"""),39141.0)</f>
        <v>39141</v>
      </c>
      <c r="Q85" s="1" t="str">
        <f>IFERROR(__xludf.DUMMYFUNCTION("""COMPUTED_VALUE"""),"C Contrata")</f>
        <v>C Contrata</v>
      </c>
      <c r="R85" s="1" t="str">
        <f>IFERROR(__xludf.DUMMYFUNCTION("""COMPUTED_VALUE"""),"A Académico")</f>
        <v>A Académico</v>
      </c>
      <c r="S85" s="9" t="str">
        <f>IFERROR(__xludf.DUMMYFUNCTION("""COMPUTED_VALUE"""),"53067344")</f>
        <v>53067344</v>
      </c>
      <c r="T85" s="1" t="str">
        <f>IFERROR(__xludf.DUMMYFUNCTION("""COMPUTED_VALUE"""),"0053067344")</f>
        <v>0053067344</v>
      </c>
      <c r="U85" s="1">
        <f>IFERROR(__xludf.DUMMYFUNCTION("""COMPUTED_VALUE"""),44.0)</f>
        <v>44</v>
      </c>
      <c r="V85" s="1" t="str">
        <f>IFERROR(__xludf.DUMMYFUNCTION("""COMPUTED_VALUE"""),"P0850 Magister")</f>
        <v>P0850 Magister</v>
      </c>
      <c r="W85" s="1">
        <f>IFERROR(__xludf.DUMMYFUNCTION("""COMPUTED_VALUE"""),36971.0)</f>
        <v>36971</v>
      </c>
      <c r="X85" s="1" t="str">
        <f>IFERROR(__xludf.DUMMYFUNCTION("""COMPUTED_VALUE"""),"Universidad Modelo")</f>
        <v>Universidad Modelo</v>
      </c>
      <c r="Y85" s="1" t="str">
        <f>IFERROR(__xludf.DUMMYFUNCTION("""COMPUTED_VALUE"""),"MEXICO")</f>
        <v>MEXICO</v>
      </c>
      <c r="Z85" s="1" t="str">
        <f>IFERROR(__xludf.DUMMYFUNCTION("""COMPUTED_VALUE"""),"T5020 Educadora De Parvulos")</f>
        <v>T5020 Educadora De Parvulos</v>
      </c>
    </row>
    <row r="86" hidden="1">
      <c r="A86" s="1" t="str">
        <f>IFERROR(__xludf.DUMMYFUNCTION("""COMPUTED_VALUE"""),"12090118 Dpto. de  Psicología (funcionamiento)")</f>
        <v>12090118 Dpto. de  Psicología (funcionamiento)</v>
      </c>
      <c r="B86" s="1" t="str">
        <f>IFERROR(__xludf.DUMMYFUNCTION("""COMPUTED_VALUE"""),"A7A001 ACADEMICO PROF. ADJUNTO")</f>
        <v>A7A001 ACADEMICO PROF. ADJUNTO</v>
      </c>
      <c r="C86" s="1" t="str">
        <f>IFERROR(__xludf.DUMMYFUNCTION("""COMPUTED_VALUE"""),"Prof. Adjunto")</f>
        <v>Prof. Adjunto</v>
      </c>
      <c r="D86" s="1" t="str">
        <f>IFERROR(__xludf.DUMMYFUNCTION("""COMPUTED_VALUE"""),"A7A Prof. Adjunto")</f>
        <v>A7A Prof. Adjunto</v>
      </c>
      <c r="E86" s="1" t="str">
        <f>IFERROR(__xludf.DUMMYFUNCTION("""COMPUTED_VALUE"""),"Masculino")</f>
        <v>Masculino</v>
      </c>
      <c r="F86" s="1" t="str">
        <f>IFERROR(__xludf.DUMMYFUNCTION("""COMPUTED_VALUE"""),"Díaz")</f>
        <v>Díaz</v>
      </c>
      <c r="G86" s="1" t="str">
        <f>IFERROR(__xludf.DUMMYFUNCTION("""COMPUTED_VALUE"""),"Castillo")</f>
        <v>Castillo</v>
      </c>
      <c r="H86" s="1" t="str">
        <f>IFERROR(__xludf.DUMMYFUNCTION("""COMPUTED_VALUE"""),"Rogelio Eugenio")</f>
        <v>Rogelio Eugenio</v>
      </c>
      <c r="I86" s="1" t="str">
        <f>IFERROR(__xludf.DUMMYFUNCTION("""COMPUTED_VALUE"""),"Díaz Castillo Rogelio Eugenio")</f>
        <v>Díaz Castillo Rogelio Eugenio</v>
      </c>
      <c r="J86" s="10">
        <f>IFERROR(__xludf.DUMMYFUNCTION("""COMPUTED_VALUE"""),23743.0)</f>
        <v>23743</v>
      </c>
      <c r="K86" s="10">
        <f>IFERROR(__xludf.DUMMYFUNCTION("""COMPUTED_VALUE"""),13300.0)</f>
        <v>13300</v>
      </c>
      <c r="L86" s="1">
        <f>IFERROR(__xludf.DUMMYFUNCTION("""COMPUTED_VALUE"""),87.0)</f>
        <v>87</v>
      </c>
      <c r="M86" s="1" t="str">
        <f>IFERROR(__xludf.DUMMYFUNCTION("""COMPUTED_VALUE"""),"0001 Casado")</f>
        <v>0001 Casado</v>
      </c>
      <c r="N86" s="1"/>
      <c r="O86" s="10">
        <f>IFERROR(__xludf.DUMMYFUNCTION("""COMPUTED_VALUE"""),42186.0)</f>
        <v>42186</v>
      </c>
      <c r="P86" s="10">
        <f>IFERROR(__xludf.DUMMYFUNCTION("""COMPUTED_VALUE"""),73050.0)</f>
        <v>73050</v>
      </c>
      <c r="Q86" s="1" t="str">
        <f>IFERROR(__xludf.DUMMYFUNCTION("""COMPUTED_VALUE"""),"P Propiedad")</f>
        <v>P Propiedad</v>
      </c>
      <c r="R86" s="1" t="str">
        <f>IFERROR(__xludf.DUMMYFUNCTION("""COMPUTED_VALUE"""),"A Académico")</f>
        <v>A Académico</v>
      </c>
      <c r="S86" s="9" t="str">
        <f>IFERROR(__xludf.DUMMYFUNCTION("""COMPUTED_VALUE"""),"39567768")</f>
        <v>39567768</v>
      </c>
      <c r="T86" s="1" t="str">
        <f>IFERROR(__xludf.DUMMYFUNCTION("""COMPUTED_VALUE"""),"0039567768")</f>
        <v>0039567768</v>
      </c>
      <c r="U86" s="1">
        <f>IFERROR(__xludf.DUMMYFUNCTION("""COMPUTED_VALUE"""),12.0)</f>
        <v>12</v>
      </c>
      <c r="V86" s="1"/>
      <c r="W86" s="1"/>
      <c r="X86" s="1"/>
      <c r="Y86" s="1"/>
      <c r="Z86" s="1" t="str">
        <f>IFERROR(__xludf.DUMMYFUNCTION("""COMPUTED_VALUE"""),"T5124 Psicologo")</f>
        <v>T5124 Psicologo</v>
      </c>
    </row>
    <row r="87" hidden="1">
      <c r="A87" s="1" t="str">
        <f>IFERROR(__xludf.DUMMYFUNCTION("""COMPUTED_VALUE"""),"12090301 Departamento de Antropología")</f>
        <v>12090301 Departamento de Antropología</v>
      </c>
      <c r="B87" s="1" t="str">
        <f>IFERROR(__xludf.DUMMYFUNCTION("""COMPUTED_VALUE"""),"A3A001 Académico Prof. Asistente")</f>
        <v>A3A001 Académico Prof. Asistente</v>
      </c>
      <c r="C87" s="1" t="str">
        <f>IFERROR(__xludf.DUMMYFUNCTION("""COMPUTED_VALUE"""),"Prof. Asistente - Categ. Academica Ord.")</f>
        <v>Prof. Asistente - Categ. Academica Ord.</v>
      </c>
      <c r="D87" s="1" t="str">
        <f>IFERROR(__xludf.DUMMYFUNCTION("""COMPUTED_VALUE"""),"A3A Prof. Asistente - Categ. Academica Ord.")</f>
        <v>A3A Prof. Asistente - Categ. Academica Ord.</v>
      </c>
      <c r="E87" s="1" t="str">
        <f>IFERROR(__xludf.DUMMYFUNCTION("""COMPUTED_VALUE"""),"Masculino")</f>
        <v>Masculino</v>
      </c>
      <c r="F87" s="1" t="str">
        <f>IFERROR(__xludf.DUMMYFUNCTION("""COMPUTED_VALUE"""),"Dides")</f>
        <v>Dides</v>
      </c>
      <c r="G87" s="1" t="str">
        <f>IFERROR(__xludf.DUMMYFUNCTION("""COMPUTED_VALUE"""),"Muñoz")</f>
        <v>Muñoz</v>
      </c>
      <c r="H87" s="1" t="str">
        <f>IFERROR(__xludf.DUMMYFUNCTION("""COMPUTED_VALUE"""),"Salvador")</f>
        <v>Salvador</v>
      </c>
      <c r="I87" s="1" t="str">
        <f>IFERROR(__xludf.DUMMYFUNCTION("""COMPUTED_VALUE"""),"Dides Muñoz Salvador")</f>
        <v>Dides Muñoz Salvador</v>
      </c>
      <c r="J87" s="10">
        <f>IFERROR(__xludf.DUMMYFUNCTION("""COMPUTED_VALUE"""),23132.0)</f>
        <v>23132</v>
      </c>
      <c r="K87" s="10">
        <f>IFERROR(__xludf.DUMMYFUNCTION("""COMPUTED_VALUE"""),13670.0)</f>
        <v>13670</v>
      </c>
      <c r="L87" s="1">
        <f>IFERROR(__xludf.DUMMYFUNCTION("""COMPUTED_VALUE"""),86.0)</f>
        <v>86</v>
      </c>
      <c r="M87" s="1" t="str">
        <f>IFERROR(__xludf.DUMMYFUNCTION("""COMPUTED_VALUE"""),"0001 Casado")</f>
        <v>0001 Casado</v>
      </c>
      <c r="N87" s="1"/>
      <c r="O87" s="10">
        <f>IFERROR(__xludf.DUMMYFUNCTION("""COMPUTED_VALUE"""),39083.0)</f>
        <v>39083</v>
      </c>
      <c r="P87" s="10">
        <f>IFERROR(__xludf.DUMMYFUNCTION("""COMPUTED_VALUE"""),39141.0)</f>
        <v>39141</v>
      </c>
      <c r="Q87" s="1" t="str">
        <f>IFERROR(__xludf.DUMMYFUNCTION("""COMPUTED_VALUE"""),"C Contrata")</f>
        <v>C Contrata</v>
      </c>
      <c r="R87" s="1" t="str">
        <f>IFERROR(__xludf.DUMMYFUNCTION("""COMPUTED_VALUE"""),"A Académico")</f>
        <v>A Académico</v>
      </c>
      <c r="S87" s="9" t="str">
        <f>IFERROR(__xludf.DUMMYFUNCTION("""COMPUTED_VALUE"""),"29358281")</f>
        <v>29358281</v>
      </c>
      <c r="T87" s="1" t="str">
        <f>IFERROR(__xludf.DUMMYFUNCTION("""COMPUTED_VALUE"""),"0029358281")</f>
        <v>0029358281</v>
      </c>
      <c r="U87" s="1">
        <f>IFERROR(__xludf.DUMMYFUNCTION("""COMPUTED_VALUE"""),12.0)</f>
        <v>12</v>
      </c>
      <c r="V87" s="1" t="str">
        <f>IFERROR(__xludf.DUMMYFUNCTION("""COMPUTED_VALUE"""),"P0900 Doctor")</f>
        <v>P0900 Doctor</v>
      </c>
      <c r="W87" s="1">
        <f>IFERROR(__xludf.DUMMYFUNCTION("""COMPUTED_VALUE"""),28490.0)</f>
        <v>28490</v>
      </c>
      <c r="X87" s="1" t="str">
        <f>IFERROR(__xludf.DUMMYFUNCTION("""COMPUTED_VALUE"""),"Universidad De Chile")</f>
        <v>Universidad De Chile</v>
      </c>
      <c r="Y87" s="1" t="str">
        <f>IFERROR(__xludf.DUMMYFUNCTION("""COMPUTED_VALUE"""),"CHILE")</f>
        <v>CHILE</v>
      </c>
      <c r="Z87" s="1" t="str">
        <f>IFERROR(__xludf.DUMMYFUNCTION("""COMPUTED_VALUE"""),"T5103 Prof.De Hist. Y Geogr.Y Educ Civica")</f>
        <v>T5103 Prof.De Hist. Y Geogr.Y Educ Civica</v>
      </c>
    </row>
    <row r="88">
      <c r="A88" s="1" t="str">
        <f>IFERROR(__xludf.DUMMYFUNCTION("""COMPUTED_VALUE"""),"12090701 Departamento de Psicología")</f>
        <v>12090701 Departamento de Psicología</v>
      </c>
      <c r="B88" s="1" t="str">
        <f>IFERROR(__xludf.DUMMYFUNCTION("""COMPUTED_VALUE"""),"A3A001 Académico Prof. Asistente")</f>
        <v>A3A001 Académico Prof. Asistente</v>
      </c>
      <c r="C88" s="1" t="str">
        <f>IFERROR(__xludf.DUMMYFUNCTION("""COMPUTED_VALUE"""),"Prof. Asistente - Categ. Academica Ord.")</f>
        <v>Prof. Asistente - Categ. Academica Ord.</v>
      </c>
      <c r="D88" s="1" t="str">
        <f>IFERROR(__xludf.DUMMYFUNCTION("""COMPUTED_VALUE"""),"A3A Prof. Asistente - Categ. Academica Ord.")</f>
        <v>A3A Prof. Asistente - Categ. Academica Ord.</v>
      </c>
      <c r="E88" s="1" t="str">
        <f>IFERROR(__xludf.DUMMYFUNCTION("""COMPUTED_VALUE"""),"Femenino")</f>
        <v>Femenino</v>
      </c>
      <c r="F88" s="1" t="str">
        <f>IFERROR(__xludf.DUMMYFUNCTION("""COMPUTED_VALUE"""),"Diez")</f>
        <v>Diez</v>
      </c>
      <c r="G88" s="1" t="str">
        <f>IFERROR(__xludf.DUMMYFUNCTION("""COMPUTED_VALUE"""),"Escobar")</f>
        <v>Escobar</v>
      </c>
      <c r="H88" s="1" t="str">
        <f>IFERROR(__xludf.DUMMYFUNCTION("""COMPUTED_VALUE"""),"María Inés")</f>
        <v>María Inés</v>
      </c>
      <c r="I88" s="1" t="str">
        <f>IFERROR(__xludf.DUMMYFUNCTION("""COMPUTED_VALUE"""),"Diez Escobar María Inés")</f>
        <v>Diez Escobar María Inés</v>
      </c>
      <c r="J88" s="10">
        <f>IFERROR(__xludf.DUMMYFUNCTION("""COMPUTED_VALUE"""),29860.0)</f>
        <v>29860</v>
      </c>
      <c r="K88" s="10">
        <f>IFERROR(__xludf.DUMMYFUNCTION("""COMPUTED_VALUE"""),20132.0)</f>
        <v>20132</v>
      </c>
      <c r="L88" s="1">
        <f>IFERROR(__xludf.DUMMYFUNCTION("""COMPUTED_VALUE"""),68.0)</f>
        <v>68</v>
      </c>
      <c r="M88" s="1" t="str">
        <f>IFERROR(__xludf.DUMMYFUNCTION("""COMPUTED_VALUE"""),"0001 Casado")</f>
        <v>0001 Casado</v>
      </c>
      <c r="N88" s="1"/>
      <c r="O88" s="10">
        <f>IFERROR(__xludf.DUMMYFUNCTION("""COMPUTED_VALUE"""),36892.0)</f>
        <v>36892</v>
      </c>
      <c r="P88" s="10">
        <f>IFERROR(__xludf.DUMMYFUNCTION("""COMPUTED_VALUE"""),39691.0)</f>
        <v>39691</v>
      </c>
      <c r="Q88" s="1" t="str">
        <f>IFERROR(__xludf.DUMMYFUNCTION("""COMPUTED_VALUE"""),"P Propiedad")</f>
        <v>P Propiedad</v>
      </c>
      <c r="R88" s="1" t="str">
        <f>IFERROR(__xludf.DUMMYFUNCTION("""COMPUTED_VALUE"""),"A Académico")</f>
        <v>A Académico</v>
      </c>
      <c r="S88" s="9" t="str">
        <f>IFERROR(__xludf.DUMMYFUNCTION("""COMPUTED_VALUE"""),"006064473K")</f>
        <v>006064473K</v>
      </c>
      <c r="T88" s="1" t="str">
        <f>IFERROR(__xludf.DUMMYFUNCTION("""COMPUTED_VALUE"""),"006064473K")</f>
        <v>006064473K</v>
      </c>
      <c r="U88" s="1">
        <f>IFERROR(__xludf.DUMMYFUNCTION("""COMPUTED_VALUE"""),12.0)</f>
        <v>12</v>
      </c>
      <c r="V88" s="1" t="str">
        <f>IFERROR(__xludf.DUMMYFUNCTION("""COMPUTED_VALUE"""),"P0850 Magister")</f>
        <v>P0850 Magister</v>
      </c>
      <c r="W88" s="1">
        <f>IFERROR(__xludf.DUMMYFUNCTION("""COMPUTED_VALUE"""),37272.0)</f>
        <v>37272</v>
      </c>
      <c r="X88" s="1" t="str">
        <f>IFERROR(__xludf.DUMMYFUNCTION("""COMPUTED_VALUE"""),"Universidad De Chile")</f>
        <v>Universidad De Chile</v>
      </c>
      <c r="Y88" s="1" t="str">
        <f>IFERROR(__xludf.DUMMYFUNCTION("""COMPUTED_VALUE"""),"CHILE")</f>
        <v>CHILE</v>
      </c>
      <c r="Z88" s="1" t="str">
        <f>IFERROR(__xludf.DUMMYFUNCTION("""COMPUTED_VALUE"""),"T5276 Psicologo")</f>
        <v>T5276 Psicologo</v>
      </c>
    </row>
    <row r="89">
      <c r="A89" s="1" t="str">
        <f>IFERROR(__xludf.DUMMYFUNCTION("""COMPUTED_VALUE"""),"12090701 Departamento de Psicología")</f>
        <v>12090701 Departamento de Psicología</v>
      </c>
      <c r="B89" s="1" t="str">
        <f>IFERROR(__xludf.DUMMYFUNCTION("""COMPUTED_VALUE"""),"001845 Profesor Asistente")</f>
        <v>001845 Profesor Asistente</v>
      </c>
      <c r="C89" s="1" t="str">
        <f>IFERROR(__xludf.DUMMYFUNCTION("""COMPUTED_VALUE"""),"Prof. Asistente - Categ. Academica Ord.")</f>
        <v>Prof. Asistente - Categ. Academica Ord.</v>
      </c>
      <c r="D89" s="1" t="str">
        <f>IFERROR(__xludf.DUMMYFUNCTION("""COMPUTED_VALUE"""),"A3A Prof. Asistente - Categ. Academica Ord.")</f>
        <v>A3A Prof. Asistente - Categ. Academica Ord.</v>
      </c>
      <c r="E89" s="1" t="str">
        <f>IFERROR(__xludf.DUMMYFUNCTION("""COMPUTED_VALUE"""),"Femenino")</f>
        <v>Femenino</v>
      </c>
      <c r="F89" s="1" t="str">
        <f>IFERROR(__xludf.DUMMYFUNCTION("""COMPUTED_VALUE"""),"Donoso")</f>
        <v>Donoso</v>
      </c>
      <c r="G89" s="1" t="str">
        <f>IFERROR(__xludf.DUMMYFUNCTION("""COMPUTED_VALUE"""),"Niemeyer")</f>
        <v>Niemeyer</v>
      </c>
      <c r="H89" s="1" t="str">
        <f>IFERROR(__xludf.DUMMYFUNCTION("""COMPUTED_VALUE"""),"Tania Edna Lama")</f>
        <v>Tania Edna Lama</v>
      </c>
      <c r="I89" s="1" t="str">
        <f>IFERROR(__xludf.DUMMYFUNCTION("""COMPUTED_VALUE"""),"Donoso Niemeyer Tania Edna Lama")</f>
        <v>Donoso Niemeyer Tania Edna Lama</v>
      </c>
      <c r="J89" s="10">
        <f>IFERROR(__xludf.DUMMYFUNCTION("""COMPUTED_VALUE"""),34455.0)</f>
        <v>34455</v>
      </c>
      <c r="K89" s="10">
        <f>IFERROR(__xludf.DUMMYFUNCTION("""COMPUTED_VALUE"""),23532.0)</f>
        <v>23532</v>
      </c>
      <c r="L89" s="1">
        <f>IFERROR(__xludf.DUMMYFUNCTION("""COMPUTED_VALUE"""),59.0)</f>
        <v>59</v>
      </c>
      <c r="M89" s="1" t="str">
        <f>IFERROR(__xludf.DUMMYFUNCTION("""COMPUTED_VALUE"""),"0002 Soltero")</f>
        <v>0002 Soltero</v>
      </c>
      <c r="N89" s="1"/>
      <c r="O89" s="10">
        <f>IFERROR(__xludf.DUMMYFUNCTION("""COMPUTED_VALUE"""),40817.0)</f>
        <v>40817</v>
      </c>
      <c r="P89" s="10">
        <f>IFERROR(__xludf.DUMMYFUNCTION("""COMPUTED_VALUE"""),40908.0)</f>
        <v>40908</v>
      </c>
      <c r="Q89" s="1" t="str">
        <f>IFERROR(__xludf.DUMMYFUNCTION("""COMPUTED_VALUE"""),"C Contrata")</f>
        <v>C Contrata</v>
      </c>
      <c r="R89" s="1" t="str">
        <f>IFERROR(__xludf.DUMMYFUNCTION("""COMPUTED_VALUE"""),"A Académico")</f>
        <v>A Académico</v>
      </c>
      <c r="S89" s="9" t="str">
        <f>IFERROR(__xludf.DUMMYFUNCTION("""COMPUTED_VALUE"""),"90457551")</f>
        <v>90457551</v>
      </c>
      <c r="T89" s="1" t="str">
        <f>IFERROR(__xludf.DUMMYFUNCTION("""COMPUTED_VALUE"""),"0090457551")</f>
        <v>0090457551</v>
      </c>
      <c r="U89" s="1">
        <f>IFERROR(__xludf.DUMMYFUNCTION("""COMPUTED_VALUE"""),6.0)</f>
        <v>6</v>
      </c>
      <c r="V89" s="1" t="str">
        <f>IFERROR(__xludf.DUMMYFUNCTION("""COMPUTED_VALUE"""),"P0501 Con Titulo Profesional")</f>
        <v>P0501 Con Titulo Profesional</v>
      </c>
      <c r="W89" s="1">
        <f>IFERROR(__xludf.DUMMYFUNCTION("""COMPUTED_VALUE"""),33939.0)</f>
        <v>33939</v>
      </c>
      <c r="X89" s="1" t="str">
        <f>IFERROR(__xludf.DUMMYFUNCTION("""COMPUTED_VALUE"""),"Universidad De Chile")</f>
        <v>Universidad De Chile</v>
      </c>
      <c r="Y89" s="1" t="str">
        <f>IFERROR(__xludf.DUMMYFUNCTION("""COMPUTED_VALUE"""),"CHILE")</f>
        <v>CHILE</v>
      </c>
      <c r="Z89" s="1" t="str">
        <f>IFERROR(__xludf.DUMMYFUNCTION("""COMPUTED_VALUE"""),"T5124 Psicologo")</f>
        <v>T5124 Psicologo</v>
      </c>
    </row>
    <row r="90" hidden="1">
      <c r="A90" s="1" t="str">
        <f>IFERROR(__xludf.DUMMYFUNCTION("""COMPUTED_VALUE"""),"12090701 Departamento de Psicología")</f>
        <v>12090701 Departamento de Psicología</v>
      </c>
      <c r="B90" s="1" t="str">
        <f>IFERROR(__xludf.DUMMYFUNCTION("""COMPUTED_VALUE"""),"A3A001 Académico Prof. Asistente")</f>
        <v>A3A001 Académico Prof. Asistente</v>
      </c>
      <c r="C90" s="1" t="str">
        <f>IFERROR(__xludf.DUMMYFUNCTION("""COMPUTED_VALUE"""),"Prof. Asistente - Categ. Academica Ord.")</f>
        <v>Prof. Asistente - Categ. Academica Ord.</v>
      </c>
      <c r="D90" s="1" t="str">
        <f>IFERROR(__xludf.DUMMYFUNCTION("""COMPUTED_VALUE"""),"A3A Prof. Asistente - Categ. Academica Ord.")</f>
        <v>A3A Prof. Asistente - Categ. Academica Ord.</v>
      </c>
      <c r="E90" s="1" t="str">
        <f>IFERROR(__xludf.DUMMYFUNCTION("""COMPUTED_VALUE"""),"Femenino")</f>
        <v>Femenino</v>
      </c>
      <c r="F90" s="1" t="str">
        <f>IFERROR(__xludf.DUMMYFUNCTION("""COMPUTED_VALUE"""),"Donoso")</f>
        <v>Donoso</v>
      </c>
      <c r="G90" s="1" t="str">
        <f>IFERROR(__xludf.DUMMYFUNCTION("""COMPUTED_VALUE"""),"Retamales")</f>
        <v>Retamales</v>
      </c>
      <c r="H90" s="1" t="str">
        <f>IFERROR(__xludf.DUMMYFUNCTION("""COMPUTED_VALUE"""),"Graciela Benigna")</f>
        <v>Graciela Benigna</v>
      </c>
      <c r="I90" s="1" t="str">
        <f>IFERROR(__xludf.DUMMYFUNCTION("""COMPUTED_VALUE"""),"Donoso Retamales Graciela Benigna")</f>
        <v>Donoso Retamales Graciela Benigna</v>
      </c>
      <c r="J90" s="10">
        <f>IFERROR(__xludf.DUMMYFUNCTION("""COMPUTED_VALUE"""),26146.0)</f>
        <v>26146</v>
      </c>
      <c r="K90" s="10">
        <f>IFERROR(__xludf.DUMMYFUNCTION("""COMPUTED_VALUE"""),16347.0)</f>
        <v>16347</v>
      </c>
      <c r="L90" s="1">
        <f>IFERROR(__xludf.DUMMYFUNCTION("""COMPUTED_VALUE"""),79.0)</f>
        <v>79</v>
      </c>
      <c r="M90" s="1" t="str">
        <f>IFERROR(__xludf.DUMMYFUNCTION("""COMPUTED_VALUE"""),"0002 Soltero")</f>
        <v>0002 Soltero</v>
      </c>
      <c r="N90" s="1"/>
      <c r="O90" s="10">
        <f>IFERROR(__xludf.DUMMYFUNCTION("""COMPUTED_VALUE"""),33390.0)</f>
        <v>33390</v>
      </c>
      <c r="P90" s="10">
        <f>IFERROR(__xludf.DUMMYFUNCTION("""COMPUTED_VALUE"""),36038.0)</f>
        <v>36038</v>
      </c>
      <c r="Q90" s="1" t="str">
        <f>IFERROR(__xludf.DUMMYFUNCTION("""COMPUTED_VALUE"""),"P Propiedad")</f>
        <v>P Propiedad</v>
      </c>
      <c r="R90" s="1" t="str">
        <f>IFERROR(__xludf.DUMMYFUNCTION("""COMPUTED_VALUE"""),"A Académico")</f>
        <v>A Académico</v>
      </c>
      <c r="S90" s="9" t="str">
        <f>IFERROR(__xludf.DUMMYFUNCTION("""COMPUTED_VALUE"""),"53101631")</f>
        <v>53101631</v>
      </c>
      <c r="T90" s="1" t="str">
        <f>IFERROR(__xludf.DUMMYFUNCTION("""COMPUTED_VALUE"""),"0053101631")</f>
        <v>0053101631</v>
      </c>
      <c r="U90" s="1">
        <f>IFERROR(__xludf.DUMMYFUNCTION("""COMPUTED_VALUE"""),6.0)</f>
        <v>6</v>
      </c>
      <c r="V90" s="1"/>
      <c r="W90" s="1"/>
      <c r="X90" s="1"/>
      <c r="Y90" s="1"/>
      <c r="Z90" s="1" t="str">
        <f>IFERROR(__xludf.DUMMYFUNCTION("""COMPUTED_VALUE"""),"T5105 Profesor De Matematicas")</f>
        <v>T5105 Profesor De Matematicas</v>
      </c>
    </row>
    <row r="91" hidden="1">
      <c r="A91" s="1" t="str">
        <f>IFERROR(__xludf.DUMMYFUNCTION("""COMPUTED_VALUE"""),"12090701 Departamento de Psicología")</f>
        <v>12090701 Departamento de Psicología</v>
      </c>
      <c r="B91" s="1" t="str">
        <f>IFERROR(__xludf.DUMMYFUNCTION("""COMPUTED_VALUE"""),"A1A001 Académico Prof. Titular")</f>
        <v>A1A001 Académico Prof. Titular</v>
      </c>
      <c r="C91" s="1" t="str">
        <f>IFERROR(__xludf.DUMMYFUNCTION("""COMPUTED_VALUE"""),"Prof.Titular - Categ. Academica Ord.")</f>
        <v>Prof.Titular - Categ. Academica Ord.</v>
      </c>
      <c r="D91" s="1" t="str">
        <f>IFERROR(__xludf.DUMMYFUNCTION("""COMPUTED_VALUE"""),"A1A Prof.Titular - Categ. Academica Ord.")</f>
        <v>A1A Prof.Titular - Categ. Academica Ord.</v>
      </c>
      <c r="E91" s="1" t="str">
        <f>IFERROR(__xludf.DUMMYFUNCTION("""COMPUTED_VALUE"""),"Masculino")</f>
        <v>Masculino</v>
      </c>
      <c r="F91" s="1" t="str">
        <f>IFERROR(__xludf.DUMMYFUNCTION("""COMPUTED_VALUE"""),"Donoso")</f>
        <v>Donoso</v>
      </c>
      <c r="G91" s="1" t="str">
        <f>IFERROR(__xludf.DUMMYFUNCTION("""COMPUTED_VALUE"""),"Sepúlveda")</f>
        <v>Sepúlveda</v>
      </c>
      <c r="H91" s="1" t="str">
        <f>IFERROR(__xludf.DUMMYFUNCTION("""COMPUTED_VALUE"""),"Archibaldo Enrique")</f>
        <v>Archibaldo Enrique</v>
      </c>
      <c r="I91" s="1" t="str">
        <f>IFERROR(__xludf.DUMMYFUNCTION("""COMPUTED_VALUE"""),"Donoso Sepúlveda Archibaldo Enrique")</f>
        <v>Donoso Sepúlveda Archibaldo Enrique</v>
      </c>
      <c r="J91" s="10">
        <f>IFERROR(__xludf.DUMMYFUNCTION("""COMPUTED_VALUE"""),24654.0)</f>
        <v>24654</v>
      </c>
      <c r="K91" s="10">
        <f>IFERROR(__xludf.DUMMYFUNCTION("""COMPUTED_VALUE"""),14168.0)</f>
        <v>14168</v>
      </c>
      <c r="L91" s="1">
        <f>IFERROR(__xludf.DUMMYFUNCTION("""COMPUTED_VALUE"""),85.0)</f>
        <v>85</v>
      </c>
      <c r="M91" s="1" t="str">
        <f>IFERROR(__xludf.DUMMYFUNCTION("""COMPUTED_VALUE"""),"0001 Casado")</f>
        <v>0001 Casado</v>
      </c>
      <c r="N91" s="1"/>
      <c r="O91" s="10">
        <f>IFERROR(__xludf.DUMMYFUNCTION("""COMPUTED_VALUE"""),33390.0)</f>
        <v>33390</v>
      </c>
      <c r="P91" s="10">
        <f>IFERROR(__xludf.DUMMYFUNCTION("""COMPUTED_VALUE"""),37346.0)</f>
        <v>37346</v>
      </c>
      <c r="Q91" s="1" t="str">
        <f>IFERROR(__xludf.DUMMYFUNCTION("""COMPUTED_VALUE"""),"P Propiedad")</f>
        <v>P Propiedad</v>
      </c>
      <c r="R91" s="1" t="str">
        <f>IFERROR(__xludf.DUMMYFUNCTION("""COMPUTED_VALUE"""),"A Académico")</f>
        <v>A Académico</v>
      </c>
      <c r="S91" s="9" t="str">
        <f>IFERROR(__xludf.DUMMYFUNCTION("""COMPUTED_VALUE"""),"38759604")</f>
        <v>38759604</v>
      </c>
      <c r="T91" s="1" t="str">
        <f>IFERROR(__xludf.DUMMYFUNCTION("""COMPUTED_VALUE"""),"0038759604")</f>
        <v>0038759604</v>
      </c>
      <c r="U91" s="1">
        <f>IFERROR(__xludf.DUMMYFUNCTION("""COMPUTED_VALUE"""),6.0)</f>
        <v>6</v>
      </c>
      <c r="V91" s="1" t="str">
        <f>IFERROR(__xludf.DUMMYFUNCTION("""COMPUTED_VALUE"""),"P0602 Especialidad Médica u Odontológica")</f>
        <v>P0602 Especialidad Médica u Odontológica</v>
      </c>
      <c r="W91" s="1">
        <f>IFERROR(__xludf.DUMMYFUNCTION("""COMPUTED_VALUE"""),35234.0)</f>
        <v>35234</v>
      </c>
      <c r="X91" s="1" t="str">
        <f>IFERROR(__xludf.DUMMYFUNCTION("""COMPUTED_VALUE"""),"Universidad De Chile")</f>
        <v>Universidad De Chile</v>
      </c>
      <c r="Y91" s="1" t="str">
        <f>IFERROR(__xludf.DUMMYFUNCTION("""COMPUTED_VALUE"""),"CHILE")</f>
        <v>CHILE</v>
      </c>
      <c r="Z91" s="1" t="str">
        <f>IFERROR(__xludf.DUMMYFUNCTION("""COMPUTED_VALUE"""),"T5070 Medico-Cirujano")</f>
        <v>T5070 Medico-Cirujano</v>
      </c>
    </row>
    <row r="92" hidden="1">
      <c r="A92" s="1" t="str">
        <f>IFERROR(__xludf.DUMMYFUNCTION("""COMPUTED_VALUE"""),"12090801 Departamento de Sociología")</f>
        <v>12090801 Departamento de Sociología</v>
      </c>
      <c r="B92" s="1" t="str">
        <f>IFERROR(__xludf.DUMMYFUNCTION("""COMPUTED_VALUE"""),"A1A001 Académico Prof. Titular")</f>
        <v>A1A001 Académico Prof. Titular</v>
      </c>
      <c r="C92" s="1" t="str">
        <f>IFERROR(__xludf.DUMMYFUNCTION("""COMPUTED_VALUE"""),"Prof.Titular - Categ. Academica Ord.")</f>
        <v>Prof.Titular - Categ. Academica Ord.</v>
      </c>
      <c r="D92" s="1" t="str">
        <f>IFERROR(__xludf.DUMMYFUNCTION("""COMPUTED_VALUE"""),"A1A Prof.Titular - Categ. Academica Ord.")</f>
        <v>A1A Prof.Titular - Categ. Academica Ord.</v>
      </c>
      <c r="E92" s="1" t="str">
        <f>IFERROR(__xludf.DUMMYFUNCTION("""COMPUTED_VALUE"""),"Masculino")</f>
        <v>Masculino</v>
      </c>
      <c r="F92" s="1" t="str">
        <f>IFERROR(__xludf.DUMMYFUNCTION("""COMPUTED_VALUE"""),"Durán")</f>
        <v>Durán</v>
      </c>
      <c r="G92" s="1" t="str">
        <f>IFERROR(__xludf.DUMMYFUNCTION("""COMPUTED_VALUE"""),"Pacheco")</f>
        <v>Pacheco</v>
      </c>
      <c r="H92" s="1" t="str">
        <f>IFERROR(__xludf.DUMMYFUNCTION("""COMPUTED_VALUE"""),"Fernando")</f>
        <v>Fernando</v>
      </c>
      <c r="I92" s="1" t="str">
        <f>IFERROR(__xludf.DUMMYFUNCTION("""COMPUTED_VALUE"""),"Durán Pacheco Fernando")</f>
        <v>Durán Pacheco Fernando</v>
      </c>
      <c r="J92" s="10">
        <f>IFERROR(__xludf.DUMMYFUNCTION("""COMPUTED_VALUE"""),21976.0)</f>
        <v>21976</v>
      </c>
      <c r="K92" s="10">
        <f>IFERROR(__xludf.DUMMYFUNCTION("""COMPUTED_VALUE"""),14937.0)</f>
        <v>14937</v>
      </c>
      <c r="L92" s="1">
        <f>IFERROR(__xludf.DUMMYFUNCTION("""COMPUTED_VALUE"""),83.0)</f>
        <v>83</v>
      </c>
      <c r="M92" s="1" t="str">
        <f>IFERROR(__xludf.DUMMYFUNCTION("""COMPUTED_VALUE"""),"0001 Casado")</f>
        <v>0001 Casado</v>
      </c>
      <c r="N92" s="1"/>
      <c r="O92" s="10">
        <f>IFERROR(__xludf.DUMMYFUNCTION("""COMPUTED_VALUE"""),39083.0)</f>
        <v>39083</v>
      </c>
      <c r="P92" s="10">
        <f>IFERROR(__xludf.DUMMYFUNCTION("""COMPUTED_VALUE"""),39113.0)</f>
        <v>39113</v>
      </c>
      <c r="Q92" s="1" t="str">
        <f>IFERROR(__xludf.DUMMYFUNCTION("""COMPUTED_VALUE"""),"C Contrata")</f>
        <v>C Contrata</v>
      </c>
      <c r="R92" s="1" t="str">
        <f>IFERROR(__xludf.DUMMYFUNCTION("""COMPUTED_VALUE"""),"A Académico")</f>
        <v>A Académico</v>
      </c>
      <c r="S92" s="9" t="str">
        <f>IFERROR(__xludf.DUMMYFUNCTION("""COMPUTED_VALUE"""),"41066423")</f>
        <v>41066423</v>
      </c>
      <c r="T92" s="1" t="str">
        <f>IFERROR(__xludf.DUMMYFUNCTION("""COMPUTED_VALUE"""),"0041066423")</f>
        <v>0041066423</v>
      </c>
      <c r="U92" s="1">
        <f>IFERROR(__xludf.DUMMYFUNCTION("""COMPUTED_VALUE"""),6.0)</f>
        <v>6</v>
      </c>
      <c r="V92" s="1" t="str">
        <f>IFERROR(__xludf.DUMMYFUNCTION("""COMPUTED_VALUE"""),"P0850 Magister")</f>
        <v>P0850 Magister</v>
      </c>
      <c r="W92" s="1">
        <f>IFERROR(__xludf.DUMMYFUNCTION("""COMPUTED_VALUE"""),25568.0)</f>
        <v>25568</v>
      </c>
      <c r="X92" s="1" t="str">
        <f>IFERROR(__xludf.DUMMYFUNCTION("""COMPUTED_VALUE"""),"Universidad Wiscusin Madison")</f>
        <v>Universidad Wiscusin Madison</v>
      </c>
      <c r="Y92" s="1" t="str">
        <f>IFERROR(__xludf.DUMMYFUNCTION("""COMPUTED_VALUE"""),"ESTADOS UNIDOS")</f>
        <v>ESTADOS UNIDOS</v>
      </c>
      <c r="Z92" s="1" t="str">
        <f>IFERROR(__xludf.DUMMYFUNCTION("""COMPUTED_VALUE"""),"T5063 Licenciado en Sociologia")</f>
        <v>T5063 Licenciado en Sociologia</v>
      </c>
    </row>
    <row r="93" hidden="1">
      <c r="A93" s="1" t="str">
        <f>IFERROR(__xludf.DUMMYFUNCTION("""COMPUTED_VALUE"""),"12090501 Departamento de Investigaciónes Mediáticas y de la Comunicación")</f>
        <v>12090501 Departamento de Investigaciónes Mediáticas y de la Comunicación</v>
      </c>
      <c r="B93" s="1" t="str">
        <f>IFERROR(__xludf.DUMMYFUNCTION("""COMPUTED_VALUE"""),"A3A001 Académico Prof. Asistente")</f>
        <v>A3A001 Académico Prof. Asistente</v>
      </c>
      <c r="C93" s="1" t="str">
        <f>IFERROR(__xludf.DUMMYFUNCTION("""COMPUTED_VALUE"""),"Prof. Asistente - Categ. Academica Ord.")</f>
        <v>Prof. Asistente - Categ. Academica Ord.</v>
      </c>
      <c r="D93" s="1" t="str">
        <f>IFERROR(__xludf.DUMMYFUNCTION("""COMPUTED_VALUE"""),"A3A Prof. Asistente - Categ. Academica Ord.")</f>
        <v>A3A Prof. Asistente - Categ. Academica Ord.</v>
      </c>
      <c r="E93" s="1" t="str">
        <f>IFERROR(__xludf.DUMMYFUNCTION("""COMPUTED_VALUE"""),"Femenino")</f>
        <v>Femenino</v>
      </c>
      <c r="F93" s="1" t="str">
        <f>IFERROR(__xludf.DUMMYFUNCTION("""COMPUTED_VALUE"""),"Echeverría")</f>
        <v>Echeverría</v>
      </c>
      <c r="G93" s="1" t="str">
        <f>IFERROR(__xludf.DUMMYFUNCTION("""COMPUTED_VALUE"""),"Peña")</f>
        <v>Peña</v>
      </c>
      <c r="H93" s="1" t="str">
        <f>IFERROR(__xludf.DUMMYFUNCTION("""COMPUTED_VALUE"""),"María Inés")</f>
        <v>María Inés</v>
      </c>
      <c r="I93" s="1" t="str">
        <f>IFERROR(__xludf.DUMMYFUNCTION("""COMPUTED_VALUE"""),"Echeverría Peña María Inés")</f>
        <v>Echeverría Peña María Inés</v>
      </c>
      <c r="J93" s="10">
        <f>IFERROR(__xludf.DUMMYFUNCTION("""COMPUTED_VALUE"""),27668.0)</f>
        <v>27668</v>
      </c>
      <c r="K93" s="10">
        <f>IFERROR(__xludf.DUMMYFUNCTION("""COMPUTED_VALUE"""),15920.0)</f>
        <v>15920</v>
      </c>
      <c r="L93" s="1">
        <f>IFERROR(__xludf.DUMMYFUNCTION("""COMPUTED_VALUE"""),80.0)</f>
        <v>80</v>
      </c>
      <c r="M93" s="1" t="str">
        <f>IFERROR(__xludf.DUMMYFUNCTION("""COMPUTED_VALUE"""),"0001 Casado")</f>
        <v>0001 Casado</v>
      </c>
      <c r="N93" s="1"/>
      <c r="O93" s="10">
        <f>IFERROR(__xludf.DUMMYFUNCTION("""COMPUTED_VALUE"""),35167.0)</f>
        <v>35167</v>
      </c>
      <c r="P93" s="10">
        <f>IFERROR(__xludf.DUMMYFUNCTION("""COMPUTED_VALUE"""),35227.0)</f>
        <v>35227</v>
      </c>
      <c r="Q93" s="1" t="str">
        <f>IFERROR(__xludf.DUMMYFUNCTION("""COMPUTED_VALUE"""),"C Contrata")</f>
        <v>C Contrata</v>
      </c>
      <c r="R93" s="1" t="str">
        <f>IFERROR(__xludf.DUMMYFUNCTION("""COMPUTED_VALUE"""),"A Académico")</f>
        <v>A Académico</v>
      </c>
      <c r="S93" s="9" t="str">
        <f>IFERROR(__xludf.DUMMYFUNCTION("""COMPUTED_VALUE"""),"43284800")</f>
        <v>43284800</v>
      </c>
      <c r="T93" s="1" t="str">
        <f>IFERROR(__xludf.DUMMYFUNCTION("""COMPUTED_VALUE"""),"0043284800")</f>
        <v>0043284800</v>
      </c>
      <c r="U93" s="1">
        <f>IFERROR(__xludf.DUMMYFUNCTION("""COMPUTED_VALUE"""),22.0)</f>
        <v>22</v>
      </c>
      <c r="V93" s="1"/>
      <c r="W93" s="1"/>
      <c r="X93" s="1"/>
      <c r="Y93" s="1"/>
      <c r="Z93" s="1"/>
    </row>
    <row r="94" hidden="1">
      <c r="A94" s="1" t="str">
        <f>IFERROR(__xludf.DUMMYFUNCTION("""COMPUTED_VALUE"""),"12090701 Departamento de Psicología")</f>
        <v>12090701 Departamento de Psicología</v>
      </c>
      <c r="B94" s="1" t="str">
        <f>IFERROR(__xludf.DUMMYFUNCTION("""COMPUTED_VALUE"""),"A3A001 Académico Prof. Asistente")</f>
        <v>A3A001 Académico Prof. Asistente</v>
      </c>
      <c r="C94" s="1" t="str">
        <f>IFERROR(__xludf.DUMMYFUNCTION("""COMPUTED_VALUE"""),"Prof. Asistente - Categ. Academica Ord.")</f>
        <v>Prof. Asistente - Categ. Academica Ord.</v>
      </c>
      <c r="D94" s="1" t="str">
        <f>IFERROR(__xludf.DUMMYFUNCTION("""COMPUTED_VALUE"""),"A3A Prof. Asistente - Categ. Academica Ord.")</f>
        <v>A3A Prof. Asistente - Categ. Academica Ord.</v>
      </c>
      <c r="E94" s="1" t="str">
        <f>IFERROR(__xludf.DUMMYFUNCTION("""COMPUTED_VALUE"""),"Femenino")</f>
        <v>Femenino</v>
      </c>
      <c r="F94" s="1" t="str">
        <f>IFERROR(__xludf.DUMMYFUNCTION("""COMPUTED_VALUE"""),"Eissmann")</f>
        <v>Eissmann</v>
      </c>
      <c r="G94" s="1" t="str">
        <f>IFERROR(__xludf.DUMMYFUNCTION("""COMPUTED_VALUE"""),"Valenzuela")</f>
        <v>Valenzuela</v>
      </c>
      <c r="H94" s="1" t="str">
        <f>IFERROR(__xludf.DUMMYFUNCTION("""COMPUTED_VALUE"""),"Patricia Graciela")</f>
        <v>Patricia Graciela</v>
      </c>
      <c r="I94" s="1" t="str">
        <f>IFERROR(__xludf.DUMMYFUNCTION("""COMPUTED_VALUE"""),"Eissmann Valenzuela Patricia Graciela")</f>
        <v>Eissmann Valenzuela Patricia Graciela</v>
      </c>
      <c r="J94" s="10">
        <f>IFERROR(__xludf.DUMMYFUNCTION("""COMPUTED_VALUE"""),27120.0)</f>
        <v>27120</v>
      </c>
      <c r="K94" s="10">
        <f>IFERROR(__xludf.DUMMYFUNCTION("""COMPUTED_VALUE"""),16607.0)</f>
        <v>16607</v>
      </c>
      <c r="L94" s="1">
        <f>IFERROR(__xludf.DUMMYFUNCTION("""COMPUTED_VALUE"""),78.0)</f>
        <v>78</v>
      </c>
      <c r="M94" s="1" t="str">
        <f>IFERROR(__xludf.DUMMYFUNCTION("""COMPUTED_VALUE"""),"0002 Soltero")</f>
        <v>0002 Soltero</v>
      </c>
      <c r="N94" s="1"/>
      <c r="O94" s="10">
        <f>IFERROR(__xludf.DUMMYFUNCTION("""COMPUTED_VALUE"""),32721.0)</f>
        <v>32721</v>
      </c>
      <c r="P94" s="10">
        <f>IFERROR(__xludf.DUMMYFUNCTION("""COMPUTED_VALUE"""),38657.0)</f>
        <v>38657</v>
      </c>
      <c r="Q94" s="1" t="str">
        <f>IFERROR(__xludf.DUMMYFUNCTION("""COMPUTED_VALUE"""),"P Propiedad")</f>
        <v>P Propiedad</v>
      </c>
      <c r="R94" s="1" t="str">
        <f>IFERROR(__xludf.DUMMYFUNCTION("""COMPUTED_VALUE"""),"A Académico")</f>
        <v>A Académico</v>
      </c>
      <c r="S94" s="9" t="str">
        <f>IFERROR(__xludf.DUMMYFUNCTION("""COMPUTED_VALUE"""),"47720818")</f>
        <v>47720818</v>
      </c>
      <c r="T94" s="1" t="str">
        <f>IFERROR(__xludf.DUMMYFUNCTION("""COMPUTED_VALUE"""),"0047720818")</f>
        <v>0047720818</v>
      </c>
      <c r="U94" s="1">
        <f>IFERROR(__xludf.DUMMYFUNCTION("""COMPUTED_VALUE"""),22.0)</f>
        <v>22</v>
      </c>
      <c r="V94" s="1" t="str">
        <f>IFERROR(__xludf.DUMMYFUNCTION("""COMPUTED_VALUE"""),"P0501 Con Titulo Profesional")</f>
        <v>P0501 Con Titulo Profesional</v>
      </c>
      <c r="W94" s="1">
        <f>IFERROR(__xludf.DUMMYFUNCTION("""COMPUTED_VALUE"""),25589.0)</f>
        <v>25589</v>
      </c>
      <c r="X94" s="1" t="str">
        <f>IFERROR(__xludf.DUMMYFUNCTION("""COMPUTED_VALUE"""),"Universidad De Chile")</f>
        <v>Universidad De Chile</v>
      </c>
      <c r="Y94" s="1" t="str">
        <f>IFERROR(__xludf.DUMMYFUNCTION("""COMPUTED_VALUE"""),"CHILE")</f>
        <v>CHILE</v>
      </c>
      <c r="Z94" s="1" t="str">
        <f>IFERROR(__xludf.DUMMYFUNCTION("""COMPUTED_VALUE"""),"T5124 Psicologo")</f>
        <v>T5124 Psicologo</v>
      </c>
    </row>
    <row r="95" hidden="1">
      <c r="A95" s="1" t="str">
        <f>IFERROR(__xludf.DUMMYFUNCTION("""COMPUTED_VALUE"""),"12090601 Departamento de Educación")</f>
        <v>12090601 Departamento de Educación</v>
      </c>
      <c r="B95" s="1" t="str">
        <f>IFERROR(__xludf.DUMMYFUNCTION("""COMPUTED_VALUE"""),"A1A001 Académico Prof. Titular")</f>
        <v>A1A001 Académico Prof. Titular</v>
      </c>
      <c r="C95" s="1" t="str">
        <f>IFERROR(__xludf.DUMMYFUNCTION("""COMPUTED_VALUE"""),"Prof.Titular - Categ. Academica Ord.")</f>
        <v>Prof.Titular - Categ. Academica Ord.</v>
      </c>
      <c r="D95" s="1" t="str">
        <f>IFERROR(__xludf.DUMMYFUNCTION("""COMPUTED_VALUE"""),"A1A Prof.Titular - Categ. Academica Ord.")</f>
        <v>A1A Prof.Titular - Categ. Academica Ord.</v>
      </c>
      <c r="E95" s="1" t="str">
        <f>IFERROR(__xludf.DUMMYFUNCTION("""COMPUTED_VALUE"""),"Femenino")</f>
        <v>Femenino</v>
      </c>
      <c r="F95" s="1" t="str">
        <f>IFERROR(__xludf.DUMMYFUNCTION("""COMPUTED_VALUE"""),"Escudero")</f>
        <v>Escudero</v>
      </c>
      <c r="G95" s="1" t="str">
        <f>IFERROR(__xludf.DUMMYFUNCTION("""COMPUTED_VALUE"""),"Burrows")</f>
        <v>Burrows</v>
      </c>
      <c r="H95" s="1" t="str">
        <f>IFERROR(__xludf.DUMMYFUNCTION("""COMPUTED_VALUE"""),"Mary Ethel")</f>
        <v>Mary Ethel</v>
      </c>
      <c r="I95" s="1" t="str">
        <f>IFERROR(__xludf.DUMMYFUNCTION("""COMPUTED_VALUE"""),"Escudero Burrows Mary Ethel")</f>
        <v>Escudero Burrows Mary Ethel</v>
      </c>
      <c r="J95" s="10">
        <f>IFERROR(__xludf.DUMMYFUNCTION("""COMPUTED_VALUE"""),21429.0)</f>
        <v>21429</v>
      </c>
      <c r="K95" s="10">
        <f>IFERROR(__xludf.DUMMYFUNCTION("""COMPUTED_VALUE"""),8416.0)</f>
        <v>8416</v>
      </c>
      <c r="L95" s="1">
        <f>IFERROR(__xludf.DUMMYFUNCTION("""COMPUTED_VALUE"""),101.0)</f>
        <v>101</v>
      </c>
      <c r="M95" s="1" t="str">
        <f>IFERROR(__xludf.DUMMYFUNCTION("""COMPUTED_VALUE"""),"0002 Soltero")</f>
        <v>0002 Soltero</v>
      </c>
      <c r="N95" s="1"/>
      <c r="O95" s="10">
        <f>IFERROR(__xludf.DUMMYFUNCTION("""COMPUTED_VALUE"""),41275.0)</f>
        <v>41275</v>
      </c>
      <c r="P95" s="10">
        <f>IFERROR(__xludf.DUMMYFUNCTION("""COMPUTED_VALUE"""),41364.0)</f>
        <v>41364</v>
      </c>
      <c r="Q95" s="1" t="str">
        <f>IFERROR(__xludf.DUMMYFUNCTION("""COMPUTED_VALUE"""),"C Contrata")</f>
        <v>C Contrata</v>
      </c>
      <c r="R95" s="1" t="str">
        <f>IFERROR(__xludf.DUMMYFUNCTION("""COMPUTED_VALUE"""),"A Académico")</f>
        <v>A Académico</v>
      </c>
      <c r="S95" s="9" t="str">
        <f>IFERROR(__xludf.DUMMYFUNCTION("""COMPUTED_VALUE"""),"17200518")</f>
        <v>17200518</v>
      </c>
      <c r="T95" s="1" t="str">
        <f>IFERROR(__xludf.DUMMYFUNCTION("""COMPUTED_VALUE"""),"0017200518")</f>
        <v>0017200518</v>
      </c>
      <c r="U95" s="1">
        <f>IFERROR(__xludf.DUMMYFUNCTION("""COMPUTED_VALUE"""),12.0)</f>
        <v>12</v>
      </c>
      <c r="V95" s="1" t="str">
        <f>IFERROR(__xludf.DUMMYFUNCTION("""COMPUTED_VALUE"""),"P0850 Magister")</f>
        <v>P0850 Magister</v>
      </c>
      <c r="W95" s="1">
        <f>IFERROR(__xludf.DUMMYFUNCTION("""COMPUTED_VALUE"""),21550.0)</f>
        <v>21550</v>
      </c>
      <c r="X95" s="1" t="str">
        <f>IFERROR(__xludf.DUMMYFUNCTION("""COMPUTED_VALUE"""),"Universidad De Ohio")</f>
        <v>Universidad De Ohio</v>
      </c>
      <c r="Y95" s="1" t="str">
        <f>IFERROR(__xludf.DUMMYFUNCTION("""COMPUTED_VALUE"""),"ESTADOS UNIDOS")</f>
        <v>ESTADOS UNIDOS</v>
      </c>
      <c r="Z95" s="1" t="str">
        <f>IFERROR(__xludf.DUMMYFUNCTION("""COMPUTED_VALUE"""),"T5104 Profesor De Ingles")</f>
        <v>T5104 Profesor De Ingles</v>
      </c>
    </row>
    <row r="96" hidden="1">
      <c r="A96" s="1" t="str">
        <f>IFERROR(__xludf.DUMMYFUNCTION("""COMPUTED_VALUE"""),"12090701 Departamento de Psicología")</f>
        <v>12090701 Departamento de Psicología</v>
      </c>
      <c r="B96" s="1" t="str">
        <f>IFERROR(__xludf.DUMMYFUNCTION("""COMPUTED_VALUE"""),"A3A001 Académico Prof. Asistente")</f>
        <v>A3A001 Académico Prof. Asistente</v>
      </c>
      <c r="C96" s="1" t="str">
        <f>IFERROR(__xludf.DUMMYFUNCTION("""COMPUTED_VALUE"""),"Prof. Asistente - Categ. Academica Ord.")</f>
        <v>Prof. Asistente - Categ. Academica Ord.</v>
      </c>
      <c r="D96" s="1" t="str">
        <f>IFERROR(__xludf.DUMMYFUNCTION("""COMPUTED_VALUE"""),"A3A Prof. Asistente - Categ. Academica Ord.")</f>
        <v>A3A Prof. Asistente - Categ. Academica Ord.</v>
      </c>
      <c r="E96" s="1" t="str">
        <f>IFERROR(__xludf.DUMMYFUNCTION("""COMPUTED_VALUE"""),"Masculino")</f>
        <v>Masculino</v>
      </c>
      <c r="F96" s="1" t="str">
        <f>IFERROR(__xludf.DUMMYFUNCTION("""COMPUTED_VALUE"""),"Espinoza")</f>
        <v>Espinoza</v>
      </c>
      <c r="G96" s="1" t="str">
        <f>IFERROR(__xludf.DUMMYFUNCTION("""COMPUTED_VALUE"""),"Cifuentes")</f>
        <v>Cifuentes</v>
      </c>
      <c r="H96" s="1" t="str">
        <f>IFERROR(__xludf.DUMMYFUNCTION("""COMPUTED_VALUE"""),"Sergio Gustavo Emilio")</f>
        <v>Sergio Gustavo Emilio</v>
      </c>
      <c r="I96" s="1" t="str">
        <f>IFERROR(__xludf.DUMMYFUNCTION("""COMPUTED_VALUE"""),"Espinoza Cifuentes Sergio Gustavo Emilio")</f>
        <v>Espinoza Cifuentes Sergio Gustavo Emilio</v>
      </c>
      <c r="J96" s="10">
        <f>IFERROR(__xludf.DUMMYFUNCTION("""COMPUTED_VALUE"""),24929.0)</f>
        <v>24929</v>
      </c>
      <c r="K96" s="10">
        <f>IFERROR(__xludf.DUMMYFUNCTION("""COMPUTED_VALUE"""),15103.0)</f>
        <v>15103</v>
      </c>
      <c r="L96" s="1">
        <f>IFERROR(__xludf.DUMMYFUNCTION("""COMPUTED_VALUE"""),82.0)</f>
        <v>82</v>
      </c>
      <c r="M96" s="1" t="str">
        <f>IFERROR(__xludf.DUMMYFUNCTION("""COMPUTED_VALUE"""),"0005 Divorciado")</f>
        <v>0005 Divorciado</v>
      </c>
      <c r="N96" s="1"/>
      <c r="O96" s="10">
        <f>IFERROR(__xludf.DUMMYFUNCTION("""COMPUTED_VALUE"""),35431.0)</f>
        <v>35431</v>
      </c>
      <c r="P96" s="10">
        <f>IFERROR(__xludf.DUMMYFUNCTION("""COMPUTED_VALUE"""),35505.0)</f>
        <v>35505</v>
      </c>
      <c r="Q96" s="1" t="str">
        <f>IFERROR(__xludf.DUMMYFUNCTION("""COMPUTED_VALUE"""),"C Contrata")</f>
        <v>C Contrata</v>
      </c>
      <c r="R96" s="1" t="str">
        <f>IFERROR(__xludf.DUMMYFUNCTION("""COMPUTED_VALUE"""),"A Académico")</f>
        <v>A Académico</v>
      </c>
      <c r="S96" s="9" t="str">
        <f>IFERROR(__xludf.DUMMYFUNCTION("""COMPUTED_VALUE"""),"41821175")</f>
        <v>41821175</v>
      </c>
      <c r="T96" s="1" t="str">
        <f>IFERROR(__xludf.DUMMYFUNCTION("""COMPUTED_VALUE"""),"0041821175")</f>
        <v>0041821175</v>
      </c>
      <c r="U96" s="1">
        <f>IFERROR(__xludf.DUMMYFUNCTION("""COMPUTED_VALUE"""),44.0)</f>
        <v>44</v>
      </c>
      <c r="V96" s="1"/>
      <c r="W96" s="1"/>
      <c r="X96" s="1"/>
      <c r="Y96" s="1"/>
      <c r="Z96" s="1"/>
    </row>
    <row r="97">
      <c r="A97" s="1" t="str">
        <f>IFERROR(__xludf.DUMMYFUNCTION("""COMPUTED_VALUE"""),"12090701 Departamento de Psicología")</f>
        <v>12090701 Departamento de Psicología</v>
      </c>
      <c r="B97" s="1" t="str">
        <f>IFERROR(__xludf.DUMMYFUNCTION("""COMPUTED_VALUE"""),"A3A001 Académico Prof. Asistente")</f>
        <v>A3A001 Académico Prof. Asistente</v>
      </c>
      <c r="C97" s="1" t="str">
        <f>IFERROR(__xludf.DUMMYFUNCTION("""COMPUTED_VALUE"""),"Prof. Asistente - Categ. Academica Ord.")</f>
        <v>Prof. Asistente - Categ. Academica Ord.</v>
      </c>
      <c r="D97" s="1" t="str">
        <f>IFERROR(__xludf.DUMMYFUNCTION("""COMPUTED_VALUE"""),"A3A Prof. Asistente - Categ. Academica Ord.")</f>
        <v>A3A Prof. Asistente - Categ. Academica Ord.</v>
      </c>
      <c r="E97" s="1" t="str">
        <f>IFERROR(__xludf.DUMMYFUNCTION("""COMPUTED_VALUE"""),"Masculino")</f>
        <v>Masculino</v>
      </c>
      <c r="F97" s="1" t="str">
        <f>IFERROR(__xludf.DUMMYFUNCTION("""COMPUTED_VALUE"""),"Espinoza")</f>
        <v>Espinoza</v>
      </c>
      <c r="G97" s="1" t="str">
        <f>IFERROR(__xludf.DUMMYFUNCTION("""COMPUTED_VALUE"""),"Parra")</f>
        <v>Parra</v>
      </c>
      <c r="H97" s="1" t="str">
        <f>IFERROR(__xludf.DUMMYFUNCTION("""COMPUTED_VALUE"""),"Sergio Fernando")</f>
        <v>Sergio Fernando</v>
      </c>
      <c r="I97" s="1" t="str">
        <f>IFERROR(__xludf.DUMMYFUNCTION("""COMPUTED_VALUE"""),"Espinoza Parra Sergio Fernando")</f>
        <v>Espinoza Parra Sergio Fernando</v>
      </c>
      <c r="J97" s="10">
        <f>IFERROR(__xludf.DUMMYFUNCTION("""COMPUTED_VALUE"""),36586.0)</f>
        <v>36586</v>
      </c>
      <c r="K97" s="10">
        <f>IFERROR(__xludf.DUMMYFUNCTION("""COMPUTED_VALUE"""),25689.0)</f>
        <v>25689</v>
      </c>
      <c r="L97" s="1">
        <f>IFERROR(__xludf.DUMMYFUNCTION("""COMPUTED_VALUE"""),53.0)</f>
        <v>53</v>
      </c>
      <c r="M97" s="1" t="str">
        <f>IFERROR(__xludf.DUMMYFUNCTION("""COMPUTED_VALUE"""),"0005 Divorciado")</f>
        <v>0005 Divorciado</v>
      </c>
      <c r="N97" s="1"/>
      <c r="O97" s="10">
        <f>IFERROR(__xludf.DUMMYFUNCTION("""COMPUTED_VALUE"""),38718.0)</f>
        <v>38718</v>
      </c>
      <c r="P97" s="10">
        <f>IFERROR(__xludf.DUMMYFUNCTION("""COMPUTED_VALUE"""),38807.0)</f>
        <v>38807</v>
      </c>
      <c r="Q97" s="1" t="str">
        <f>IFERROR(__xludf.DUMMYFUNCTION("""COMPUTED_VALUE"""),"C Contrata")</f>
        <v>C Contrata</v>
      </c>
      <c r="R97" s="1" t="str">
        <f>IFERROR(__xludf.DUMMYFUNCTION("""COMPUTED_VALUE"""),"A Académico")</f>
        <v>A Académico</v>
      </c>
      <c r="S97" s="9" t="str">
        <f>IFERROR(__xludf.DUMMYFUNCTION("""COMPUTED_VALUE"""),"115352717")</f>
        <v>115352717</v>
      </c>
      <c r="T97" s="1" t="str">
        <f>IFERROR(__xludf.DUMMYFUNCTION("""COMPUTED_VALUE"""),"0115352717")</f>
        <v>0115352717</v>
      </c>
      <c r="U97" s="1">
        <f>IFERROR(__xludf.DUMMYFUNCTION("""COMPUTED_VALUE"""),8.0)</f>
        <v>8</v>
      </c>
      <c r="V97" s="1" t="str">
        <f>IFERROR(__xludf.DUMMYFUNCTION("""COMPUTED_VALUE"""),"P0850 Magister")</f>
        <v>P0850 Magister</v>
      </c>
      <c r="W97" s="1">
        <f>IFERROR(__xludf.DUMMYFUNCTION("""COMPUTED_VALUE"""),36525.0)</f>
        <v>36525</v>
      </c>
      <c r="X97" s="1" t="str">
        <f>IFERROR(__xludf.DUMMYFUNCTION("""COMPUTED_VALUE"""),"Universidad Diego Portales")</f>
        <v>Universidad Diego Portales</v>
      </c>
      <c r="Y97" s="1" t="str">
        <f>IFERROR(__xludf.DUMMYFUNCTION("""COMPUTED_VALUE"""),"CHILE")</f>
        <v>CHILE</v>
      </c>
      <c r="Z97" s="1" t="str">
        <f>IFERROR(__xludf.DUMMYFUNCTION("""COMPUTED_VALUE"""),"T5124 Psicologo")</f>
        <v>T5124 Psicologo</v>
      </c>
    </row>
    <row r="98" hidden="1">
      <c r="A98" s="1" t="str">
        <f>IFERROR(__xludf.DUMMYFUNCTION("""COMPUTED_VALUE"""),"12090119 Dpto. de Sociología (funcionamiento)")</f>
        <v>12090119 Dpto. de Sociología (funcionamiento)</v>
      </c>
      <c r="B98" s="1" t="str">
        <f>IFERROR(__xludf.DUMMYFUNCTION("""COMPUTED_VALUE"""),"A1A001 Académico Prof. Titular")</f>
        <v>A1A001 Académico Prof. Titular</v>
      </c>
      <c r="C98" s="1" t="str">
        <f>IFERROR(__xludf.DUMMYFUNCTION("""COMPUTED_VALUE"""),"Prof.Titular - Categ. Academica Ord.")</f>
        <v>Prof.Titular - Categ. Academica Ord.</v>
      </c>
      <c r="D98" s="1" t="str">
        <f>IFERROR(__xludf.DUMMYFUNCTION("""COMPUTED_VALUE"""),"A1A Prof.Titular - Categ. Academica Ord.")</f>
        <v>A1A Prof.Titular - Categ. Academica Ord.</v>
      </c>
      <c r="E98" s="1" t="str">
        <f>IFERROR(__xludf.DUMMYFUNCTION("""COMPUTED_VALUE"""),"Masculino")</f>
        <v>Masculino</v>
      </c>
      <c r="F98" s="1" t="str">
        <f>IFERROR(__xludf.DUMMYFUNCTION("""COMPUTED_VALUE"""),"Falabella")</f>
        <v>Falabella</v>
      </c>
      <c r="G98" s="1" t="str">
        <f>IFERROR(__xludf.DUMMYFUNCTION("""COMPUTED_VALUE"""),"García")</f>
        <v>García</v>
      </c>
      <c r="H98" s="1" t="str">
        <f>IFERROR(__xludf.DUMMYFUNCTION("""COMPUTED_VALUE"""),"Gonzalo Estanislao")</f>
        <v>Gonzalo Estanislao</v>
      </c>
      <c r="I98" s="1" t="str">
        <f>IFERROR(__xludf.DUMMYFUNCTION("""COMPUTED_VALUE"""),"Falabella García Gonzalo Estanislao")</f>
        <v>Falabella García Gonzalo Estanislao</v>
      </c>
      <c r="J98" s="10">
        <f>IFERROR(__xludf.DUMMYFUNCTION("""COMPUTED_VALUE"""),39630.0)</f>
        <v>39630</v>
      </c>
      <c r="K98" s="10">
        <f>IFERROR(__xludf.DUMMYFUNCTION("""COMPUTED_VALUE"""),15875.0)</f>
        <v>15875</v>
      </c>
      <c r="L98" s="1">
        <f>IFERROR(__xludf.DUMMYFUNCTION("""COMPUTED_VALUE"""),80.0)</f>
        <v>80</v>
      </c>
      <c r="M98" s="1" t="str">
        <f>IFERROR(__xludf.DUMMYFUNCTION("""COMPUTED_VALUE"""),"0001 Casado")</f>
        <v>0001 Casado</v>
      </c>
      <c r="N98" s="1"/>
      <c r="O98" s="10">
        <f>IFERROR(__xludf.DUMMYFUNCTION("""COMPUTED_VALUE"""),42370.0)</f>
        <v>42370</v>
      </c>
      <c r="P98" s="10">
        <f>IFERROR(__xludf.DUMMYFUNCTION("""COMPUTED_VALUE"""),73050.0)</f>
        <v>73050</v>
      </c>
      <c r="Q98" s="1" t="str">
        <f>IFERROR(__xludf.DUMMYFUNCTION("""COMPUTED_VALUE"""),"P Propiedad")</f>
        <v>P Propiedad</v>
      </c>
      <c r="R98" s="1" t="str">
        <f>IFERROR(__xludf.DUMMYFUNCTION("""COMPUTED_VALUE"""),"A Académico")</f>
        <v>A Académico</v>
      </c>
      <c r="S98" s="9" t="str">
        <f>IFERROR(__xludf.DUMMYFUNCTION("""COMPUTED_VALUE"""),"43346776")</f>
        <v>43346776</v>
      </c>
      <c r="T98" s="1" t="str">
        <f>IFERROR(__xludf.DUMMYFUNCTION("""COMPUTED_VALUE"""),"0043346776")</f>
        <v>0043346776</v>
      </c>
      <c r="U98" s="1">
        <f>IFERROR(__xludf.DUMMYFUNCTION("""COMPUTED_VALUE"""),44.0)</f>
        <v>44</v>
      </c>
      <c r="V98" s="1" t="str">
        <f>IFERROR(__xludf.DUMMYFUNCTION("""COMPUTED_VALUE"""),"P0900 Doctor")</f>
        <v>P0900 Doctor</v>
      </c>
      <c r="W98" s="1">
        <f>IFERROR(__xludf.DUMMYFUNCTION("""COMPUTED_VALUE"""),29788.0)</f>
        <v>29788</v>
      </c>
      <c r="X98" s="1" t="str">
        <f>IFERROR(__xludf.DUMMYFUNCTION("""COMPUTED_VALUE"""),"University of Sussex")</f>
        <v>University of Sussex</v>
      </c>
      <c r="Y98" s="1" t="str">
        <f>IFERROR(__xludf.DUMMYFUNCTION("""COMPUTED_VALUE"""),"REINO UNIDO")</f>
        <v>REINO UNIDO</v>
      </c>
      <c r="Z98" s="1" t="str">
        <f>IFERROR(__xludf.DUMMYFUNCTION("""COMPUTED_VALUE"""),"T5082 Sociologo")</f>
        <v>T5082 Sociologo</v>
      </c>
    </row>
    <row r="99" hidden="1">
      <c r="A99" s="1" t="str">
        <f>IFERROR(__xludf.DUMMYFUNCTION("""COMPUTED_VALUE"""),"12090801 Departamento de Sociología")</f>
        <v>12090801 Departamento de Sociología</v>
      </c>
      <c r="B99" s="1" t="str">
        <f>IFERROR(__xludf.DUMMYFUNCTION("""COMPUTED_VALUE"""),"A5A001 ACADEMICO AYUDANTE")</f>
        <v>A5A001 ACADEMICO AYUDANTE</v>
      </c>
      <c r="C99" s="1" t="str">
        <f>IFERROR(__xludf.DUMMYFUNCTION("""COMPUTED_VALUE"""),"Ayudante")</f>
        <v>Ayudante</v>
      </c>
      <c r="D99" s="1" t="str">
        <f>IFERROR(__xludf.DUMMYFUNCTION("""COMPUTED_VALUE"""),"A5A Ayudante")</f>
        <v>A5A Ayudante</v>
      </c>
      <c r="E99" s="1" t="str">
        <f>IFERROR(__xludf.DUMMYFUNCTION("""COMPUTED_VALUE"""),"Masculino")</f>
        <v>Masculino</v>
      </c>
      <c r="F99" s="1" t="str">
        <f>IFERROR(__xludf.DUMMYFUNCTION("""COMPUTED_VALUE"""),"Falaha")</f>
        <v>Falaha</v>
      </c>
      <c r="G99" s="1" t="str">
        <f>IFERROR(__xludf.DUMMYFUNCTION("""COMPUTED_VALUE"""),"Lumi")</f>
        <v>Lumi</v>
      </c>
      <c r="H99" s="1" t="str">
        <f>IFERROR(__xludf.DUMMYFUNCTION("""COMPUTED_VALUE"""),"Boris Abdulmasih")</f>
        <v>Boris Abdulmasih</v>
      </c>
      <c r="I99" s="1" t="str">
        <f>IFERROR(__xludf.DUMMYFUNCTION("""COMPUTED_VALUE"""),"Falaha Lumi Boris Abdulmasih")</f>
        <v>Falaha Lumi Boris Abdulmasih</v>
      </c>
      <c r="J99" s="10">
        <f>IFERROR(__xludf.DUMMYFUNCTION("""COMPUTED_VALUE"""),19725.0)</f>
        <v>19725</v>
      </c>
      <c r="K99" s="10">
        <f>IFERROR(__xludf.DUMMYFUNCTION("""COMPUTED_VALUE"""),11251.0)</f>
        <v>11251</v>
      </c>
      <c r="L99" s="1">
        <f>IFERROR(__xludf.DUMMYFUNCTION("""COMPUTED_VALUE"""),93.0)</f>
        <v>93</v>
      </c>
      <c r="M99" s="1" t="str">
        <f>IFERROR(__xludf.DUMMYFUNCTION("""COMPUTED_VALUE"""),"0001 Casado")</f>
        <v>0001 Casado</v>
      </c>
      <c r="N99" s="1"/>
      <c r="O99" s="10">
        <f>IFERROR(__xludf.DUMMYFUNCTION("""COMPUTED_VALUE"""),33451.0)</f>
        <v>33451</v>
      </c>
      <c r="P99" s="10">
        <f>IFERROR(__xludf.DUMMYFUNCTION("""COMPUTED_VALUE"""),36065.0)</f>
        <v>36065</v>
      </c>
      <c r="Q99" s="1" t="str">
        <f>IFERROR(__xludf.DUMMYFUNCTION("""COMPUTED_VALUE"""),"A Ad Honorem Propiedad")</f>
        <v>A Ad Honorem Propiedad</v>
      </c>
      <c r="R99" s="1" t="str">
        <f>IFERROR(__xludf.DUMMYFUNCTION("""COMPUTED_VALUE"""),"A Académico")</f>
        <v>A Académico</v>
      </c>
      <c r="S99" s="9" t="str">
        <f>IFERROR(__xludf.DUMMYFUNCTION("""COMPUTED_VALUE"""),"31568676")</f>
        <v>31568676</v>
      </c>
      <c r="T99" s="1" t="str">
        <f>IFERROR(__xludf.DUMMYFUNCTION("""COMPUTED_VALUE"""),"0031568676")</f>
        <v>0031568676</v>
      </c>
      <c r="U99" s="1">
        <f>IFERROR(__xludf.DUMMYFUNCTION("""COMPUTED_VALUE"""),6.0)</f>
        <v>6</v>
      </c>
      <c r="V99" s="1" t="str">
        <f>IFERROR(__xludf.DUMMYFUNCTION("""COMPUTED_VALUE"""),"P0900 Doctor")</f>
        <v>P0900 Doctor</v>
      </c>
      <c r="W99" s="1">
        <f>IFERROR(__xludf.DUMMYFUNCTION("""COMPUTED_VALUE"""),24838.0)</f>
        <v>24838</v>
      </c>
      <c r="X99" s="1" t="str">
        <f>IFERROR(__xludf.DUMMYFUNCTION("""COMPUTED_VALUE"""),"ESCUELA DE PRACTICA DE ALTOS ESTUDIOS")</f>
        <v>ESCUELA DE PRACTICA DE ALTOS ESTUDIOS</v>
      </c>
      <c r="Y99" s="1" t="str">
        <f>IFERROR(__xludf.DUMMYFUNCTION("""COMPUTED_VALUE"""),"FRANCIA")</f>
        <v>FRANCIA</v>
      </c>
      <c r="Z99" s="1"/>
    </row>
    <row r="100" hidden="1">
      <c r="A100" s="1" t="str">
        <f>IFERROR(__xludf.DUMMYFUNCTION("""COMPUTED_VALUE"""),"12090801 Departamento de Sociología")</f>
        <v>12090801 Departamento de Sociología</v>
      </c>
      <c r="B100" s="1" t="str">
        <f>IFERROR(__xludf.DUMMYFUNCTION("""COMPUTED_VALUE"""),"A1A001 Académico Prof. Titular")</f>
        <v>A1A001 Académico Prof. Titular</v>
      </c>
      <c r="C100" s="1" t="str">
        <f>IFERROR(__xludf.DUMMYFUNCTION("""COMPUTED_VALUE"""),"Prof.Titular - Categ. Academica Ord.")</f>
        <v>Prof.Titular - Categ. Academica Ord.</v>
      </c>
      <c r="D100" s="1" t="str">
        <f>IFERROR(__xludf.DUMMYFUNCTION("""COMPUTED_VALUE"""),"A1A Prof.Titular - Categ. Academica Ord.")</f>
        <v>A1A Prof.Titular - Categ. Academica Ord.</v>
      </c>
      <c r="E100" s="1" t="str">
        <f>IFERROR(__xludf.DUMMYFUNCTION("""COMPUTED_VALUE"""),"Masculino")</f>
        <v>Masculino</v>
      </c>
      <c r="F100" s="1" t="str">
        <f>IFERROR(__xludf.DUMMYFUNCTION("""COMPUTED_VALUE"""),"Faletto")</f>
        <v>Faletto</v>
      </c>
      <c r="G100" s="1" t="str">
        <f>IFERROR(__xludf.DUMMYFUNCTION("""COMPUTED_VALUE"""),"Verne")</f>
        <v>Verne</v>
      </c>
      <c r="H100" s="1" t="str">
        <f>IFERROR(__xludf.DUMMYFUNCTION("""COMPUTED_VALUE"""),"Enzo Doménico Miguel")</f>
        <v>Enzo Doménico Miguel</v>
      </c>
      <c r="I100" s="1" t="str">
        <f>IFERROR(__xludf.DUMMYFUNCTION("""COMPUTED_VALUE"""),"Faletto Verne Enzo Doménico Miguel")</f>
        <v>Faletto Verne Enzo Doménico Miguel</v>
      </c>
      <c r="J100" s="10">
        <f>IFERROR(__xludf.DUMMYFUNCTION("""COMPUTED_VALUE"""),20880.0)</f>
        <v>20880</v>
      </c>
      <c r="K100" s="10">
        <f>IFERROR(__xludf.DUMMYFUNCTION("""COMPUTED_VALUE"""),12979.0)</f>
        <v>12979</v>
      </c>
      <c r="L100" s="1">
        <f>IFERROR(__xludf.DUMMYFUNCTION("""COMPUTED_VALUE"""),88.0)</f>
        <v>88</v>
      </c>
      <c r="M100" s="1" t="str">
        <f>IFERROR(__xludf.DUMMYFUNCTION("""COMPUTED_VALUE"""),"0001 Casado")</f>
        <v>0001 Casado</v>
      </c>
      <c r="N100" s="1"/>
      <c r="O100" s="10">
        <f>IFERROR(__xludf.DUMMYFUNCTION("""COMPUTED_VALUE"""),36617.0)</f>
        <v>36617</v>
      </c>
      <c r="P100" s="10">
        <f>IFERROR(__xludf.DUMMYFUNCTION("""COMPUTED_VALUE"""),37794.0)</f>
        <v>37794</v>
      </c>
      <c r="Q100" s="1" t="str">
        <f>IFERROR(__xludf.DUMMYFUNCTION("""COMPUTED_VALUE"""),"P Propiedad")</f>
        <v>P Propiedad</v>
      </c>
      <c r="R100" s="1" t="str">
        <f>IFERROR(__xludf.DUMMYFUNCTION("""COMPUTED_VALUE"""),"A Académico")</f>
        <v>A Académico</v>
      </c>
      <c r="S100" s="9" t="str">
        <f>IFERROR(__xludf.DUMMYFUNCTION("""COMPUTED_VALUE"""),"33567383")</f>
        <v>33567383</v>
      </c>
      <c r="T100" s="1" t="str">
        <f>IFERROR(__xludf.DUMMYFUNCTION("""COMPUTED_VALUE"""),"0033567383")</f>
        <v>0033567383</v>
      </c>
      <c r="U100" s="1">
        <f>IFERROR(__xludf.DUMMYFUNCTION("""COMPUTED_VALUE"""),44.0)</f>
        <v>44</v>
      </c>
      <c r="V100" s="1" t="str">
        <f>IFERROR(__xludf.DUMMYFUNCTION("""COMPUTED_VALUE"""),"P0850 Magister")</f>
        <v>P0850 Magister</v>
      </c>
      <c r="W100" s="1">
        <f>IFERROR(__xludf.DUMMYFUNCTION("""COMPUTED_VALUE"""),1.0)</f>
        <v>1</v>
      </c>
      <c r="X100" s="1" t="str">
        <f>IFERROR(__xludf.DUMMYFUNCTION("""COMPUTED_VALUE"""),"Sin Información")</f>
        <v>Sin Información</v>
      </c>
      <c r="Y100" s="1" t="str">
        <f>IFERROR(__xludf.DUMMYFUNCTION("""COMPUTED_VALUE"""),"CHILE")</f>
        <v>CHILE</v>
      </c>
      <c r="Z100" s="1"/>
    </row>
    <row r="101" hidden="1">
      <c r="A101" s="1" t="str">
        <f>IFERROR(__xludf.DUMMYFUNCTION("""COMPUTED_VALUE"""),"12091001 Escuela de Pregrado")</f>
        <v>12091001 Escuela de Pregrado</v>
      </c>
      <c r="B101" s="1" t="str">
        <f>IFERROR(__xludf.DUMMYFUNCTION("""COMPUTED_VALUE"""),"A3A001 Académico Prof. Asistente")</f>
        <v>A3A001 Académico Prof. Asistente</v>
      </c>
      <c r="C101" s="1" t="str">
        <f>IFERROR(__xludf.DUMMYFUNCTION("""COMPUTED_VALUE"""),"Prof. Asistente - Categ. Academica Ord.")</f>
        <v>Prof. Asistente - Categ. Academica Ord.</v>
      </c>
      <c r="D101" s="1" t="str">
        <f>IFERROR(__xludf.DUMMYFUNCTION("""COMPUTED_VALUE"""),"A3A Prof. Asistente - Categ. Academica Ord.")</f>
        <v>A3A Prof. Asistente - Categ. Academica Ord.</v>
      </c>
      <c r="E101" s="1" t="str">
        <f>IFERROR(__xludf.DUMMYFUNCTION("""COMPUTED_VALUE"""),"Femenino")</f>
        <v>Femenino</v>
      </c>
      <c r="F101" s="1" t="str">
        <f>IFERROR(__xludf.DUMMYFUNCTION("""COMPUTED_VALUE"""),"Favi")</f>
        <v>Favi</v>
      </c>
      <c r="G101" s="1" t="str">
        <f>IFERROR(__xludf.DUMMYFUNCTION("""COMPUTED_VALUE"""),"Cortés")</f>
        <v>Cortés</v>
      </c>
      <c r="H101" s="1" t="str">
        <f>IFERROR(__xludf.DUMMYFUNCTION("""COMPUTED_VALUE"""),"Gloria Berta")</f>
        <v>Gloria Berta</v>
      </c>
      <c r="I101" s="1" t="str">
        <f>IFERROR(__xludf.DUMMYFUNCTION("""COMPUTED_VALUE"""),"Favi Cortés Gloria Berta")</f>
        <v>Favi Cortés Gloria Berta</v>
      </c>
      <c r="J101" s="10">
        <f>IFERROR(__xludf.DUMMYFUNCTION("""COMPUTED_VALUE"""),34851.0)</f>
        <v>34851</v>
      </c>
      <c r="K101" s="10">
        <f>IFERROR(__xludf.DUMMYFUNCTION("""COMPUTED_VALUE"""),16617.0)</f>
        <v>16617</v>
      </c>
      <c r="L101" s="1">
        <f>IFERROR(__xludf.DUMMYFUNCTION("""COMPUTED_VALUE"""),78.0)</f>
        <v>78</v>
      </c>
      <c r="M101" s="1" t="str">
        <f>IFERROR(__xludf.DUMMYFUNCTION("""COMPUTED_VALUE"""),"0002 Soltero")</f>
        <v>0002 Soltero</v>
      </c>
      <c r="N101" s="1"/>
      <c r="O101" s="10">
        <f>IFERROR(__xludf.DUMMYFUNCTION("""COMPUTED_VALUE"""),35217.0)</f>
        <v>35217</v>
      </c>
      <c r="P101" s="10">
        <f>IFERROR(__xludf.DUMMYFUNCTION("""COMPUTED_VALUE"""),38664.0)</f>
        <v>38664</v>
      </c>
      <c r="Q101" s="1" t="str">
        <f>IFERROR(__xludf.DUMMYFUNCTION("""COMPUTED_VALUE"""),"P Propiedad")</f>
        <v>P Propiedad</v>
      </c>
      <c r="R101" s="1" t="str">
        <f>IFERROR(__xludf.DUMMYFUNCTION("""COMPUTED_VALUE"""),"A Académico")</f>
        <v>A Académico</v>
      </c>
      <c r="S101" s="9" t="str">
        <f>IFERROR(__xludf.DUMMYFUNCTION("""COMPUTED_VALUE"""),"53126774")</f>
        <v>53126774</v>
      </c>
      <c r="T101" s="1" t="str">
        <f>IFERROR(__xludf.DUMMYFUNCTION("""COMPUTED_VALUE"""),"0053126774")</f>
        <v>0053126774</v>
      </c>
      <c r="U101" s="1">
        <f>IFERROR(__xludf.DUMMYFUNCTION("""COMPUTED_VALUE"""),22.0)</f>
        <v>22</v>
      </c>
      <c r="V101" s="1" t="str">
        <f>IFERROR(__xludf.DUMMYFUNCTION("""COMPUTED_VALUE"""),"P0850 Magister")</f>
        <v>P0850 Magister</v>
      </c>
      <c r="W101" s="1">
        <f>IFERROR(__xludf.DUMMYFUNCTION("""COMPUTED_VALUE"""),33238.0)</f>
        <v>33238</v>
      </c>
      <c r="X101" s="1" t="str">
        <f>IFERROR(__xludf.DUMMYFUNCTION("""COMPUTED_VALUE"""),"Universidad De Chile")</f>
        <v>Universidad De Chile</v>
      </c>
      <c r="Y101" s="1" t="str">
        <f>IFERROR(__xludf.DUMMYFUNCTION("""COMPUTED_VALUE"""),"CHILE")</f>
        <v>CHILE</v>
      </c>
      <c r="Z101" s="1"/>
    </row>
    <row r="102">
      <c r="A102" s="1" t="str">
        <f>IFERROR(__xludf.DUMMYFUNCTION("""COMPUTED_VALUE"""),"12090701 Departamento de Psicología")</f>
        <v>12090701 Departamento de Psicología</v>
      </c>
      <c r="B102" s="1" t="str">
        <f>IFERROR(__xludf.DUMMYFUNCTION("""COMPUTED_VALUE"""),"A4A001 ACADEMICO  INSTRUCTOR")</f>
        <v>A4A001 ACADEMICO  INSTRUCTOR</v>
      </c>
      <c r="C102" s="1" t="str">
        <f>IFERROR(__xludf.DUMMYFUNCTION("""COMPUTED_VALUE"""),"Instructor")</f>
        <v>Instructor</v>
      </c>
      <c r="D102" s="1" t="str">
        <f>IFERROR(__xludf.DUMMYFUNCTION("""COMPUTED_VALUE"""),"A4A Instructor")</f>
        <v>A4A Instructor</v>
      </c>
      <c r="E102" s="1" t="str">
        <f>IFERROR(__xludf.DUMMYFUNCTION("""COMPUTED_VALUE"""),"Femenino")</f>
        <v>Femenino</v>
      </c>
      <c r="F102" s="1" t="str">
        <f>IFERROR(__xludf.DUMMYFUNCTION("""COMPUTED_VALUE"""),"Fenieux")</f>
        <v>Fenieux</v>
      </c>
      <c r="G102" s="1" t="str">
        <f>IFERROR(__xludf.DUMMYFUNCTION("""COMPUTED_VALUE"""),"Campos")</f>
        <v>Campos</v>
      </c>
      <c r="H102" s="1" t="str">
        <f>IFERROR(__xludf.DUMMYFUNCTION("""COMPUTED_VALUE"""),"Carmen Gloria")</f>
        <v>Carmen Gloria</v>
      </c>
      <c r="I102" s="1" t="str">
        <f>IFERROR(__xludf.DUMMYFUNCTION("""COMPUTED_VALUE"""),"Fenieux Campos Carmen Gloria")</f>
        <v>Fenieux Campos Carmen Gloria</v>
      </c>
      <c r="J102" s="10">
        <f>IFERROR(__xludf.DUMMYFUNCTION("""COMPUTED_VALUE"""),34455.0)</f>
        <v>34455</v>
      </c>
      <c r="K102" s="10">
        <f>IFERROR(__xludf.DUMMYFUNCTION("""COMPUTED_VALUE"""),23908.0)</f>
        <v>23908</v>
      </c>
      <c r="L102" s="1">
        <f>IFERROR(__xludf.DUMMYFUNCTION("""COMPUTED_VALUE"""),58.0)</f>
        <v>58</v>
      </c>
      <c r="M102" s="1" t="str">
        <f>IFERROR(__xludf.DUMMYFUNCTION("""COMPUTED_VALUE"""),"0001 Casado")</f>
        <v>0001 Casado</v>
      </c>
      <c r="N102" s="1"/>
      <c r="O102" s="10">
        <f>IFERROR(__xludf.DUMMYFUNCTION("""COMPUTED_VALUE"""),34486.0)</f>
        <v>34486</v>
      </c>
      <c r="P102" s="10">
        <f>IFERROR(__xludf.DUMMYFUNCTION("""COMPUTED_VALUE"""),34638.0)</f>
        <v>34638</v>
      </c>
      <c r="Q102" s="1" t="str">
        <f>IFERROR(__xludf.DUMMYFUNCTION("""COMPUTED_VALUE"""),"C Contrata")</f>
        <v>C Contrata</v>
      </c>
      <c r="R102" s="1" t="str">
        <f>IFERROR(__xludf.DUMMYFUNCTION("""COMPUTED_VALUE"""),"A Académico")</f>
        <v>A Académico</v>
      </c>
      <c r="S102" s="9" t="str">
        <f>IFERROR(__xludf.DUMMYFUNCTION("""COMPUTED_VALUE"""),"83411007")</f>
        <v>83411007</v>
      </c>
      <c r="T102" s="1" t="str">
        <f>IFERROR(__xludf.DUMMYFUNCTION("""COMPUTED_VALUE"""),"0083411007")</f>
        <v>0083411007</v>
      </c>
      <c r="U102" s="1">
        <f>IFERROR(__xludf.DUMMYFUNCTION("""COMPUTED_VALUE"""),3.0)</f>
        <v>3</v>
      </c>
      <c r="V102" s="1"/>
      <c r="W102" s="1"/>
      <c r="X102" s="1"/>
      <c r="Y102" s="1"/>
      <c r="Z102" s="1"/>
    </row>
    <row r="103" hidden="1">
      <c r="A103" s="1" t="str">
        <f>IFERROR(__xludf.DUMMYFUNCTION("""COMPUTED_VALUE"""),"12090301 Departamento de Antropología")</f>
        <v>12090301 Departamento de Antropología</v>
      </c>
      <c r="B103" s="1" t="str">
        <f>IFERROR(__xludf.DUMMYFUNCTION("""COMPUTED_VALUE"""),"A3A001 Académico Prof. Asistente")</f>
        <v>A3A001 Académico Prof. Asistente</v>
      </c>
      <c r="C103" s="1" t="str">
        <f>IFERROR(__xludf.DUMMYFUNCTION("""COMPUTED_VALUE"""),"Prof. Asistente - Categ. Academica Ord.")</f>
        <v>Prof. Asistente - Categ. Academica Ord.</v>
      </c>
      <c r="D103" s="1" t="str">
        <f>IFERROR(__xludf.DUMMYFUNCTION("""COMPUTED_VALUE"""),"A3A Prof. Asistente - Categ. Academica Ord.")</f>
        <v>A3A Prof. Asistente - Categ. Academica Ord.</v>
      </c>
      <c r="E103" s="1" t="str">
        <f>IFERROR(__xludf.DUMMYFUNCTION("""COMPUTED_VALUE"""),"Femenino")</f>
        <v>Femenino</v>
      </c>
      <c r="F103" s="1" t="str">
        <f>IFERROR(__xludf.DUMMYFUNCTION("""COMPUTED_VALUE"""),"Fernández")</f>
        <v>Fernández</v>
      </c>
      <c r="G103" s="1" t="str">
        <f>IFERROR(__xludf.DUMMYFUNCTION("""COMPUTED_VALUE"""),"Cox")</f>
        <v>Cox</v>
      </c>
      <c r="H103" s="1" t="str">
        <f>IFERROR(__xludf.DUMMYFUNCTION("""COMPUTED_VALUE"""),"María Victoria Teresa")</f>
        <v>María Victoria Teresa</v>
      </c>
      <c r="I103" s="1" t="str">
        <f>IFERROR(__xludf.DUMMYFUNCTION("""COMPUTED_VALUE"""),"Fernández Cox María Victoria Teresa")</f>
        <v>Fernández Cox María Victoria Teresa</v>
      </c>
      <c r="J103" s="10">
        <f>IFERROR(__xludf.DUMMYFUNCTION("""COMPUTED_VALUE"""),32021.0)</f>
        <v>32021</v>
      </c>
      <c r="K103" s="10">
        <f>IFERROR(__xludf.DUMMYFUNCTION("""COMPUTED_VALUE"""),11203.0)</f>
        <v>11203</v>
      </c>
      <c r="L103" s="1">
        <f>IFERROR(__xludf.DUMMYFUNCTION("""COMPUTED_VALUE"""),93.0)</f>
        <v>93</v>
      </c>
      <c r="M103" s="1" t="str">
        <f>IFERROR(__xludf.DUMMYFUNCTION("""COMPUTED_VALUE"""),"0001 Casado")</f>
        <v>0001 Casado</v>
      </c>
      <c r="N103" s="1"/>
      <c r="O103" s="10">
        <f>IFERROR(__xludf.DUMMYFUNCTION("""COMPUTED_VALUE"""),33909.0)</f>
        <v>33909</v>
      </c>
      <c r="P103" s="10">
        <f>IFERROR(__xludf.DUMMYFUNCTION("""COMPUTED_VALUE"""),34577.0)</f>
        <v>34577</v>
      </c>
      <c r="Q103" s="1" t="str">
        <f>IFERROR(__xludf.DUMMYFUNCTION("""COMPUTED_VALUE"""),"P Propiedad")</f>
        <v>P Propiedad</v>
      </c>
      <c r="R103" s="1" t="str">
        <f>IFERROR(__xludf.DUMMYFUNCTION("""COMPUTED_VALUE"""),"A Académico")</f>
        <v>A Académico</v>
      </c>
      <c r="S103" s="9" t="str">
        <f>IFERROR(__xludf.DUMMYFUNCTION("""COMPUTED_VALUE"""),"003156624K")</f>
        <v>003156624K</v>
      </c>
      <c r="T103" s="1" t="str">
        <f>IFERROR(__xludf.DUMMYFUNCTION("""COMPUTED_VALUE"""),"003156624K")</f>
        <v>003156624K</v>
      </c>
      <c r="U103" s="1">
        <f>IFERROR(__xludf.DUMMYFUNCTION("""COMPUTED_VALUE"""),9.0)</f>
        <v>9</v>
      </c>
      <c r="V103" s="1"/>
      <c r="W103" s="1"/>
      <c r="X103" s="1"/>
      <c r="Y103" s="1"/>
      <c r="Z103" s="1"/>
    </row>
    <row r="104">
      <c r="A104" s="1" t="str">
        <f>IFERROR(__xludf.DUMMYFUNCTION("""COMPUTED_VALUE"""),"12090118 Dpto. de  Psicología (funcionamiento)")</f>
        <v>12090118 Dpto. de  Psicología (funcionamiento)</v>
      </c>
      <c r="B104" s="1" t="str">
        <f>IFERROR(__xludf.DUMMYFUNCTION("""COMPUTED_VALUE"""),"A3B001 Académico Prof. Asistente")</f>
        <v>A3B001 Académico Prof. Asistente</v>
      </c>
      <c r="C104" s="1" t="str">
        <f>IFERROR(__xludf.DUMMYFUNCTION("""COMPUTED_VALUE"""),"Prof. Asistente - Categ. Academica Doc.")</f>
        <v>Prof. Asistente - Categ. Academica Doc.</v>
      </c>
      <c r="D104" s="1" t="str">
        <f>IFERROR(__xludf.DUMMYFUNCTION("""COMPUTED_VALUE"""),"A3B Prof. Asistente - Categ. Academica Doc.")</f>
        <v>A3B Prof. Asistente - Categ. Academica Doc.</v>
      </c>
      <c r="E104" s="1" t="str">
        <f>IFERROR(__xludf.DUMMYFUNCTION("""COMPUTED_VALUE"""),"Masculino")</f>
        <v>Masculino</v>
      </c>
      <c r="F104" s="1" t="str">
        <f>IFERROR(__xludf.DUMMYFUNCTION("""COMPUTED_VALUE"""),"Fernández")</f>
        <v>Fernández</v>
      </c>
      <c r="G104" s="1" t="str">
        <f>IFERROR(__xludf.DUMMYFUNCTION("""COMPUTED_VALUE"""),"Darraz")</f>
        <v>Darraz</v>
      </c>
      <c r="H104" s="1" t="str">
        <f>IFERROR(__xludf.DUMMYFUNCTION("""COMPUTED_VALUE"""),"Jorge Andrés")</f>
        <v>Jorge Andrés</v>
      </c>
      <c r="I104" s="1" t="str">
        <f>IFERROR(__xludf.DUMMYFUNCTION("""COMPUTED_VALUE"""),"Fernández Darraz Jorge Andrés")</f>
        <v>Fernández Darraz Jorge Andrés</v>
      </c>
      <c r="J104" s="10">
        <f>IFERROR(__xludf.DUMMYFUNCTION("""COMPUTED_VALUE"""),35643.0)</f>
        <v>35643</v>
      </c>
      <c r="K104" s="10">
        <f>IFERROR(__xludf.DUMMYFUNCTION("""COMPUTED_VALUE"""),25247.0)</f>
        <v>25247</v>
      </c>
      <c r="L104" s="1">
        <f>IFERROR(__xludf.DUMMYFUNCTION("""COMPUTED_VALUE"""),54.0)</f>
        <v>54</v>
      </c>
      <c r="M104" s="1" t="str">
        <f>IFERROR(__xludf.DUMMYFUNCTION("""COMPUTED_VALUE"""),"0002 Soltero")</f>
        <v>0002 Soltero</v>
      </c>
      <c r="N104" s="1" t="str">
        <f>IFERROR(__xludf.DUMMYFUNCTION("""COMPUTED_VALUE"""),"N0040 Profesional Superior")</f>
        <v>N0040 Profesional Superior</v>
      </c>
      <c r="O104" s="10">
        <f>IFERROR(__xludf.DUMMYFUNCTION("""COMPUTED_VALUE"""),44562.0)</f>
        <v>44562</v>
      </c>
      <c r="P104" s="10">
        <f>IFERROR(__xludf.DUMMYFUNCTION("""COMPUTED_VALUE"""),44834.0)</f>
        <v>44834</v>
      </c>
      <c r="Q104" s="1" t="str">
        <f>IFERROR(__xludf.DUMMYFUNCTION("""COMPUTED_VALUE"""),"C Contrata")</f>
        <v>C Contrata</v>
      </c>
      <c r="R104" s="1" t="str">
        <f>IFERROR(__xludf.DUMMYFUNCTION("""COMPUTED_VALUE"""),"A Académico")</f>
        <v>A Académico</v>
      </c>
      <c r="S104" s="9" t="str">
        <f>IFERROR(__xludf.DUMMYFUNCTION("""COMPUTED_VALUE"""),"102714806")</f>
        <v>102714806</v>
      </c>
      <c r="T104" s="1" t="str">
        <f>IFERROR(__xludf.DUMMYFUNCTION("""COMPUTED_VALUE"""),"0102714806")</f>
        <v>0102714806</v>
      </c>
      <c r="U104" s="1">
        <f>IFERROR(__xludf.DUMMYFUNCTION("""COMPUTED_VALUE"""),12.0)</f>
        <v>12</v>
      </c>
      <c r="V104" s="1" t="str">
        <f>IFERROR(__xludf.DUMMYFUNCTION("""COMPUTED_VALUE"""),"P0401 Licenciado")</f>
        <v>P0401 Licenciado</v>
      </c>
      <c r="W104" s="1">
        <f>IFERROR(__xludf.DUMMYFUNCTION("""COMPUTED_VALUE"""),35396.0)</f>
        <v>35396</v>
      </c>
      <c r="X104" s="1" t="str">
        <f>IFERROR(__xludf.DUMMYFUNCTION("""COMPUTED_VALUE"""),"Universidad Arcis")</f>
        <v>Universidad Arcis</v>
      </c>
      <c r="Y104" s="1" t="str">
        <f>IFERROR(__xludf.DUMMYFUNCTION("""COMPUTED_VALUE"""),"CHILE")</f>
        <v>CHILE</v>
      </c>
      <c r="Z104" s="1" t="str">
        <f>IFERROR(__xludf.DUMMYFUNCTION("""COMPUTED_VALUE"""),"T5062 Licenciado en Filosofia")</f>
        <v>T5062 Licenciado en Filosofia</v>
      </c>
    </row>
    <row r="105">
      <c r="A105" s="1" t="str">
        <f>IFERROR(__xludf.DUMMYFUNCTION("""COMPUTED_VALUE"""),"12090701 Departamento de Psicología")</f>
        <v>12090701 Departamento de Psicología</v>
      </c>
      <c r="B105" s="1" t="str">
        <f>IFERROR(__xludf.DUMMYFUNCTION("""COMPUTED_VALUE"""),"A3A001 Académico Prof. Asistente")</f>
        <v>A3A001 Académico Prof. Asistente</v>
      </c>
      <c r="C105" s="1" t="str">
        <f>IFERROR(__xludf.DUMMYFUNCTION("""COMPUTED_VALUE"""),"Prof. Asistente - Categ. Academica Ord.")</f>
        <v>Prof. Asistente - Categ. Academica Ord.</v>
      </c>
      <c r="D105" s="1" t="str">
        <f>IFERROR(__xludf.DUMMYFUNCTION("""COMPUTED_VALUE"""),"A3A Prof. Asistente - Categ. Academica Ord.")</f>
        <v>A3A Prof. Asistente - Categ. Academica Ord.</v>
      </c>
      <c r="E105" s="1" t="str">
        <f>IFERROR(__xludf.DUMMYFUNCTION("""COMPUTED_VALUE"""),"Femenino")</f>
        <v>Femenino</v>
      </c>
      <c r="F105" s="1" t="str">
        <f>IFERROR(__xludf.DUMMYFUNCTION("""COMPUTED_VALUE"""),"Fernández")</f>
        <v>Fernández</v>
      </c>
      <c r="G105" s="1" t="str">
        <f>IFERROR(__xludf.DUMMYFUNCTION("""COMPUTED_VALUE"""),"Droguett")</f>
        <v>Droguett</v>
      </c>
      <c r="H105" s="1" t="str">
        <f>IFERROR(__xludf.DUMMYFUNCTION("""COMPUTED_VALUE"""),"Francisca María")</f>
        <v>Francisca María</v>
      </c>
      <c r="I105" s="1" t="str">
        <f>IFERROR(__xludf.DUMMYFUNCTION("""COMPUTED_VALUE"""),"Fernández Droguett Francisca María")</f>
        <v>Fernández Droguett Francisca María</v>
      </c>
      <c r="J105" s="10">
        <f>IFERROR(__xludf.DUMMYFUNCTION("""COMPUTED_VALUE"""),39420.0)</f>
        <v>39420</v>
      </c>
      <c r="K105" s="10">
        <f>IFERROR(__xludf.DUMMYFUNCTION("""COMPUTED_VALUE"""),28269.0)</f>
        <v>28269</v>
      </c>
      <c r="L105" s="1">
        <f>IFERROR(__xludf.DUMMYFUNCTION("""COMPUTED_VALUE"""),46.0)</f>
        <v>46</v>
      </c>
      <c r="M105" s="1" t="str">
        <f>IFERROR(__xludf.DUMMYFUNCTION("""COMPUTED_VALUE"""),"0002 Soltero")</f>
        <v>0002 Soltero</v>
      </c>
      <c r="N105" s="1"/>
      <c r="O105" s="10">
        <f>IFERROR(__xludf.DUMMYFUNCTION("""COMPUTED_VALUE"""),42005.0)</f>
        <v>42005</v>
      </c>
      <c r="P105" s="10">
        <f>IFERROR(__xludf.DUMMYFUNCTION("""COMPUTED_VALUE"""),42369.0)</f>
        <v>42369</v>
      </c>
      <c r="Q105" s="1" t="str">
        <f>IFERROR(__xludf.DUMMYFUNCTION("""COMPUTED_VALUE"""),"K Ad Honorem Contrata")</f>
        <v>K Ad Honorem Contrata</v>
      </c>
      <c r="R105" s="1" t="str">
        <f>IFERROR(__xludf.DUMMYFUNCTION("""COMPUTED_VALUE"""),"A Académico")</f>
        <v>A Académico</v>
      </c>
      <c r="S105" s="9" t="str">
        <f>IFERROR(__xludf.DUMMYFUNCTION("""COMPUTED_VALUE"""),"138899098")</f>
        <v>138899098</v>
      </c>
      <c r="T105" s="1" t="str">
        <f>IFERROR(__xludf.DUMMYFUNCTION("""COMPUTED_VALUE"""),"0138899098")</f>
        <v>0138899098</v>
      </c>
      <c r="U105" s="1">
        <f>IFERROR(__xludf.DUMMYFUNCTION("""COMPUTED_VALUE"""),6.0)</f>
        <v>6</v>
      </c>
      <c r="V105" s="1"/>
      <c r="W105" s="1"/>
      <c r="X105" s="1"/>
      <c r="Y105" s="1"/>
      <c r="Z105" s="1" t="str">
        <f>IFERROR(__xludf.DUMMYFUNCTION("""COMPUTED_VALUE"""),"T5003 Antropologo")</f>
        <v>T5003 Antropologo</v>
      </c>
    </row>
    <row r="106" hidden="1">
      <c r="A106" s="1" t="str">
        <f>IFERROR(__xludf.DUMMYFUNCTION("""COMPUTED_VALUE"""),"12090801 Departamento de Sociología")</f>
        <v>12090801 Departamento de Sociología</v>
      </c>
      <c r="B106" s="1" t="str">
        <f>IFERROR(__xludf.DUMMYFUNCTION("""COMPUTED_VALUE"""),"A1A001 Académico Prof. Titular")</f>
        <v>A1A001 Académico Prof. Titular</v>
      </c>
      <c r="C106" s="1" t="str">
        <f>IFERROR(__xludf.DUMMYFUNCTION("""COMPUTED_VALUE"""),"Prof.Titular - Categ. Academica Ord.")</f>
        <v>Prof.Titular - Categ. Academica Ord.</v>
      </c>
      <c r="D106" s="1" t="str">
        <f>IFERROR(__xludf.DUMMYFUNCTION("""COMPUTED_VALUE"""),"A1A Prof.Titular - Categ. Academica Ord.")</f>
        <v>A1A Prof.Titular - Categ. Academica Ord.</v>
      </c>
      <c r="E106" s="1" t="str">
        <f>IFERROR(__xludf.DUMMYFUNCTION("""COMPUTED_VALUE"""),"Masculino")</f>
        <v>Masculino</v>
      </c>
      <c r="F106" s="1" t="str">
        <f>IFERROR(__xludf.DUMMYFUNCTION("""COMPUTED_VALUE"""),"Fernández")</f>
        <v>Fernández</v>
      </c>
      <c r="G106" s="1" t="str">
        <f>IFERROR(__xludf.DUMMYFUNCTION("""COMPUTED_VALUE"""),"Mateo")</f>
        <v>Mateo</v>
      </c>
      <c r="H106" s="1" t="str">
        <f>IFERROR(__xludf.DUMMYFUNCTION("""COMPUTED_VALUE"""),"Francisco Joaquín")</f>
        <v>Francisco Joaquín</v>
      </c>
      <c r="I106" s="1" t="str">
        <f>IFERROR(__xludf.DUMMYFUNCTION("""COMPUTED_VALUE"""),"Fernández Mateo Francisco Joaquín")</f>
        <v>Fernández Mateo Francisco Joaquín</v>
      </c>
      <c r="J106" s="10">
        <f>IFERROR(__xludf.DUMMYFUNCTION("""COMPUTED_VALUE"""),25416.0)</f>
        <v>25416</v>
      </c>
      <c r="K106" s="10">
        <f>IFERROR(__xludf.DUMMYFUNCTION("""COMPUTED_VALUE"""),14555.0)</f>
        <v>14555</v>
      </c>
      <c r="L106" s="1">
        <f>IFERROR(__xludf.DUMMYFUNCTION("""COMPUTED_VALUE"""),84.0)</f>
        <v>84</v>
      </c>
      <c r="M106" s="1" t="str">
        <f>IFERROR(__xludf.DUMMYFUNCTION("""COMPUTED_VALUE"""),"0001 Casado")</f>
        <v>0001 Casado</v>
      </c>
      <c r="N106" s="1"/>
      <c r="O106" s="10">
        <f>IFERROR(__xludf.DUMMYFUNCTION("""COMPUTED_VALUE"""),33848.0)</f>
        <v>33848</v>
      </c>
      <c r="P106" s="10">
        <f>IFERROR(__xludf.DUMMYFUNCTION("""COMPUTED_VALUE"""),38657.0)</f>
        <v>38657</v>
      </c>
      <c r="Q106" s="1" t="str">
        <f>IFERROR(__xludf.DUMMYFUNCTION("""COMPUTED_VALUE"""),"P Propiedad")</f>
        <v>P Propiedad</v>
      </c>
      <c r="R106" s="1" t="str">
        <f>IFERROR(__xludf.DUMMYFUNCTION("""COMPUTED_VALUE"""),"A Académico")</f>
        <v>A Académico</v>
      </c>
      <c r="S106" s="9" t="str">
        <f>IFERROR(__xludf.DUMMYFUNCTION("""COMPUTED_VALUE"""),"42817708")</f>
        <v>42817708</v>
      </c>
      <c r="T106" s="1" t="str">
        <f>IFERROR(__xludf.DUMMYFUNCTION("""COMPUTED_VALUE"""),"0042817708")</f>
        <v>0042817708</v>
      </c>
      <c r="U106" s="1">
        <f>IFERROR(__xludf.DUMMYFUNCTION("""COMPUTED_VALUE"""),44.0)</f>
        <v>44</v>
      </c>
      <c r="V106" s="1" t="str">
        <f>IFERROR(__xludf.DUMMYFUNCTION("""COMPUTED_VALUE"""),"P0900 Doctor")</f>
        <v>P0900 Doctor</v>
      </c>
      <c r="W106" s="1">
        <f>IFERROR(__xludf.DUMMYFUNCTION("""COMPUTED_VALUE"""),35065.0)</f>
        <v>35065</v>
      </c>
      <c r="X106" s="1" t="str">
        <f>IFERROR(__xludf.DUMMYFUNCTION("""COMPUTED_VALUE"""),"UNIVERSIDAD DE MINESOTA")</f>
        <v>UNIVERSIDAD DE MINESOTA</v>
      </c>
      <c r="Y106" s="1" t="str">
        <f>IFERROR(__xludf.DUMMYFUNCTION("""COMPUTED_VALUE"""),"ESTADOS UNIDOS")</f>
        <v>ESTADOS UNIDOS</v>
      </c>
      <c r="Z106" s="1" t="str">
        <f>IFERROR(__xludf.DUMMYFUNCTION("""COMPUTED_VALUE"""),"T5082 Sociologo")</f>
        <v>T5082 Sociologo</v>
      </c>
    </row>
    <row r="107" hidden="1">
      <c r="A107" s="1" t="str">
        <f>IFERROR(__xludf.DUMMYFUNCTION("""COMPUTED_VALUE"""),"12090701 Departamento de Psicología")</f>
        <v>12090701 Departamento de Psicología</v>
      </c>
      <c r="B107" s="1" t="str">
        <f>IFERROR(__xludf.DUMMYFUNCTION("""COMPUTED_VALUE"""),"A1A001 Académico Prof. Titular")</f>
        <v>A1A001 Académico Prof. Titular</v>
      </c>
      <c r="C107" s="1" t="str">
        <f>IFERROR(__xludf.DUMMYFUNCTION("""COMPUTED_VALUE"""),"Prof.Titular - Categ. Academica Ord.")</f>
        <v>Prof.Titular - Categ. Academica Ord.</v>
      </c>
      <c r="D107" s="1" t="str">
        <f>IFERROR(__xludf.DUMMYFUNCTION("""COMPUTED_VALUE"""),"A1A Prof.Titular - Categ. Academica Ord.")</f>
        <v>A1A Prof.Titular - Categ. Academica Ord.</v>
      </c>
      <c r="E107" s="1" t="str">
        <f>IFERROR(__xludf.DUMMYFUNCTION("""COMPUTED_VALUE"""),"Masculino")</f>
        <v>Masculino</v>
      </c>
      <c r="F107" s="1" t="str">
        <f>IFERROR(__xludf.DUMMYFUNCTION("""COMPUTED_VALUE"""),"Fernández")</f>
        <v>Fernández</v>
      </c>
      <c r="G107" s="1" t="str">
        <f>IFERROR(__xludf.DUMMYFUNCTION("""COMPUTED_VALUE"""),"Tornini")</f>
        <v>Tornini</v>
      </c>
      <c r="H107" s="1" t="str">
        <f>IFERROR(__xludf.DUMMYFUNCTION("""COMPUTED_VALUE"""),"Jorge Bernardo")</f>
        <v>Jorge Bernardo</v>
      </c>
      <c r="I107" s="1" t="str">
        <f>IFERROR(__xludf.DUMMYFUNCTION("""COMPUTED_VALUE"""),"Fernández Tornini Jorge Bernardo")</f>
        <v>Fernández Tornini Jorge Bernardo</v>
      </c>
      <c r="J107" s="10">
        <f>IFERROR(__xludf.DUMMYFUNCTION("""COMPUTED_VALUE"""),17288.0)</f>
        <v>17288</v>
      </c>
      <c r="K107" s="10">
        <f>IFERROR(__xludf.DUMMYFUNCTION("""COMPUTED_VALUE"""),10361.0)</f>
        <v>10361</v>
      </c>
      <c r="L107" s="1">
        <f>IFERROR(__xludf.DUMMYFUNCTION("""COMPUTED_VALUE"""),95.0)</f>
        <v>95</v>
      </c>
      <c r="M107" s="1" t="str">
        <f>IFERROR(__xludf.DUMMYFUNCTION("""COMPUTED_VALUE"""),"0003 Viudo")</f>
        <v>0003 Viudo</v>
      </c>
      <c r="N107" s="1"/>
      <c r="O107" s="10">
        <f>IFERROR(__xludf.DUMMYFUNCTION("""COMPUTED_VALUE"""),36770.0)</f>
        <v>36770</v>
      </c>
      <c r="P107" s="10">
        <f>IFERROR(__xludf.DUMMYFUNCTION("""COMPUTED_VALUE"""),40242.0)</f>
        <v>40242</v>
      </c>
      <c r="Q107" s="1" t="str">
        <f>IFERROR(__xludf.DUMMYFUNCTION("""COMPUTED_VALUE"""),"P Propiedad")</f>
        <v>P Propiedad</v>
      </c>
      <c r="R107" s="1" t="str">
        <f>IFERROR(__xludf.DUMMYFUNCTION("""COMPUTED_VALUE"""),"A Académico")</f>
        <v>A Académico</v>
      </c>
      <c r="S107" s="9" t="str">
        <f>IFERROR(__xludf.DUMMYFUNCTION("""COMPUTED_VALUE"""),"24714829")</f>
        <v>24714829</v>
      </c>
      <c r="T107" s="1" t="str">
        <f>IFERROR(__xludf.DUMMYFUNCTION("""COMPUTED_VALUE"""),"0024714829")</f>
        <v>0024714829</v>
      </c>
      <c r="U107" s="1">
        <f>IFERROR(__xludf.DUMMYFUNCTION("""COMPUTED_VALUE"""),12.0)</f>
        <v>12</v>
      </c>
      <c r="V107" s="1" t="str">
        <f>IFERROR(__xludf.DUMMYFUNCTION("""COMPUTED_VALUE"""),"P0501 Con Titulo Profesional")</f>
        <v>P0501 Con Titulo Profesional</v>
      </c>
      <c r="W107" s="1">
        <f>IFERROR(__xludf.DUMMYFUNCTION("""COMPUTED_VALUE"""),19520.0)</f>
        <v>19520</v>
      </c>
      <c r="X107" s="1" t="str">
        <f>IFERROR(__xludf.DUMMYFUNCTION("""COMPUTED_VALUE"""),"Universidad De Chile")</f>
        <v>Universidad De Chile</v>
      </c>
      <c r="Y107" s="1" t="str">
        <f>IFERROR(__xludf.DUMMYFUNCTION("""COMPUTED_VALUE"""),"CHILE")</f>
        <v>CHILE</v>
      </c>
      <c r="Z107" s="1"/>
    </row>
    <row r="108">
      <c r="A108" s="1" t="str">
        <f>IFERROR(__xludf.DUMMYFUNCTION("""COMPUTED_VALUE"""),"12090501 Departamento de Investigaciónes Mediáticas y de la Comunicación")</f>
        <v>12090501 Departamento de Investigaciónes Mediáticas y de la Comunicación</v>
      </c>
      <c r="B108" s="1" t="str">
        <f>IFERROR(__xludf.DUMMYFUNCTION("""COMPUTED_VALUE"""),"A4A001 ACADEMICO  INSTRUCTOR")</f>
        <v>A4A001 ACADEMICO  INSTRUCTOR</v>
      </c>
      <c r="C108" s="1" t="str">
        <f>IFERROR(__xludf.DUMMYFUNCTION("""COMPUTED_VALUE"""),"Instructor")</f>
        <v>Instructor</v>
      </c>
      <c r="D108" s="1" t="str">
        <f>IFERROR(__xludf.DUMMYFUNCTION("""COMPUTED_VALUE"""),"A4A Instructor")</f>
        <v>A4A Instructor</v>
      </c>
      <c r="E108" s="1" t="str">
        <f>IFERROR(__xludf.DUMMYFUNCTION("""COMPUTED_VALUE"""),"Femenino")</f>
        <v>Femenino</v>
      </c>
      <c r="F108" s="1" t="str">
        <f>IFERROR(__xludf.DUMMYFUNCTION("""COMPUTED_VALUE"""),"Ferreira")</f>
        <v>Ferreira</v>
      </c>
      <c r="G108" s="1" t="str">
        <f>IFERROR(__xludf.DUMMYFUNCTION("""COMPUTED_VALUE"""),"Soto")</f>
        <v>Soto</v>
      </c>
      <c r="H108" s="1" t="str">
        <f>IFERROR(__xludf.DUMMYFUNCTION("""COMPUTED_VALUE"""),"Carolina de Lourdes")</f>
        <v>Carolina de Lourdes</v>
      </c>
      <c r="I108" s="1" t="str">
        <f>IFERROR(__xludf.DUMMYFUNCTION("""COMPUTED_VALUE"""),"Ferreira Soto Carolina de Lourdes")</f>
        <v>Ferreira Soto Carolina de Lourdes</v>
      </c>
      <c r="J108" s="10">
        <f>IFERROR(__xludf.DUMMYFUNCTION("""COMPUTED_VALUE"""),36161.0)</f>
        <v>36161</v>
      </c>
      <c r="K108" s="10">
        <f>IFERROR(__xludf.DUMMYFUNCTION("""COMPUTED_VALUE"""),23110.0)</f>
        <v>23110</v>
      </c>
      <c r="L108" s="1">
        <f>IFERROR(__xludf.DUMMYFUNCTION("""COMPUTED_VALUE"""),60.0)</f>
        <v>60</v>
      </c>
      <c r="M108" s="1" t="str">
        <f>IFERROR(__xludf.DUMMYFUNCTION("""COMPUTED_VALUE"""),"0001 Casado")</f>
        <v>0001 Casado</v>
      </c>
      <c r="N108" s="1"/>
      <c r="O108" s="10">
        <f>IFERROR(__xludf.DUMMYFUNCTION("""COMPUTED_VALUE"""),36161.0)</f>
        <v>36161</v>
      </c>
      <c r="P108" s="10">
        <f>IFERROR(__xludf.DUMMYFUNCTION("""COMPUTED_VALUE"""),36525.0)</f>
        <v>36525</v>
      </c>
      <c r="Q108" s="1" t="str">
        <f>IFERROR(__xludf.DUMMYFUNCTION("""COMPUTED_VALUE"""),"C Contrata")</f>
        <v>C Contrata</v>
      </c>
      <c r="R108" s="1" t="str">
        <f>IFERROR(__xludf.DUMMYFUNCTION("""COMPUTED_VALUE"""),"A Académico")</f>
        <v>A Académico</v>
      </c>
      <c r="S108" s="9" t="str">
        <f>IFERROR(__xludf.DUMMYFUNCTION("""COMPUTED_VALUE"""),"76244022")</f>
        <v>76244022</v>
      </c>
      <c r="T108" s="1" t="str">
        <f>IFERROR(__xludf.DUMMYFUNCTION("""COMPUTED_VALUE"""),"0076244022")</f>
        <v>0076244022</v>
      </c>
      <c r="U108" s="1">
        <f>IFERROR(__xludf.DUMMYFUNCTION("""COMPUTED_VALUE"""),8.0)</f>
        <v>8</v>
      </c>
      <c r="V108" s="1"/>
      <c r="W108" s="1"/>
      <c r="X108" s="1"/>
      <c r="Y108" s="1"/>
      <c r="Z108" s="1" t="str">
        <f>IFERROR(__xludf.DUMMYFUNCTION("""COMPUTED_VALUE"""),"T5074 Periodista")</f>
        <v>T5074 Periodista</v>
      </c>
    </row>
    <row r="109">
      <c r="A109" s="1" t="str">
        <f>IFERROR(__xludf.DUMMYFUNCTION("""COMPUTED_VALUE"""),"12090116 Dpto. de Antropología (funcionamiento)")</f>
        <v>12090116 Dpto. de Antropología (funcionamiento)</v>
      </c>
      <c r="B109" s="1" t="str">
        <f>IFERROR(__xludf.DUMMYFUNCTION("""COMPUTED_VALUE"""),"A2A001 Académico Prof. Asociado")</f>
        <v>A2A001 Académico Prof. Asociado</v>
      </c>
      <c r="C109" s="1" t="str">
        <f>IFERROR(__xludf.DUMMYFUNCTION("""COMPUTED_VALUE"""),"Prof. Asociado - Categ. Academica Ord.")</f>
        <v>Prof. Asociado - Categ. Academica Ord.</v>
      </c>
      <c r="D109" s="1" t="str">
        <f>IFERROR(__xludf.DUMMYFUNCTION("""COMPUTED_VALUE"""),"A2A Prof. Asociado - Categ. Academica Ord.")</f>
        <v>A2A Prof. Asociado - Categ. Academica Ord.</v>
      </c>
      <c r="E109" s="1" t="str">
        <f>IFERROR(__xludf.DUMMYFUNCTION("""COMPUTED_VALUE"""),"Masculino")</f>
        <v>Masculino</v>
      </c>
      <c r="F109" s="1" t="str">
        <f>IFERROR(__xludf.DUMMYFUNCTION("""COMPUTED_VALUE"""),"Flores")</f>
        <v>Flores</v>
      </c>
      <c r="G109" s="1" t="str">
        <f>IFERROR(__xludf.DUMMYFUNCTION("""COMPUTED_VALUE"""),"Carrasco")</f>
        <v>Carrasco</v>
      </c>
      <c r="H109" s="1" t="str">
        <f>IFERROR(__xludf.DUMMYFUNCTION("""COMPUTED_VALUE"""),"Sergio Vladimir")</f>
        <v>Sergio Vladimir</v>
      </c>
      <c r="I109" s="1" t="str">
        <f>IFERROR(__xludf.DUMMYFUNCTION("""COMPUTED_VALUE"""),"Flores Carrasco Sergio Vladimir")</f>
        <v>Flores Carrasco Sergio Vladimir</v>
      </c>
      <c r="J109" s="10">
        <f>IFERROR(__xludf.DUMMYFUNCTION("""COMPUTED_VALUE"""),39569.0)</f>
        <v>39569</v>
      </c>
      <c r="K109" s="10">
        <f>IFERROR(__xludf.DUMMYFUNCTION("""COMPUTED_VALUE"""),26633.0)</f>
        <v>26633</v>
      </c>
      <c r="L109" s="1">
        <f>IFERROR(__xludf.DUMMYFUNCTION("""COMPUTED_VALUE"""),51.0)</f>
        <v>51</v>
      </c>
      <c r="M109" s="1" t="str">
        <f>IFERROR(__xludf.DUMMYFUNCTION("""COMPUTED_VALUE"""),"0005 Divorciado")</f>
        <v>0005 Divorciado</v>
      </c>
      <c r="N109" s="1"/>
      <c r="O109" s="10">
        <f>IFERROR(__xludf.DUMMYFUNCTION("""COMPUTED_VALUE"""),43466.0)</f>
        <v>43466</v>
      </c>
      <c r="P109" s="10">
        <f>IFERROR(__xludf.DUMMYFUNCTION("""COMPUTED_VALUE"""),43621.0)</f>
        <v>43621</v>
      </c>
      <c r="Q109" s="1" t="str">
        <f>IFERROR(__xludf.DUMMYFUNCTION("""COMPUTED_VALUE"""),"C Contrata")</f>
        <v>C Contrata</v>
      </c>
      <c r="R109" s="1" t="str">
        <f>IFERROR(__xludf.DUMMYFUNCTION("""COMPUTED_VALUE"""),"A Académico")</f>
        <v>A Académico</v>
      </c>
      <c r="S109" s="9" t="str">
        <f>IFERROR(__xludf.DUMMYFUNCTION("""COMPUTED_VALUE"""),"121793172")</f>
        <v>121793172</v>
      </c>
      <c r="T109" s="1" t="str">
        <f>IFERROR(__xludf.DUMMYFUNCTION("""COMPUTED_VALUE"""),"0121793172")</f>
        <v>0121793172</v>
      </c>
      <c r="U109" s="1">
        <f>IFERROR(__xludf.DUMMYFUNCTION("""COMPUTED_VALUE"""),44.0)</f>
        <v>44</v>
      </c>
      <c r="V109" s="1" t="str">
        <f>IFERROR(__xludf.DUMMYFUNCTION("""COMPUTED_VALUE"""),"P0900 Doctor")</f>
        <v>P0900 Doctor</v>
      </c>
      <c r="W109" s="1">
        <f>IFERROR(__xludf.DUMMYFUNCTION("""COMPUTED_VALUE"""),39356.0)</f>
        <v>39356</v>
      </c>
      <c r="X109" s="1" t="str">
        <f>IFERROR(__xludf.DUMMYFUNCTION("""COMPUTED_VALUE"""),"UNIV DE IOWA")</f>
        <v>UNIV DE IOWA</v>
      </c>
      <c r="Y109" s="1" t="str">
        <f>IFERROR(__xludf.DUMMYFUNCTION("""COMPUTED_VALUE"""),"ESTADOS UNIDOS")</f>
        <v>ESTADOS UNIDOS</v>
      </c>
      <c r="Z109" s="1" t="str">
        <f>IFERROR(__xludf.DUMMYFUNCTION("""COMPUTED_VALUE"""),"T5079 Profesor De Biologia Y Cs Naturales")</f>
        <v>T5079 Profesor De Biologia Y Cs Naturales</v>
      </c>
    </row>
    <row r="110">
      <c r="A110" s="1" t="str">
        <f>IFERROR(__xludf.DUMMYFUNCTION("""COMPUTED_VALUE"""),"12090301 Departamento de Antropología")</f>
        <v>12090301 Departamento de Antropología</v>
      </c>
      <c r="B110" s="1" t="str">
        <f>IFERROR(__xludf.DUMMYFUNCTION("""COMPUTED_VALUE"""),"A3A001 Académico Prof. Asistente")</f>
        <v>A3A001 Académico Prof. Asistente</v>
      </c>
      <c r="C110" s="1" t="str">
        <f>IFERROR(__xludf.DUMMYFUNCTION("""COMPUTED_VALUE"""),"Prof. Asistente - Categ. Academica Ord.")</f>
        <v>Prof. Asistente - Categ. Academica Ord.</v>
      </c>
      <c r="D110" s="1" t="str">
        <f>IFERROR(__xludf.DUMMYFUNCTION("""COMPUTED_VALUE"""),"A3A Prof. Asistente - Categ. Academica Ord.")</f>
        <v>A3A Prof. Asistente - Categ. Academica Ord.</v>
      </c>
      <c r="E110" s="1" t="str">
        <f>IFERROR(__xludf.DUMMYFUNCTION("""COMPUTED_VALUE"""),"Masculino")</f>
        <v>Masculino</v>
      </c>
      <c r="F110" s="1" t="str">
        <f>IFERROR(__xludf.DUMMYFUNCTION("""COMPUTED_VALUE"""),"Flores")</f>
        <v>Flores</v>
      </c>
      <c r="G110" s="1" t="str">
        <f>IFERROR(__xludf.DUMMYFUNCTION("""COMPUTED_VALUE"""),"Guerrero")</f>
        <v>Guerrero</v>
      </c>
      <c r="H110" s="1" t="str">
        <f>IFERROR(__xludf.DUMMYFUNCTION("""COMPUTED_VALUE"""),"Eduardo Rodrigo")</f>
        <v>Eduardo Rodrigo</v>
      </c>
      <c r="I110" s="1" t="str">
        <f>IFERROR(__xludf.DUMMYFUNCTION("""COMPUTED_VALUE"""),"Flores Guerrero Eduardo Rodrigo")</f>
        <v>Flores Guerrero Eduardo Rodrigo</v>
      </c>
      <c r="J110" s="10">
        <f>IFERROR(__xludf.DUMMYFUNCTION("""COMPUTED_VALUE"""),35951.0)</f>
        <v>35951</v>
      </c>
      <c r="K110" s="10">
        <f>IFERROR(__xludf.DUMMYFUNCTION("""COMPUTED_VALUE"""),26983.0)</f>
        <v>26983</v>
      </c>
      <c r="L110" s="1">
        <f>IFERROR(__xludf.DUMMYFUNCTION("""COMPUTED_VALUE"""),50.0)</f>
        <v>50</v>
      </c>
      <c r="M110" s="1" t="str">
        <f>IFERROR(__xludf.DUMMYFUNCTION("""COMPUTED_VALUE"""),"0001 Casado")</f>
        <v>0001 Casado</v>
      </c>
      <c r="N110" s="1"/>
      <c r="O110" s="10">
        <f>IFERROR(__xludf.DUMMYFUNCTION("""COMPUTED_VALUE"""),38718.0)</f>
        <v>38718</v>
      </c>
      <c r="P110" s="10">
        <f>IFERROR(__xludf.DUMMYFUNCTION("""COMPUTED_VALUE"""),38807.0)</f>
        <v>38807</v>
      </c>
      <c r="Q110" s="1" t="str">
        <f>IFERROR(__xludf.DUMMYFUNCTION("""COMPUTED_VALUE"""),"C Contrata")</f>
        <v>C Contrata</v>
      </c>
      <c r="R110" s="1" t="str">
        <f>IFERROR(__xludf.DUMMYFUNCTION("""COMPUTED_VALUE"""),"A Académico")</f>
        <v>A Académico</v>
      </c>
      <c r="S110" s="9" t="str">
        <f>IFERROR(__xludf.DUMMYFUNCTION("""COMPUTED_VALUE"""),"88785649")</f>
        <v>88785649</v>
      </c>
      <c r="T110" s="1" t="str">
        <f>IFERROR(__xludf.DUMMYFUNCTION("""COMPUTED_VALUE"""),"0088785649")</f>
        <v>0088785649</v>
      </c>
      <c r="U110" s="1">
        <f>IFERROR(__xludf.DUMMYFUNCTION("""COMPUTED_VALUE"""),6.0)</f>
        <v>6</v>
      </c>
      <c r="V110" s="1" t="str">
        <f>IFERROR(__xludf.DUMMYFUNCTION("""COMPUTED_VALUE"""),"P0900 Doctor")</f>
        <v>P0900 Doctor</v>
      </c>
      <c r="W110" s="1">
        <f>IFERROR(__xludf.DUMMYFUNCTION("""COMPUTED_VALUE"""),37932.0)</f>
        <v>37932</v>
      </c>
      <c r="X110" s="1" t="str">
        <f>IFERROR(__xludf.DUMMYFUNCTION("""COMPUTED_VALUE"""),"Universidad De Barcelona")</f>
        <v>Universidad De Barcelona</v>
      </c>
      <c r="Y110" s="1" t="str">
        <f>IFERROR(__xludf.DUMMYFUNCTION("""COMPUTED_VALUE"""),"ESPAÑA")</f>
        <v>ESPAÑA</v>
      </c>
      <c r="Z110" s="1" t="str">
        <f>IFERROR(__xludf.DUMMYFUNCTION("""COMPUTED_VALUE"""),"T5003 Antropologo")</f>
        <v>T5003 Antropologo</v>
      </c>
    </row>
    <row r="111">
      <c r="A111" s="1" t="str">
        <f>IFERROR(__xludf.DUMMYFUNCTION("""COMPUTED_VALUE"""),"12090701 Departamento de Psicología")</f>
        <v>12090701 Departamento de Psicología</v>
      </c>
      <c r="B111" s="1" t="str">
        <f>IFERROR(__xludf.DUMMYFUNCTION("""COMPUTED_VALUE"""),"A4A001 ACADEMICO  INSTRUCTOR")</f>
        <v>A4A001 ACADEMICO  INSTRUCTOR</v>
      </c>
      <c r="C111" s="1" t="str">
        <f>IFERROR(__xludf.DUMMYFUNCTION("""COMPUTED_VALUE"""),"Instructor")</f>
        <v>Instructor</v>
      </c>
      <c r="D111" s="1" t="str">
        <f>IFERROR(__xludf.DUMMYFUNCTION("""COMPUTED_VALUE"""),"A4A Instructor")</f>
        <v>A4A Instructor</v>
      </c>
      <c r="E111" s="1" t="str">
        <f>IFERROR(__xludf.DUMMYFUNCTION("""COMPUTED_VALUE"""),"Masculino")</f>
        <v>Masculino</v>
      </c>
      <c r="F111" s="1" t="str">
        <f>IFERROR(__xludf.DUMMYFUNCTION("""COMPUTED_VALUE"""),"Flores")</f>
        <v>Flores</v>
      </c>
      <c r="G111" s="1" t="str">
        <f>IFERROR(__xludf.DUMMYFUNCTION("""COMPUTED_VALUE"""),"Riquelme")</f>
        <v>Riquelme</v>
      </c>
      <c r="H111" s="1" t="str">
        <f>IFERROR(__xludf.DUMMYFUNCTION("""COMPUTED_VALUE"""),"Juan Antonio")</f>
        <v>Juan Antonio</v>
      </c>
      <c r="I111" s="1" t="str">
        <f>IFERROR(__xludf.DUMMYFUNCTION("""COMPUTED_VALUE"""),"Flores Riquelme Juan Antonio")</f>
        <v>Flores Riquelme Juan Antonio</v>
      </c>
      <c r="J111" s="10">
        <f>IFERROR(__xludf.DUMMYFUNCTION("""COMPUTED_VALUE"""),33909.0)</f>
        <v>33909</v>
      </c>
      <c r="K111" s="10">
        <f>IFERROR(__xludf.DUMMYFUNCTION("""COMPUTED_VALUE"""),21713.0)</f>
        <v>21713</v>
      </c>
      <c r="L111" s="1">
        <f>IFERROR(__xludf.DUMMYFUNCTION("""COMPUTED_VALUE"""),64.0)</f>
        <v>64</v>
      </c>
      <c r="M111" s="1" t="str">
        <f>IFERROR(__xludf.DUMMYFUNCTION("""COMPUTED_VALUE"""),"0001 Casado")</f>
        <v>0001 Casado</v>
      </c>
      <c r="N111" s="1"/>
      <c r="O111" s="10">
        <f>IFERROR(__xludf.DUMMYFUNCTION("""COMPUTED_VALUE"""),35065.0)</f>
        <v>35065</v>
      </c>
      <c r="P111" s="10">
        <f>IFERROR(__xludf.DUMMYFUNCTION("""COMPUTED_VALUE"""),35155.0)</f>
        <v>35155</v>
      </c>
      <c r="Q111" s="1" t="str">
        <f>IFERROR(__xludf.DUMMYFUNCTION("""COMPUTED_VALUE"""),"C Contrata")</f>
        <v>C Contrata</v>
      </c>
      <c r="R111" s="1" t="str">
        <f>IFERROR(__xludf.DUMMYFUNCTION("""COMPUTED_VALUE"""),"A Académico")</f>
        <v>A Académico</v>
      </c>
      <c r="S111" s="9" t="str">
        <f>IFERROR(__xludf.DUMMYFUNCTION("""COMPUTED_VALUE"""),"85397710")</f>
        <v>85397710</v>
      </c>
      <c r="T111" s="1" t="str">
        <f>IFERROR(__xludf.DUMMYFUNCTION("""COMPUTED_VALUE"""),"0085397710")</f>
        <v>0085397710</v>
      </c>
      <c r="U111" s="1">
        <f>IFERROR(__xludf.DUMMYFUNCTION("""COMPUTED_VALUE"""),6.0)</f>
        <v>6</v>
      </c>
      <c r="V111" s="1"/>
      <c r="W111" s="1"/>
      <c r="X111" s="1"/>
      <c r="Y111" s="1"/>
      <c r="Z111" s="1"/>
    </row>
    <row r="112" hidden="1">
      <c r="A112" s="1" t="str">
        <f>IFERROR(__xludf.DUMMYFUNCTION("""COMPUTED_VALUE"""),"12090116 Dpto. de Antropología (funcionamiento)")</f>
        <v>12090116 Dpto. de Antropología (funcionamiento)</v>
      </c>
      <c r="B112" s="1" t="str">
        <f>IFERROR(__xludf.DUMMYFUNCTION("""COMPUTED_VALUE"""),"A2A001 Académico Prof. Asociado")</f>
        <v>A2A001 Académico Prof. Asociado</v>
      </c>
      <c r="C112" s="1" t="str">
        <f>IFERROR(__xludf.DUMMYFUNCTION("""COMPUTED_VALUE"""),"Prof. Asociado - Categ. Academica Ord.")</f>
        <v>Prof. Asociado - Categ. Academica Ord.</v>
      </c>
      <c r="D112" s="1" t="str">
        <f>IFERROR(__xludf.DUMMYFUNCTION("""COMPUTED_VALUE"""),"A2A Prof. Asociado - Categ. Academica Ord.")</f>
        <v>A2A Prof. Asociado - Categ. Academica Ord.</v>
      </c>
      <c r="E112" s="1" t="str">
        <f>IFERROR(__xludf.DUMMYFUNCTION("""COMPUTED_VALUE"""),"Masculino")</f>
        <v>Masculino</v>
      </c>
      <c r="F112" s="11" t="str">
        <f>IFERROR(__xludf.DUMMYFUNCTION("""COMPUTED_VALUE"""),"Foerster")</f>
        <v>Foerster</v>
      </c>
      <c r="G112" s="11" t="str">
        <f>IFERROR(__xludf.DUMMYFUNCTION("""COMPUTED_VALUE"""),"González")</f>
        <v>González</v>
      </c>
      <c r="H112" s="11" t="str">
        <f>IFERROR(__xludf.DUMMYFUNCTION("""COMPUTED_VALUE"""),"Roelf René Heinz")</f>
        <v>Roelf René Heinz</v>
      </c>
      <c r="I112" s="1" t="str">
        <f>IFERROR(__xludf.DUMMYFUNCTION("""COMPUTED_VALUE"""),"Foerster González Roelf René Heinz")</f>
        <v>Foerster González Roelf René Heinz</v>
      </c>
      <c r="J112" s="10">
        <f>IFERROR(__xludf.DUMMYFUNCTION("""COMPUTED_VALUE"""),33482.0)</f>
        <v>33482</v>
      </c>
      <c r="K112" s="10">
        <f>IFERROR(__xludf.DUMMYFUNCTION("""COMPUTED_VALUE"""),19115.0)</f>
        <v>19115</v>
      </c>
      <c r="L112" s="1">
        <f>IFERROR(__xludf.DUMMYFUNCTION("""COMPUTED_VALUE"""),71.0)</f>
        <v>71</v>
      </c>
      <c r="M112" s="1" t="str">
        <f>IFERROR(__xludf.DUMMYFUNCTION("""COMPUTED_VALUE"""),"0001 Casado")</f>
        <v>0001 Casado</v>
      </c>
      <c r="N112" s="1"/>
      <c r="O112" s="10">
        <f>IFERROR(__xludf.DUMMYFUNCTION("""COMPUTED_VALUE"""),42186.0)</f>
        <v>42186</v>
      </c>
      <c r="P112" s="10">
        <f>IFERROR(__xludf.DUMMYFUNCTION("""COMPUTED_VALUE"""),73050.0)</f>
        <v>73050</v>
      </c>
      <c r="Q112" s="1" t="str">
        <f>IFERROR(__xludf.DUMMYFUNCTION("""COMPUTED_VALUE"""),"P Propiedad")</f>
        <v>P Propiedad</v>
      </c>
      <c r="R112" s="1" t="str">
        <f>IFERROR(__xludf.DUMMYFUNCTION("""COMPUTED_VALUE"""),"A Académico")</f>
        <v>A Académico</v>
      </c>
      <c r="S112" s="9" t="str">
        <f>IFERROR(__xludf.DUMMYFUNCTION("""COMPUTED_VALUE"""),"67846222")</f>
        <v>67846222</v>
      </c>
      <c r="T112" s="1" t="str">
        <f>IFERROR(__xludf.DUMMYFUNCTION("""COMPUTED_VALUE"""),"0067846222")</f>
        <v>0067846222</v>
      </c>
      <c r="U112" s="1">
        <f>IFERROR(__xludf.DUMMYFUNCTION("""COMPUTED_VALUE"""),44.0)</f>
        <v>44</v>
      </c>
      <c r="V112" s="1" t="str">
        <f>IFERROR(__xludf.DUMMYFUNCTION("""COMPUTED_VALUE"""),"P0900 Doctor")</f>
        <v>P0900 Doctor</v>
      </c>
      <c r="W112" s="1">
        <f>IFERROR(__xludf.DUMMYFUNCTION("""COMPUTED_VALUE"""),38140.0)</f>
        <v>38140</v>
      </c>
      <c r="X112" s="1" t="str">
        <f>IFERROR(__xludf.DUMMYFUNCTION("""COMPUTED_VALUE"""),"Universidad Leidel")</f>
        <v>Universidad Leidel</v>
      </c>
      <c r="Y112" s="1" t="str">
        <f>IFERROR(__xludf.DUMMYFUNCTION("""COMPUTED_VALUE"""),"HOLANDA")</f>
        <v>HOLANDA</v>
      </c>
      <c r="Z112" s="1" t="str">
        <f>IFERROR(__xludf.DUMMYFUNCTION("""COMPUTED_VALUE"""),"T5003 Antropologo")</f>
        <v>T5003 Antropologo</v>
      </c>
    </row>
    <row r="113" hidden="1">
      <c r="A113" s="1" t="str">
        <f>IFERROR(__xludf.DUMMYFUNCTION("""COMPUTED_VALUE"""),"12090118 Dpto. de  Psicología (funcionamiento)")</f>
        <v>12090118 Dpto. de  Psicología (funcionamiento)</v>
      </c>
      <c r="B113" s="1" t="str">
        <f>IFERROR(__xludf.DUMMYFUNCTION("""COMPUTED_VALUE"""),"A2B001 Académico Prof. Asociado")</f>
        <v>A2B001 Académico Prof. Asociado</v>
      </c>
      <c r="C113" s="1" t="str">
        <f>IFERROR(__xludf.DUMMYFUNCTION("""COMPUTED_VALUE"""),"Prof. Asociado - Categ. Academica Doc.")</f>
        <v>Prof. Asociado - Categ. Academica Doc.</v>
      </c>
      <c r="D113" s="1" t="str">
        <f>IFERROR(__xludf.DUMMYFUNCTION("""COMPUTED_VALUE"""),"A2B Prof. Asociado - Categ. Academica Doc.")</f>
        <v>A2B Prof. Asociado - Categ. Academica Doc.</v>
      </c>
      <c r="E113" s="1" t="str">
        <f>IFERROR(__xludf.DUMMYFUNCTION("""COMPUTED_VALUE"""),"Masculino")</f>
        <v>Masculino</v>
      </c>
      <c r="F113" s="1" t="str">
        <f>IFERROR(__xludf.DUMMYFUNCTION("""COMPUTED_VALUE"""),"Foladori")</f>
        <v>Foladori</v>
      </c>
      <c r="G113" s="1" t="str">
        <f>IFERROR(__xludf.DUMMYFUNCTION("""COMPUTED_VALUE"""),"Abeledo")</f>
        <v>Abeledo</v>
      </c>
      <c r="H113" s="1" t="str">
        <f>IFERROR(__xludf.DUMMYFUNCTION("""COMPUTED_VALUE"""),"Horacio Carlos")</f>
        <v>Horacio Carlos</v>
      </c>
      <c r="I113" s="1" t="str">
        <f>IFERROR(__xludf.DUMMYFUNCTION("""COMPUTED_VALUE"""),"Foladori Abeledo Horacio Carlos")</f>
        <v>Foladori Abeledo Horacio Carlos</v>
      </c>
      <c r="J113" s="10">
        <f>IFERROR(__xludf.DUMMYFUNCTION("""COMPUTED_VALUE"""),34973.0)</f>
        <v>34973</v>
      </c>
      <c r="K113" s="10">
        <f>IFERROR(__xludf.DUMMYFUNCTION("""COMPUTED_VALUE"""),16722.0)</f>
        <v>16722</v>
      </c>
      <c r="L113" s="1">
        <f>IFERROR(__xludf.DUMMYFUNCTION("""COMPUTED_VALUE"""),78.0)</f>
        <v>78</v>
      </c>
      <c r="M113" s="1" t="str">
        <f>IFERROR(__xludf.DUMMYFUNCTION("""COMPUTED_VALUE"""),"0003 Viudo")</f>
        <v>0003 Viudo</v>
      </c>
      <c r="N113" s="1"/>
      <c r="O113" s="10">
        <f>IFERROR(__xludf.DUMMYFUNCTION("""COMPUTED_VALUE"""),44197.0)</f>
        <v>44197</v>
      </c>
      <c r="P113" s="10">
        <f>IFERROR(__xludf.DUMMYFUNCTION("""COMPUTED_VALUE"""),44347.0)</f>
        <v>44347</v>
      </c>
      <c r="Q113" s="1" t="str">
        <f>IFERROR(__xludf.DUMMYFUNCTION("""COMPUTED_VALUE"""),"C Contrata")</f>
        <v>C Contrata</v>
      </c>
      <c r="R113" s="1" t="str">
        <f>IFERROR(__xludf.DUMMYFUNCTION("""COMPUTED_VALUE"""),"A Académico")</f>
        <v>A Académico</v>
      </c>
      <c r="S113" s="9" t="str">
        <f>IFERROR(__xludf.DUMMYFUNCTION("""COMPUTED_VALUE"""),"014579756K")</f>
        <v>014579756K</v>
      </c>
      <c r="T113" s="1" t="str">
        <f>IFERROR(__xludf.DUMMYFUNCTION("""COMPUTED_VALUE"""),"014579756K")</f>
        <v>014579756K</v>
      </c>
      <c r="U113" s="1">
        <f>IFERROR(__xludf.DUMMYFUNCTION("""COMPUTED_VALUE"""),18.0)</f>
        <v>18</v>
      </c>
      <c r="V113" s="1" t="str">
        <f>IFERROR(__xludf.DUMMYFUNCTION("""COMPUTED_VALUE"""),"P0900 Doctor")</f>
        <v>P0900 Doctor</v>
      </c>
      <c r="W113" s="1">
        <f>IFERROR(__xludf.DUMMYFUNCTION("""COMPUTED_VALUE"""),29123.0)</f>
        <v>29123</v>
      </c>
      <c r="X113" s="1" t="str">
        <f>IFERROR(__xludf.DUMMYFUNCTION("""COMPUTED_VALUE"""),"Institute For Advance Studies International")</f>
        <v>Institute For Advance Studies International</v>
      </c>
      <c r="Y113" s="1" t="str">
        <f>IFERROR(__xludf.DUMMYFUNCTION("""COMPUTED_VALUE"""),"ESTADOS UNIDOS")</f>
        <v>ESTADOS UNIDOS</v>
      </c>
      <c r="Z113" s="1" t="str">
        <f>IFERROR(__xludf.DUMMYFUNCTION("""COMPUTED_VALUE"""),"T5065 Licenciado en Psicologia")</f>
        <v>T5065 Licenciado en Psicologia</v>
      </c>
    </row>
    <row r="114" hidden="1">
      <c r="A114" s="1" t="str">
        <f>IFERROR(__xludf.DUMMYFUNCTION("""COMPUTED_VALUE"""),"12090701 Departamento de Psicología")</f>
        <v>12090701 Departamento de Psicología</v>
      </c>
      <c r="B114" s="1" t="str">
        <f>IFERROR(__xludf.DUMMYFUNCTION("""COMPUTED_VALUE"""),"A3A001 Académico Prof. Asistente")</f>
        <v>A3A001 Académico Prof. Asistente</v>
      </c>
      <c r="C114" s="1" t="str">
        <f>IFERROR(__xludf.DUMMYFUNCTION("""COMPUTED_VALUE"""),"Prof. Asistente - Categ. Academica Ord.")</f>
        <v>Prof. Asistente - Categ. Academica Ord.</v>
      </c>
      <c r="D114" s="1" t="str">
        <f>IFERROR(__xludf.DUMMYFUNCTION("""COMPUTED_VALUE"""),"A3A Prof. Asistente - Categ. Academica Ord.")</f>
        <v>A3A Prof. Asistente - Categ. Academica Ord.</v>
      </c>
      <c r="E114" s="1" t="str">
        <f>IFERROR(__xludf.DUMMYFUNCTION("""COMPUTED_VALUE"""),"Femenino")</f>
        <v>Femenino</v>
      </c>
      <c r="F114" s="1" t="str">
        <f>IFERROR(__xludf.DUMMYFUNCTION("""COMPUTED_VALUE"""),"Fontecilla")</f>
        <v>Fontecilla</v>
      </c>
      <c r="G114" s="1" t="str">
        <f>IFERROR(__xludf.DUMMYFUNCTION("""COMPUTED_VALUE"""),"Silva")</f>
        <v>Silva</v>
      </c>
      <c r="H114" s="1" t="str">
        <f>IFERROR(__xludf.DUMMYFUNCTION("""COMPUTED_VALUE"""),"Isabel Margarita")</f>
        <v>Isabel Margarita</v>
      </c>
      <c r="I114" s="1" t="str">
        <f>IFERROR(__xludf.DUMMYFUNCTION("""COMPUTED_VALUE"""),"Fontecilla Silva Isabel Margarita")</f>
        <v>Fontecilla Silva Isabel Margarita</v>
      </c>
      <c r="J114" s="10">
        <f>IFERROR(__xludf.DUMMYFUNCTION("""COMPUTED_VALUE"""),30225.0)</f>
        <v>30225</v>
      </c>
      <c r="K114" s="10">
        <f>IFERROR(__xludf.DUMMYFUNCTION("""COMPUTED_VALUE"""),14907.0)</f>
        <v>14907</v>
      </c>
      <c r="L114" s="1">
        <f>IFERROR(__xludf.DUMMYFUNCTION("""COMPUTED_VALUE"""),83.0)</f>
        <v>83</v>
      </c>
      <c r="M114" s="1" t="str">
        <f>IFERROR(__xludf.DUMMYFUNCTION("""COMPUTED_VALUE"""),"0003 Viudo")</f>
        <v>0003 Viudo</v>
      </c>
      <c r="N114" s="1" t="str">
        <f>IFERROR(__xludf.DUMMYFUNCTION("""COMPUTED_VALUE"""),"N0040 Profesional Superior")</f>
        <v>N0040 Profesional Superior</v>
      </c>
      <c r="O114" s="10">
        <f>IFERROR(__xludf.DUMMYFUNCTION("""COMPUTED_VALUE"""),34547.0)</f>
        <v>34547</v>
      </c>
      <c r="P114" s="10">
        <f>IFERROR(__xludf.DUMMYFUNCTION("""COMPUTED_VALUE"""),38518.0)</f>
        <v>38518</v>
      </c>
      <c r="Q114" s="1" t="str">
        <f>IFERROR(__xludf.DUMMYFUNCTION("""COMPUTED_VALUE"""),"P Propiedad")</f>
        <v>P Propiedad</v>
      </c>
      <c r="R114" s="1" t="str">
        <f>IFERROR(__xludf.DUMMYFUNCTION("""COMPUTED_VALUE"""),"A Académico")</f>
        <v>A Académico</v>
      </c>
      <c r="S114" s="9" t="str">
        <f>IFERROR(__xludf.DUMMYFUNCTION("""COMPUTED_VALUE"""),"46666348")</f>
        <v>46666348</v>
      </c>
      <c r="T114" s="1" t="str">
        <f>IFERROR(__xludf.DUMMYFUNCTION("""COMPUTED_VALUE"""),"0046666348")</f>
        <v>0046666348</v>
      </c>
      <c r="U114" s="1">
        <f>IFERROR(__xludf.DUMMYFUNCTION("""COMPUTED_VALUE"""),44.0)</f>
        <v>44</v>
      </c>
      <c r="V114" s="1" t="str">
        <f>IFERROR(__xludf.DUMMYFUNCTION("""COMPUTED_VALUE"""),"P0501 Con Titulo Profesional")</f>
        <v>P0501 Con Titulo Profesional</v>
      </c>
      <c r="W114" s="1">
        <f>IFERROR(__xludf.DUMMYFUNCTION("""COMPUTED_VALUE"""),28856.0)</f>
        <v>28856</v>
      </c>
      <c r="X114" s="1" t="str">
        <f>IFERROR(__xludf.DUMMYFUNCTION("""COMPUTED_VALUE"""),"Universidad De Chile")</f>
        <v>Universidad De Chile</v>
      </c>
      <c r="Y114" s="1" t="str">
        <f>IFERROR(__xludf.DUMMYFUNCTION("""COMPUTED_VALUE"""),"CHILE")</f>
        <v>CHILE</v>
      </c>
      <c r="Z114" s="1" t="str">
        <f>IFERROR(__xludf.DUMMYFUNCTION("""COMPUTED_VALUE"""),"T5124 Psicologo")</f>
        <v>T5124 Psicologo</v>
      </c>
    </row>
    <row r="115" hidden="1">
      <c r="A115" s="1" t="str">
        <f>IFERROR(__xludf.DUMMYFUNCTION("""COMPUTED_VALUE"""),"12090501 Departamento de Investigaciónes Mediáticas y de la Comunicación")</f>
        <v>12090501 Departamento de Investigaciónes Mediáticas y de la Comunicación</v>
      </c>
      <c r="B115" s="1" t="str">
        <f>IFERROR(__xludf.DUMMYFUNCTION("""COMPUTED_VALUE"""),"A4A001 ACADEMICO  INSTRUCTOR")</f>
        <v>A4A001 ACADEMICO  INSTRUCTOR</v>
      </c>
      <c r="C115" s="1" t="str">
        <f>IFERROR(__xludf.DUMMYFUNCTION("""COMPUTED_VALUE"""),"Instructor")</f>
        <v>Instructor</v>
      </c>
      <c r="D115" s="1" t="str">
        <f>IFERROR(__xludf.DUMMYFUNCTION("""COMPUTED_VALUE"""),"A4A Instructor")</f>
        <v>A4A Instructor</v>
      </c>
      <c r="E115" s="1" t="str">
        <f>IFERROR(__xludf.DUMMYFUNCTION("""COMPUTED_VALUE"""),"Femenino")</f>
        <v>Femenino</v>
      </c>
      <c r="F115" s="1" t="str">
        <f>IFERROR(__xludf.DUMMYFUNCTION("""COMPUTED_VALUE"""),"Foxley")</f>
        <v>Foxley</v>
      </c>
      <c r="G115" s="1" t="str">
        <f>IFERROR(__xludf.DUMMYFUNCTION("""COMPUTED_VALUE"""),"Rioseco")</f>
        <v>Rioseco</v>
      </c>
      <c r="H115" s="1" t="str">
        <f>IFERROR(__xludf.DUMMYFUNCTION("""COMPUTED_VALUE"""),"Ana María")</f>
        <v>Ana María</v>
      </c>
      <c r="I115" s="1" t="str">
        <f>IFERROR(__xludf.DUMMYFUNCTION("""COMPUTED_VALUE"""),"Foxley Rioseco Ana María")</f>
        <v>Foxley Rioseco Ana María</v>
      </c>
      <c r="J115" s="10">
        <f>IFERROR(__xludf.DUMMYFUNCTION("""COMPUTED_VALUE"""),36039.0)</f>
        <v>36039</v>
      </c>
      <c r="K115" s="10">
        <f>IFERROR(__xludf.DUMMYFUNCTION("""COMPUTED_VALUE"""),17076.0)</f>
        <v>17076</v>
      </c>
      <c r="L115" s="1">
        <f>IFERROR(__xludf.DUMMYFUNCTION("""COMPUTED_VALUE"""),77.0)</f>
        <v>77</v>
      </c>
      <c r="M115" s="1" t="str">
        <f>IFERROR(__xludf.DUMMYFUNCTION("""COMPUTED_VALUE"""),"0001 Casado")</f>
        <v>0001 Casado</v>
      </c>
      <c r="N115" s="1"/>
      <c r="O115" s="10">
        <f>IFERROR(__xludf.DUMMYFUNCTION("""COMPUTED_VALUE"""),36526.0)</f>
        <v>36526</v>
      </c>
      <c r="P115" s="10">
        <f>IFERROR(__xludf.DUMMYFUNCTION("""COMPUTED_VALUE"""),36891.0)</f>
        <v>36891</v>
      </c>
      <c r="Q115" s="1" t="str">
        <f>IFERROR(__xludf.DUMMYFUNCTION("""COMPUTED_VALUE"""),"C Contrata")</f>
        <v>C Contrata</v>
      </c>
      <c r="R115" s="1" t="str">
        <f>IFERROR(__xludf.DUMMYFUNCTION("""COMPUTED_VALUE"""),"A Académico")</f>
        <v>A Académico</v>
      </c>
      <c r="S115" s="9" t="str">
        <f>IFERROR(__xludf.DUMMYFUNCTION("""COMPUTED_VALUE"""),"55974640")</f>
        <v>55974640</v>
      </c>
      <c r="T115" s="1" t="str">
        <f>IFERROR(__xludf.DUMMYFUNCTION("""COMPUTED_VALUE"""),"0055974640")</f>
        <v>0055974640</v>
      </c>
      <c r="U115" s="1">
        <f>IFERROR(__xludf.DUMMYFUNCTION("""COMPUTED_VALUE"""),6.0)</f>
        <v>6</v>
      </c>
      <c r="V115" s="1"/>
      <c r="W115" s="1"/>
      <c r="X115" s="1"/>
      <c r="Y115" s="1"/>
      <c r="Z115" s="1"/>
    </row>
    <row r="116">
      <c r="A116" s="1" t="str">
        <f>IFERROR(__xludf.DUMMYFUNCTION("""COMPUTED_VALUE"""),"12090701 Departamento de Psicología")</f>
        <v>12090701 Departamento de Psicología</v>
      </c>
      <c r="B116" s="1" t="str">
        <f>IFERROR(__xludf.DUMMYFUNCTION("""COMPUTED_VALUE"""),"A4A001 ACADEMICO  INSTRUCTOR")</f>
        <v>A4A001 ACADEMICO  INSTRUCTOR</v>
      </c>
      <c r="C116" s="1" t="str">
        <f>IFERROR(__xludf.DUMMYFUNCTION("""COMPUTED_VALUE"""),"Instructor")</f>
        <v>Instructor</v>
      </c>
      <c r="D116" s="1" t="str">
        <f>IFERROR(__xludf.DUMMYFUNCTION("""COMPUTED_VALUE"""),"A4A Instructor")</f>
        <v>A4A Instructor</v>
      </c>
      <c r="E116" s="1" t="str">
        <f>IFERROR(__xludf.DUMMYFUNCTION("""COMPUTED_VALUE"""),"Masculino")</f>
        <v>Masculino</v>
      </c>
      <c r="F116" s="1" t="str">
        <f>IFERROR(__xludf.DUMMYFUNCTION("""COMPUTED_VALUE"""),"Frez")</f>
        <v>Frez</v>
      </c>
      <c r="G116" s="1" t="str">
        <f>IFERROR(__xludf.DUMMYFUNCTION("""COMPUTED_VALUE"""),"de Negri")</f>
        <v>de Negri</v>
      </c>
      <c r="H116" s="1" t="str">
        <f>IFERROR(__xludf.DUMMYFUNCTION("""COMPUTED_VALUE"""),"Guillermo Ulises")</f>
        <v>Guillermo Ulises</v>
      </c>
      <c r="I116" s="1" t="str">
        <f>IFERROR(__xludf.DUMMYFUNCTION("""COMPUTED_VALUE"""),"Frez de Negri Guillermo Ulises")</f>
        <v>Frez de Negri Guillermo Ulises</v>
      </c>
      <c r="J116" s="10">
        <f>IFERROR(__xludf.DUMMYFUNCTION("""COMPUTED_VALUE"""),33909.0)</f>
        <v>33909</v>
      </c>
      <c r="K116" s="10">
        <f>IFERROR(__xludf.DUMMYFUNCTION("""COMPUTED_VALUE"""),20272.0)</f>
        <v>20272</v>
      </c>
      <c r="L116" s="1">
        <f>IFERROR(__xludf.DUMMYFUNCTION("""COMPUTED_VALUE"""),68.0)</f>
        <v>68</v>
      </c>
      <c r="M116" s="1" t="str">
        <f>IFERROR(__xludf.DUMMYFUNCTION("""COMPUTED_VALUE"""),"0002 Soltero")</f>
        <v>0002 Soltero</v>
      </c>
      <c r="N116" s="1"/>
      <c r="O116" s="10">
        <f>IFERROR(__xludf.DUMMYFUNCTION("""COMPUTED_VALUE"""),35065.0)</f>
        <v>35065</v>
      </c>
      <c r="P116" s="10">
        <f>IFERROR(__xludf.DUMMYFUNCTION("""COMPUTED_VALUE"""),35124.0)</f>
        <v>35124</v>
      </c>
      <c r="Q116" s="1" t="str">
        <f>IFERROR(__xludf.DUMMYFUNCTION("""COMPUTED_VALUE"""),"C Contrata")</f>
        <v>C Contrata</v>
      </c>
      <c r="R116" s="1" t="str">
        <f>IFERROR(__xludf.DUMMYFUNCTION("""COMPUTED_VALUE"""),"A Académico")</f>
        <v>A Académico</v>
      </c>
      <c r="S116" s="9" t="str">
        <f>IFERROR(__xludf.DUMMYFUNCTION("""COMPUTED_VALUE"""),"53670504")</f>
        <v>53670504</v>
      </c>
      <c r="T116" s="1" t="str">
        <f>IFERROR(__xludf.DUMMYFUNCTION("""COMPUTED_VALUE"""),"0053670504")</f>
        <v>0053670504</v>
      </c>
      <c r="U116" s="1">
        <f>IFERROR(__xludf.DUMMYFUNCTION("""COMPUTED_VALUE"""),22.0)</f>
        <v>22</v>
      </c>
      <c r="V116" s="1"/>
      <c r="W116" s="1"/>
      <c r="X116" s="1"/>
      <c r="Y116" s="1"/>
      <c r="Z116" s="1" t="str">
        <f>IFERROR(__xludf.DUMMYFUNCTION("""COMPUTED_VALUE"""),"T5124 Psicologo")</f>
        <v>T5124 Psicologo</v>
      </c>
    </row>
    <row r="117">
      <c r="A117" s="1" t="str">
        <f>IFERROR(__xludf.DUMMYFUNCTION("""COMPUTED_VALUE"""),"12090120 Departamento de Trabajo Social")</f>
        <v>12090120 Departamento de Trabajo Social</v>
      </c>
      <c r="B117" s="1" t="str">
        <f>IFERROR(__xludf.DUMMYFUNCTION("""COMPUTED_VALUE"""),"A3A001 Académico Prof. Asistente")</f>
        <v>A3A001 Académico Prof. Asistente</v>
      </c>
      <c r="C117" s="1" t="str">
        <f>IFERROR(__xludf.DUMMYFUNCTION("""COMPUTED_VALUE"""),"Prof. Asistente - Categ. Academica Ord.")</f>
        <v>Prof. Asistente - Categ. Academica Ord.</v>
      </c>
      <c r="D117" s="1" t="str">
        <f>IFERROR(__xludf.DUMMYFUNCTION("""COMPUTED_VALUE"""),"A3A Prof. Asistente - Categ. Academica Ord.")</f>
        <v>A3A Prof. Asistente - Categ. Academica Ord.</v>
      </c>
      <c r="E117" s="1" t="str">
        <f>IFERROR(__xludf.DUMMYFUNCTION("""COMPUTED_VALUE"""),"Femenino")</f>
        <v>Femenino</v>
      </c>
      <c r="F117" s="1" t="str">
        <f>IFERROR(__xludf.DUMMYFUNCTION("""COMPUTED_VALUE"""),"Frías")</f>
        <v>Frías</v>
      </c>
      <c r="G117" s="1" t="str">
        <f>IFERROR(__xludf.DUMMYFUNCTION("""COMPUTED_VALUE"""),"Ortega")</f>
        <v>Ortega</v>
      </c>
      <c r="H117" s="1" t="str">
        <f>IFERROR(__xludf.DUMMYFUNCTION("""COMPUTED_VALUE"""),"Carla Mirella")</f>
        <v>Carla Mirella</v>
      </c>
      <c r="I117" s="1" t="str">
        <f>IFERROR(__xludf.DUMMYFUNCTION("""COMPUTED_VALUE"""),"Frías Ortega Carla Mirella")</f>
        <v>Frías Ortega Carla Mirella</v>
      </c>
      <c r="J117" s="10">
        <f>IFERROR(__xludf.DUMMYFUNCTION("""COMPUTED_VALUE"""),41275.0)</f>
        <v>41275</v>
      </c>
      <c r="K117" s="10">
        <f>IFERROR(__xludf.DUMMYFUNCTION("""COMPUTED_VALUE"""),25568.0)</f>
        <v>25568</v>
      </c>
      <c r="L117" s="1">
        <f>IFERROR(__xludf.DUMMYFUNCTION("""COMPUTED_VALUE"""),54.0)</f>
        <v>54</v>
      </c>
      <c r="M117" s="1" t="str">
        <f>IFERROR(__xludf.DUMMYFUNCTION("""COMPUTED_VALUE"""),"0002 Soltero")</f>
        <v>0002 Soltero</v>
      </c>
      <c r="N117" s="1" t="str">
        <f>IFERROR(__xludf.DUMMYFUNCTION("""COMPUTED_VALUE"""),"N0040 Profesional Superior")</f>
        <v>N0040 Profesional Superior</v>
      </c>
      <c r="O117" s="10">
        <f>IFERROR(__xludf.DUMMYFUNCTION("""COMPUTED_VALUE"""),44927.0)</f>
        <v>44927</v>
      </c>
      <c r="P117" s="10">
        <f>IFERROR(__xludf.DUMMYFUNCTION("""COMPUTED_VALUE"""),45291.0)</f>
        <v>45291</v>
      </c>
      <c r="Q117" s="1" t="str">
        <f>IFERROR(__xludf.DUMMYFUNCTION("""COMPUTED_VALUE"""),"C Contrata")</f>
        <v>C Contrata</v>
      </c>
      <c r="R117" s="1" t="str">
        <f>IFERROR(__xludf.DUMMYFUNCTION("""COMPUTED_VALUE"""),"A Académico")</f>
        <v>A Académico</v>
      </c>
      <c r="S117" s="9" t="str">
        <f>IFERROR(__xludf.DUMMYFUNCTION("""COMPUTED_VALUE"""),"105402880")</f>
        <v>105402880</v>
      </c>
      <c r="T117" s="1" t="str">
        <f>IFERROR(__xludf.DUMMYFUNCTION("""COMPUTED_VALUE"""),"0105402880")</f>
        <v>0105402880</v>
      </c>
      <c r="U117" s="1">
        <f>IFERROR(__xludf.DUMMYFUNCTION("""COMPUTED_VALUE"""),44.0)</f>
        <v>44</v>
      </c>
      <c r="V117" s="1" t="str">
        <f>IFERROR(__xludf.DUMMYFUNCTION("""COMPUTED_VALUE"""),"P0900 Doctor")</f>
        <v>P0900 Doctor</v>
      </c>
      <c r="W117" s="1">
        <f>IFERROR(__xludf.DUMMYFUNCTION("""COMPUTED_VALUE"""),39993.0)</f>
        <v>39993</v>
      </c>
      <c r="X117" s="1" t="str">
        <f>IFERROR(__xludf.DUMMYFUNCTION("""COMPUTED_VALUE"""),"Universitat Autonoma de Barcelona")</f>
        <v>Universitat Autonoma de Barcelona</v>
      </c>
      <c r="Y117" s="1" t="str">
        <f>IFERROR(__xludf.DUMMYFUNCTION("""COMPUTED_VALUE"""),"ESPAÑA")</f>
        <v>ESPAÑA</v>
      </c>
      <c r="Z117" s="1" t="str">
        <f>IFERROR(__xludf.DUMMYFUNCTION("""COMPUTED_VALUE"""),"T5005 Asistente Social")</f>
        <v>T5005 Asistente Social</v>
      </c>
    </row>
    <row r="118" hidden="1">
      <c r="A118" s="1" t="str">
        <f>IFERROR(__xludf.DUMMYFUNCTION("""COMPUTED_VALUE"""),"12090501 Departamento de Investigaciónes Mediáticas y de la Comunicación")</f>
        <v>12090501 Departamento de Investigaciónes Mediáticas y de la Comunicación</v>
      </c>
      <c r="B118" s="1" t="str">
        <f>IFERROR(__xludf.DUMMYFUNCTION("""COMPUTED_VALUE"""),"A3A001 Académico Prof. Asistente")</f>
        <v>A3A001 Académico Prof. Asistente</v>
      </c>
      <c r="C118" s="1" t="str">
        <f>IFERROR(__xludf.DUMMYFUNCTION("""COMPUTED_VALUE"""),"Prof. Asistente - Categ. Academica Ord.")</f>
        <v>Prof. Asistente - Categ. Academica Ord.</v>
      </c>
      <c r="D118" s="1" t="str">
        <f>IFERROR(__xludf.DUMMYFUNCTION("""COMPUTED_VALUE"""),"A3A Prof. Asistente - Categ. Academica Ord.")</f>
        <v>A3A Prof. Asistente - Categ. Academica Ord.</v>
      </c>
      <c r="E118" s="1" t="str">
        <f>IFERROR(__xludf.DUMMYFUNCTION("""COMPUTED_VALUE"""),"Femenino")</f>
        <v>Femenino</v>
      </c>
      <c r="F118" s="1" t="str">
        <f>IFERROR(__xludf.DUMMYFUNCTION("""COMPUTED_VALUE"""),"Fuentes")</f>
        <v>Fuentes</v>
      </c>
      <c r="G118" s="1" t="str">
        <f>IFERROR(__xludf.DUMMYFUNCTION("""COMPUTED_VALUE"""),"Aeta")</f>
        <v>Aeta</v>
      </c>
      <c r="H118" s="1" t="str">
        <f>IFERROR(__xludf.DUMMYFUNCTION("""COMPUTED_VALUE"""),"Iris Luisa de Lourdes")</f>
        <v>Iris Luisa de Lourdes</v>
      </c>
      <c r="I118" s="1" t="str">
        <f>IFERROR(__xludf.DUMMYFUNCTION("""COMPUTED_VALUE"""),"Fuentes Aeta Iris Luisa de Lourdes")</f>
        <v>Fuentes Aeta Iris Luisa de Lourdes</v>
      </c>
      <c r="J118" s="10">
        <f>IFERROR(__xludf.DUMMYFUNCTION("""COMPUTED_VALUE"""),33117.0)</f>
        <v>33117</v>
      </c>
      <c r="K118" s="10">
        <f>IFERROR(__xludf.DUMMYFUNCTION("""COMPUTED_VALUE"""),17011.0)</f>
        <v>17011</v>
      </c>
      <c r="L118" s="1">
        <f>IFERROR(__xludf.DUMMYFUNCTION("""COMPUTED_VALUE"""),77.0)</f>
        <v>77</v>
      </c>
      <c r="M118" s="1" t="str">
        <f>IFERROR(__xludf.DUMMYFUNCTION("""COMPUTED_VALUE"""),"0003 Viudo")</f>
        <v>0003 Viudo</v>
      </c>
      <c r="N118" s="1"/>
      <c r="O118" s="10">
        <f>IFERROR(__xludf.DUMMYFUNCTION("""COMPUTED_VALUE"""),33420.0)</f>
        <v>33420</v>
      </c>
      <c r="P118" s="10">
        <f>IFERROR(__xludf.DUMMYFUNCTION("""COMPUTED_VALUE"""),37907.0)</f>
        <v>37907</v>
      </c>
      <c r="Q118" s="1" t="str">
        <f>IFERROR(__xludf.DUMMYFUNCTION("""COMPUTED_VALUE"""),"P Propiedad")</f>
        <v>P Propiedad</v>
      </c>
      <c r="R118" s="1" t="str">
        <f>IFERROR(__xludf.DUMMYFUNCTION("""COMPUTED_VALUE"""),"A Académico")</f>
        <v>A Académico</v>
      </c>
      <c r="S118" s="9" t="str">
        <f>IFERROR(__xludf.DUMMYFUNCTION("""COMPUTED_VALUE"""),"50573354")</f>
        <v>50573354</v>
      </c>
      <c r="T118" s="1" t="str">
        <f>IFERROR(__xludf.DUMMYFUNCTION("""COMPUTED_VALUE"""),"0050573354")</f>
        <v>0050573354</v>
      </c>
      <c r="U118" s="1">
        <f>IFERROR(__xludf.DUMMYFUNCTION("""COMPUTED_VALUE"""),6.0)</f>
        <v>6</v>
      </c>
      <c r="V118" s="1" t="str">
        <f>IFERROR(__xludf.DUMMYFUNCTION("""COMPUTED_VALUE"""),"P0501 Con Titulo Profesional")</f>
        <v>P0501 Con Titulo Profesional</v>
      </c>
      <c r="W118" s="1">
        <f>IFERROR(__xludf.DUMMYFUNCTION("""COMPUTED_VALUE"""),25897.0)</f>
        <v>25897</v>
      </c>
      <c r="X118" s="1" t="str">
        <f>IFERROR(__xludf.DUMMYFUNCTION("""COMPUTED_VALUE"""),"Universidad De Chile")</f>
        <v>Universidad De Chile</v>
      </c>
      <c r="Y118" s="1" t="str">
        <f>IFERROR(__xludf.DUMMYFUNCTION("""COMPUTED_VALUE"""),"CHILE")</f>
        <v>CHILE</v>
      </c>
      <c r="Z118" s="1"/>
    </row>
    <row r="119">
      <c r="A119" s="1" t="str">
        <f>IFERROR(__xludf.DUMMYFUNCTION("""COMPUTED_VALUE"""),"12090701 Departamento de Psicología")</f>
        <v>12090701 Departamento de Psicología</v>
      </c>
      <c r="B119" s="1" t="str">
        <f>IFERROR(__xludf.DUMMYFUNCTION("""COMPUTED_VALUE"""),"A5A001 ACADEMICO AYUDANTE")</f>
        <v>A5A001 ACADEMICO AYUDANTE</v>
      </c>
      <c r="C119" s="1" t="str">
        <f>IFERROR(__xludf.DUMMYFUNCTION("""COMPUTED_VALUE"""),"Ayudante")</f>
        <v>Ayudante</v>
      </c>
      <c r="D119" s="1" t="str">
        <f>IFERROR(__xludf.DUMMYFUNCTION("""COMPUTED_VALUE"""),"A5A Ayudante")</f>
        <v>A5A Ayudante</v>
      </c>
      <c r="E119" s="1" t="str">
        <f>IFERROR(__xludf.DUMMYFUNCTION("""COMPUTED_VALUE"""),"Femenino")</f>
        <v>Femenino</v>
      </c>
      <c r="F119" s="1" t="str">
        <f>IFERROR(__xludf.DUMMYFUNCTION("""COMPUTED_VALUE"""),"Fuentes")</f>
        <v>Fuentes</v>
      </c>
      <c r="G119" s="1" t="str">
        <f>IFERROR(__xludf.DUMMYFUNCTION("""COMPUTED_VALUE"""),"Riquelme")</f>
        <v>Riquelme</v>
      </c>
      <c r="H119" s="1" t="str">
        <f>IFERROR(__xludf.DUMMYFUNCTION("""COMPUTED_VALUE"""),"Magaly Andrea")</f>
        <v>Magaly Andrea</v>
      </c>
      <c r="I119" s="1" t="str">
        <f>IFERROR(__xludf.DUMMYFUNCTION("""COMPUTED_VALUE"""),"Fuentes Riquelme Magaly Andrea")</f>
        <v>Fuentes Riquelme Magaly Andrea</v>
      </c>
      <c r="J119" s="10">
        <f>IFERROR(__xludf.DUMMYFUNCTION("""COMPUTED_VALUE"""),39387.0)</f>
        <v>39387</v>
      </c>
      <c r="K119" s="10">
        <f>IFERROR(__xludf.DUMMYFUNCTION("""COMPUTED_VALUE"""),30089.0)</f>
        <v>30089</v>
      </c>
      <c r="L119" s="1">
        <f>IFERROR(__xludf.DUMMYFUNCTION("""COMPUTED_VALUE"""),41.0)</f>
        <v>41</v>
      </c>
      <c r="M119" s="1" t="str">
        <f>IFERROR(__xludf.DUMMYFUNCTION("""COMPUTED_VALUE"""),"0002 Soltero")</f>
        <v>0002 Soltero</v>
      </c>
      <c r="N119" s="1"/>
      <c r="O119" s="10">
        <f>IFERROR(__xludf.DUMMYFUNCTION("""COMPUTED_VALUE"""),39448.0)</f>
        <v>39448</v>
      </c>
      <c r="P119" s="10">
        <f>IFERROR(__xludf.DUMMYFUNCTION("""COMPUTED_VALUE"""),39538.0)</f>
        <v>39538</v>
      </c>
      <c r="Q119" s="1" t="str">
        <f>IFERROR(__xludf.DUMMYFUNCTION("""COMPUTED_VALUE"""),"C Contrata")</f>
        <v>C Contrata</v>
      </c>
      <c r="R119" s="1" t="str">
        <f>IFERROR(__xludf.DUMMYFUNCTION("""COMPUTED_VALUE"""),"A Académico")</f>
        <v>A Académico</v>
      </c>
      <c r="S119" s="9" t="str">
        <f>IFERROR(__xludf.DUMMYFUNCTION("""COMPUTED_VALUE"""),"015365820K")</f>
        <v>015365820K</v>
      </c>
      <c r="T119" s="1" t="str">
        <f>IFERROR(__xludf.DUMMYFUNCTION("""COMPUTED_VALUE"""),"015365820K")</f>
        <v>015365820K</v>
      </c>
      <c r="U119" s="1">
        <f>IFERROR(__xludf.DUMMYFUNCTION("""COMPUTED_VALUE"""),2.0)</f>
        <v>2</v>
      </c>
      <c r="V119" s="1"/>
      <c r="W119" s="1"/>
      <c r="X119" s="1"/>
      <c r="Y119" s="1"/>
      <c r="Z119" s="1" t="str">
        <f>IFERROR(__xludf.DUMMYFUNCTION("""COMPUTED_VALUE"""),"T5065 Licenciado en Psicologia")</f>
        <v>T5065 Licenciado en Psicologia</v>
      </c>
    </row>
    <row r="120">
      <c r="A120" s="1" t="str">
        <f>IFERROR(__xludf.DUMMYFUNCTION("""COMPUTED_VALUE"""),"12090501 Departamento de Investigaciónes Mediáticas y de la Comunicación")</f>
        <v>12090501 Departamento de Investigaciónes Mediáticas y de la Comunicación</v>
      </c>
      <c r="B120" s="1" t="str">
        <f>IFERROR(__xludf.DUMMYFUNCTION("""COMPUTED_VALUE"""),"A3A001 Académico Prof. Asistente")</f>
        <v>A3A001 Académico Prof. Asistente</v>
      </c>
      <c r="C120" s="1" t="str">
        <f>IFERROR(__xludf.DUMMYFUNCTION("""COMPUTED_VALUE"""),"Prof. Asistente - Categ. Academica Ord.")</f>
        <v>Prof. Asistente - Categ. Academica Ord.</v>
      </c>
      <c r="D120" s="1" t="str">
        <f>IFERROR(__xludf.DUMMYFUNCTION("""COMPUTED_VALUE"""),"A3A Prof. Asistente - Categ. Academica Ord.")</f>
        <v>A3A Prof. Asistente - Categ. Academica Ord.</v>
      </c>
      <c r="E120" s="1" t="str">
        <f>IFERROR(__xludf.DUMMYFUNCTION("""COMPUTED_VALUE"""),"Masculino")</f>
        <v>Masculino</v>
      </c>
      <c r="F120" s="1" t="str">
        <f>IFERROR(__xludf.DUMMYFUNCTION("""COMPUTED_VALUE"""),"Fuentes")</f>
        <v>Fuentes</v>
      </c>
      <c r="G120" s="1" t="str">
        <f>IFERROR(__xludf.DUMMYFUNCTION("""COMPUTED_VALUE"""),"Vera")</f>
        <v>Vera</v>
      </c>
      <c r="H120" s="1" t="str">
        <f>IFERROR(__xludf.DUMMYFUNCTION("""COMPUTED_VALUE"""),"Cristian Humberto")</f>
        <v>Cristian Humberto</v>
      </c>
      <c r="I120" s="1" t="str">
        <f>IFERROR(__xludf.DUMMYFUNCTION("""COMPUTED_VALUE"""),"Fuentes Vera Cristian Humberto")</f>
        <v>Fuentes Vera Cristian Humberto</v>
      </c>
      <c r="J120" s="10">
        <f>IFERROR(__xludf.DUMMYFUNCTION("""COMPUTED_VALUE"""),35004.0)</f>
        <v>35004</v>
      </c>
      <c r="K120" s="10">
        <f>IFERROR(__xludf.DUMMYFUNCTION("""COMPUTED_VALUE"""),23067.0)</f>
        <v>23067</v>
      </c>
      <c r="L120" s="1">
        <f>IFERROR(__xludf.DUMMYFUNCTION("""COMPUTED_VALUE"""),60.0)</f>
        <v>60</v>
      </c>
      <c r="M120" s="1" t="str">
        <f>IFERROR(__xludf.DUMMYFUNCTION("""COMPUTED_VALUE"""),"0001 Casado")</f>
        <v>0001 Casado</v>
      </c>
      <c r="N120" s="1" t="str">
        <f>IFERROR(__xludf.DUMMYFUNCTION("""COMPUTED_VALUE"""),"N0040 Profesional Superior")</f>
        <v>N0040 Profesional Superior</v>
      </c>
      <c r="O120" s="10">
        <f>IFERROR(__xludf.DUMMYFUNCTION("""COMPUTED_VALUE"""),37803.0)</f>
        <v>37803</v>
      </c>
      <c r="P120" s="10">
        <f>IFERROR(__xludf.DUMMYFUNCTION("""COMPUTED_VALUE"""),37833.0)</f>
        <v>37833</v>
      </c>
      <c r="Q120" s="1" t="str">
        <f>IFERROR(__xludf.DUMMYFUNCTION("""COMPUTED_VALUE"""),"C Contrata")</f>
        <v>C Contrata</v>
      </c>
      <c r="R120" s="1" t="str">
        <f>IFERROR(__xludf.DUMMYFUNCTION("""COMPUTED_VALUE"""),"A Académico")</f>
        <v>A Académico</v>
      </c>
      <c r="S120" s="9" t="str">
        <f>IFERROR(__xludf.DUMMYFUNCTION("""COMPUTED_VALUE"""),"85390317")</f>
        <v>85390317</v>
      </c>
      <c r="T120" s="1" t="str">
        <f>IFERROR(__xludf.DUMMYFUNCTION("""COMPUTED_VALUE"""),"0085390317")</f>
        <v>0085390317</v>
      </c>
      <c r="U120" s="1">
        <f>IFERROR(__xludf.DUMMYFUNCTION("""COMPUTED_VALUE"""),8.0)</f>
        <v>8</v>
      </c>
      <c r="V120" s="1" t="str">
        <f>IFERROR(__xludf.DUMMYFUNCTION("""COMPUTED_VALUE"""),"P0850 Magister")</f>
        <v>P0850 Magister</v>
      </c>
      <c r="W120" s="1">
        <f>IFERROR(__xludf.DUMMYFUNCTION("""COMPUTED_VALUE"""),35443.0)</f>
        <v>35443</v>
      </c>
      <c r="X120" s="1" t="str">
        <f>IFERROR(__xludf.DUMMYFUNCTION("""COMPUTED_VALUE"""),"Universidad De Chile")</f>
        <v>Universidad De Chile</v>
      </c>
      <c r="Y120" s="1" t="str">
        <f>IFERROR(__xludf.DUMMYFUNCTION("""COMPUTED_VALUE"""),"CHILE")</f>
        <v>CHILE</v>
      </c>
      <c r="Z120" s="1" t="str">
        <f>IFERROR(__xludf.DUMMYFUNCTION("""COMPUTED_VALUE"""),"T5102 Profesor De Historia Y Geografia")</f>
        <v>T5102 Profesor De Historia Y Geografia</v>
      </c>
    </row>
    <row r="121">
      <c r="A121" s="1" t="str">
        <f>IFERROR(__xludf.DUMMYFUNCTION("""COMPUTED_VALUE"""),"12090801 Departamento de Sociología")</f>
        <v>12090801 Departamento de Sociología</v>
      </c>
      <c r="B121" s="1" t="str">
        <f>IFERROR(__xludf.DUMMYFUNCTION("""COMPUTED_VALUE"""),"A4A001 ACADEMICO  INSTRUCTOR")</f>
        <v>A4A001 ACADEMICO  INSTRUCTOR</v>
      </c>
      <c r="C121" s="1" t="str">
        <f>IFERROR(__xludf.DUMMYFUNCTION("""COMPUTED_VALUE"""),"Instructor")</f>
        <v>Instructor</v>
      </c>
      <c r="D121" s="1" t="str">
        <f>IFERROR(__xludf.DUMMYFUNCTION("""COMPUTED_VALUE"""),"A4A Instructor")</f>
        <v>A4A Instructor</v>
      </c>
      <c r="E121" s="1" t="str">
        <f>IFERROR(__xludf.DUMMYFUNCTION("""COMPUTED_VALUE"""),"Masculino")</f>
        <v>Masculino</v>
      </c>
      <c r="F121" s="1" t="str">
        <f>IFERROR(__xludf.DUMMYFUNCTION("""COMPUTED_VALUE"""),"Gajardo")</f>
        <v>Gajardo</v>
      </c>
      <c r="G121" s="1" t="str">
        <f>IFERROR(__xludf.DUMMYFUNCTION("""COMPUTED_VALUE"""),"Ibáñez")</f>
        <v>Ibáñez</v>
      </c>
      <c r="H121" s="1" t="str">
        <f>IFERROR(__xludf.DUMMYFUNCTION("""COMPUTED_VALUE"""),"Luis de la Cruz")</f>
        <v>Luis de la Cruz</v>
      </c>
      <c r="I121" s="1" t="str">
        <f>IFERROR(__xludf.DUMMYFUNCTION("""COMPUTED_VALUE"""),"Gajardo Ibáñez Luis de la Cruz")</f>
        <v>Gajardo Ibáñez Luis de la Cruz</v>
      </c>
      <c r="J121" s="10">
        <f>IFERROR(__xludf.DUMMYFUNCTION("""COMPUTED_VALUE"""),30803.0)</f>
        <v>30803</v>
      </c>
      <c r="K121" s="10">
        <f>IFERROR(__xludf.DUMMYFUNCTION("""COMPUTED_VALUE"""),20687.0)</f>
        <v>20687</v>
      </c>
      <c r="L121" s="1">
        <f>IFERROR(__xludf.DUMMYFUNCTION("""COMPUTED_VALUE"""),67.0)</f>
        <v>67</v>
      </c>
      <c r="M121" s="1" t="str">
        <f>IFERROR(__xludf.DUMMYFUNCTION("""COMPUTED_VALUE"""),"0001 Casado")</f>
        <v>0001 Casado</v>
      </c>
      <c r="N121" s="1"/>
      <c r="O121" s="10">
        <f>IFERROR(__xludf.DUMMYFUNCTION("""COMPUTED_VALUE"""),34213.0)</f>
        <v>34213</v>
      </c>
      <c r="P121" s="10">
        <f>IFERROR(__xludf.DUMMYFUNCTION("""COMPUTED_VALUE"""),38664.0)</f>
        <v>38664</v>
      </c>
      <c r="Q121" s="1" t="str">
        <f>IFERROR(__xludf.DUMMYFUNCTION("""COMPUTED_VALUE"""),"P Propiedad")</f>
        <v>P Propiedad</v>
      </c>
      <c r="R121" s="1" t="str">
        <f>IFERROR(__xludf.DUMMYFUNCTION("""COMPUTED_VALUE"""),"A Académico")</f>
        <v>A Académico</v>
      </c>
      <c r="S121" s="9" t="str">
        <f>IFERROR(__xludf.DUMMYFUNCTION("""COMPUTED_VALUE"""),"63661511")</f>
        <v>63661511</v>
      </c>
      <c r="T121" s="1" t="str">
        <f>IFERROR(__xludf.DUMMYFUNCTION("""COMPUTED_VALUE"""),"0063661511")</f>
        <v>0063661511</v>
      </c>
      <c r="U121" s="1">
        <f>IFERROR(__xludf.DUMMYFUNCTION("""COMPUTED_VALUE"""),9.0)</f>
        <v>9</v>
      </c>
      <c r="V121" s="1" t="str">
        <f>IFERROR(__xludf.DUMMYFUNCTION("""COMPUTED_VALUE"""),"P0501 Con Titulo Profesional")</f>
        <v>P0501 Con Titulo Profesional</v>
      </c>
      <c r="W121" s="1">
        <f>IFERROR(__xludf.DUMMYFUNCTION("""COMPUTED_VALUE"""),30453.0)</f>
        <v>30453</v>
      </c>
      <c r="X121" s="1" t="str">
        <f>IFERROR(__xludf.DUMMYFUNCTION("""COMPUTED_VALUE"""),"Universidad De Chile")</f>
        <v>Universidad De Chile</v>
      </c>
      <c r="Y121" s="1" t="str">
        <f>IFERROR(__xludf.DUMMYFUNCTION("""COMPUTED_VALUE"""),"CHILE")</f>
        <v>CHILE</v>
      </c>
      <c r="Z121" s="1" t="str">
        <f>IFERROR(__xludf.DUMMYFUNCTION("""COMPUTED_VALUE"""),"T5082 Sociologo")</f>
        <v>T5082 Sociologo</v>
      </c>
    </row>
    <row r="122" hidden="1">
      <c r="A122" s="1" t="str">
        <f>IFERROR(__xludf.DUMMYFUNCTION("""COMPUTED_VALUE"""),"12090501 Departamento de Investigaciónes Mediáticas y de la Comunicación")</f>
        <v>12090501 Departamento de Investigaciónes Mediáticas y de la Comunicación</v>
      </c>
      <c r="B122" s="1" t="str">
        <f>IFERROR(__xludf.DUMMYFUNCTION("""COMPUTED_VALUE"""),"A3A001 Académico Prof. Asistente")</f>
        <v>A3A001 Académico Prof. Asistente</v>
      </c>
      <c r="C122" s="1" t="str">
        <f>IFERROR(__xludf.DUMMYFUNCTION("""COMPUTED_VALUE"""),"Prof. Asistente - Categ. Academica Ord.")</f>
        <v>Prof. Asistente - Categ. Academica Ord.</v>
      </c>
      <c r="D122" s="1" t="str">
        <f>IFERROR(__xludf.DUMMYFUNCTION("""COMPUTED_VALUE"""),"A3A Prof. Asistente - Categ. Academica Ord.")</f>
        <v>A3A Prof. Asistente - Categ. Academica Ord.</v>
      </c>
      <c r="E122" s="1" t="str">
        <f>IFERROR(__xludf.DUMMYFUNCTION("""COMPUTED_VALUE"""),"Masculino")</f>
        <v>Masculino</v>
      </c>
      <c r="F122" s="1" t="str">
        <f>IFERROR(__xludf.DUMMYFUNCTION("""COMPUTED_VALUE"""),"Gallardo")</f>
        <v>Gallardo</v>
      </c>
      <c r="G122" s="1" t="str">
        <f>IFERROR(__xludf.DUMMYFUNCTION("""COMPUTED_VALUE"""),"Espinoza")</f>
        <v>Espinoza</v>
      </c>
      <c r="H122" s="1" t="str">
        <f>IFERROR(__xludf.DUMMYFUNCTION("""COMPUTED_VALUE"""),"Sergio Hernán")</f>
        <v>Sergio Hernán</v>
      </c>
      <c r="I122" s="1" t="str">
        <f>IFERROR(__xludf.DUMMYFUNCTION("""COMPUTED_VALUE"""),"Gallardo Espinoza Sergio Hernán")</f>
        <v>Gallardo Espinoza Sergio Hernán</v>
      </c>
      <c r="J122" s="10">
        <f>IFERROR(__xludf.DUMMYFUNCTION("""COMPUTED_VALUE"""),31472.0)</f>
        <v>31472</v>
      </c>
      <c r="K122" s="10">
        <f>IFERROR(__xludf.DUMMYFUNCTION("""COMPUTED_VALUE"""),15785.0)</f>
        <v>15785</v>
      </c>
      <c r="L122" s="1">
        <f>IFERROR(__xludf.DUMMYFUNCTION("""COMPUTED_VALUE"""),80.0)</f>
        <v>80</v>
      </c>
      <c r="M122" s="1" t="str">
        <f>IFERROR(__xludf.DUMMYFUNCTION("""COMPUTED_VALUE"""),"0001 Casado")</f>
        <v>0001 Casado</v>
      </c>
      <c r="N122" s="1"/>
      <c r="O122" s="10">
        <f>IFERROR(__xludf.DUMMYFUNCTION("""COMPUTED_VALUE"""),33420.0)</f>
        <v>33420</v>
      </c>
      <c r="P122" s="10">
        <f>IFERROR(__xludf.DUMMYFUNCTION("""COMPUTED_VALUE"""),37833.0)</f>
        <v>37833</v>
      </c>
      <c r="Q122" s="1" t="str">
        <f>IFERROR(__xludf.DUMMYFUNCTION("""COMPUTED_VALUE"""),"P Propiedad")</f>
        <v>P Propiedad</v>
      </c>
      <c r="R122" s="1" t="str">
        <f>IFERROR(__xludf.DUMMYFUNCTION("""COMPUTED_VALUE"""),"A Académico")</f>
        <v>A Académico</v>
      </c>
      <c r="S122" s="9" t="str">
        <f>IFERROR(__xludf.DUMMYFUNCTION("""COMPUTED_VALUE"""),"36217081")</f>
        <v>36217081</v>
      </c>
      <c r="T122" s="1" t="str">
        <f>IFERROR(__xludf.DUMMYFUNCTION("""COMPUTED_VALUE"""),"0036217081")</f>
        <v>0036217081</v>
      </c>
      <c r="U122" s="1">
        <f>IFERROR(__xludf.DUMMYFUNCTION("""COMPUTED_VALUE"""),6.0)</f>
        <v>6</v>
      </c>
      <c r="V122" s="1" t="str">
        <f>IFERROR(__xludf.DUMMYFUNCTION("""COMPUTED_VALUE"""),"P0501 Con Titulo Profesional")</f>
        <v>P0501 Con Titulo Profesional</v>
      </c>
      <c r="W122" s="1">
        <f>IFERROR(__xludf.DUMMYFUNCTION("""COMPUTED_VALUE"""),26911.0)</f>
        <v>26911</v>
      </c>
      <c r="X122" s="1" t="str">
        <f>IFERROR(__xludf.DUMMYFUNCTION("""COMPUTED_VALUE"""),"Universidad De Chile")</f>
        <v>Universidad De Chile</v>
      </c>
      <c r="Y122" s="1" t="str">
        <f>IFERROR(__xludf.DUMMYFUNCTION("""COMPUTED_VALUE"""),"CHILE")</f>
        <v>CHILE</v>
      </c>
      <c r="Z122" s="1"/>
    </row>
    <row r="123" hidden="1">
      <c r="A123" s="1" t="str">
        <f>IFERROR(__xludf.DUMMYFUNCTION("""COMPUTED_VALUE"""),"12090701 Departamento de Psicología")</f>
        <v>12090701 Departamento de Psicología</v>
      </c>
      <c r="B123" s="1" t="str">
        <f>IFERROR(__xludf.DUMMYFUNCTION("""COMPUTED_VALUE"""),"A3A001 Académico Prof. Asistente")</f>
        <v>A3A001 Académico Prof. Asistente</v>
      </c>
      <c r="C123" s="1" t="str">
        <f>IFERROR(__xludf.DUMMYFUNCTION("""COMPUTED_VALUE"""),"Prof. Asistente - Categ. Academica Ord.")</f>
        <v>Prof. Asistente - Categ. Academica Ord.</v>
      </c>
      <c r="D123" s="1" t="str">
        <f>IFERROR(__xludf.DUMMYFUNCTION("""COMPUTED_VALUE"""),"A3A Prof. Asistente - Categ. Academica Ord.")</f>
        <v>A3A Prof. Asistente - Categ. Academica Ord.</v>
      </c>
      <c r="E123" s="1" t="str">
        <f>IFERROR(__xludf.DUMMYFUNCTION("""COMPUTED_VALUE"""),"Femenino")</f>
        <v>Femenino</v>
      </c>
      <c r="F123" s="1" t="str">
        <f>IFERROR(__xludf.DUMMYFUNCTION("""COMPUTED_VALUE"""),"Gallardo")</f>
        <v>Gallardo</v>
      </c>
      <c r="G123" s="1" t="str">
        <f>IFERROR(__xludf.DUMMYFUNCTION("""COMPUTED_VALUE"""),"Rayo")</f>
        <v>Rayo</v>
      </c>
      <c r="H123" s="1" t="str">
        <f>IFERROR(__xludf.DUMMYFUNCTION("""COMPUTED_VALUE"""),"Iris María")</f>
        <v>Iris María</v>
      </c>
      <c r="I123" s="1" t="str">
        <f>IFERROR(__xludf.DUMMYFUNCTION("""COMPUTED_VALUE"""),"Gallardo Rayo Iris María")</f>
        <v>Gallardo Rayo Iris María</v>
      </c>
      <c r="J123" s="10">
        <f>IFERROR(__xludf.DUMMYFUNCTION("""COMPUTED_VALUE"""),27729.0)</f>
        <v>27729</v>
      </c>
      <c r="K123" s="10">
        <f>IFERROR(__xludf.DUMMYFUNCTION("""COMPUTED_VALUE"""),17119.0)</f>
        <v>17119</v>
      </c>
      <c r="L123" s="1">
        <f>IFERROR(__xludf.DUMMYFUNCTION("""COMPUTED_VALUE"""),77.0)</f>
        <v>77</v>
      </c>
      <c r="M123" s="1" t="str">
        <f>IFERROR(__xludf.DUMMYFUNCTION("""COMPUTED_VALUE"""),"0001 Casado")</f>
        <v>0001 Casado</v>
      </c>
      <c r="N123" s="1"/>
      <c r="O123" s="10">
        <f>IFERROR(__xludf.DUMMYFUNCTION("""COMPUTED_VALUE"""),33939.0)</f>
        <v>33939</v>
      </c>
      <c r="P123" s="10">
        <f>IFERROR(__xludf.DUMMYFUNCTION("""COMPUTED_VALUE"""),40774.0)</f>
        <v>40774</v>
      </c>
      <c r="Q123" s="1" t="str">
        <f>IFERROR(__xludf.DUMMYFUNCTION("""COMPUTED_VALUE"""),"P Propiedad")</f>
        <v>P Propiedad</v>
      </c>
      <c r="R123" s="1" t="str">
        <f>IFERROR(__xludf.DUMMYFUNCTION("""COMPUTED_VALUE"""),"A Académico")</f>
        <v>A Académico</v>
      </c>
      <c r="S123" s="9" t="str">
        <f>IFERROR(__xludf.DUMMYFUNCTION("""COMPUTED_VALUE"""),"55729786")</f>
        <v>55729786</v>
      </c>
      <c r="T123" s="1" t="str">
        <f>IFERROR(__xludf.DUMMYFUNCTION("""COMPUTED_VALUE"""),"0055729786")</f>
        <v>0055729786</v>
      </c>
      <c r="U123" s="1">
        <f>IFERROR(__xludf.DUMMYFUNCTION("""COMPUTED_VALUE"""),44.0)</f>
        <v>44</v>
      </c>
      <c r="V123" s="1" t="str">
        <f>IFERROR(__xludf.DUMMYFUNCTION("""COMPUTED_VALUE"""),"P0501 Con Titulo Profesional")</f>
        <v>P0501 Con Titulo Profesional</v>
      </c>
      <c r="W123" s="1">
        <f>IFERROR(__xludf.DUMMYFUNCTION("""COMPUTED_VALUE"""),27525.0)</f>
        <v>27525</v>
      </c>
      <c r="X123" s="1" t="str">
        <f>IFERROR(__xludf.DUMMYFUNCTION("""COMPUTED_VALUE"""),"Universidad De Chile")</f>
        <v>Universidad De Chile</v>
      </c>
      <c r="Y123" s="1" t="str">
        <f>IFERROR(__xludf.DUMMYFUNCTION("""COMPUTED_VALUE"""),"CHILE")</f>
        <v>CHILE</v>
      </c>
      <c r="Z123" s="1" t="str">
        <f>IFERROR(__xludf.DUMMYFUNCTION("""COMPUTED_VALUE"""),"T5276 Psicologo")</f>
        <v>T5276 Psicologo</v>
      </c>
    </row>
    <row r="124" hidden="1">
      <c r="A124" s="1" t="str">
        <f>IFERROR(__xludf.DUMMYFUNCTION("""COMPUTED_VALUE"""),"12090801 Departamento de Sociología")</f>
        <v>12090801 Departamento de Sociología</v>
      </c>
      <c r="B124" s="1" t="str">
        <f>IFERROR(__xludf.DUMMYFUNCTION("""COMPUTED_VALUE"""),"A3A001 Académico Prof. Asistente")</f>
        <v>A3A001 Académico Prof. Asistente</v>
      </c>
      <c r="C124" s="1" t="str">
        <f>IFERROR(__xludf.DUMMYFUNCTION("""COMPUTED_VALUE"""),"Prof. Asistente - Categ. Academica Ord.")</f>
        <v>Prof. Asistente - Categ. Academica Ord.</v>
      </c>
      <c r="D124" s="1" t="str">
        <f>IFERROR(__xludf.DUMMYFUNCTION("""COMPUTED_VALUE"""),"A3A Prof. Asistente - Categ. Academica Ord.")</f>
        <v>A3A Prof. Asistente - Categ. Academica Ord.</v>
      </c>
      <c r="E124" s="1" t="str">
        <f>IFERROR(__xludf.DUMMYFUNCTION("""COMPUTED_VALUE"""),"Masculino")</f>
        <v>Masculino</v>
      </c>
      <c r="F124" s="1" t="str">
        <f>IFERROR(__xludf.DUMMYFUNCTION("""COMPUTED_VALUE"""),"Gálvez")</f>
        <v>Gálvez</v>
      </c>
      <c r="G124" s="1" t="str">
        <f>IFERROR(__xludf.DUMMYFUNCTION("""COMPUTED_VALUE"""),"Contreras")</f>
        <v>Contreras</v>
      </c>
      <c r="H124" s="1" t="str">
        <f>IFERROR(__xludf.DUMMYFUNCTION("""COMPUTED_VALUE"""),"Rodolfo Gustavo")</f>
        <v>Rodolfo Gustavo</v>
      </c>
      <c r="I124" s="1" t="str">
        <f>IFERROR(__xludf.DUMMYFUNCTION("""COMPUTED_VALUE"""),"Gálvez Contreras Rodolfo Gustavo")</f>
        <v>Gálvez Contreras Rodolfo Gustavo</v>
      </c>
      <c r="J124" s="10">
        <f>IFERROR(__xludf.DUMMYFUNCTION("""COMPUTED_VALUE"""),24532.0)</f>
        <v>24532</v>
      </c>
      <c r="K124" s="10">
        <f>IFERROR(__xludf.DUMMYFUNCTION("""COMPUTED_VALUE"""),16363.0)</f>
        <v>16363</v>
      </c>
      <c r="L124" s="1">
        <f>IFERROR(__xludf.DUMMYFUNCTION("""COMPUTED_VALUE"""),79.0)</f>
        <v>79</v>
      </c>
      <c r="M124" s="1" t="str">
        <f>IFERROR(__xludf.DUMMYFUNCTION("""COMPUTED_VALUE"""),"0005 Divorciado")</f>
        <v>0005 Divorciado</v>
      </c>
      <c r="N124" s="1"/>
      <c r="O124" s="10">
        <f>IFERROR(__xludf.DUMMYFUNCTION("""COMPUTED_VALUE"""),38718.0)</f>
        <v>38718</v>
      </c>
      <c r="P124" s="10">
        <f>IFERROR(__xludf.DUMMYFUNCTION("""COMPUTED_VALUE"""),38807.0)</f>
        <v>38807</v>
      </c>
      <c r="Q124" s="1" t="str">
        <f>IFERROR(__xludf.DUMMYFUNCTION("""COMPUTED_VALUE"""),"C Contrata")</f>
        <v>C Contrata</v>
      </c>
      <c r="R124" s="1" t="str">
        <f>IFERROR(__xludf.DUMMYFUNCTION("""COMPUTED_VALUE"""),"A Académico")</f>
        <v>A Académico</v>
      </c>
      <c r="S124" s="9" t="str">
        <f>IFERROR(__xludf.DUMMYFUNCTION("""COMPUTED_VALUE"""),"49440316")</f>
        <v>49440316</v>
      </c>
      <c r="T124" s="1" t="str">
        <f>IFERROR(__xludf.DUMMYFUNCTION("""COMPUTED_VALUE"""),"0049440316")</f>
        <v>0049440316</v>
      </c>
      <c r="U124" s="1">
        <f>IFERROR(__xludf.DUMMYFUNCTION("""COMPUTED_VALUE"""),3.0)</f>
        <v>3</v>
      </c>
      <c r="V124" s="1" t="str">
        <f>IFERROR(__xludf.DUMMYFUNCTION("""COMPUTED_VALUE"""),"P0401 Licenciado")</f>
        <v>P0401 Licenciado</v>
      </c>
      <c r="W124" s="1">
        <f>IFERROR(__xludf.DUMMYFUNCTION("""COMPUTED_VALUE"""),25134.0)</f>
        <v>25134</v>
      </c>
      <c r="X124" s="1" t="str">
        <f>IFERROR(__xludf.DUMMYFUNCTION("""COMPUTED_VALUE"""),"Universidad De Chile")</f>
        <v>Universidad De Chile</v>
      </c>
      <c r="Y124" s="1" t="str">
        <f>IFERROR(__xludf.DUMMYFUNCTION("""COMPUTED_VALUE"""),"CHILE")</f>
        <v>CHILE</v>
      </c>
      <c r="Z124" s="1" t="str">
        <f>IFERROR(__xludf.DUMMYFUNCTION("""COMPUTED_VALUE"""),"T5063 Licenciado en Sociologia")</f>
        <v>T5063 Licenciado en Sociologia</v>
      </c>
    </row>
    <row r="125">
      <c r="A125" s="1" t="str">
        <f>IFERROR(__xludf.DUMMYFUNCTION("""COMPUTED_VALUE"""),"12090601 Departamento de Educación")</f>
        <v>12090601 Departamento de Educación</v>
      </c>
      <c r="B125" s="1" t="str">
        <f>IFERROR(__xludf.DUMMYFUNCTION("""COMPUTED_VALUE"""),"A3B001 Académico Prof. Asistente")</f>
        <v>A3B001 Académico Prof. Asistente</v>
      </c>
      <c r="C125" s="1" t="str">
        <f>IFERROR(__xludf.DUMMYFUNCTION("""COMPUTED_VALUE"""),"Prof. Asistente - Categ. Academica Doc.")</f>
        <v>Prof. Asistente - Categ. Academica Doc.</v>
      </c>
      <c r="D125" s="1" t="str">
        <f>IFERROR(__xludf.DUMMYFUNCTION("""COMPUTED_VALUE"""),"A3B Prof. Asistente - Categ. Academica Doc.")</f>
        <v>A3B Prof. Asistente - Categ. Academica Doc.</v>
      </c>
      <c r="E125" s="1" t="str">
        <f>IFERROR(__xludf.DUMMYFUNCTION("""COMPUTED_VALUE"""),"Femenino")</f>
        <v>Femenino</v>
      </c>
      <c r="F125" s="1" t="str">
        <f>IFERROR(__xludf.DUMMYFUNCTION("""COMPUTED_VALUE"""),"Gárate")</f>
        <v>Gárate</v>
      </c>
      <c r="G125" s="1" t="str">
        <f>IFERROR(__xludf.DUMMYFUNCTION("""COMPUTED_VALUE"""),"Vallejos")</f>
        <v>Vallejos</v>
      </c>
      <c r="H125" s="1" t="str">
        <f>IFERROR(__xludf.DUMMYFUNCTION("""COMPUTED_VALUE"""),"Annette Isabel")</f>
        <v>Annette Isabel</v>
      </c>
      <c r="I125" s="1" t="str">
        <f>IFERROR(__xludf.DUMMYFUNCTION("""COMPUTED_VALUE"""),"Gárate Vallejos Annette Isabel")</f>
        <v>Gárate Vallejos Annette Isabel</v>
      </c>
      <c r="J125" s="10">
        <f>IFERROR(__xludf.DUMMYFUNCTION("""COMPUTED_VALUE"""),38899.0)</f>
        <v>38899</v>
      </c>
      <c r="K125" s="10">
        <f>IFERROR(__xludf.DUMMYFUNCTION("""COMPUTED_VALUE"""),26935.0)</f>
        <v>26935</v>
      </c>
      <c r="L125" s="1">
        <f>IFERROR(__xludf.DUMMYFUNCTION("""COMPUTED_VALUE"""),50.0)</f>
        <v>50</v>
      </c>
      <c r="M125" s="1" t="str">
        <f>IFERROR(__xludf.DUMMYFUNCTION("""COMPUTED_VALUE"""),"0004 Otro")</f>
        <v>0004 Otro</v>
      </c>
      <c r="N125" s="1"/>
      <c r="O125" s="10">
        <f>IFERROR(__xludf.DUMMYFUNCTION("""COMPUTED_VALUE"""),39083.0)</f>
        <v>39083</v>
      </c>
      <c r="P125" s="10">
        <f>IFERROR(__xludf.DUMMYFUNCTION("""COMPUTED_VALUE"""),39294.0)</f>
        <v>39294</v>
      </c>
      <c r="Q125" s="1" t="str">
        <f>IFERROR(__xludf.DUMMYFUNCTION("""COMPUTED_VALUE"""),"C Contrata")</f>
        <v>C Contrata</v>
      </c>
      <c r="R125" s="1" t="str">
        <f>IFERROR(__xludf.DUMMYFUNCTION("""COMPUTED_VALUE"""),"A Académico")</f>
        <v>A Académico</v>
      </c>
      <c r="S125" s="9" t="str">
        <f>IFERROR(__xludf.DUMMYFUNCTION("""COMPUTED_VALUE"""),"123980409")</f>
        <v>123980409</v>
      </c>
      <c r="T125" s="1" t="str">
        <f>IFERROR(__xludf.DUMMYFUNCTION("""COMPUTED_VALUE"""),"0123980409")</f>
        <v>0123980409</v>
      </c>
      <c r="U125" s="1">
        <f>IFERROR(__xludf.DUMMYFUNCTION("""COMPUTED_VALUE"""),12.0)</f>
        <v>12</v>
      </c>
      <c r="V125" s="1"/>
      <c r="W125" s="1"/>
      <c r="X125" s="1"/>
      <c r="Y125" s="1"/>
      <c r="Z125" s="1" t="str">
        <f>IFERROR(__xludf.DUMMYFUNCTION("""COMPUTED_VALUE"""),"T5164 Programador De Sistemas")</f>
        <v>T5164 Programador De Sistemas</v>
      </c>
    </row>
    <row r="126" hidden="1">
      <c r="A126" s="1" t="str">
        <f>IFERROR(__xludf.DUMMYFUNCTION("""COMPUTED_VALUE"""),"12090501 Departamento de Investigaciónes Mediáticas y de la Comunicación")</f>
        <v>12090501 Departamento de Investigaciónes Mediáticas y de la Comunicación</v>
      </c>
      <c r="B126" s="1" t="str">
        <f>IFERROR(__xludf.DUMMYFUNCTION("""COMPUTED_VALUE"""),"A7A001 ACADEMICO PROF. ADJUNTO")</f>
        <v>A7A001 ACADEMICO PROF. ADJUNTO</v>
      </c>
      <c r="C126" s="1" t="str">
        <f>IFERROR(__xludf.DUMMYFUNCTION("""COMPUTED_VALUE"""),"Prof. Adjunto")</f>
        <v>Prof. Adjunto</v>
      </c>
      <c r="D126" s="1" t="str">
        <f>IFERROR(__xludf.DUMMYFUNCTION("""COMPUTED_VALUE"""),"A7A Prof. Adjunto")</f>
        <v>A7A Prof. Adjunto</v>
      </c>
      <c r="E126" s="1" t="str">
        <f>IFERROR(__xludf.DUMMYFUNCTION("""COMPUTED_VALUE"""),"Masculino")</f>
        <v>Masculino</v>
      </c>
      <c r="F126" s="1" t="str">
        <f>IFERROR(__xludf.DUMMYFUNCTION("""COMPUTED_VALUE"""),"Gedda")</f>
        <v>Gedda</v>
      </c>
      <c r="G126" s="1" t="str">
        <f>IFERROR(__xludf.DUMMYFUNCTION("""COMPUTED_VALUE"""),"Ortiz")</f>
        <v>Ortiz</v>
      </c>
      <c r="H126" s="1" t="str">
        <f>IFERROR(__xludf.DUMMYFUNCTION("""COMPUTED_VALUE"""),"Francisco Victtorio")</f>
        <v>Francisco Victtorio</v>
      </c>
      <c r="I126" s="1" t="str">
        <f>IFERROR(__xludf.DUMMYFUNCTION("""COMPUTED_VALUE"""),"Gedda Ortiz Francisco Victtorio")</f>
        <v>Gedda Ortiz Francisco Victtorio</v>
      </c>
      <c r="J126" s="10">
        <f>IFERROR(__xludf.DUMMYFUNCTION("""COMPUTED_VALUE"""),37591.0)</f>
        <v>37591</v>
      </c>
      <c r="K126" s="10">
        <f>IFERROR(__xludf.DUMMYFUNCTION("""COMPUTED_VALUE"""),16833.0)</f>
        <v>16833</v>
      </c>
      <c r="L126" s="1">
        <f>IFERROR(__xludf.DUMMYFUNCTION("""COMPUTED_VALUE"""),77.0)</f>
        <v>77</v>
      </c>
      <c r="M126" s="1" t="str">
        <f>IFERROR(__xludf.DUMMYFUNCTION("""COMPUTED_VALUE"""),"0001 Casado")</f>
        <v>0001 Casado</v>
      </c>
      <c r="N126" s="1"/>
      <c r="O126" s="10">
        <f>IFERROR(__xludf.DUMMYFUNCTION("""COMPUTED_VALUE"""),37803.0)</f>
        <v>37803</v>
      </c>
      <c r="P126" s="10">
        <f>IFERROR(__xludf.DUMMYFUNCTION("""COMPUTED_VALUE"""),37833.0)</f>
        <v>37833</v>
      </c>
      <c r="Q126" s="1" t="str">
        <f>IFERROR(__xludf.DUMMYFUNCTION("""COMPUTED_VALUE"""),"C Contrata")</f>
        <v>C Contrata</v>
      </c>
      <c r="R126" s="1" t="str">
        <f>IFERROR(__xludf.DUMMYFUNCTION("""COMPUTED_VALUE"""),"A Académico")</f>
        <v>A Académico</v>
      </c>
      <c r="S126" s="9" t="str">
        <f>IFERROR(__xludf.DUMMYFUNCTION("""COMPUTED_VALUE"""),"51082907")</f>
        <v>51082907</v>
      </c>
      <c r="T126" s="1" t="str">
        <f>IFERROR(__xludf.DUMMYFUNCTION("""COMPUTED_VALUE"""),"0051082907")</f>
        <v>0051082907</v>
      </c>
      <c r="U126" s="1">
        <f>IFERROR(__xludf.DUMMYFUNCTION("""COMPUTED_VALUE"""),21.0)</f>
        <v>21</v>
      </c>
      <c r="V126" s="1" t="str">
        <f>IFERROR(__xludf.DUMMYFUNCTION("""COMPUTED_VALUE"""),"P0501 Con Titulo Profesional")</f>
        <v>P0501 Con Titulo Profesional</v>
      </c>
      <c r="W126" s="1">
        <f>IFERROR(__xludf.DUMMYFUNCTION("""COMPUTED_VALUE"""),30316.0)</f>
        <v>30316</v>
      </c>
      <c r="X126" s="1" t="str">
        <f>IFERROR(__xludf.DUMMYFUNCTION("""COMPUTED_VALUE"""),"Universidad De Chile")</f>
        <v>Universidad De Chile</v>
      </c>
      <c r="Y126" s="1" t="str">
        <f>IFERROR(__xludf.DUMMYFUNCTION("""COMPUTED_VALUE"""),"CHILE")</f>
        <v>CHILE</v>
      </c>
      <c r="Z126" s="1" t="str">
        <f>IFERROR(__xludf.DUMMYFUNCTION("""COMPUTED_VALUE"""),"T5233 Comunicador Social")</f>
        <v>T5233 Comunicador Social</v>
      </c>
    </row>
    <row r="127" hidden="1">
      <c r="A127" s="1" t="str">
        <f>IFERROR(__xludf.DUMMYFUNCTION("""COMPUTED_VALUE"""),"12090118 Dpto. de  Psicología (funcionamiento)")</f>
        <v>12090118 Dpto. de  Psicología (funcionamiento)</v>
      </c>
      <c r="B127" s="1" t="str">
        <f>IFERROR(__xludf.DUMMYFUNCTION("""COMPUTED_VALUE"""),"A7A001 ACADEMICO PROF. ADJUNTO")</f>
        <v>A7A001 ACADEMICO PROF. ADJUNTO</v>
      </c>
      <c r="C127" s="1" t="str">
        <f>IFERROR(__xludf.DUMMYFUNCTION("""COMPUTED_VALUE"""),"Prof. Adjunto")</f>
        <v>Prof. Adjunto</v>
      </c>
      <c r="D127" s="1" t="str">
        <f>IFERROR(__xludf.DUMMYFUNCTION("""COMPUTED_VALUE"""),"A7A Prof. Adjunto")</f>
        <v>A7A Prof. Adjunto</v>
      </c>
      <c r="E127" s="1" t="str">
        <f>IFERROR(__xludf.DUMMYFUNCTION("""COMPUTED_VALUE"""),"Femenino")</f>
        <v>Femenino</v>
      </c>
      <c r="F127" s="1" t="str">
        <f>IFERROR(__xludf.DUMMYFUNCTION("""COMPUTED_VALUE"""),"George")</f>
        <v>George</v>
      </c>
      <c r="G127" s="1" t="str">
        <f>IFERROR(__xludf.DUMMYFUNCTION("""COMPUTED_VALUE"""),"Lara")</f>
        <v>Lara</v>
      </c>
      <c r="H127" s="1" t="str">
        <f>IFERROR(__xludf.DUMMYFUNCTION("""COMPUTED_VALUE"""),"Myriam Luisa")</f>
        <v>Myriam Luisa</v>
      </c>
      <c r="I127" s="1" t="str">
        <f>IFERROR(__xludf.DUMMYFUNCTION("""COMPUTED_VALUE"""),"George Lara Myriam Luisa")</f>
        <v>George Lara Myriam Luisa</v>
      </c>
      <c r="J127" s="10">
        <f>IFERROR(__xludf.DUMMYFUNCTION("""COMPUTED_VALUE"""),24532.0)</f>
        <v>24532</v>
      </c>
      <c r="K127" s="10">
        <f>IFERROR(__xludf.DUMMYFUNCTION("""COMPUTED_VALUE"""),15663.0)</f>
        <v>15663</v>
      </c>
      <c r="L127" s="1">
        <f>IFERROR(__xludf.DUMMYFUNCTION("""COMPUTED_VALUE"""),81.0)</f>
        <v>81</v>
      </c>
      <c r="M127" s="1" t="str">
        <f>IFERROR(__xludf.DUMMYFUNCTION("""COMPUTED_VALUE"""),"0001 Casado")</f>
        <v>0001 Casado</v>
      </c>
      <c r="N127" s="1"/>
      <c r="O127" s="10">
        <f>IFERROR(__xludf.DUMMYFUNCTION("""COMPUTED_VALUE"""),42186.0)</f>
        <v>42186</v>
      </c>
      <c r="P127" s="10">
        <f>IFERROR(__xludf.DUMMYFUNCTION("""COMPUTED_VALUE"""),43190.0)</f>
        <v>43190</v>
      </c>
      <c r="Q127" s="1" t="str">
        <f>IFERROR(__xludf.DUMMYFUNCTION("""COMPUTED_VALUE"""),"P Propiedad")</f>
        <v>P Propiedad</v>
      </c>
      <c r="R127" s="1" t="str">
        <f>IFERROR(__xludf.DUMMYFUNCTION("""COMPUTED_VALUE"""),"A Académico")</f>
        <v>A Académico</v>
      </c>
      <c r="S127" s="9" t="str">
        <f>IFERROR(__xludf.DUMMYFUNCTION("""COMPUTED_VALUE"""),"48374875")</f>
        <v>48374875</v>
      </c>
      <c r="T127" s="1" t="str">
        <f>IFERROR(__xludf.DUMMYFUNCTION("""COMPUTED_VALUE"""),"0048374875")</f>
        <v>0048374875</v>
      </c>
      <c r="U127" s="1">
        <f>IFERROR(__xludf.DUMMYFUNCTION("""COMPUTED_VALUE"""),12.0)</f>
        <v>12</v>
      </c>
      <c r="V127" s="1"/>
      <c r="W127" s="1"/>
      <c r="X127" s="1"/>
      <c r="Y127" s="1"/>
      <c r="Z127" s="1" t="str">
        <f>IFERROR(__xludf.DUMMYFUNCTION("""COMPUTED_VALUE"""),"T5124 Psicologo")</f>
        <v>T5124 Psicologo</v>
      </c>
    </row>
    <row r="128" hidden="1">
      <c r="A128" s="1" t="str">
        <f>IFERROR(__xludf.DUMMYFUNCTION("""COMPUTED_VALUE"""),"12090701 Departamento de Psicología")</f>
        <v>12090701 Departamento de Psicología</v>
      </c>
      <c r="B128" s="1" t="str">
        <f>IFERROR(__xludf.DUMMYFUNCTION("""COMPUTED_VALUE"""),"A3A001 Académico Prof. Asistente")</f>
        <v>A3A001 Académico Prof. Asistente</v>
      </c>
      <c r="C128" s="1" t="str">
        <f>IFERROR(__xludf.DUMMYFUNCTION("""COMPUTED_VALUE"""),"Prof. Asistente - Categ. Academica Ord.")</f>
        <v>Prof. Asistente - Categ. Academica Ord.</v>
      </c>
      <c r="D128" s="1" t="str">
        <f>IFERROR(__xludf.DUMMYFUNCTION("""COMPUTED_VALUE"""),"A3A Prof. Asistente - Categ. Academica Ord.")</f>
        <v>A3A Prof. Asistente - Categ. Academica Ord.</v>
      </c>
      <c r="E128" s="1" t="str">
        <f>IFERROR(__xludf.DUMMYFUNCTION("""COMPUTED_VALUE"""),"Femenino")</f>
        <v>Femenino</v>
      </c>
      <c r="F128" s="1" t="str">
        <f>IFERROR(__xludf.DUMMYFUNCTION("""COMPUTED_VALUE"""),"González")</f>
        <v>González</v>
      </c>
      <c r="G128" s="1" t="str">
        <f>IFERROR(__xludf.DUMMYFUNCTION("""COMPUTED_VALUE"""),"Cataldo")</f>
        <v>Cataldo</v>
      </c>
      <c r="H128" s="1" t="str">
        <f>IFERROR(__xludf.DUMMYFUNCTION("""COMPUTED_VALUE"""),"Julia María Felisa")</f>
        <v>Julia María Felisa</v>
      </c>
      <c r="I128" s="1" t="str">
        <f>IFERROR(__xludf.DUMMYFUNCTION("""COMPUTED_VALUE"""),"González Cataldo Julia María Felisa")</f>
        <v>González Cataldo Julia María Felisa</v>
      </c>
      <c r="J128" s="10">
        <f>IFERROR(__xludf.DUMMYFUNCTION("""COMPUTED_VALUE"""),23863.0)</f>
        <v>23863</v>
      </c>
      <c r="K128" s="10">
        <f>IFERROR(__xludf.DUMMYFUNCTION("""COMPUTED_VALUE"""),14188.0)</f>
        <v>14188</v>
      </c>
      <c r="L128" s="1">
        <f>IFERROR(__xludf.DUMMYFUNCTION("""COMPUTED_VALUE"""),85.0)</f>
        <v>85</v>
      </c>
      <c r="M128" s="1" t="str">
        <f>IFERROR(__xludf.DUMMYFUNCTION("""COMPUTED_VALUE"""),"0001 Casado")</f>
        <v>0001 Casado</v>
      </c>
      <c r="N128" s="1"/>
      <c r="O128" s="10">
        <f>IFERROR(__xludf.DUMMYFUNCTION("""COMPUTED_VALUE"""),31625.0)</f>
        <v>31625</v>
      </c>
      <c r="P128" s="10">
        <f>IFERROR(__xludf.DUMMYFUNCTION("""COMPUTED_VALUE"""),34543.0)</f>
        <v>34543</v>
      </c>
      <c r="Q128" s="1" t="str">
        <f>IFERROR(__xludf.DUMMYFUNCTION("""COMPUTED_VALUE"""),"P Propiedad")</f>
        <v>P Propiedad</v>
      </c>
      <c r="R128" s="1" t="str">
        <f>IFERROR(__xludf.DUMMYFUNCTION("""COMPUTED_VALUE"""),"A Académico")</f>
        <v>A Académico</v>
      </c>
      <c r="S128" s="9" t="str">
        <f>IFERROR(__xludf.DUMMYFUNCTION("""COMPUTED_VALUE"""),"42842028")</f>
        <v>42842028</v>
      </c>
      <c r="T128" s="1" t="str">
        <f>IFERROR(__xludf.DUMMYFUNCTION("""COMPUTED_VALUE"""),"0042842028")</f>
        <v>0042842028</v>
      </c>
      <c r="U128" s="1">
        <f>IFERROR(__xludf.DUMMYFUNCTION("""COMPUTED_VALUE"""),44.0)</f>
        <v>44</v>
      </c>
      <c r="V128" s="1"/>
      <c r="W128" s="1"/>
      <c r="X128" s="1"/>
      <c r="Y128" s="1"/>
      <c r="Z128" s="1"/>
    </row>
    <row r="129">
      <c r="A129" s="1" t="str">
        <f>IFERROR(__xludf.DUMMYFUNCTION("""COMPUTED_VALUE"""),"12090301 Departamento de Antropología")</f>
        <v>12090301 Departamento de Antropología</v>
      </c>
      <c r="B129" s="1" t="str">
        <f>IFERROR(__xludf.DUMMYFUNCTION("""COMPUTED_VALUE"""),"A3A001 Académico Prof. Asistente")</f>
        <v>A3A001 Académico Prof. Asistente</v>
      </c>
      <c r="C129" s="1" t="str">
        <f>IFERROR(__xludf.DUMMYFUNCTION("""COMPUTED_VALUE"""),"Prof. Asistente - Categ. Academica Ord.")</f>
        <v>Prof. Asistente - Categ. Academica Ord.</v>
      </c>
      <c r="D129" s="1" t="str">
        <f>IFERROR(__xludf.DUMMYFUNCTION("""COMPUTED_VALUE"""),"A3A Prof. Asistente - Categ. Academica Ord.")</f>
        <v>A3A Prof. Asistente - Categ. Academica Ord.</v>
      </c>
      <c r="E129" s="1" t="str">
        <f>IFERROR(__xludf.DUMMYFUNCTION("""COMPUTED_VALUE"""),"Masculino")</f>
        <v>Masculino</v>
      </c>
      <c r="F129" s="1" t="str">
        <f>IFERROR(__xludf.DUMMYFUNCTION("""COMPUTED_VALUE"""),"González")</f>
        <v>González</v>
      </c>
      <c r="G129" s="1" t="str">
        <f>IFERROR(__xludf.DUMMYFUNCTION("""COMPUTED_VALUE"""),"Gálvez")</f>
        <v>Gálvez</v>
      </c>
      <c r="H129" s="1" t="str">
        <f>IFERROR(__xludf.DUMMYFUNCTION("""COMPUTED_VALUE"""),"Marcelo Ignacio")</f>
        <v>Marcelo Ignacio</v>
      </c>
      <c r="I129" s="1" t="str">
        <f>IFERROR(__xludf.DUMMYFUNCTION("""COMPUTED_VALUE"""),"González Gálvez Marcelo Ignacio")</f>
        <v>González Gálvez Marcelo Ignacio</v>
      </c>
      <c r="J129" s="10">
        <f>IFERROR(__xludf.DUMMYFUNCTION("""COMPUTED_VALUE"""),41277.0)</f>
        <v>41277</v>
      </c>
      <c r="K129" s="10">
        <f>IFERROR(__xludf.DUMMYFUNCTION("""COMPUTED_VALUE"""),30178.0)</f>
        <v>30178</v>
      </c>
      <c r="L129" s="1">
        <f>IFERROR(__xludf.DUMMYFUNCTION("""COMPUTED_VALUE"""),41.0)</f>
        <v>41</v>
      </c>
      <c r="M129" s="1" t="str">
        <f>IFERROR(__xludf.DUMMYFUNCTION("""COMPUTED_VALUE"""),"0001 Casado")</f>
        <v>0001 Casado</v>
      </c>
      <c r="N129" s="1"/>
      <c r="O129" s="10">
        <f>IFERROR(__xludf.DUMMYFUNCTION("""COMPUTED_VALUE"""),42370.0)</f>
        <v>42370</v>
      </c>
      <c r="P129" s="10">
        <f>IFERROR(__xludf.DUMMYFUNCTION("""COMPUTED_VALUE"""),42735.0)</f>
        <v>42735</v>
      </c>
      <c r="Q129" s="1" t="str">
        <f>IFERROR(__xludf.DUMMYFUNCTION("""COMPUTED_VALUE"""),"K Ad Honorem Contrata")</f>
        <v>K Ad Honorem Contrata</v>
      </c>
      <c r="R129" s="1" t="str">
        <f>IFERROR(__xludf.DUMMYFUNCTION("""COMPUTED_VALUE"""),"A Académico")</f>
        <v>A Académico</v>
      </c>
      <c r="S129" s="9" t="str">
        <f>IFERROR(__xludf.DUMMYFUNCTION("""COMPUTED_VALUE"""),"153806217")</f>
        <v>153806217</v>
      </c>
      <c r="T129" s="1" t="str">
        <f>IFERROR(__xludf.DUMMYFUNCTION("""COMPUTED_VALUE"""),"0153806217")</f>
        <v>0153806217</v>
      </c>
      <c r="U129" s="1">
        <f>IFERROR(__xludf.DUMMYFUNCTION("""COMPUTED_VALUE"""),6.0)</f>
        <v>6</v>
      </c>
      <c r="V129" s="1" t="str">
        <f>IFERROR(__xludf.DUMMYFUNCTION("""COMPUTED_VALUE"""),"P0900 Doctor")</f>
        <v>P0900 Doctor</v>
      </c>
      <c r="W129" s="1">
        <f>IFERROR(__xludf.DUMMYFUNCTION("""COMPUTED_VALUE"""),41214.0)</f>
        <v>41214</v>
      </c>
      <c r="X129" s="1" t="str">
        <f>IFERROR(__xludf.DUMMYFUNCTION("""COMPUTED_VALUE"""),"The University of Edinburgh.")</f>
        <v>The University of Edinburgh.</v>
      </c>
      <c r="Y129" s="1" t="str">
        <f>IFERROR(__xludf.DUMMYFUNCTION("""COMPUTED_VALUE"""),"ESCOCIA")</f>
        <v>ESCOCIA</v>
      </c>
      <c r="Z129" s="1" t="str">
        <f>IFERROR(__xludf.DUMMYFUNCTION("""COMPUTED_VALUE"""),"T5003 Antropologo")</f>
        <v>T5003 Antropologo</v>
      </c>
    </row>
    <row r="130">
      <c r="A130" s="1" t="str">
        <f>IFERROR(__xludf.DUMMYFUNCTION("""COMPUTED_VALUE"""),"12090701 Departamento de Psicología")</f>
        <v>12090701 Departamento de Psicología</v>
      </c>
      <c r="B130" s="1" t="str">
        <f>IFERROR(__xludf.DUMMYFUNCTION("""COMPUTED_VALUE"""),"A3A001 Académico Prof. Asistente")</f>
        <v>A3A001 Académico Prof. Asistente</v>
      </c>
      <c r="C130" s="1" t="str">
        <f>IFERROR(__xludf.DUMMYFUNCTION("""COMPUTED_VALUE"""),"Prof. Asistente - Categ. Academica Ord.")</f>
        <v>Prof. Asistente - Categ. Academica Ord.</v>
      </c>
      <c r="D130" s="1" t="str">
        <f>IFERROR(__xludf.DUMMYFUNCTION("""COMPUTED_VALUE"""),"A3A Prof. Asistente - Categ. Academica Ord.")</f>
        <v>A3A Prof. Asistente - Categ. Academica Ord.</v>
      </c>
      <c r="E130" s="1" t="str">
        <f>IFERROR(__xludf.DUMMYFUNCTION("""COMPUTED_VALUE"""),"Masculino")</f>
        <v>Masculino</v>
      </c>
      <c r="F130" s="1" t="str">
        <f>IFERROR(__xludf.DUMMYFUNCTION("""COMPUTED_VALUE"""),"González")</f>
        <v>González</v>
      </c>
      <c r="G130" s="1" t="str">
        <f>IFERROR(__xludf.DUMMYFUNCTION("""COMPUTED_VALUE"""),"Rodríguez")</f>
        <v>Rodríguez</v>
      </c>
      <c r="H130" s="1" t="str">
        <f>IFERROR(__xludf.DUMMYFUNCTION("""COMPUTED_VALUE"""),"Francisco Alberto")</f>
        <v>Francisco Alberto</v>
      </c>
      <c r="I130" s="1" t="str">
        <f>IFERROR(__xludf.DUMMYFUNCTION("""COMPUTED_VALUE"""),"González Rodríguez Francisco Alberto")</f>
        <v>González Rodríguez Francisco Alberto</v>
      </c>
      <c r="J130" s="10">
        <f>IFERROR(__xludf.DUMMYFUNCTION("""COMPUTED_VALUE"""),35156.0)</f>
        <v>35156</v>
      </c>
      <c r="K130" s="10">
        <f>IFERROR(__xludf.DUMMYFUNCTION("""COMPUTED_VALUE"""),22333.0)</f>
        <v>22333</v>
      </c>
      <c r="L130" s="1">
        <f>IFERROR(__xludf.DUMMYFUNCTION("""COMPUTED_VALUE"""),62.0)</f>
        <v>62</v>
      </c>
      <c r="M130" s="1" t="str">
        <f>IFERROR(__xludf.DUMMYFUNCTION("""COMPUTED_VALUE"""),"0002 Soltero")</f>
        <v>0002 Soltero</v>
      </c>
      <c r="N130" s="1"/>
      <c r="O130" s="10">
        <f>IFERROR(__xludf.DUMMYFUNCTION("""COMPUTED_VALUE"""),36161.0)</f>
        <v>36161</v>
      </c>
      <c r="P130" s="10">
        <f>IFERROR(__xludf.DUMMYFUNCTION("""COMPUTED_VALUE"""),36219.0)</f>
        <v>36219</v>
      </c>
      <c r="Q130" s="1" t="str">
        <f>IFERROR(__xludf.DUMMYFUNCTION("""COMPUTED_VALUE"""),"C Contrata")</f>
        <v>C Contrata</v>
      </c>
      <c r="R130" s="1" t="str">
        <f>IFERROR(__xludf.DUMMYFUNCTION("""COMPUTED_VALUE"""),"A Académico")</f>
        <v>A Académico</v>
      </c>
      <c r="S130" s="9" t="str">
        <f>IFERROR(__xludf.DUMMYFUNCTION("""COMPUTED_VALUE"""),"006067728K")</f>
        <v>006067728K</v>
      </c>
      <c r="T130" s="1" t="str">
        <f>IFERROR(__xludf.DUMMYFUNCTION("""COMPUTED_VALUE"""),"006067728K")</f>
        <v>006067728K</v>
      </c>
      <c r="U130" s="1">
        <f>IFERROR(__xludf.DUMMYFUNCTION("""COMPUTED_VALUE"""),6.0)</f>
        <v>6</v>
      </c>
      <c r="V130" s="1"/>
      <c r="W130" s="1"/>
      <c r="X130" s="1"/>
      <c r="Y130" s="1"/>
      <c r="Z130" s="1"/>
    </row>
    <row r="131" hidden="1">
      <c r="A131" s="1" t="str">
        <f>IFERROR(__xludf.DUMMYFUNCTION("""COMPUTED_VALUE"""),"12090501 Departamento de Investigaciónes Mediáticas y de la Comunicación")</f>
        <v>12090501 Departamento de Investigaciónes Mediáticas y de la Comunicación</v>
      </c>
      <c r="B131" s="1" t="str">
        <f>IFERROR(__xludf.DUMMYFUNCTION("""COMPUTED_VALUE"""),"A3A001 Académico Prof. Asistente")</f>
        <v>A3A001 Académico Prof. Asistente</v>
      </c>
      <c r="C131" s="1" t="str">
        <f>IFERROR(__xludf.DUMMYFUNCTION("""COMPUTED_VALUE"""),"Prof. Asistente - Categ. Academica Ord.")</f>
        <v>Prof. Asistente - Categ. Academica Ord.</v>
      </c>
      <c r="D131" s="1" t="str">
        <f>IFERROR(__xludf.DUMMYFUNCTION("""COMPUTED_VALUE"""),"A3A Prof. Asistente - Categ. Academica Ord.")</f>
        <v>A3A Prof. Asistente - Categ. Academica Ord.</v>
      </c>
      <c r="E131" s="1" t="str">
        <f>IFERROR(__xludf.DUMMYFUNCTION("""COMPUTED_VALUE"""),"Masculino")</f>
        <v>Masculino</v>
      </c>
      <c r="F131" s="1" t="str">
        <f>IFERROR(__xludf.DUMMYFUNCTION("""COMPUTED_VALUE"""),"González")</f>
        <v>González</v>
      </c>
      <c r="G131" s="1" t="str">
        <f>IFERROR(__xludf.DUMMYFUNCTION("""COMPUTED_VALUE"""),"Rodríguez")</f>
        <v>Rodríguez</v>
      </c>
      <c r="H131" s="1" t="str">
        <f>IFERROR(__xludf.DUMMYFUNCTION("""COMPUTED_VALUE"""),"Gustavo Adolfo")</f>
        <v>Gustavo Adolfo</v>
      </c>
      <c r="I131" s="1" t="str">
        <f>IFERROR(__xludf.DUMMYFUNCTION("""COMPUTED_VALUE"""),"González Rodríguez Gustavo Adolfo")</f>
        <v>González Rodríguez Gustavo Adolfo</v>
      </c>
      <c r="J131" s="10">
        <f>IFERROR(__xludf.DUMMYFUNCTION("""COMPUTED_VALUE"""),36008.0)</f>
        <v>36008</v>
      </c>
      <c r="K131" s="10">
        <f>IFERROR(__xludf.DUMMYFUNCTION("""COMPUTED_VALUE"""),17024.0)</f>
        <v>17024</v>
      </c>
      <c r="L131" s="1">
        <f>IFERROR(__xludf.DUMMYFUNCTION("""COMPUTED_VALUE"""),77.0)</f>
        <v>77</v>
      </c>
      <c r="M131" s="1" t="str">
        <f>IFERROR(__xludf.DUMMYFUNCTION("""COMPUTED_VALUE"""),"0001 Casado")</f>
        <v>0001 Casado</v>
      </c>
      <c r="N131" s="1"/>
      <c r="O131" s="10">
        <f>IFERROR(__xludf.DUMMYFUNCTION("""COMPUTED_VALUE"""),36617.0)</f>
        <v>36617</v>
      </c>
      <c r="P131" s="10">
        <f>IFERROR(__xludf.DUMMYFUNCTION("""COMPUTED_VALUE"""),37833.0)</f>
        <v>37833</v>
      </c>
      <c r="Q131" s="1" t="str">
        <f>IFERROR(__xludf.DUMMYFUNCTION("""COMPUTED_VALUE"""),"P Propiedad")</f>
        <v>P Propiedad</v>
      </c>
      <c r="R131" s="1" t="str">
        <f>IFERROR(__xludf.DUMMYFUNCTION("""COMPUTED_VALUE"""),"A Académico")</f>
        <v>A Académico</v>
      </c>
      <c r="S131" s="9" t="str">
        <f>IFERROR(__xludf.DUMMYFUNCTION("""COMPUTED_VALUE"""),"47564670")</f>
        <v>47564670</v>
      </c>
      <c r="T131" s="1" t="str">
        <f>IFERROR(__xludf.DUMMYFUNCTION("""COMPUTED_VALUE"""),"0047564670")</f>
        <v>0047564670</v>
      </c>
      <c r="U131" s="1">
        <f>IFERROR(__xludf.DUMMYFUNCTION("""COMPUTED_VALUE"""),44.0)</f>
        <v>44</v>
      </c>
      <c r="V131" s="1" t="str">
        <f>IFERROR(__xludf.DUMMYFUNCTION("""COMPUTED_VALUE"""),"P0890 Magíster en Comunicación Política")</f>
        <v>P0890 Magíster en Comunicación Política</v>
      </c>
      <c r="W131" s="1">
        <f>IFERROR(__xludf.DUMMYFUNCTION("""COMPUTED_VALUE"""),39952.0)</f>
        <v>39952</v>
      </c>
      <c r="X131" s="1" t="str">
        <f>IFERROR(__xludf.DUMMYFUNCTION("""COMPUTED_VALUE"""),"Universidad De Chile")</f>
        <v>Universidad De Chile</v>
      </c>
      <c r="Y131" s="1" t="str">
        <f>IFERROR(__xludf.DUMMYFUNCTION("""COMPUTED_VALUE"""),"CHILE")</f>
        <v>CHILE</v>
      </c>
      <c r="Z131" s="1" t="str">
        <f>IFERROR(__xludf.DUMMYFUNCTION("""COMPUTED_VALUE"""),"T5074 Periodista")</f>
        <v>T5074 Periodista</v>
      </c>
    </row>
    <row r="132">
      <c r="A132" s="1" t="str">
        <f>IFERROR(__xludf.DUMMYFUNCTION("""COMPUTED_VALUE"""),"12090701 Departamento de Psicología")</f>
        <v>12090701 Departamento de Psicología</v>
      </c>
      <c r="B132" s="1" t="str">
        <f>IFERROR(__xludf.DUMMYFUNCTION("""COMPUTED_VALUE"""),"A3A001 Académico Prof. Asistente")</f>
        <v>A3A001 Académico Prof. Asistente</v>
      </c>
      <c r="C132" s="1" t="str">
        <f>IFERROR(__xludf.DUMMYFUNCTION("""COMPUTED_VALUE"""),"Prof. Asistente - Categ. Academica Ord.")</f>
        <v>Prof. Asistente - Categ. Academica Ord.</v>
      </c>
      <c r="D132" s="1" t="str">
        <f>IFERROR(__xludf.DUMMYFUNCTION("""COMPUTED_VALUE"""),"A3A Prof. Asistente - Categ. Academica Ord.")</f>
        <v>A3A Prof. Asistente - Categ. Academica Ord.</v>
      </c>
      <c r="E132" s="1" t="str">
        <f>IFERROR(__xludf.DUMMYFUNCTION("""COMPUTED_VALUE"""),"Masculino")</f>
        <v>Masculino</v>
      </c>
      <c r="F132" s="1" t="str">
        <f>IFERROR(__xludf.DUMMYFUNCTION("""COMPUTED_VALUE"""),"González")</f>
        <v>González</v>
      </c>
      <c r="G132" s="1" t="str">
        <f>IFERROR(__xludf.DUMMYFUNCTION("""COMPUTED_VALUE"""),"Rodríguez")</f>
        <v>Rodríguez</v>
      </c>
      <c r="H132" s="1" t="str">
        <f>IFERROR(__xludf.DUMMYFUNCTION("""COMPUTED_VALUE"""),"Sergio José")</f>
        <v>Sergio José</v>
      </c>
      <c r="I132" s="1" t="str">
        <f>IFERROR(__xludf.DUMMYFUNCTION("""COMPUTED_VALUE"""),"González Rodríguez Sergio José")</f>
        <v>González Rodríguez Sergio José</v>
      </c>
      <c r="J132" s="10">
        <f>IFERROR(__xludf.DUMMYFUNCTION("""COMPUTED_VALUE"""),32782.0)</f>
        <v>32782</v>
      </c>
      <c r="K132" s="10">
        <f>IFERROR(__xludf.DUMMYFUNCTION("""COMPUTED_VALUE"""),20287.0)</f>
        <v>20287</v>
      </c>
      <c r="L132" s="1">
        <f>IFERROR(__xludf.DUMMYFUNCTION("""COMPUTED_VALUE"""),68.0)</f>
        <v>68</v>
      </c>
      <c r="M132" s="1" t="str">
        <f>IFERROR(__xludf.DUMMYFUNCTION("""COMPUTED_VALUE"""),"0001 Casado")</f>
        <v>0001 Casado</v>
      </c>
      <c r="N132" s="1"/>
      <c r="O132" s="10">
        <f>IFERROR(__xludf.DUMMYFUNCTION("""COMPUTED_VALUE"""),41275.0)</f>
        <v>41275</v>
      </c>
      <c r="P132" s="10">
        <f>IFERROR(__xludf.DUMMYFUNCTION("""COMPUTED_VALUE"""),41639.0)</f>
        <v>41639</v>
      </c>
      <c r="Q132" s="1" t="str">
        <f>IFERROR(__xludf.DUMMYFUNCTION("""COMPUTED_VALUE"""),"C Contrata")</f>
        <v>C Contrata</v>
      </c>
      <c r="R132" s="1" t="str">
        <f>IFERROR(__xludf.DUMMYFUNCTION("""COMPUTED_VALUE"""),"A Académico")</f>
        <v>A Académico</v>
      </c>
      <c r="S132" s="9" t="str">
        <f>IFERROR(__xludf.DUMMYFUNCTION("""COMPUTED_VALUE"""),"60677271")</f>
        <v>60677271</v>
      </c>
      <c r="T132" s="1" t="str">
        <f>IFERROR(__xludf.DUMMYFUNCTION("""COMPUTED_VALUE"""),"0060677271")</f>
        <v>0060677271</v>
      </c>
      <c r="U132" s="1">
        <f>IFERROR(__xludf.DUMMYFUNCTION("""COMPUTED_VALUE"""),6.0)</f>
        <v>6</v>
      </c>
      <c r="V132" s="1" t="str">
        <f>IFERROR(__xludf.DUMMYFUNCTION("""COMPUTED_VALUE"""),"P0900 Doctor")</f>
        <v>P0900 Doctor</v>
      </c>
      <c r="W132" s="1">
        <f>IFERROR(__xludf.DUMMYFUNCTION("""COMPUTED_VALUE"""),31412.0)</f>
        <v>31412</v>
      </c>
      <c r="X132" s="1" t="str">
        <f>IFERROR(__xludf.DUMMYFUNCTION("""COMPUTED_VALUE"""),"Universidad Complutense")</f>
        <v>Universidad Complutense</v>
      </c>
      <c r="Y132" s="1" t="str">
        <f>IFERROR(__xludf.DUMMYFUNCTION("""COMPUTED_VALUE"""),"ESPAÑA")</f>
        <v>ESPAÑA</v>
      </c>
      <c r="Z132" s="1" t="str">
        <f>IFERROR(__xludf.DUMMYFUNCTION("""COMPUTED_VALUE"""),"T5124 Psicologo")</f>
        <v>T5124 Psicologo</v>
      </c>
    </row>
    <row r="133">
      <c r="A133" s="1" t="str">
        <f>IFERROR(__xludf.DUMMYFUNCTION("""COMPUTED_VALUE"""),"12090104 Escuela Postgrado")</f>
        <v>12090104 Escuela Postgrado</v>
      </c>
      <c r="B133" s="1" t="str">
        <f>IFERROR(__xludf.DUMMYFUNCTION("""COMPUTED_VALUE"""),"A7A001 ACADEMICO PROF. ADJUNTO")</f>
        <v>A7A001 ACADEMICO PROF. ADJUNTO</v>
      </c>
      <c r="C133" s="1" t="str">
        <f>IFERROR(__xludf.DUMMYFUNCTION("""COMPUTED_VALUE"""),"Prof. Adjunto")</f>
        <v>Prof. Adjunto</v>
      </c>
      <c r="D133" s="1" t="str">
        <f>IFERROR(__xludf.DUMMYFUNCTION("""COMPUTED_VALUE"""),"A7A Prof. Adjunto")</f>
        <v>A7A Prof. Adjunto</v>
      </c>
      <c r="E133" s="1" t="str">
        <f>IFERROR(__xludf.DUMMYFUNCTION("""COMPUTED_VALUE"""),"Femenino")</f>
        <v>Femenino</v>
      </c>
      <c r="F133" s="1" t="str">
        <f>IFERROR(__xludf.DUMMYFUNCTION("""COMPUTED_VALUE"""),"Goñi")</f>
        <v>Goñi</v>
      </c>
      <c r="G133" s="1" t="str">
        <f>IFERROR(__xludf.DUMMYFUNCTION("""COMPUTED_VALUE"""),"Riedemann")</f>
        <v>Riedemann</v>
      </c>
      <c r="H133" s="1" t="str">
        <f>IFERROR(__xludf.DUMMYFUNCTION("""COMPUTED_VALUE"""),"Macarena")</f>
        <v>Macarena</v>
      </c>
      <c r="I133" s="1" t="str">
        <f>IFERROR(__xludf.DUMMYFUNCTION("""COMPUTED_VALUE"""),"Goñi Riedemann Macarena")</f>
        <v>Goñi Riedemann Macarena</v>
      </c>
      <c r="J133" s="10">
        <f>IFERROR(__xludf.DUMMYFUNCTION("""COMPUTED_VALUE"""),43282.0)</f>
        <v>43282</v>
      </c>
      <c r="K133" s="10">
        <f>IFERROR(__xludf.DUMMYFUNCTION("""COMPUTED_VALUE"""),29613.0)</f>
        <v>29613</v>
      </c>
      <c r="L133" s="1">
        <f>IFERROR(__xludf.DUMMYFUNCTION("""COMPUTED_VALUE"""),42.0)</f>
        <v>42</v>
      </c>
      <c r="M133" s="1" t="str">
        <f>IFERROR(__xludf.DUMMYFUNCTION("""COMPUTED_VALUE"""),"0001 Casado")</f>
        <v>0001 Casado</v>
      </c>
      <c r="N133" s="1" t="str">
        <f>IFERROR(__xludf.DUMMYFUNCTION("""COMPUTED_VALUE"""),"N0040 Profesional Superior")</f>
        <v>N0040 Profesional Superior</v>
      </c>
      <c r="O133" s="10">
        <f>IFERROR(__xludf.DUMMYFUNCTION("""COMPUTED_VALUE"""),44927.0)</f>
        <v>44927</v>
      </c>
      <c r="P133" s="10">
        <f>IFERROR(__xludf.DUMMYFUNCTION("""COMPUTED_VALUE"""),45291.0)</f>
        <v>45291</v>
      </c>
      <c r="Q133" s="1" t="str">
        <f>IFERROR(__xludf.DUMMYFUNCTION("""COMPUTED_VALUE"""),"C Contrata")</f>
        <v>C Contrata</v>
      </c>
      <c r="R133" s="1" t="str">
        <f>IFERROR(__xludf.DUMMYFUNCTION("""COMPUTED_VALUE"""),"A Académico")</f>
        <v>A Académico</v>
      </c>
      <c r="S133" s="9" t="str">
        <f>IFERROR(__xludf.DUMMYFUNCTION("""COMPUTED_VALUE"""),"141201395")</f>
        <v>141201395</v>
      </c>
      <c r="T133" s="1" t="str">
        <f>IFERROR(__xludf.DUMMYFUNCTION("""COMPUTED_VALUE"""),"0141201395")</f>
        <v>0141201395</v>
      </c>
      <c r="U133" s="1">
        <f>IFERROR(__xludf.DUMMYFUNCTION("""COMPUTED_VALUE"""),12.0)</f>
        <v>12</v>
      </c>
      <c r="V133" s="1"/>
      <c r="W133" s="1"/>
      <c r="X133" s="1"/>
      <c r="Y133" s="1"/>
      <c r="Z133" s="1" t="str">
        <f>IFERROR(__xludf.DUMMYFUNCTION("""COMPUTED_VALUE"""),"T5124 Psicologo")</f>
        <v>T5124 Psicologo</v>
      </c>
    </row>
    <row r="134" hidden="1">
      <c r="A134" s="1" t="str">
        <f>IFERROR(__xludf.DUMMYFUNCTION("""COMPUTED_VALUE"""),"12090301 Departamento de Antropología")</f>
        <v>12090301 Departamento de Antropología</v>
      </c>
      <c r="B134" s="1" t="str">
        <f>IFERROR(__xludf.DUMMYFUNCTION("""COMPUTED_VALUE"""),"A1A001 Académico Prof. Titular")</f>
        <v>A1A001 Académico Prof. Titular</v>
      </c>
      <c r="C134" s="1" t="str">
        <f>IFERROR(__xludf.DUMMYFUNCTION("""COMPUTED_VALUE"""),"Prof.Titular - Categ. Academica Ord.")</f>
        <v>Prof.Titular - Categ. Academica Ord.</v>
      </c>
      <c r="D134" s="1" t="str">
        <f>IFERROR(__xludf.DUMMYFUNCTION("""COMPUTED_VALUE"""),"A1A Prof.Titular - Categ. Academica Ord.")</f>
        <v>A1A Prof.Titular - Categ. Academica Ord.</v>
      </c>
      <c r="E134" s="1" t="str">
        <f>IFERROR(__xludf.DUMMYFUNCTION("""COMPUTED_VALUE"""),"Femenino")</f>
        <v>Femenino</v>
      </c>
      <c r="F134" s="1" t="str">
        <f>IFERROR(__xludf.DUMMYFUNCTION("""COMPUTED_VALUE"""),"Grebe")</f>
        <v>Grebe</v>
      </c>
      <c r="G134" s="1" t="str">
        <f>IFERROR(__xludf.DUMMYFUNCTION("""COMPUTED_VALUE"""),"Vicuña")</f>
        <v>Vicuña</v>
      </c>
      <c r="H134" s="1" t="str">
        <f>IFERROR(__xludf.DUMMYFUNCTION("""COMPUTED_VALUE"""),"Esther Elisa Loreto")</f>
        <v>Esther Elisa Loreto</v>
      </c>
      <c r="I134" s="1" t="str">
        <f>IFERROR(__xludf.DUMMYFUNCTION("""COMPUTED_VALUE"""),"Grebe Vicuña Esther Elisa Loreto")</f>
        <v>Grebe Vicuña Esther Elisa Loreto</v>
      </c>
      <c r="J134" s="10">
        <f>IFERROR(__xludf.DUMMYFUNCTION("""COMPUTED_VALUE"""),21002.0)</f>
        <v>21002</v>
      </c>
      <c r="K134" s="10">
        <f>IFERROR(__xludf.DUMMYFUNCTION("""COMPUTED_VALUE"""),10420.0)</f>
        <v>10420</v>
      </c>
      <c r="L134" s="1">
        <f>IFERROR(__xludf.DUMMYFUNCTION("""COMPUTED_VALUE"""),95.0)</f>
        <v>95</v>
      </c>
      <c r="M134" s="1" t="str">
        <f>IFERROR(__xludf.DUMMYFUNCTION("""COMPUTED_VALUE"""),"0002 Soltero")</f>
        <v>0002 Soltero</v>
      </c>
      <c r="N134" s="1"/>
      <c r="O134" s="10">
        <f>IFERROR(__xludf.DUMMYFUNCTION("""COMPUTED_VALUE"""),36039.0)</f>
        <v>36039</v>
      </c>
      <c r="P134" s="10">
        <f>IFERROR(__xludf.DUMMYFUNCTION("""COMPUTED_VALUE"""),38664.0)</f>
        <v>38664</v>
      </c>
      <c r="Q134" s="1" t="str">
        <f>IFERROR(__xludf.DUMMYFUNCTION("""COMPUTED_VALUE"""),"P Propiedad")</f>
        <v>P Propiedad</v>
      </c>
      <c r="R134" s="1" t="str">
        <f>IFERROR(__xludf.DUMMYFUNCTION("""COMPUTED_VALUE"""),"A Académico")</f>
        <v>A Académico</v>
      </c>
      <c r="S134" s="9" t="str">
        <f>IFERROR(__xludf.DUMMYFUNCTION("""COMPUTED_VALUE"""),"19294757")</f>
        <v>19294757</v>
      </c>
      <c r="T134" s="1" t="str">
        <f>IFERROR(__xludf.DUMMYFUNCTION("""COMPUTED_VALUE"""),"0019294757")</f>
        <v>0019294757</v>
      </c>
      <c r="U134" s="1">
        <f>IFERROR(__xludf.DUMMYFUNCTION("""COMPUTED_VALUE"""),22.0)</f>
        <v>22</v>
      </c>
      <c r="V134" s="1" t="str">
        <f>IFERROR(__xludf.DUMMYFUNCTION("""COMPUTED_VALUE"""),"P0900 Doctor")</f>
        <v>P0900 Doctor</v>
      </c>
      <c r="W134" s="1">
        <f>IFERROR(__xludf.DUMMYFUNCTION("""COMPUTED_VALUE"""),29411.0)</f>
        <v>29411</v>
      </c>
      <c r="X134" s="1" t="str">
        <f>IFERROR(__xludf.DUMMYFUNCTION("""COMPUTED_VALUE"""),"Queen`S University")</f>
        <v>Queen`S University</v>
      </c>
      <c r="Y134" s="1" t="str">
        <f>IFERROR(__xludf.DUMMYFUNCTION("""COMPUTED_VALUE"""),"INGLATERRA")</f>
        <v>INGLATERRA</v>
      </c>
      <c r="Z134" s="1"/>
    </row>
    <row r="135" hidden="1">
      <c r="A135" s="1" t="str">
        <f>IFERROR(__xludf.DUMMYFUNCTION("""COMPUTED_VALUE"""),"12090701 Departamento de Psicología")</f>
        <v>12090701 Departamento de Psicología</v>
      </c>
      <c r="B135" s="1" t="str">
        <f>IFERROR(__xludf.DUMMYFUNCTION("""COMPUTED_VALUE"""),"A3A001 Académico Prof. Asistente")</f>
        <v>A3A001 Académico Prof. Asistente</v>
      </c>
      <c r="C135" s="1" t="str">
        <f>IFERROR(__xludf.DUMMYFUNCTION("""COMPUTED_VALUE"""),"Prof. Asistente - Categ. Academica Ord.")</f>
        <v>Prof. Asistente - Categ. Academica Ord.</v>
      </c>
      <c r="D135" s="1" t="str">
        <f>IFERROR(__xludf.DUMMYFUNCTION("""COMPUTED_VALUE"""),"A3A Prof. Asistente - Categ. Academica Ord.")</f>
        <v>A3A Prof. Asistente - Categ. Academica Ord.</v>
      </c>
      <c r="E135" s="1" t="str">
        <f>IFERROR(__xludf.DUMMYFUNCTION("""COMPUTED_VALUE"""),"Masculino")</f>
        <v>Masculino</v>
      </c>
      <c r="F135" s="1" t="str">
        <f>IFERROR(__xludf.DUMMYFUNCTION("""COMPUTED_VALUE"""),"Guajardo")</f>
        <v>Guajardo</v>
      </c>
      <c r="G135" s="1" t="str">
        <f>IFERROR(__xludf.DUMMYFUNCTION("""COMPUTED_VALUE"""),"Luna")</f>
        <v>Luna</v>
      </c>
      <c r="H135" s="1" t="str">
        <f>IFERROR(__xludf.DUMMYFUNCTION("""COMPUTED_VALUE"""),"Jorge Segundo")</f>
        <v>Jorge Segundo</v>
      </c>
      <c r="I135" s="1" t="str">
        <f>IFERROR(__xludf.DUMMYFUNCTION("""COMPUTED_VALUE"""),"Guajardo Luna Jorge Segundo")</f>
        <v>Guajardo Luna Jorge Segundo</v>
      </c>
      <c r="J135" s="10">
        <f>IFERROR(__xludf.DUMMYFUNCTION("""COMPUTED_VALUE"""),25263.0)</f>
        <v>25263</v>
      </c>
      <c r="K135" s="10">
        <f>IFERROR(__xludf.DUMMYFUNCTION("""COMPUTED_VALUE"""),14891.0)</f>
        <v>14891</v>
      </c>
      <c r="L135" s="1">
        <f>IFERROR(__xludf.DUMMYFUNCTION("""COMPUTED_VALUE"""),83.0)</f>
        <v>83</v>
      </c>
      <c r="M135" s="1" t="str">
        <f>IFERROR(__xludf.DUMMYFUNCTION("""COMPUTED_VALUE"""),"0005 Divorciado")</f>
        <v>0005 Divorciado</v>
      </c>
      <c r="N135" s="1"/>
      <c r="O135" s="10">
        <f>IFERROR(__xludf.DUMMYFUNCTION("""COMPUTED_VALUE"""),40179.0)</f>
        <v>40179</v>
      </c>
      <c r="P135" s="10">
        <f>IFERROR(__xludf.DUMMYFUNCTION("""COMPUTED_VALUE"""),40240.0)</f>
        <v>40240</v>
      </c>
      <c r="Q135" s="1" t="str">
        <f>IFERROR(__xludf.DUMMYFUNCTION("""COMPUTED_VALUE"""),"C Contrata")</f>
        <v>C Contrata</v>
      </c>
      <c r="R135" s="1" t="str">
        <f>IFERROR(__xludf.DUMMYFUNCTION("""COMPUTED_VALUE"""),"A Académico")</f>
        <v>A Académico</v>
      </c>
      <c r="S135" s="9" t="str">
        <f>IFERROR(__xludf.DUMMYFUNCTION("""COMPUTED_VALUE"""),"004583624K")</f>
        <v>004583624K</v>
      </c>
      <c r="T135" s="1" t="str">
        <f>IFERROR(__xludf.DUMMYFUNCTION("""COMPUTED_VALUE"""),"004583624K")</f>
        <v>004583624K</v>
      </c>
      <c r="U135" s="1">
        <f>IFERROR(__xludf.DUMMYFUNCTION("""COMPUTED_VALUE"""),22.0)</f>
        <v>22</v>
      </c>
      <c r="V135" s="1" t="str">
        <f>IFERROR(__xludf.DUMMYFUNCTION("""COMPUTED_VALUE"""),"P0501 Con Titulo Profesional")</f>
        <v>P0501 Con Titulo Profesional</v>
      </c>
      <c r="W135" s="1">
        <f>IFERROR(__xludf.DUMMYFUNCTION("""COMPUTED_VALUE"""),28517.0)</f>
        <v>28517</v>
      </c>
      <c r="X135" s="1" t="str">
        <f>IFERROR(__xludf.DUMMYFUNCTION("""COMPUTED_VALUE"""),"Universidad De Chile")</f>
        <v>Universidad De Chile</v>
      </c>
      <c r="Y135" s="1" t="str">
        <f>IFERROR(__xludf.DUMMYFUNCTION("""COMPUTED_VALUE"""),"CHILE")</f>
        <v>CHILE</v>
      </c>
      <c r="Z135" s="1" t="str">
        <f>IFERROR(__xludf.DUMMYFUNCTION("""COMPUTED_VALUE"""),"T5124 Psicologo")</f>
        <v>T5124 Psicologo</v>
      </c>
    </row>
    <row r="136">
      <c r="A136" s="1" t="str">
        <f>IFERROR(__xludf.DUMMYFUNCTION("""COMPUTED_VALUE"""),"12090701 Departamento de Psicología")</f>
        <v>12090701 Departamento de Psicología</v>
      </c>
      <c r="B136" s="1" t="str">
        <f>IFERROR(__xludf.DUMMYFUNCTION("""COMPUTED_VALUE"""),"A4A001 ACADEMICO  INSTRUCTOR")</f>
        <v>A4A001 ACADEMICO  INSTRUCTOR</v>
      </c>
      <c r="C136" s="1" t="str">
        <f>IFERROR(__xludf.DUMMYFUNCTION("""COMPUTED_VALUE"""),"Instructor")</f>
        <v>Instructor</v>
      </c>
      <c r="D136" s="1" t="str">
        <f>IFERROR(__xludf.DUMMYFUNCTION("""COMPUTED_VALUE"""),"A4A Instructor")</f>
        <v>A4A Instructor</v>
      </c>
      <c r="E136" s="1" t="str">
        <f>IFERROR(__xludf.DUMMYFUNCTION("""COMPUTED_VALUE"""),"Femenino")</f>
        <v>Femenino</v>
      </c>
      <c r="F136" s="1" t="str">
        <f>IFERROR(__xludf.DUMMYFUNCTION("""COMPUTED_VALUE"""),"Guillón")</f>
        <v>Guillón</v>
      </c>
      <c r="G136" s="1" t="str">
        <f>IFERROR(__xludf.DUMMYFUNCTION("""COMPUTED_VALUE"""),"Moretti")</f>
        <v>Moretti</v>
      </c>
      <c r="H136" s="1" t="str">
        <f>IFERROR(__xludf.DUMMYFUNCTION("""COMPUTED_VALUE"""),"Martha Denise")</f>
        <v>Martha Denise</v>
      </c>
      <c r="I136" s="1" t="str">
        <f>IFERROR(__xludf.DUMMYFUNCTION("""COMPUTED_VALUE"""),"Guillón Moretti Martha Denise")</f>
        <v>Guillón Moretti Martha Denise</v>
      </c>
      <c r="J136" s="10">
        <f>IFERROR(__xludf.DUMMYFUNCTION("""COMPUTED_VALUE"""),37865.0)</f>
        <v>37865</v>
      </c>
      <c r="K136" s="10">
        <f>IFERROR(__xludf.DUMMYFUNCTION("""COMPUTED_VALUE"""),23136.0)</f>
        <v>23136</v>
      </c>
      <c r="L136" s="1">
        <f>IFERROR(__xludf.DUMMYFUNCTION("""COMPUTED_VALUE"""),60.0)</f>
        <v>60</v>
      </c>
      <c r="M136" s="1" t="str">
        <f>IFERROR(__xludf.DUMMYFUNCTION("""COMPUTED_VALUE"""),"0005 Divorciado")</f>
        <v>0005 Divorciado</v>
      </c>
      <c r="N136" s="1"/>
      <c r="O136" s="10">
        <f>IFERROR(__xludf.DUMMYFUNCTION("""COMPUTED_VALUE"""),39448.0)</f>
        <v>39448</v>
      </c>
      <c r="P136" s="10">
        <f>IFERROR(__xludf.DUMMYFUNCTION("""COMPUTED_VALUE"""),39507.0)</f>
        <v>39507</v>
      </c>
      <c r="Q136" s="1" t="str">
        <f>IFERROR(__xludf.DUMMYFUNCTION("""COMPUTED_VALUE"""),"C Contrata")</f>
        <v>C Contrata</v>
      </c>
      <c r="R136" s="1" t="str">
        <f>IFERROR(__xludf.DUMMYFUNCTION("""COMPUTED_VALUE"""),"A Académico")</f>
        <v>A Académico</v>
      </c>
      <c r="S136" s="9" t="str">
        <f>IFERROR(__xludf.DUMMYFUNCTION("""COMPUTED_VALUE"""),"61965262")</f>
        <v>61965262</v>
      </c>
      <c r="T136" s="1" t="str">
        <f>IFERROR(__xludf.DUMMYFUNCTION("""COMPUTED_VALUE"""),"0061965262")</f>
        <v>0061965262</v>
      </c>
      <c r="U136" s="1">
        <f>IFERROR(__xludf.DUMMYFUNCTION("""COMPUTED_VALUE"""),12.0)</f>
        <v>12</v>
      </c>
      <c r="V136" s="1"/>
      <c r="W136" s="1"/>
      <c r="X136" s="1"/>
      <c r="Y136" s="1"/>
      <c r="Z136" s="1" t="str">
        <f>IFERROR(__xludf.DUMMYFUNCTION("""COMPUTED_VALUE"""),"T5124 Psicologo")</f>
        <v>T5124 Psicologo</v>
      </c>
    </row>
    <row r="137">
      <c r="A137" s="1" t="str">
        <f>IFERROR(__xludf.DUMMYFUNCTION("""COMPUTED_VALUE"""),"12090601 Departamento de Educación")</f>
        <v>12090601 Departamento de Educación</v>
      </c>
      <c r="B137" s="1" t="str">
        <f>IFERROR(__xludf.DUMMYFUNCTION("""COMPUTED_VALUE"""),"A4A001 ACADEMICO  INSTRUCTOR")</f>
        <v>A4A001 ACADEMICO  INSTRUCTOR</v>
      </c>
      <c r="C137" s="1" t="str">
        <f>IFERROR(__xludf.DUMMYFUNCTION("""COMPUTED_VALUE"""),"Instructor")</f>
        <v>Instructor</v>
      </c>
      <c r="D137" s="1" t="str">
        <f>IFERROR(__xludf.DUMMYFUNCTION("""COMPUTED_VALUE"""),"A4A Instructor")</f>
        <v>A4A Instructor</v>
      </c>
      <c r="E137" s="1" t="str">
        <f>IFERROR(__xludf.DUMMYFUNCTION("""COMPUTED_VALUE"""),"Femenino")</f>
        <v>Femenino</v>
      </c>
      <c r="F137" s="1" t="str">
        <f>IFERROR(__xludf.DUMMYFUNCTION("""COMPUTED_VALUE"""),"Gutiérrez")</f>
        <v>Gutiérrez</v>
      </c>
      <c r="G137" s="1" t="str">
        <f>IFERROR(__xludf.DUMMYFUNCTION("""COMPUTED_VALUE"""),"Bermedo")</f>
        <v>Bermedo</v>
      </c>
      <c r="H137" s="1" t="str">
        <f>IFERROR(__xludf.DUMMYFUNCTION("""COMPUTED_VALUE"""),"María Verónica")</f>
        <v>María Verónica</v>
      </c>
      <c r="I137" s="1" t="str">
        <f>IFERROR(__xludf.DUMMYFUNCTION("""COMPUTED_VALUE"""),"Gutiérrez Bermedo María Verónica")</f>
        <v>Gutiérrez Bermedo María Verónica</v>
      </c>
      <c r="J137" s="10">
        <f>IFERROR(__xludf.DUMMYFUNCTION("""COMPUTED_VALUE"""),38869.0)</f>
        <v>38869</v>
      </c>
      <c r="K137" s="10">
        <f>IFERROR(__xludf.DUMMYFUNCTION("""COMPUTED_VALUE"""),22294.0)</f>
        <v>22294</v>
      </c>
      <c r="L137" s="1">
        <f>IFERROR(__xludf.DUMMYFUNCTION("""COMPUTED_VALUE"""),63.0)</f>
        <v>63</v>
      </c>
      <c r="M137" s="1" t="str">
        <f>IFERROR(__xludf.DUMMYFUNCTION("""COMPUTED_VALUE"""),"0002 Soltero")</f>
        <v>0002 Soltero</v>
      </c>
      <c r="N137" s="1" t="str">
        <f>IFERROR(__xludf.DUMMYFUNCTION("""COMPUTED_VALUE"""),"N0040 Profesional Superior")</f>
        <v>N0040 Profesional Superior</v>
      </c>
      <c r="O137" s="10">
        <f>IFERROR(__xludf.DUMMYFUNCTION("""COMPUTED_VALUE"""),39326.0)</f>
        <v>39326</v>
      </c>
      <c r="P137" s="10">
        <f>IFERROR(__xludf.DUMMYFUNCTION("""COMPUTED_VALUE"""),39447.0)</f>
        <v>39447</v>
      </c>
      <c r="Q137" s="1" t="str">
        <f>IFERROR(__xludf.DUMMYFUNCTION("""COMPUTED_VALUE"""),"C Contrata")</f>
        <v>C Contrata</v>
      </c>
      <c r="R137" s="1" t="str">
        <f>IFERROR(__xludf.DUMMYFUNCTION("""COMPUTED_VALUE"""),"A Académico")</f>
        <v>A Académico</v>
      </c>
      <c r="S137" s="9" t="str">
        <f>IFERROR(__xludf.DUMMYFUNCTION("""COMPUTED_VALUE"""),"81039399")</f>
        <v>81039399</v>
      </c>
      <c r="T137" s="1" t="str">
        <f>IFERROR(__xludf.DUMMYFUNCTION("""COMPUTED_VALUE"""),"0081039399")</f>
        <v>0081039399</v>
      </c>
      <c r="U137" s="1">
        <f>IFERROR(__xludf.DUMMYFUNCTION("""COMPUTED_VALUE"""),6.0)</f>
        <v>6</v>
      </c>
      <c r="V137" s="1" t="str">
        <f>IFERROR(__xludf.DUMMYFUNCTION("""COMPUTED_VALUE"""),"P0401 Licenciado")</f>
        <v>P0401 Licenciado</v>
      </c>
      <c r="W137" s="1">
        <f>IFERROR(__xludf.DUMMYFUNCTION("""COMPUTED_VALUE"""),33487.0)</f>
        <v>33487</v>
      </c>
      <c r="X137" s="1" t="str">
        <f>IFERROR(__xludf.DUMMYFUNCTION("""COMPUTED_VALUE"""),"Universidad De Chile")</f>
        <v>Universidad De Chile</v>
      </c>
      <c r="Y137" s="1" t="str">
        <f>IFERROR(__xludf.DUMMYFUNCTION("""COMPUTED_VALUE"""),"CHILE")</f>
        <v>CHILE</v>
      </c>
      <c r="Z137" s="1" t="str">
        <f>IFERROR(__xludf.DUMMYFUNCTION("""COMPUTED_VALUE"""),"T5063 Licenciado en Sociologia")</f>
        <v>T5063 Licenciado en Sociologia</v>
      </c>
    </row>
    <row r="138">
      <c r="A138" s="1" t="str">
        <f>IFERROR(__xludf.DUMMYFUNCTION("""COMPUTED_VALUE"""),"12090301 Departamento de Antropología")</f>
        <v>12090301 Departamento de Antropología</v>
      </c>
      <c r="B138" s="1" t="str">
        <f>IFERROR(__xludf.DUMMYFUNCTION("""COMPUTED_VALUE"""),"A3A001 Académico Prof. Asistente")</f>
        <v>A3A001 Académico Prof. Asistente</v>
      </c>
      <c r="C138" s="1" t="str">
        <f>IFERROR(__xludf.DUMMYFUNCTION("""COMPUTED_VALUE"""),"Prof. Asistente - Categ. Academica Ord.")</f>
        <v>Prof. Asistente - Categ. Academica Ord.</v>
      </c>
      <c r="D138" s="1" t="str">
        <f>IFERROR(__xludf.DUMMYFUNCTION("""COMPUTED_VALUE"""),"A3A Prof. Asistente - Categ. Academica Ord.")</f>
        <v>A3A Prof. Asistente - Categ. Academica Ord.</v>
      </c>
      <c r="E138" s="1" t="str">
        <f>IFERROR(__xludf.DUMMYFUNCTION("""COMPUTED_VALUE"""),"Masculino")</f>
        <v>Masculino</v>
      </c>
      <c r="F138" s="1" t="str">
        <f>IFERROR(__xludf.DUMMYFUNCTION("""COMPUTED_VALUE"""),"Haefner")</f>
        <v>Haefner</v>
      </c>
      <c r="G138" s="1" t="str">
        <f>IFERROR(__xludf.DUMMYFUNCTION("""COMPUTED_VALUE"""),"Velásquez")</f>
        <v>Velásquez</v>
      </c>
      <c r="H138" s="1" t="str">
        <f>IFERROR(__xludf.DUMMYFUNCTION("""COMPUTED_VALUE"""),"Carlos Alejandro")</f>
        <v>Carlos Alejandro</v>
      </c>
      <c r="I138" s="1" t="str">
        <f>IFERROR(__xludf.DUMMYFUNCTION("""COMPUTED_VALUE"""),"Haefner Velásquez Carlos Alejandro")</f>
        <v>Haefner Velásquez Carlos Alejandro</v>
      </c>
      <c r="J138" s="10">
        <f>IFERROR(__xludf.DUMMYFUNCTION("""COMPUTED_VALUE"""),31503.0)</f>
        <v>31503</v>
      </c>
      <c r="K138" s="10">
        <f>IFERROR(__xludf.DUMMYFUNCTION("""COMPUTED_VALUE"""),22292.0)</f>
        <v>22292</v>
      </c>
      <c r="L138" s="1">
        <f>IFERROR(__xludf.DUMMYFUNCTION("""COMPUTED_VALUE"""),63.0)</f>
        <v>63</v>
      </c>
      <c r="M138" s="1" t="str">
        <f>IFERROR(__xludf.DUMMYFUNCTION("""COMPUTED_VALUE"""),"0001 Casado")</f>
        <v>0001 Casado</v>
      </c>
      <c r="N138" s="1" t="str">
        <f>IFERROR(__xludf.DUMMYFUNCTION("""COMPUTED_VALUE"""),"N0041 Profesional Superior Sin Titulo")</f>
        <v>N0041 Profesional Superior Sin Titulo</v>
      </c>
      <c r="O138" s="10">
        <f>IFERROR(__xludf.DUMMYFUNCTION("""COMPUTED_VALUE"""),38353.0)</f>
        <v>38353</v>
      </c>
      <c r="P138" s="10">
        <f>IFERROR(__xludf.DUMMYFUNCTION("""COMPUTED_VALUE"""),38472.0)</f>
        <v>38472</v>
      </c>
      <c r="Q138" s="1" t="str">
        <f>IFERROR(__xludf.DUMMYFUNCTION("""COMPUTED_VALUE"""),"C Contrata")</f>
        <v>C Contrata</v>
      </c>
      <c r="R138" s="1" t="str">
        <f>IFERROR(__xludf.DUMMYFUNCTION("""COMPUTED_VALUE"""),"A Académico")</f>
        <v>A Académico</v>
      </c>
      <c r="S138" s="9" t="str">
        <f>IFERROR(__xludf.DUMMYFUNCTION("""COMPUTED_VALUE"""),"82862366")</f>
        <v>82862366</v>
      </c>
      <c r="T138" s="1" t="str">
        <f>IFERROR(__xludf.DUMMYFUNCTION("""COMPUTED_VALUE"""),"0082862366")</f>
        <v>0082862366</v>
      </c>
      <c r="U138" s="1">
        <f>IFERROR(__xludf.DUMMYFUNCTION("""COMPUTED_VALUE"""),12.0)</f>
        <v>12</v>
      </c>
      <c r="V138" s="1" t="str">
        <f>IFERROR(__xludf.DUMMYFUNCTION("""COMPUTED_VALUE"""),"P0900 Doctor")</f>
        <v>P0900 Doctor</v>
      </c>
      <c r="W138" s="1">
        <f>IFERROR(__xludf.DUMMYFUNCTION("""COMPUTED_VALUE"""),36891.0)</f>
        <v>36891</v>
      </c>
      <c r="X138" s="1" t="str">
        <f>IFERROR(__xludf.DUMMYFUNCTION("""COMPUTED_VALUE"""),"Universidad Iberoamericana")</f>
        <v>Universidad Iberoamericana</v>
      </c>
      <c r="Y138" s="1" t="str">
        <f>IFERROR(__xludf.DUMMYFUNCTION("""COMPUTED_VALUE"""),"MEXICO")</f>
        <v>MEXICO</v>
      </c>
      <c r="Z138" s="1"/>
    </row>
    <row r="139">
      <c r="A139" s="1" t="str">
        <f>IFERROR(__xludf.DUMMYFUNCTION("""COMPUTED_VALUE"""),"12090116 Dpto. de Antropología (funcionamiento)")</f>
        <v>12090116 Dpto. de Antropología (funcionamiento)</v>
      </c>
      <c r="B139" s="1" t="str">
        <f>IFERROR(__xludf.DUMMYFUNCTION("""COMPUTED_VALUE"""),"A3A001 Académico Prof. Asistente")</f>
        <v>A3A001 Académico Prof. Asistente</v>
      </c>
      <c r="C139" s="1" t="str">
        <f>IFERROR(__xludf.DUMMYFUNCTION("""COMPUTED_VALUE"""),"Prof. Asistente - Categ. Academica Ord.")</f>
        <v>Prof. Asistente - Categ. Academica Ord.</v>
      </c>
      <c r="D139" s="1" t="str">
        <f>IFERROR(__xludf.DUMMYFUNCTION("""COMPUTED_VALUE"""),"A3A Prof. Asistente - Categ. Academica Ord.")</f>
        <v>A3A Prof. Asistente - Categ. Academica Ord.</v>
      </c>
      <c r="E139" s="1" t="str">
        <f>IFERROR(__xludf.DUMMYFUNCTION("""COMPUTED_VALUE"""),"Femenino")</f>
        <v>Femenino</v>
      </c>
      <c r="F139" s="1" t="str">
        <f>IFERROR(__xludf.DUMMYFUNCTION("""COMPUTED_VALUE"""),"Hermosilla")</f>
        <v>Hermosilla</v>
      </c>
      <c r="G139" s="1" t="str">
        <f>IFERROR(__xludf.DUMMYFUNCTION("""COMPUTED_VALUE"""),"Osorio")</f>
        <v>Osorio</v>
      </c>
      <c r="H139" s="1" t="str">
        <f>IFERROR(__xludf.DUMMYFUNCTION("""COMPUTED_VALUE"""),"Nuriluz Ema")</f>
        <v>Nuriluz Ema</v>
      </c>
      <c r="I139" s="1" t="str">
        <f>IFERROR(__xludf.DUMMYFUNCTION("""COMPUTED_VALUE"""),"Hermosilla Osorio Nuriluz Ema")</f>
        <v>Hermosilla Osorio Nuriluz Ema</v>
      </c>
      <c r="J139" s="10">
        <f>IFERROR(__xludf.DUMMYFUNCTION("""COMPUTED_VALUE"""),38838.0)</f>
        <v>38838</v>
      </c>
      <c r="K139" s="10">
        <f>IFERROR(__xludf.DUMMYFUNCTION("""COMPUTED_VALUE"""),21502.0)</f>
        <v>21502</v>
      </c>
      <c r="L139" s="1">
        <f>IFERROR(__xludf.DUMMYFUNCTION("""COMPUTED_VALUE"""),65.0)</f>
        <v>65</v>
      </c>
      <c r="M139" s="1" t="str">
        <f>IFERROR(__xludf.DUMMYFUNCTION("""COMPUTED_VALUE"""),"0004 Otro")</f>
        <v>0004 Otro</v>
      </c>
      <c r="N139" s="1"/>
      <c r="O139" s="10">
        <f>IFERROR(__xludf.DUMMYFUNCTION("""COMPUTED_VALUE"""),42186.0)</f>
        <v>42186</v>
      </c>
      <c r="P139" s="10">
        <f>IFERROR(__xludf.DUMMYFUNCTION("""COMPUTED_VALUE"""),73050.0)</f>
        <v>73050</v>
      </c>
      <c r="Q139" s="1" t="str">
        <f>IFERROR(__xludf.DUMMYFUNCTION("""COMPUTED_VALUE"""),"P Propiedad")</f>
        <v>P Propiedad</v>
      </c>
      <c r="R139" s="1" t="str">
        <f>IFERROR(__xludf.DUMMYFUNCTION("""COMPUTED_VALUE"""),"A Académico")</f>
        <v>A Académico</v>
      </c>
      <c r="S139" s="9" t="str">
        <f>IFERROR(__xludf.DUMMYFUNCTION("""COMPUTED_VALUE"""),"70792753")</f>
        <v>70792753</v>
      </c>
      <c r="T139" s="1" t="str">
        <f>IFERROR(__xludf.DUMMYFUNCTION("""COMPUTED_VALUE"""),"0070792753")</f>
        <v>0070792753</v>
      </c>
      <c r="U139" s="1">
        <f>IFERROR(__xludf.DUMMYFUNCTION("""COMPUTED_VALUE"""),12.0)</f>
        <v>12</v>
      </c>
      <c r="V139" s="1" t="str">
        <f>IFERROR(__xludf.DUMMYFUNCTION("""COMPUTED_VALUE"""),"P0401 Licenciado")</f>
        <v>P0401 Licenciado</v>
      </c>
      <c r="W139" s="1">
        <f>IFERROR(__xludf.DUMMYFUNCTION("""COMPUTED_VALUE"""),34176.0)</f>
        <v>34176</v>
      </c>
      <c r="X139" s="1" t="str">
        <f>IFERROR(__xludf.DUMMYFUNCTION("""COMPUTED_VALUE"""),"Universidad De Chile")</f>
        <v>Universidad De Chile</v>
      </c>
      <c r="Y139" s="1" t="str">
        <f>IFERROR(__xludf.DUMMYFUNCTION("""COMPUTED_VALUE"""),"CHILE")</f>
        <v>CHILE</v>
      </c>
      <c r="Z139" s="1"/>
    </row>
    <row r="140" hidden="1">
      <c r="A140" s="1" t="str">
        <f>IFERROR(__xludf.DUMMYFUNCTION("""COMPUTED_VALUE"""),"12090301 Departamento de Antropología")</f>
        <v>12090301 Departamento de Antropología</v>
      </c>
      <c r="B140" s="1" t="str">
        <f>IFERROR(__xludf.DUMMYFUNCTION("""COMPUTED_VALUE"""),"A3A001 Académico Prof. Asistente")</f>
        <v>A3A001 Académico Prof. Asistente</v>
      </c>
      <c r="C140" s="1" t="str">
        <f>IFERROR(__xludf.DUMMYFUNCTION("""COMPUTED_VALUE"""),"Prof. Asistente - Categ. Academica Ord.")</f>
        <v>Prof. Asistente - Categ. Academica Ord.</v>
      </c>
      <c r="D140" s="1" t="str">
        <f>IFERROR(__xludf.DUMMYFUNCTION("""COMPUTED_VALUE"""),"A3A Prof. Asistente - Categ. Academica Ord.")</f>
        <v>A3A Prof. Asistente - Categ. Academica Ord.</v>
      </c>
      <c r="E140" s="1" t="str">
        <f>IFERROR(__xludf.DUMMYFUNCTION("""COMPUTED_VALUE"""),"Masculino")</f>
        <v>Masculino</v>
      </c>
      <c r="F140" s="1" t="str">
        <f>IFERROR(__xludf.DUMMYFUNCTION("""COMPUTED_VALUE"""),"Hernández")</f>
        <v>Hernández</v>
      </c>
      <c r="G140" s="1" t="str">
        <f>IFERROR(__xludf.DUMMYFUNCTION("""COMPUTED_VALUE"""),"Aracena")</f>
        <v>Aracena</v>
      </c>
      <c r="H140" s="1" t="str">
        <f>IFERROR(__xludf.DUMMYFUNCTION("""COMPUTED_VALUE"""),"Roberto Jesús")</f>
        <v>Roberto Jesús</v>
      </c>
      <c r="I140" s="1" t="str">
        <f>IFERROR(__xludf.DUMMYFUNCTION("""COMPUTED_VALUE"""),"Hernández Aracena Roberto Jesús")</f>
        <v>Hernández Aracena Roberto Jesús</v>
      </c>
      <c r="J140" s="10">
        <f>IFERROR(__xludf.DUMMYFUNCTION("""COMPUTED_VALUE"""),39052.0)</f>
        <v>39052</v>
      </c>
      <c r="K140" s="10">
        <f>IFERROR(__xludf.DUMMYFUNCTION("""COMPUTED_VALUE"""),14340.0)</f>
        <v>14340</v>
      </c>
      <c r="L140" s="1">
        <f>IFERROR(__xludf.DUMMYFUNCTION("""COMPUTED_VALUE"""),84.0)</f>
        <v>84</v>
      </c>
      <c r="M140" s="1" t="str">
        <f>IFERROR(__xludf.DUMMYFUNCTION("""COMPUTED_VALUE"""),"0001 Casado")</f>
        <v>0001 Casado</v>
      </c>
      <c r="N140" s="1" t="str">
        <f>IFERROR(__xludf.DUMMYFUNCTION("""COMPUTED_VALUE"""),"N0040 Profesional Superior")</f>
        <v>N0040 Profesional Superior</v>
      </c>
      <c r="O140" s="10">
        <f>IFERROR(__xludf.DUMMYFUNCTION("""COMPUTED_VALUE"""),33878.0)</f>
        <v>33878</v>
      </c>
      <c r="P140" s="10">
        <f>IFERROR(__xludf.DUMMYFUNCTION("""COMPUTED_VALUE"""),38657.0)</f>
        <v>38657</v>
      </c>
      <c r="Q140" s="1" t="str">
        <f>IFERROR(__xludf.DUMMYFUNCTION("""COMPUTED_VALUE"""),"P Propiedad")</f>
        <v>P Propiedad</v>
      </c>
      <c r="R140" s="1" t="str">
        <f>IFERROR(__xludf.DUMMYFUNCTION("""COMPUTED_VALUE"""),"A Académico")</f>
        <v>A Académico</v>
      </c>
      <c r="S140" s="9" t="str">
        <f>IFERROR(__xludf.DUMMYFUNCTION("""COMPUTED_VALUE"""),"37741175")</f>
        <v>37741175</v>
      </c>
      <c r="T140" s="1" t="str">
        <f>IFERROR(__xludf.DUMMYFUNCTION("""COMPUTED_VALUE"""),"0037741175")</f>
        <v>0037741175</v>
      </c>
      <c r="U140" s="1">
        <f>IFERROR(__xludf.DUMMYFUNCTION("""COMPUTED_VALUE"""),44.0)</f>
        <v>44</v>
      </c>
      <c r="V140" s="1" t="str">
        <f>IFERROR(__xludf.DUMMYFUNCTION("""COMPUTED_VALUE"""),"P0850 Magister")</f>
        <v>P0850 Magister</v>
      </c>
      <c r="W140" s="1">
        <f>IFERROR(__xludf.DUMMYFUNCTION("""COMPUTED_VALUE"""),34138.0)</f>
        <v>34138</v>
      </c>
      <c r="X140" s="1" t="str">
        <f>IFERROR(__xludf.DUMMYFUNCTION("""COMPUTED_VALUE"""),"Universidad Central De Venezuela")</f>
        <v>Universidad Central De Venezuela</v>
      </c>
      <c r="Y140" s="1" t="str">
        <f>IFERROR(__xludf.DUMMYFUNCTION("""COMPUTED_VALUE"""),"VENEZUELA")</f>
        <v>VENEZUELA</v>
      </c>
      <c r="Z140" s="1" t="str">
        <f>IFERROR(__xludf.DUMMYFUNCTION("""COMPUTED_VALUE"""),"T5102 Profesor De Historia Y Geografia")</f>
        <v>T5102 Profesor De Historia Y Geografia</v>
      </c>
    </row>
    <row r="141" hidden="1">
      <c r="A141" s="1" t="str">
        <f>IFERROR(__xludf.DUMMYFUNCTION("""COMPUTED_VALUE"""),"12090501 Departamento de Investigaciónes Mediáticas y de la Comunicación")</f>
        <v>12090501 Departamento de Investigaciónes Mediáticas y de la Comunicación</v>
      </c>
      <c r="B141" s="1" t="str">
        <f>IFERROR(__xludf.DUMMYFUNCTION("""COMPUTED_VALUE"""),"A2A001 Académico Prof. Asociado")</f>
        <v>A2A001 Académico Prof. Asociado</v>
      </c>
      <c r="C141" s="1" t="str">
        <f>IFERROR(__xludf.DUMMYFUNCTION("""COMPUTED_VALUE"""),"Prof. Asociado - Categ. Academica Ord.")</f>
        <v>Prof. Asociado - Categ. Academica Ord.</v>
      </c>
      <c r="D141" s="1" t="str">
        <f>IFERROR(__xludf.DUMMYFUNCTION("""COMPUTED_VALUE"""),"A2A Prof. Asociado - Categ. Academica Ord.")</f>
        <v>A2A Prof. Asociado - Categ. Academica Ord.</v>
      </c>
      <c r="E141" s="1" t="str">
        <f>IFERROR(__xludf.DUMMYFUNCTION("""COMPUTED_VALUE"""),"Masculino")</f>
        <v>Masculino</v>
      </c>
      <c r="F141" s="1" t="str">
        <f>IFERROR(__xludf.DUMMYFUNCTION("""COMPUTED_VALUE"""),"Hernández")</f>
        <v>Hernández</v>
      </c>
      <c r="G141" s="1" t="str">
        <f>IFERROR(__xludf.DUMMYFUNCTION("""COMPUTED_VALUE"""),"Ponce")</f>
        <v>Ponce</v>
      </c>
      <c r="H141" s="1" t="str">
        <f>IFERROR(__xludf.DUMMYFUNCTION("""COMPUTED_VALUE"""),"Roberto Amador")</f>
        <v>Roberto Amador</v>
      </c>
      <c r="I141" s="1" t="str">
        <f>IFERROR(__xludf.DUMMYFUNCTION("""COMPUTED_VALUE"""),"Hernández Ponce Roberto Amador")</f>
        <v>Hernández Ponce Roberto Amador</v>
      </c>
      <c r="J141" s="10">
        <f>IFERROR(__xludf.DUMMYFUNCTION("""COMPUTED_VALUE"""),26877.0)</f>
        <v>26877</v>
      </c>
      <c r="K141" s="10">
        <f>IFERROR(__xludf.DUMMYFUNCTION("""COMPUTED_VALUE"""),11945.0)</f>
        <v>11945</v>
      </c>
      <c r="L141" s="1">
        <f>IFERROR(__xludf.DUMMYFUNCTION("""COMPUTED_VALUE"""),91.0)</f>
        <v>91</v>
      </c>
      <c r="M141" s="1" t="str">
        <f>IFERROR(__xludf.DUMMYFUNCTION("""COMPUTED_VALUE"""),"0003 Viudo")</f>
        <v>0003 Viudo</v>
      </c>
      <c r="N141" s="1"/>
      <c r="O141" s="10">
        <f>IFERROR(__xludf.DUMMYFUNCTION("""COMPUTED_VALUE"""),37803.0)</f>
        <v>37803</v>
      </c>
      <c r="P141" s="10">
        <f>IFERROR(__xludf.DUMMYFUNCTION("""COMPUTED_VALUE"""),37833.0)</f>
        <v>37833</v>
      </c>
      <c r="Q141" s="1" t="str">
        <f>IFERROR(__xludf.DUMMYFUNCTION("""COMPUTED_VALUE"""),"C Contrata")</f>
        <v>C Contrata</v>
      </c>
      <c r="R141" s="1" t="str">
        <f>IFERROR(__xludf.DUMMYFUNCTION("""COMPUTED_VALUE"""),"A Académico")</f>
        <v>A Académico</v>
      </c>
      <c r="S141" s="9" t="str">
        <f>IFERROR(__xludf.DUMMYFUNCTION("""COMPUTED_VALUE"""),"31949866")</f>
        <v>31949866</v>
      </c>
      <c r="T141" s="1" t="str">
        <f>IFERROR(__xludf.DUMMYFUNCTION("""COMPUTED_VALUE"""),"0031949866")</f>
        <v>0031949866</v>
      </c>
      <c r="U141" s="1">
        <f>IFERROR(__xludf.DUMMYFUNCTION("""COMPUTED_VALUE"""),22.0)</f>
        <v>22</v>
      </c>
      <c r="V141" s="1" t="str">
        <f>IFERROR(__xludf.DUMMYFUNCTION("""COMPUTED_VALUE"""),"P0900 Doctor")</f>
        <v>P0900 Doctor</v>
      </c>
      <c r="W141" s="1">
        <f>IFERROR(__xludf.DUMMYFUNCTION("""COMPUTED_VALUE"""),31656.0)</f>
        <v>31656</v>
      </c>
      <c r="X141" s="1" t="str">
        <f>IFERROR(__xludf.DUMMYFUNCTION("""COMPUTED_VALUE"""),"Pontificia Universidad Catolica De Chile")</f>
        <v>Pontificia Universidad Catolica De Chile</v>
      </c>
      <c r="Y141" s="1" t="str">
        <f>IFERROR(__xludf.DUMMYFUNCTION("""COMPUTED_VALUE"""),"CHILE")</f>
        <v>CHILE</v>
      </c>
      <c r="Z141" s="1" t="str">
        <f>IFERROR(__xludf.DUMMYFUNCTION("""COMPUTED_VALUE"""),"T5103 Prof.De Hist. Y Geogr.Y Educ Civica")</f>
        <v>T5103 Prof.De Hist. Y Geogr.Y Educ Civica</v>
      </c>
    </row>
    <row r="142">
      <c r="A142" s="1" t="str">
        <f>IFERROR(__xludf.DUMMYFUNCTION("""COMPUTED_VALUE"""),"12090701 Departamento de Psicología")</f>
        <v>12090701 Departamento de Psicología</v>
      </c>
      <c r="B142" s="1" t="str">
        <f>IFERROR(__xludf.DUMMYFUNCTION("""COMPUTED_VALUE"""),"A4A001 ACADEMICO  INSTRUCTOR")</f>
        <v>A4A001 ACADEMICO  INSTRUCTOR</v>
      </c>
      <c r="C142" s="1" t="str">
        <f>IFERROR(__xludf.DUMMYFUNCTION("""COMPUTED_VALUE"""),"Instructor")</f>
        <v>Instructor</v>
      </c>
      <c r="D142" s="1" t="str">
        <f>IFERROR(__xludf.DUMMYFUNCTION("""COMPUTED_VALUE"""),"A4A Instructor")</f>
        <v>A4A Instructor</v>
      </c>
      <c r="E142" s="1" t="str">
        <f>IFERROR(__xludf.DUMMYFUNCTION("""COMPUTED_VALUE"""),"Femenino")</f>
        <v>Femenino</v>
      </c>
      <c r="F142" s="1" t="str">
        <f>IFERROR(__xludf.DUMMYFUNCTION("""COMPUTED_VALUE"""),"Herrera")</f>
        <v>Herrera</v>
      </c>
      <c r="G142" s="1" t="str">
        <f>IFERROR(__xludf.DUMMYFUNCTION("""COMPUTED_VALUE"""),"Espinoza")</f>
        <v>Espinoza</v>
      </c>
      <c r="H142" s="1" t="str">
        <f>IFERROR(__xludf.DUMMYFUNCTION("""COMPUTED_VALUE"""),"Rosa Angélica")</f>
        <v>Rosa Angélica</v>
      </c>
      <c r="I142" s="1" t="str">
        <f>IFERROR(__xludf.DUMMYFUNCTION("""COMPUTED_VALUE"""),"Herrera Espinoza Rosa Angélica")</f>
        <v>Herrera Espinoza Rosa Angélica</v>
      </c>
      <c r="J142" s="10">
        <f>IFERROR(__xludf.DUMMYFUNCTION("""COMPUTED_VALUE"""),39356.0)</f>
        <v>39356</v>
      </c>
      <c r="K142" s="10">
        <f>IFERROR(__xludf.DUMMYFUNCTION("""COMPUTED_VALUE"""),27159.0)</f>
        <v>27159</v>
      </c>
      <c r="L142" s="1">
        <f>IFERROR(__xludf.DUMMYFUNCTION("""COMPUTED_VALUE"""),49.0)</f>
        <v>49</v>
      </c>
      <c r="M142" s="1" t="str">
        <f>IFERROR(__xludf.DUMMYFUNCTION("""COMPUTED_VALUE"""),"0001 Casado")</f>
        <v>0001 Casado</v>
      </c>
      <c r="N142" s="1"/>
      <c r="O142" s="10">
        <f>IFERROR(__xludf.DUMMYFUNCTION("""COMPUTED_VALUE"""),42736.0)</f>
        <v>42736</v>
      </c>
      <c r="P142" s="10">
        <f>IFERROR(__xludf.DUMMYFUNCTION("""COMPUTED_VALUE"""),42855.0)</f>
        <v>42855</v>
      </c>
      <c r="Q142" s="1" t="str">
        <f>IFERROR(__xludf.DUMMYFUNCTION("""COMPUTED_VALUE"""),"C Contrata")</f>
        <v>C Contrata</v>
      </c>
      <c r="R142" s="1" t="str">
        <f>IFERROR(__xludf.DUMMYFUNCTION("""COMPUTED_VALUE"""),"A Académico")</f>
        <v>A Académico</v>
      </c>
      <c r="S142" s="9" t="str">
        <f>IFERROR(__xludf.DUMMYFUNCTION("""COMPUTED_VALUE"""),"126326262")</f>
        <v>126326262</v>
      </c>
      <c r="T142" s="1" t="str">
        <f>IFERROR(__xludf.DUMMYFUNCTION("""COMPUTED_VALUE"""),"0126326262")</f>
        <v>0126326262</v>
      </c>
      <c r="U142" s="1">
        <f>IFERROR(__xludf.DUMMYFUNCTION("""COMPUTED_VALUE"""),12.0)</f>
        <v>12</v>
      </c>
      <c r="V142" s="1" t="str">
        <f>IFERROR(__xludf.DUMMYFUNCTION("""COMPUTED_VALUE"""),"P0401 Licenciado")</f>
        <v>P0401 Licenciado</v>
      </c>
      <c r="W142" s="1">
        <f>IFERROR(__xludf.DUMMYFUNCTION("""COMPUTED_VALUE"""),35065.0)</f>
        <v>35065</v>
      </c>
      <c r="X142" s="1" t="str">
        <f>IFERROR(__xludf.DUMMYFUNCTION("""COMPUTED_VALUE"""),"Universidad De Chile")</f>
        <v>Universidad De Chile</v>
      </c>
      <c r="Y142" s="1" t="str">
        <f>IFERROR(__xludf.DUMMYFUNCTION("""COMPUTED_VALUE"""),"CHILE")</f>
        <v>CHILE</v>
      </c>
      <c r="Z142" s="1" t="str">
        <f>IFERROR(__xludf.DUMMYFUNCTION("""COMPUTED_VALUE"""),"T5124 Psicologo")</f>
        <v>T5124 Psicologo</v>
      </c>
    </row>
    <row r="143">
      <c r="A143" s="1" t="str">
        <f>IFERROR(__xludf.DUMMYFUNCTION("""COMPUTED_VALUE"""),"12090601 Departamento de Educación")</f>
        <v>12090601 Departamento de Educación</v>
      </c>
      <c r="B143" s="1" t="str">
        <f>IFERROR(__xludf.DUMMYFUNCTION("""COMPUTED_VALUE"""),"A4A001 ACADEMICO  INSTRUCTOR")</f>
        <v>A4A001 ACADEMICO  INSTRUCTOR</v>
      </c>
      <c r="C143" s="1" t="str">
        <f>IFERROR(__xludf.DUMMYFUNCTION("""COMPUTED_VALUE"""),"Instructor")</f>
        <v>Instructor</v>
      </c>
      <c r="D143" s="1" t="str">
        <f>IFERROR(__xludf.DUMMYFUNCTION("""COMPUTED_VALUE"""),"A4A Instructor")</f>
        <v>A4A Instructor</v>
      </c>
      <c r="E143" s="1" t="str">
        <f>IFERROR(__xludf.DUMMYFUNCTION("""COMPUTED_VALUE"""),"Masculino")</f>
        <v>Masculino</v>
      </c>
      <c r="F143" s="1" t="str">
        <f>IFERROR(__xludf.DUMMYFUNCTION("""COMPUTED_VALUE"""),"Herrera")</f>
        <v>Herrera</v>
      </c>
      <c r="G143" s="1" t="str">
        <f>IFERROR(__xludf.DUMMYFUNCTION("""COMPUTED_VALUE"""),"Jeldres")</f>
        <v>Jeldres</v>
      </c>
      <c r="H143" s="1" t="str">
        <f>IFERROR(__xludf.DUMMYFUNCTION("""COMPUTED_VALUE"""),"Juan Francisco")</f>
        <v>Juan Francisco</v>
      </c>
      <c r="I143" s="1" t="str">
        <f>IFERROR(__xludf.DUMMYFUNCTION("""COMPUTED_VALUE"""),"Herrera Jeldres Juan Francisco")</f>
        <v>Herrera Jeldres Juan Francisco</v>
      </c>
      <c r="J143" s="10">
        <f>IFERROR(__xludf.DUMMYFUNCTION("""COMPUTED_VALUE"""),33573.0)</f>
        <v>33573</v>
      </c>
      <c r="K143" s="10">
        <f>IFERROR(__xludf.DUMMYFUNCTION("""COMPUTED_VALUE"""),24446.0)</f>
        <v>24446</v>
      </c>
      <c r="L143" s="1">
        <f>IFERROR(__xludf.DUMMYFUNCTION("""COMPUTED_VALUE"""),57.0)</f>
        <v>57</v>
      </c>
      <c r="M143" s="1" t="str">
        <f>IFERROR(__xludf.DUMMYFUNCTION("""COMPUTED_VALUE"""),"0002 Soltero")</f>
        <v>0002 Soltero</v>
      </c>
      <c r="N143" s="1"/>
      <c r="O143" s="10">
        <f>IFERROR(__xludf.DUMMYFUNCTION("""COMPUTED_VALUE"""),39083.0)</f>
        <v>39083</v>
      </c>
      <c r="P143" s="10">
        <f>IFERROR(__xludf.DUMMYFUNCTION("""COMPUTED_VALUE"""),39294.0)</f>
        <v>39294</v>
      </c>
      <c r="Q143" s="1" t="str">
        <f>IFERROR(__xludf.DUMMYFUNCTION("""COMPUTED_VALUE"""),"C Contrata")</f>
        <v>C Contrata</v>
      </c>
      <c r="R143" s="1" t="str">
        <f>IFERROR(__xludf.DUMMYFUNCTION("""COMPUTED_VALUE"""),"A Académico")</f>
        <v>A Académico</v>
      </c>
      <c r="S143" s="9" t="str">
        <f>IFERROR(__xludf.DUMMYFUNCTION("""COMPUTED_VALUE"""),"94875870")</f>
        <v>94875870</v>
      </c>
      <c r="T143" s="1" t="str">
        <f>IFERROR(__xludf.DUMMYFUNCTION("""COMPUTED_VALUE"""),"0094875870")</f>
        <v>0094875870</v>
      </c>
      <c r="U143" s="1">
        <f>IFERROR(__xludf.DUMMYFUNCTION("""COMPUTED_VALUE"""),12.0)</f>
        <v>12</v>
      </c>
      <c r="V143" s="1" t="str">
        <f>IFERROR(__xludf.DUMMYFUNCTION("""COMPUTED_VALUE"""),"P0900 Doctor")</f>
        <v>P0900 Doctor</v>
      </c>
      <c r="W143" s="1">
        <f>IFERROR(__xludf.DUMMYFUNCTION("""COMPUTED_VALUE"""),40893.0)</f>
        <v>40893</v>
      </c>
      <c r="X143" s="1" t="str">
        <f>IFERROR(__xludf.DUMMYFUNCTION("""COMPUTED_VALUE"""),"Universidad De Chile")</f>
        <v>Universidad De Chile</v>
      </c>
      <c r="Y143" s="1" t="str">
        <f>IFERROR(__xludf.DUMMYFUNCTION("""COMPUTED_VALUE"""),"CHILE")</f>
        <v>CHILE</v>
      </c>
      <c r="Z143" s="1" t="str">
        <f>IFERROR(__xludf.DUMMYFUNCTION("""COMPUTED_VALUE"""),"T5062 Licenciado en Filosofia")</f>
        <v>T5062 Licenciado en Filosofia</v>
      </c>
    </row>
    <row r="144">
      <c r="A144" s="1" t="str">
        <f>IFERROR(__xludf.DUMMYFUNCTION("""COMPUTED_VALUE"""),"12090301 Departamento de Antropología")</f>
        <v>12090301 Departamento de Antropología</v>
      </c>
      <c r="B144" s="1" t="str">
        <f>IFERROR(__xludf.DUMMYFUNCTION("""COMPUTED_VALUE"""),"A4A001 ACADEMICO  INSTRUCTOR")</f>
        <v>A4A001 ACADEMICO  INSTRUCTOR</v>
      </c>
      <c r="C144" s="1" t="str">
        <f>IFERROR(__xludf.DUMMYFUNCTION("""COMPUTED_VALUE"""),"Instructor")</f>
        <v>Instructor</v>
      </c>
      <c r="D144" s="1" t="str">
        <f>IFERROR(__xludf.DUMMYFUNCTION("""COMPUTED_VALUE"""),"A4A Instructor")</f>
        <v>A4A Instructor</v>
      </c>
      <c r="E144" s="1" t="str">
        <f>IFERROR(__xludf.DUMMYFUNCTION("""COMPUTED_VALUE"""),"Masculino")</f>
        <v>Masculino</v>
      </c>
      <c r="F144" s="1" t="str">
        <f>IFERROR(__xludf.DUMMYFUNCTION("""COMPUTED_VALUE"""),"Herrera")</f>
        <v>Herrera</v>
      </c>
      <c r="G144" s="1" t="str">
        <f>IFERROR(__xludf.DUMMYFUNCTION("""COMPUTED_VALUE"""),"Veas")</f>
        <v>Veas</v>
      </c>
      <c r="H144" s="1" t="str">
        <f>IFERROR(__xludf.DUMMYFUNCTION("""COMPUTED_VALUE"""),"Juan Alberto")</f>
        <v>Juan Alberto</v>
      </c>
      <c r="I144" s="1" t="str">
        <f>IFERROR(__xludf.DUMMYFUNCTION("""COMPUTED_VALUE"""),"Herrera Veas Juan Alberto")</f>
        <v>Herrera Veas Juan Alberto</v>
      </c>
      <c r="J144" s="10">
        <f>IFERROR(__xludf.DUMMYFUNCTION("""COMPUTED_VALUE"""),35004.0)</f>
        <v>35004</v>
      </c>
      <c r="K144" s="10">
        <f>IFERROR(__xludf.DUMMYFUNCTION("""COMPUTED_VALUE"""),24020.0)</f>
        <v>24020</v>
      </c>
      <c r="L144" s="1">
        <f>IFERROR(__xludf.DUMMYFUNCTION("""COMPUTED_VALUE"""),58.0)</f>
        <v>58</v>
      </c>
      <c r="M144" s="1" t="str">
        <f>IFERROR(__xludf.DUMMYFUNCTION("""COMPUTED_VALUE"""),"0004 Otro")</f>
        <v>0004 Otro</v>
      </c>
      <c r="N144" s="1"/>
      <c r="O144" s="10">
        <f>IFERROR(__xludf.DUMMYFUNCTION("""COMPUTED_VALUE"""),36161.0)</f>
        <v>36161</v>
      </c>
      <c r="P144" s="10">
        <f>IFERROR(__xludf.DUMMYFUNCTION("""COMPUTED_VALUE"""),36161.0)</f>
        <v>36161</v>
      </c>
      <c r="Q144" s="1" t="str">
        <f>IFERROR(__xludf.DUMMYFUNCTION("""COMPUTED_VALUE"""),"C Contrata")</f>
        <v>C Contrata</v>
      </c>
      <c r="R144" s="1" t="str">
        <f>IFERROR(__xludf.DUMMYFUNCTION("""COMPUTED_VALUE"""),"A Académico")</f>
        <v>A Académico</v>
      </c>
      <c r="S144" s="9" t="str">
        <f>IFERROR(__xludf.DUMMYFUNCTION("""COMPUTED_VALUE"""),"99428465")</f>
        <v>99428465</v>
      </c>
      <c r="T144" s="1" t="str">
        <f>IFERROR(__xludf.DUMMYFUNCTION("""COMPUTED_VALUE"""),"0099428465")</f>
        <v>0099428465</v>
      </c>
      <c r="U144" s="1">
        <f>IFERROR(__xludf.DUMMYFUNCTION("""COMPUTED_VALUE"""),6.0)</f>
        <v>6</v>
      </c>
      <c r="V144" s="1"/>
      <c r="W144" s="1"/>
      <c r="X144" s="1"/>
      <c r="Y144" s="1"/>
      <c r="Z144" s="1"/>
    </row>
    <row r="145">
      <c r="A145" s="1" t="str">
        <f>IFERROR(__xludf.DUMMYFUNCTION("""COMPUTED_VALUE"""),"12090118 Dpto. de  Psicología (funcionamiento)")</f>
        <v>12090118 Dpto. de  Psicología (funcionamiento)</v>
      </c>
      <c r="B145" s="1" t="str">
        <f>IFERROR(__xludf.DUMMYFUNCTION("""COMPUTED_VALUE"""),"A4A001 ACADEMICO  INSTRUCTOR")</f>
        <v>A4A001 ACADEMICO  INSTRUCTOR</v>
      </c>
      <c r="C145" s="1" t="str">
        <f>IFERROR(__xludf.DUMMYFUNCTION("""COMPUTED_VALUE"""),"Instructor")</f>
        <v>Instructor</v>
      </c>
      <c r="D145" s="1" t="str">
        <f>IFERROR(__xludf.DUMMYFUNCTION("""COMPUTED_VALUE"""),"A4A Instructor")</f>
        <v>A4A Instructor</v>
      </c>
      <c r="E145" s="1" t="str">
        <f>IFERROR(__xludf.DUMMYFUNCTION("""COMPUTED_VALUE"""),"Femenino")</f>
        <v>Femenino</v>
      </c>
      <c r="F145" s="1" t="str">
        <f>IFERROR(__xludf.DUMMYFUNCTION("""COMPUTED_VALUE"""),"Inostroza")</f>
        <v>Inostroza</v>
      </c>
      <c r="G145" s="1" t="str">
        <f>IFERROR(__xludf.DUMMYFUNCTION("""COMPUTED_VALUE"""),"Parodi")</f>
        <v>Parodi</v>
      </c>
      <c r="H145" s="1" t="str">
        <f>IFERROR(__xludf.DUMMYFUNCTION("""COMPUTED_VALUE"""),"Marion Alejandra")</f>
        <v>Marion Alejandra</v>
      </c>
      <c r="I145" s="1" t="str">
        <f>IFERROR(__xludf.DUMMYFUNCTION("""COMPUTED_VALUE"""),"Inostroza Parodi Marion Alejandra")</f>
        <v>Inostroza Parodi Marion Alejandra</v>
      </c>
      <c r="J145" s="10">
        <f>IFERROR(__xludf.DUMMYFUNCTION("""COMPUTED_VALUE"""),38231.0)</f>
        <v>38231</v>
      </c>
      <c r="K145" s="10">
        <f>IFERROR(__xludf.DUMMYFUNCTION("""COMPUTED_VALUE"""),28899.0)</f>
        <v>28899</v>
      </c>
      <c r="L145" s="1">
        <f>IFERROR(__xludf.DUMMYFUNCTION("""COMPUTED_VALUE"""),44.0)</f>
        <v>44</v>
      </c>
      <c r="M145" s="1" t="str">
        <f>IFERROR(__xludf.DUMMYFUNCTION("""COMPUTED_VALUE"""),"0002 Soltero")</f>
        <v>0002 Soltero</v>
      </c>
      <c r="N145" s="1"/>
      <c r="O145" s="10">
        <f>IFERROR(__xludf.DUMMYFUNCTION("""COMPUTED_VALUE"""),42370.0)</f>
        <v>42370</v>
      </c>
      <c r="P145" s="10">
        <f>IFERROR(__xludf.DUMMYFUNCTION("""COMPUTED_VALUE"""),42735.0)</f>
        <v>42735</v>
      </c>
      <c r="Q145" s="1" t="str">
        <f>IFERROR(__xludf.DUMMYFUNCTION("""COMPUTED_VALUE"""),"C Contrata")</f>
        <v>C Contrata</v>
      </c>
      <c r="R145" s="1" t="str">
        <f>IFERROR(__xludf.DUMMYFUNCTION("""COMPUTED_VALUE"""),"A Académico")</f>
        <v>A Académico</v>
      </c>
      <c r="S145" s="9" t="str">
        <f>IFERROR(__xludf.DUMMYFUNCTION("""COMPUTED_VALUE"""),"136788728")</f>
        <v>136788728</v>
      </c>
      <c r="T145" s="1" t="str">
        <f>IFERROR(__xludf.DUMMYFUNCTION("""COMPUTED_VALUE"""),"0136788728")</f>
        <v>0136788728</v>
      </c>
      <c r="U145" s="1">
        <f>IFERROR(__xludf.DUMMYFUNCTION("""COMPUTED_VALUE"""),2.0)</f>
        <v>2</v>
      </c>
      <c r="V145" s="1" t="str">
        <f>IFERROR(__xludf.DUMMYFUNCTION("""COMPUTED_VALUE"""),"P0401 Licenciado")</f>
        <v>P0401 Licenciado</v>
      </c>
      <c r="W145" s="1">
        <f>IFERROR(__xludf.DUMMYFUNCTION("""COMPUTED_VALUE"""),37915.0)</f>
        <v>37915</v>
      </c>
      <c r="X145" s="1" t="str">
        <f>IFERROR(__xludf.DUMMYFUNCTION("""COMPUTED_VALUE"""),"Universidad De Chile")</f>
        <v>Universidad De Chile</v>
      </c>
      <c r="Y145" s="1" t="str">
        <f>IFERROR(__xludf.DUMMYFUNCTION("""COMPUTED_VALUE"""),"CHILE")</f>
        <v>CHILE</v>
      </c>
      <c r="Z145" s="1" t="str">
        <f>IFERROR(__xludf.DUMMYFUNCTION("""COMPUTED_VALUE"""),"T5124 Psicologo")</f>
        <v>T5124 Psicologo</v>
      </c>
    </row>
    <row r="146">
      <c r="A146" s="1" t="str">
        <f>IFERROR(__xludf.DUMMYFUNCTION("""COMPUTED_VALUE"""),"12090701 Departamento de Psicología")</f>
        <v>12090701 Departamento de Psicología</v>
      </c>
      <c r="B146" s="1" t="str">
        <f>IFERROR(__xludf.DUMMYFUNCTION("""COMPUTED_VALUE"""),"A4A001 ACADEMICO  INSTRUCTOR")</f>
        <v>A4A001 ACADEMICO  INSTRUCTOR</v>
      </c>
      <c r="C146" s="1" t="str">
        <f>IFERROR(__xludf.DUMMYFUNCTION("""COMPUTED_VALUE"""),"Instructor")</f>
        <v>Instructor</v>
      </c>
      <c r="D146" s="1" t="str">
        <f>IFERROR(__xludf.DUMMYFUNCTION("""COMPUTED_VALUE"""),"A4A Instructor")</f>
        <v>A4A Instructor</v>
      </c>
      <c r="E146" s="1" t="str">
        <f>IFERROR(__xludf.DUMMYFUNCTION("""COMPUTED_VALUE"""),"Masculino")</f>
        <v>Masculino</v>
      </c>
      <c r="F146" s="1" t="str">
        <f>IFERROR(__xludf.DUMMYFUNCTION("""COMPUTED_VALUE"""),"Inzunza")</f>
        <v>Inzunza</v>
      </c>
      <c r="G146" s="1" t="str">
        <f>IFERROR(__xludf.DUMMYFUNCTION("""COMPUTED_VALUE"""),"Higueras")</f>
        <v>Higueras</v>
      </c>
      <c r="H146" s="1" t="str">
        <f>IFERROR(__xludf.DUMMYFUNCTION("""COMPUTED_VALUE"""),"Jorge Luis")</f>
        <v>Jorge Luis</v>
      </c>
      <c r="I146" s="1" t="str">
        <f>IFERROR(__xludf.DUMMYFUNCTION("""COMPUTED_VALUE"""),"Inzunza Higueras Jorge Luis")</f>
        <v>Inzunza Higueras Jorge Luis</v>
      </c>
      <c r="J146" s="10">
        <f>IFERROR(__xludf.DUMMYFUNCTION("""COMPUTED_VALUE"""),39326.0)</f>
        <v>39326</v>
      </c>
      <c r="K146" s="10">
        <f>IFERROR(__xludf.DUMMYFUNCTION("""COMPUTED_VALUE"""),27940.0)</f>
        <v>27940</v>
      </c>
      <c r="L146" s="1">
        <f>IFERROR(__xludf.DUMMYFUNCTION("""COMPUTED_VALUE"""),47.0)</f>
        <v>47</v>
      </c>
      <c r="M146" s="1" t="str">
        <f>IFERROR(__xludf.DUMMYFUNCTION("""COMPUTED_VALUE"""),"0002 Soltero")</f>
        <v>0002 Soltero</v>
      </c>
      <c r="N146" s="1"/>
      <c r="O146" s="10">
        <f>IFERROR(__xludf.DUMMYFUNCTION("""COMPUTED_VALUE"""),41275.0)</f>
        <v>41275</v>
      </c>
      <c r="P146" s="10">
        <f>IFERROR(__xludf.DUMMYFUNCTION("""COMPUTED_VALUE"""),41639.0)</f>
        <v>41639</v>
      </c>
      <c r="Q146" s="1" t="str">
        <f>IFERROR(__xludf.DUMMYFUNCTION("""COMPUTED_VALUE"""),"C Contrata")</f>
        <v>C Contrata</v>
      </c>
      <c r="R146" s="1" t="str">
        <f>IFERROR(__xludf.DUMMYFUNCTION("""COMPUTED_VALUE"""),"A Académico")</f>
        <v>A Académico</v>
      </c>
      <c r="S146" s="9" t="str">
        <f>IFERROR(__xludf.DUMMYFUNCTION("""COMPUTED_VALUE"""),"129592745")</f>
        <v>129592745</v>
      </c>
      <c r="T146" s="1" t="str">
        <f>IFERROR(__xludf.DUMMYFUNCTION("""COMPUTED_VALUE"""),"0129592745")</f>
        <v>0129592745</v>
      </c>
      <c r="U146" s="1">
        <f>IFERROR(__xludf.DUMMYFUNCTION("""COMPUTED_VALUE"""),12.0)</f>
        <v>12</v>
      </c>
      <c r="V146" s="1" t="str">
        <f>IFERROR(__xludf.DUMMYFUNCTION("""COMPUTED_VALUE"""),"P0850 Magister")</f>
        <v>P0850 Magister</v>
      </c>
      <c r="W146" s="1">
        <f>IFERROR(__xludf.DUMMYFUNCTION("""COMPUTED_VALUE"""),39163.0)</f>
        <v>39163</v>
      </c>
      <c r="X146" s="1" t="str">
        <f>IFERROR(__xludf.DUMMYFUNCTION("""COMPUTED_VALUE"""),"Université Paris X")</f>
        <v>Université Paris X</v>
      </c>
      <c r="Y146" s="1" t="str">
        <f>IFERROR(__xludf.DUMMYFUNCTION("""COMPUTED_VALUE"""),"FRANCIA")</f>
        <v>FRANCIA</v>
      </c>
      <c r="Z146" s="1" t="str">
        <f>IFERROR(__xludf.DUMMYFUNCTION("""COMPUTED_VALUE"""),"T5124 Psicologo")</f>
        <v>T5124 Psicologo</v>
      </c>
    </row>
    <row r="147" hidden="1">
      <c r="A147" s="1" t="str">
        <f>IFERROR(__xludf.DUMMYFUNCTION("""COMPUTED_VALUE"""),"12090701 Departamento de Psicología")</f>
        <v>12090701 Departamento de Psicología</v>
      </c>
      <c r="B147" s="1" t="str">
        <f>IFERROR(__xludf.DUMMYFUNCTION("""COMPUTED_VALUE"""),"A4A001 ACADEMICO  INSTRUCTOR")</f>
        <v>A4A001 ACADEMICO  INSTRUCTOR</v>
      </c>
      <c r="C147" s="1" t="str">
        <f>IFERROR(__xludf.DUMMYFUNCTION("""COMPUTED_VALUE"""),"Instructor")</f>
        <v>Instructor</v>
      </c>
      <c r="D147" s="1" t="str">
        <f>IFERROR(__xludf.DUMMYFUNCTION("""COMPUTED_VALUE"""),"A4A Instructor")</f>
        <v>A4A Instructor</v>
      </c>
      <c r="E147" s="1" t="str">
        <f>IFERROR(__xludf.DUMMYFUNCTION("""COMPUTED_VALUE"""),"Femenino")</f>
        <v>Femenino</v>
      </c>
      <c r="F147" s="1" t="str">
        <f>IFERROR(__xludf.DUMMYFUNCTION("""COMPUTED_VALUE"""),"Iribarren")</f>
        <v>Iribarren</v>
      </c>
      <c r="G147" s="1" t="str">
        <f>IFERROR(__xludf.DUMMYFUNCTION("""COMPUTED_VALUE"""),"Stubing")</f>
        <v>Stubing</v>
      </c>
      <c r="H147" s="1" t="str">
        <f>IFERROR(__xludf.DUMMYFUNCTION("""COMPUTED_VALUE"""),"Rosa Elena Julia")</f>
        <v>Rosa Elena Julia</v>
      </c>
      <c r="I147" s="1" t="str">
        <f>IFERROR(__xludf.DUMMYFUNCTION("""COMPUTED_VALUE"""),"Iribarren Stubing Rosa Elena Julia")</f>
        <v>Iribarren Stubing Rosa Elena Julia</v>
      </c>
      <c r="J147" s="10">
        <f>IFERROR(__xludf.DUMMYFUNCTION("""COMPUTED_VALUE"""),36678.0)</f>
        <v>36678</v>
      </c>
      <c r="K147" s="10">
        <f>IFERROR(__xludf.DUMMYFUNCTION("""COMPUTED_VALUE"""),19236.0)</f>
        <v>19236</v>
      </c>
      <c r="L147" s="1">
        <f>IFERROR(__xludf.DUMMYFUNCTION("""COMPUTED_VALUE"""),71.0)</f>
        <v>71</v>
      </c>
      <c r="M147" s="1" t="str">
        <f>IFERROR(__xludf.DUMMYFUNCTION("""COMPUTED_VALUE"""),"0001 Casado")</f>
        <v>0001 Casado</v>
      </c>
      <c r="N147" s="1"/>
      <c r="O147" s="10">
        <f>IFERROR(__xludf.DUMMYFUNCTION("""COMPUTED_VALUE"""),38353.0)</f>
        <v>38353</v>
      </c>
      <c r="P147" s="10">
        <f>IFERROR(__xludf.DUMMYFUNCTION("""COMPUTED_VALUE"""),38472.0)</f>
        <v>38472</v>
      </c>
      <c r="Q147" s="1" t="str">
        <f>IFERROR(__xludf.DUMMYFUNCTION("""COMPUTED_VALUE"""),"C Contrata")</f>
        <v>C Contrata</v>
      </c>
      <c r="R147" s="1" t="str">
        <f>IFERROR(__xludf.DUMMYFUNCTION("""COMPUTED_VALUE"""),"A Académico")</f>
        <v>A Académico</v>
      </c>
      <c r="S147" s="9" t="str">
        <f>IFERROR(__xludf.DUMMYFUNCTION("""COMPUTED_VALUE"""),"61019308")</f>
        <v>61019308</v>
      </c>
      <c r="T147" s="1" t="str">
        <f>IFERROR(__xludf.DUMMYFUNCTION("""COMPUTED_VALUE"""),"0061019308")</f>
        <v>0061019308</v>
      </c>
      <c r="U147" s="1">
        <f>IFERROR(__xludf.DUMMYFUNCTION("""COMPUTED_VALUE"""),6.0)</f>
        <v>6</v>
      </c>
      <c r="V147" s="1" t="str">
        <f>IFERROR(__xludf.DUMMYFUNCTION("""COMPUTED_VALUE"""),"P0401 Licenciado")</f>
        <v>P0401 Licenciado</v>
      </c>
      <c r="W147" s="1">
        <f>IFERROR(__xludf.DUMMYFUNCTION("""COMPUTED_VALUE"""),34699.0)</f>
        <v>34699</v>
      </c>
      <c r="X147" s="1" t="str">
        <f>IFERROR(__xludf.DUMMYFUNCTION("""COMPUTED_VALUE"""),"Universidad Arcis")</f>
        <v>Universidad Arcis</v>
      </c>
      <c r="Y147" s="1" t="str">
        <f>IFERROR(__xludf.DUMMYFUNCTION("""COMPUTED_VALUE"""),"CHILE")</f>
        <v>CHILE</v>
      </c>
      <c r="Z147" s="1"/>
    </row>
    <row r="148">
      <c r="A148" s="1" t="str">
        <f>IFERROR(__xludf.DUMMYFUNCTION("""COMPUTED_VALUE"""),"12090701 Departamento de Psicología")</f>
        <v>12090701 Departamento de Psicología</v>
      </c>
      <c r="B148" s="1" t="str">
        <f>IFERROR(__xludf.DUMMYFUNCTION("""COMPUTED_VALUE"""),"A4A001 ACADEMICO  INSTRUCTOR")</f>
        <v>A4A001 ACADEMICO  INSTRUCTOR</v>
      </c>
      <c r="C148" s="1" t="str">
        <f>IFERROR(__xludf.DUMMYFUNCTION("""COMPUTED_VALUE"""),"Instructor")</f>
        <v>Instructor</v>
      </c>
      <c r="D148" s="1" t="str">
        <f>IFERROR(__xludf.DUMMYFUNCTION("""COMPUTED_VALUE"""),"A4A Instructor")</f>
        <v>A4A Instructor</v>
      </c>
      <c r="E148" s="1" t="str">
        <f>IFERROR(__xludf.DUMMYFUNCTION("""COMPUTED_VALUE"""),"Masculino")</f>
        <v>Masculino</v>
      </c>
      <c r="F148" s="1" t="str">
        <f>IFERROR(__xludf.DUMMYFUNCTION("""COMPUTED_VALUE"""),"Isla")</f>
        <v>Isla</v>
      </c>
      <c r="G148" s="1" t="str">
        <f>IFERROR(__xludf.DUMMYFUNCTION("""COMPUTED_VALUE"""),"Pérez")</f>
        <v>Pérez</v>
      </c>
      <c r="H148" s="1" t="str">
        <f>IFERROR(__xludf.DUMMYFUNCTION("""COMPUTED_VALUE"""),"Rogelio Adolfo")</f>
        <v>Rogelio Adolfo</v>
      </c>
      <c r="I148" s="1" t="str">
        <f>IFERROR(__xludf.DUMMYFUNCTION("""COMPUTED_VALUE"""),"Isla Pérez Rogelio Adolfo")</f>
        <v>Isla Pérez Rogelio Adolfo</v>
      </c>
      <c r="J148" s="10">
        <f>IFERROR(__xludf.DUMMYFUNCTION("""COMPUTED_VALUE"""),42430.0)</f>
        <v>42430</v>
      </c>
      <c r="K148" s="10">
        <f>IFERROR(__xludf.DUMMYFUNCTION("""COMPUTED_VALUE"""),20061.0)</f>
        <v>20061</v>
      </c>
      <c r="L148" s="1">
        <f>IFERROR(__xludf.DUMMYFUNCTION("""COMPUTED_VALUE"""),69.0)</f>
        <v>69</v>
      </c>
      <c r="M148" s="1" t="str">
        <f>IFERROR(__xludf.DUMMYFUNCTION("""COMPUTED_VALUE"""),"0001 Casado")</f>
        <v>0001 Casado</v>
      </c>
      <c r="N148" s="1" t="str">
        <f>IFERROR(__xludf.DUMMYFUNCTION("""COMPUTED_VALUE"""),"N0040 Profesional Superior")</f>
        <v>N0040 Profesional Superior</v>
      </c>
      <c r="O148" s="10">
        <f>IFERROR(__xludf.DUMMYFUNCTION("""COMPUTED_VALUE"""),38657.0)</f>
        <v>38657</v>
      </c>
      <c r="P148" s="10">
        <f>IFERROR(__xludf.DUMMYFUNCTION("""COMPUTED_VALUE"""),38717.0)</f>
        <v>38717</v>
      </c>
      <c r="Q148" s="1" t="str">
        <f>IFERROR(__xludf.DUMMYFUNCTION("""COMPUTED_VALUE"""),"C Contrata")</f>
        <v>C Contrata</v>
      </c>
      <c r="R148" s="1" t="str">
        <f>IFERROR(__xludf.DUMMYFUNCTION("""COMPUTED_VALUE"""),"A Académico")</f>
        <v>A Académico</v>
      </c>
      <c r="S148" s="9" t="str">
        <f>IFERROR(__xludf.DUMMYFUNCTION("""COMPUTED_VALUE"""),"72579003")</f>
        <v>72579003</v>
      </c>
      <c r="T148" s="1" t="str">
        <f>IFERROR(__xludf.DUMMYFUNCTION("""COMPUTED_VALUE"""),"0072579003")</f>
        <v>0072579003</v>
      </c>
      <c r="U148" s="1">
        <f>IFERROR(__xludf.DUMMYFUNCTION("""COMPUTED_VALUE"""),2.0)</f>
        <v>2</v>
      </c>
      <c r="V148" s="1" t="str">
        <f>IFERROR(__xludf.DUMMYFUNCTION("""COMPUTED_VALUE"""),"P0602 Especialidad Médica u Odontológica")</f>
        <v>P0602 Especialidad Médica u Odontológica</v>
      </c>
      <c r="W148" s="1">
        <f>IFERROR(__xludf.DUMMYFUNCTION("""COMPUTED_VALUE"""),32989.0)</f>
        <v>32989</v>
      </c>
      <c r="X148" s="1" t="str">
        <f>IFERROR(__xludf.DUMMYFUNCTION("""COMPUTED_VALUE"""),"Conacem")</f>
        <v>Conacem</v>
      </c>
      <c r="Y148" s="1" t="str">
        <f>IFERROR(__xludf.DUMMYFUNCTION("""COMPUTED_VALUE"""),"CHILE")</f>
        <v>CHILE</v>
      </c>
      <c r="Z148" s="1" t="str">
        <f>IFERROR(__xludf.DUMMYFUNCTION("""COMPUTED_VALUE"""),"T5070 Medico-Cirujano")</f>
        <v>T5070 Medico-Cirujano</v>
      </c>
    </row>
    <row r="149" hidden="1">
      <c r="A149" s="1" t="str">
        <f>IFERROR(__xludf.DUMMYFUNCTION("""COMPUTED_VALUE"""),"12090701 Departamento de Psicología")</f>
        <v>12090701 Departamento de Psicología</v>
      </c>
      <c r="B149" s="1" t="str">
        <f>IFERROR(__xludf.DUMMYFUNCTION("""COMPUTED_VALUE"""),"A3A001 Académico Prof. Asistente")</f>
        <v>A3A001 Académico Prof. Asistente</v>
      </c>
      <c r="C149" s="1" t="str">
        <f>IFERROR(__xludf.DUMMYFUNCTION("""COMPUTED_VALUE"""),"Prof. Asistente - Categ. Academica Ord.")</f>
        <v>Prof. Asistente - Categ. Academica Ord.</v>
      </c>
      <c r="D149" s="1" t="str">
        <f>IFERROR(__xludf.DUMMYFUNCTION("""COMPUTED_VALUE"""),"A3A Prof. Asistente - Categ. Academica Ord.")</f>
        <v>A3A Prof. Asistente - Categ. Academica Ord.</v>
      </c>
      <c r="E149" s="1" t="str">
        <f>IFERROR(__xludf.DUMMYFUNCTION("""COMPUTED_VALUE"""),"Masculino")</f>
        <v>Masculino</v>
      </c>
      <c r="F149" s="1" t="str">
        <f>IFERROR(__xludf.DUMMYFUNCTION("""COMPUTED_VALUE"""),"Iturriaga")</f>
        <v>Iturriaga</v>
      </c>
      <c r="G149" s="1" t="str">
        <f>IFERROR(__xludf.DUMMYFUNCTION("""COMPUTED_VALUE"""),"Moya")</f>
        <v>Moya</v>
      </c>
      <c r="H149" s="1" t="str">
        <f>IFERROR(__xludf.DUMMYFUNCTION("""COMPUTED_VALUE"""),"Juan Edmundo")</f>
        <v>Juan Edmundo</v>
      </c>
      <c r="I149" s="1" t="str">
        <f>IFERROR(__xludf.DUMMYFUNCTION("""COMPUTED_VALUE"""),"Iturriaga Moya Juan Edmundo")</f>
        <v>Iturriaga Moya Juan Edmundo</v>
      </c>
      <c r="J149" s="10">
        <f>IFERROR(__xludf.DUMMYFUNCTION("""COMPUTED_VALUE"""),22341.0)</f>
        <v>22341</v>
      </c>
      <c r="K149" s="10">
        <f>IFERROR(__xludf.DUMMYFUNCTION("""COMPUTED_VALUE"""),13893.0)</f>
        <v>13893</v>
      </c>
      <c r="L149" s="1">
        <f>IFERROR(__xludf.DUMMYFUNCTION("""COMPUTED_VALUE"""),86.0)</f>
        <v>86</v>
      </c>
      <c r="M149" s="1" t="str">
        <f>IFERROR(__xludf.DUMMYFUNCTION("""COMPUTED_VALUE"""),"0001 Casado")</f>
        <v>0001 Casado</v>
      </c>
      <c r="N149" s="1"/>
      <c r="O149" s="10">
        <f>IFERROR(__xludf.DUMMYFUNCTION("""COMPUTED_VALUE"""),33725.0)</f>
        <v>33725</v>
      </c>
      <c r="P149" s="10">
        <f>IFERROR(__xludf.DUMMYFUNCTION("""COMPUTED_VALUE"""),34580.0)</f>
        <v>34580</v>
      </c>
      <c r="Q149" s="1" t="str">
        <f>IFERROR(__xludf.DUMMYFUNCTION("""COMPUTED_VALUE"""),"P Propiedad")</f>
        <v>P Propiedad</v>
      </c>
      <c r="R149" s="1" t="str">
        <f>IFERROR(__xludf.DUMMYFUNCTION("""COMPUTED_VALUE"""),"A Académico")</f>
        <v>A Académico</v>
      </c>
      <c r="S149" s="9" t="str">
        <f>IFERROR(__xludf.DUMMYFUNCTION("""COMPUTED_VALUE"""),"36304782")</f>
        <v>36304782</v>
      </c>
      <c r="T149" s="1" t="str">
        <f>IFERROR(__xludf.DUMMYFUNCTION("""COMPUTED_VALUE"""),"0036304782")</f>
        <v>0036304782</v>
      </c>
      <c r="U149" s="1">
        <f>IFERROR(__xludf.DUMMYFUNCTION("""COMPUTED_VALUE"""),6.0)</f>
        <v>6</v>
      </c>
      <c r="V149" s="1"/>
      <c r="W149" s="1"/>
      <c r="X149" s="1"/>
      <c r="Y149" s="1"/>
      <c r="Z149" s="1"/>
    </row>
    <row r="150" hidden="1">
      <c r="A150" s="1" t="str">
        <f>IFERROR(__xludf.DUMMYFUNCTION("""COMPUTED_VALUE"""),"12090501 Departamento de Investigaciónes Mediáticas y de la Comunicación")</f>
        <v>12090501 Departamento de Investigaciónes Mediáticas y de la Comunicación</v>
      </c>
      <c r="B150" s="1" t="str">
        <f>IFERROR(__xludf.DUMMYFUNCTION("""COMPUTED_VALUE"""),"A3A001 Académico Prof. Asistente")</f>
        <v>A3A001 Académico Prof. Asistente</v>
      </c>
      <c r="C150" s="1" t="str">
        <f>IFERROR(__xludf.DUMMYFUNCTION("""COMPUTED_VALUE"""),"Prof. Asistente - Categ. Academica Ord.")</f>
        <v>Prof. Asistente - Categ. Academica Ord.</v>
      </c>
      <c r="D150" s="1" t="str">
        <f>IFERROR(__xludf.DUMMYFUNCTION("""COMPUTED_VALUE"""),"A3A Prof. Asistente - Categ. Academica Ord.")</f>
        <v>A3A Prof. Asistente - Categ. Academica Ord.</v>
      </c>
      <c r="E150" s="1" t="str">
        <f>IFERROR(__xludf.DUMMYFUNCTION("""COMPUTED_VALUE"""),"Femenino")</f>
        <v>Femenino</v>
      </c>
      <c r="F150" s="1" t="str">
        <f>IFERROR(__xludf.DUMMYFUNCTION("""COMPUTED_VALUE"""),"Iturrieta")</f>
        <v>Iturrieta</v>
      </c>
      <c r="G150" s="1" t="str">
        <f>IFERROR(__xludf.DUMMYFUNCTION("""COMPUTED_VALUE"""),"Torres")</f>
        <v>Torres</v>
      </c>
      <c r="H150" s="1" t="str">
        <f>IFERROR(__xludf.DUMMYFUNCTION("""COMPUTED_VALUE"""),"Silvia Ester")</f>
        <v>Silvia Ester</v>
      </c>
      <c r="I150" s="1" t="str">
        <f>IFERROR(__xludf.DUMMYFUNCTION("""COMPUTED_VALUE"""),"Iturrieta Torres Silvia Ester")</f>
        <v>Iturrieta Torres Silvia Ester</v>
      </c>
      <c r="J150" s="10">
        <f>IFERROR(__xludf.DUMMYFUNCTION("""COMPUTED_VALUE"""),33878.0)</f>
        <v>33878</v>
      </c>
      <c r="K150" s="10">
        <f>IFERROR(__xludf.DUMMYFUNCTION("""COMPUTED_VALUE"""),15355.0)</f>
        <v>15355</v>
      </c>
      <c r="L150" s="1">
        <f>IFERROR(__xludf.DUMMYFUNCTION("""COMPUTED_VALUE"""),82.0)</f>
        <v>82</v>
      </c>
      <c r="M150" s="1" t="str">
        <f>IFERROR(__xludf.DUMMYFUNCTION("""COMPUTED_VALUE"""),"0001 Casado")</f>
        <v>0001 Casado</v>
      </c>
      <c r="N150" s="1"/>
      <c r="O150" s="10">
        <f>IFERROR(__xludf.DUMMYFUNCTION("""COMPUTED_VALUE"""),35490.0)</f>
        <v>35490</v>
      </c>
      <c r="P150" s="10">
        <f>IFERROR(__xludf.DUMMYFUNCTION("""COMPUTED_VALUE"""),35854.0)</f>
        <v>35854</v>
      </c>
      <c r="Q150" s="1" t="str">
        <f>IFERROR(__xludf.DUMMYFUNCTION("""COMPUTED_VALUE"""),"P Propiedad")</f>
        <v>P Propiedad</v>
      </c>
      <c r="R150" s="1" t="str">
        <f>IFERROR(__xludf.DUMMYFUNCTION("""COMPUTED_VALUE"""),"A Académico")</f>
        <v>A Académico</v>
      </c>
      <c r="S150" s="9" t="str">
        <f>IFERROR(__xludf.DUMMYFUNCTION("""COMPUTED_VALUE"""),"50320545")</f>
        <v>50320545</v>
      </c>
      <c r="T150" s="1" t="str">
        <f>IFERROR(__xludf.DUMMYFUNCTION("""COMPUTED_VALUE"""),"0050320545")</f>
        <v>0050320545</v>
      </c>
      <c r="U150" s="1">
        <f>IFERROR(__xludf.DUMMYFUNCTION("""COMPUTED_VALUE"""),22.0)</f>
        <v>22</v>
      </c>
      <c r="V150" s="1"/>
      <c r="W150" s="1"/>
      <c r="X150" s="1"/>
      <c r="Y150" s="1"/>
      <c r="Z150" s="1"/>
    </row>
    <row r="151" hidden="1">
      <c r="A151" s="1" t="str">
        <f>IFERROR(__xludf.DUMMYFUNCTION("""COMPUTED_VALUE"""),"12090118 Dpto. de  Psicología (funcionamiento)")</f>
        <v>12090118 Dpto. de  Psicología (funcionamiento)</v>
      </c>
      <c r="B151" s="1" t="str">
        <f>IFERROR(__xludf.DUMMYFUNCTION("""COMPUTED_VALUE"""),"A1B001 Académico Prof. Titular")</f>
        <v>A1B001 Académico Prof. Titular</v>
      </c>
      <c r="C151" s="1" t="str">
        <f>IFERROR(__xludf.DUMMYFUNCTION("""COMPUTED_VALUE"""),"Prof.Titular - Categ. Academica Doc.")</f>
        <v>Prof.Titular - Categ. Academica Doc.</v>
      </c>
      <c r="D151" s="1" t="str">
        <f>IFERROR(__xludf.DUMMYFUNCTION("""COMPUTED_VALUE"""),"A1B Prof.Titular - Categ. Academica Doc.")</f>
        <v>A1B Prof.Titular - Categ. Academica Doc.</v>
      </c>
      <c r="E151" s="1" t="str">
        <f>IFERROR(__xludf.DUMMYFUNCTION("""COMPUTED_VALUE"""),"Masculino")</f>
        <v>Masculino</v>
      </c>
      <c r="F151" s="1" t="str">
        <f>IFERROR(__xludf.DUMMYFUNCTION("""COMPUTED_VALUE"""),"Ivanovic-Zuvic")</f>
        <v>Ivanovic-Zuvic</v>
      </c>
      <c r="G151" s="1" t="str">
        <f>IFERROR(__xludf.DUMMYFUNCTION("""COMPUTED_VALUE"""),"Ramírez")</f>
        <v>Ramírez</v>
      </c>
      <c r="H151" s="1" t="str">
        <f>IFERROR(__xludf.DUMMYFUNCTION("""COMPUTED_VALUE"""),"Fernando Vicente")</f>
        <v>Fernando Vicente</v>
      </c>
      <c r="I151" s="1" t="str">
        <f>IFERROR(__xludf.DUMMYFUNCTION("""COMPUTED_VALUE"""),"Ivanovic-Zuvic Ramírez Fernando Vicente")</f>
        <v>Ivanovic-Zuvic Ramírez Fernando Vicente</v>
      </c>
      <c r="J151" s="10">
        <f>IFERROR(__xludf.DUMMYFUNCTION("""COMPUTED_VALUE"""),31413.0)</f>
        <v>31413</v>
      </c>
      <c r="K151" s="10">
        <f>IFERROR(__xludf.DUMMYFUNCTION("""COMPUTED_VALUE"""),19074.0)</f>
        <v>19074</v>
      </c>
      <c r="L151" s="1">
        <f>IFERROR(__xludf.DUMMYFUNCTION("""COMPUTED_VALUE"""),71.0)</f>
        <v>71</v>
      </c>
      <c r="M151" s="1" t="str">
        <f>IFERROR(__xludf.DUMMYFUNCTION("""COMPUTED_VALUE"""),"0001 Casado")</f>
        <v>0001 Casado</v>
      </c>
      <c r="N151" s="1"/>
      <c r="O151" s="10">
        <f>IFERROR(__xludf.DUMMYFUNCTION("""COMPUTED_VALUE"""),43160.0)</f>
        <v>43160</v>
      </c>
      <c r="P151" s="10">
        <f>IFERROR(__xludf.DUMMYFUNCTION("""COMPUTED_VALUE"""),44773.0)</f>
        <v>44773</v>
      </c>
      <c r="Q151" s="1" t="str">
        <f>IFERROR(__xludf.DUMMYFUNCTION("""COMPUTED_VALUE"""),"P Propiedad")</f>
        <v>P Propiedad</v>
      </c>
      <c r="R151" s="1" t="str">
        <f>IFERROR(__xludf.DUMMYFUNCTION("""COMPUTED_VALUE"""),"A Académico")</f>
        <v>A Académico</v>
      </c>
      <c r="S151" s="9" t="str">
        <f>IFERROR(__xludf.DUMMYFUNCTION("""COMPUTED_VALUE"""),"53250769")</f>
        <v>53250769</v>
      </c>
      <c r="T151" s="1" t="str">
        <f>IFERROR(__xludf.DUMMYFUNCTION("""COMPUTED_VALUE"""),"0053250769")</f>
        <v>0053250769</v>
      </c>
      <c r="U151" s="1">
        <f>IFERROR(__xludf.DUMMYFUNCTION("""COMPUTED_VALUE"""),6.0)</f>
        <v>6</v>
      </c>
      <c r="V151" s="1" t="str">
        <f>IFERROR(__xludf.DUMMYFUNCTION("""COMPUTED_VALUE"""),"P0602 Especialidad Médica u Odontológica")</f>
        <v>P0602 Especialidad Médica u Odontológica</v>
      </c>
      <c r="W151" s="1">
        <f>IFERROR(__xludf.DUMMYFUNCTION("""COMPUTED_VALUE"""),31714.0)</f>
        <v>31714</v>
      </c>
      <c r="X151" s="1" t="str">
        <f>IFERROR(__xludf.DUMMYFUNCTION("""COMPUTED_VALUE"""),"Universidad De Chile")</f>
        <v>Universidad De Chile</v>
      </c>
      <c r="Y151" s="1" t="str">
        <f>IFERROR(__xludf.DUMMYFUNCTION("""COMPUTED_VALUE"""),"CHILE")</f>
        <v>CHILE</v>
      </c>
      <c r="Z151" s="1" t="str">
        <f>IFERROR(__xludf.DUMMYFUNCTION("""COMPUTED_VALUE"""),"T5070 Medico-Cirujano")</f>
        <v>T5070 Medico-Cirujano</v>
      </c>
    </row>
    <row r="152" hidden="1">
      <c r="A152" s="1" t="str">
        <f>IFERROR(__xludf.DUMMYFUNCTION("""COMPUTED_VALUE"""),"12090116 Dpto. de Antropología (funcionamiento)")</f>
        <v>12090116 Dpto. de Antropología (funcionamiento)</v>
      </c>
      <c r="B152" s="1" t="str">
        <f>IFERROR(__xludf.DUMMYFUNCTION("""COMPUTED_VALUE"""),"A7A001 ACADEMICO PROF. ADJUNTO")</f>
        <v>A7A001 ACADEMICO PROF. ADJUNTO</v>
      </c>
      <c r="C152" s="1" t="str">
        <f>IFERROR(__xludf.DUMMYFUNCTION("""COMPUTED_VALUE"""),"Prof. Adjunto")</f>
        <v>Prof. Adjunto</v>
      </c>
      <c r="D152" s="1" t="str">
        <f>IFERROR(__xludf.DUMMYFUNCTION("""COMPUTED_VALUE"""),"A7A Prof. Adjunto")</f>
        <v>A7A Prof. Adjunto</v>
      </c>
      <c r="E152" s="1" t="str">
        <f>IFERROR(__xludf.DUMMYFUNCTION("""COMPUTED_VALUE"""),"Masculino")</f>
        <v>Masculino</v>
      </c>
      <c r="F152" s="1" t="str">
        <f>IFERROR(__xludf.DUMMYFUNCTION("""COMPUTED_VALUE"""),"Izaurieta")</f>
        <v>Izaurieta</v>
      </c>
      <c r="G152" s="1" t="str">
        <f>IFERROR(__xludf.DUMMYFUNCTION("""COMPUTED_VALUE"""),"San Juan")</f>
        <v>San Juan</v>
      </c>
      <c r="H152" s="1" t="str">
        <f>IFERROR(__xludf.DUMMYFUNCTION("""COMPUTED_VALUE"""),"Roberto José")</f>
        <v>Roberto José</v>
      </c>
      <c r="I152" s="1" t="str">
        <f>IFERROR(__xludf.DUMMYFUNCTION("""COMPUTED_VALUE"""),"Izaurieta San Juan Roberto José")</f>
        <v>Izaurieta San Juan Roberto José</v>
      </c>
      <c r="J152" s="10">
        <f>IFERROR(__xludf.DUMMYFUNCTION("""COMPUTED_VALUE"""),27273.0)</f>
        <v>27273</v>
      </c>
      <c r="K152" s="10">
        <f>IFERROR(__xludf.DUMMYFUNCTION("""COMPUTED_VALUE"""),17851.0)</f>
        <v>17851</v>
      </c>
      <c r="L152" s="1">
        <f>IFERROR(__xludf.DUMMYFUNCTION("""COMPUTED_VALUE"""),75.0)</f>
        <v>75</v>
      </c>
      <c r="M152" s="1" t="str">
        <f>IFERROR(__xludf.DUMMYFUNCTION("""COMPUTED_VALUE"""),"0001 Casado")</f>
        <v>0001 Casado</v>
      </c>
      <c r="N152" s="1" t="str">
        <f>IFERROR(__xludf.DUMMYFUNCTION("""COMPUTED_VALUE"""),"N0040 Profesional Superior")</f>
        <v>N0040 Profesional Superior</v>
      </c>
      <c r="O152" s="10">
        <f>IFERROR(__xludf.DUMMYFUNCTION("""COMPUTED_VALUE"""),43683.0)</f>
        <v>43683</v>
      </c>
      <c r="P152" s="10">
        <f>IFERROR(__xludf.DUMMYFUNCTION("""COMPUTED_VALUE"""),43710.0)</f>
        <v>43710</v>
      </c>
      <c r="Q152" s="1" t="str">
        <f>IFERROR(__xludf.DUMMYFUNCTION("""COMPUTED_VALUE"""),"C Contrata")</f>
        <v>C Contrata</v>
      </c>
      <c r="R152" s="1" t="str">
        <f>IFERROR(__xludf.DUMMYFUNCTION("""COMPUTED_VALUE"""),"A Académico")</f>
        <v>A Académico</v>
      </c>
      <c r="S152" s="9" t="str">
        <f>IFERROR(__xludf.DUMMYFUNCTION("""COMPUTED_VALUE"""),"58643831")</f>
        <v>58643831</v>
      </c>
      <c r="T152" s="1" t="str">
        <f>IFERROR(__xludf.DUMMYFUNCTION("""COMPUTED_VALUE"""),"0058643831")</f>
        <v>0058643831</v>
      </c>
      <c r="U152" s="1">
        <f>IFERROR(__xludf.DUMMYFUNCTION("""COMPUTED_VALUE"""),44.0)</f>
        <v>44</v>
      </c>
      <c r="V152" s="1" t="str">
        <f>IFERROR(__xludf.DUMMYFUNCTION("""COMPUTED_VALUE"""),"P0100 Sin Grado")</f>
        <v>P0100 Sin Grado</v>
      </c>
      <c r="W152" s="1">
        <f>IFERROR(__xludf.DUMMYFUNCTION("""COMPUTED_VALUE"""),30243.0)</f>
        <v>30243</v>
      </c>
      <c r="X152" s="1" t="str">
        <f>IFERROR(__xludf.DUMMYFUNCTION("""COMPUTED_VALUE"""),"Universidad De Chile")</f>
        <v>Universidad De Chile</v>
      </c>
      <c r="Y152" s="1" t="str">
        <f>IFERROR(__xludf.DUMMYFUNCTION("""COMPUTED_VALUE"""),"CHILE")</f>
        <v>CHILE</v>
      </c>
      <c r="Z152" s="1" t="str">
        <f>IFERROR(__xludf.DUMMYFUNCTION("""COMPUTED_VALUE"""),"T8005 Cartógrafo")</f>
        <v>T8005 Cartógrafo</v>
      </c>
    </row>
    <row r="153">
      <c r="A153" s="1" t="str">
        <f>IFERROR(__xludf.DUMMYFUNCTION("""COMPUTED_VALUE"""),"12090116 Dpto. de Antropología (funcionamiento)")</f>
        <v>12090116 Dpto. de Antropología (funcionamiento)</v>
      </c>
      <c r="B153" s="1" t="str">
        <f>IFERROR(__xludf.DUMMYFUNCTION("""COMPUTED_VALUE"""),"A2A001 Académico Prof. Asociado")</f>
        <v>A2A001 Académico Prof. Asociado</v>
      </c>
      <c r="C153" s="1" t="str">
        <f>IFERROR(__xludf.DUMMYFUNCTION("""COMPUTED_VALUE"""),"Prof. Asociado - Categ. Academica Ord.")</f>
        <v>Prof. Asociado - Categ. Academica Ord.</v>
      </c>
      <c r="D153" s="1" t="str">
        <f>IFERROR(__xludf.DUMMYFUNCTION("""COMPUTED_VALUE"""),"A2A Prof. Asociado - Categ. Academica Ord.")</f>
        <v>A2A Prof. Asociado - Categ. Academica Ord.</v>
      </c>
      <c r="E153" s="1" t="str">
        <f>IFERROR(__xludf.DUMMYFUNCTION("""COMPUTED_VALUE"""),"Masculino")</f>
        <v>Masculino</v>
      </c>
      <c r="F153" s="1" t="str">
        <f>IFERROR(__xludf.DUMMYFUNCTION("""COMPUTED_VALUE"""),"Jackson")</f>
        <v>Jackson</v>
      </c>
      <c r="G153" s="1" t="str">
        <f>IFERROR(__xludf.DUMMYFUNCTION("""COMPUTED_VALUE"""),"Squella")</f>
        <v>Squella</v>
      </c>
      <c r="H153" s="1" t="str">
        <f>IFERROR(__xludf.DUMMYFUNCTION("""COMPUTED_VALUE"""),"Donald Guillermo")</f>
        <v>Donald Guillermo</v>
      </c>
      <c r="I153" s="1" t="str">
        <f>IFERROR(__xludf.DUMMYFUNCTION("""COMPUTED_VALUE"""),"Jackson Squella Donald Guillermo")</f>
        <v>Jackson Squella Donald Guillermo</v>
      </c>
      <c r="J153" s="10">
        <f>IFERROR(__xludf.DUMMYFUNCTION("""COMPUTED_VALUE"""),34213.0)</f>
        <v>34213</v>
      </c>
      <c r="K153" s="10">
        <f>IFERROR(__xludf.DUMMYFUNCTION("""COMPUTED_VALUE"""),22250.0)</f>
        <v>22250</v>
      </c>
      <c r="L153" s="1">
        <f>IFERROR(__xludf.DUMMYFUNCTION("""COMPUTED_VALUE"""),63.0)</f>
        <v>63</v>
      </c>
      <c r="M153" s="1" t="str">
        <f>IFERROR(__xludf.DUMMYFUNCTION("""COMPUTED_VALUE"""),"0001 Casado")</f>
        <v>0001 Casado</v>
      </c>
      <c r="N153" s="1"/>
      <c r="O153" s="10">
        <f>IFERROR(__xludf.DUMMYFUNCTION("""COMPUTED_VALUE"""),42186.0)</f>
        <v>42186</v>
      </c>
      <c r="P153" s="10">
        <f>IFERROR(__xludf.DUMMYFUNCTION("""COMPUTED_VALUE"""),42253.0)</f>
        <v>42253</v>
      </c>
      <c r="Q153" s="1" t="str">
        <f>IFERROR(__xludf.DUMMYFUNCTION("""COMPUTED_VALUE"""),"P Propiedad")</f>
        <v>P Propiedad</v>
      </c>
      <c r="R153" s="1" t="str">
        <f>IFERROR(__xludf.DUMMYFUNCTION("""COMPUTED_VALUE"""),"A Académico")</f>
        <v>A Académico</v>
      </c>
      <c r="S153" s="9" t="str">
        <f>IFERROR(__xludf.DUMMYFUNCTION("""COMPUTED_VALUE"""),"86861968")</f>
        <v>86861968</v>
      </c>
      <c r="T153" s="1" t="str">
        <f>IFERROR(__xludf.DUMMYFUNCTION("""COMPUTED_VALUE"""),"0086861968")</f>
        <v>0086861968</v>
      </c>
      <c r="U153" s="1">
        <f>IFERROR(__xludf.DUMMYFUNCTION("""COMPUTED_VALUE"""),44.0)</f>
        <v>44</v>
      </c>
      <c r="V153" s="1" t="str">
        <f>IFERROR(__xludf.DUMMYFUNCTION("""COMPUTED_VALUE"""),"P0850 Magister")</f>
        <v>P0850 Magister</v>
      </c>
      <c r="W153" s="1">
        <f>IFERROR(__xludf.DUMMYFUNCTION("""COMPUTED_VALUE"""),37621.0)</f>
        <v>37621</v>
      </c>
      <c r="X153" s="1" t="str">
        <f>IFERROR(__xludf.DUMMYFUNCTION("""COMPUTED_VALUE"""),"Universidad De Chile")</f>
        <v>Universidad De Chile</v>
      </c>
      <c r="Y153" s="1" t="str">
        <f>IFERROR(__xludf.DUMMYFUNCTION("""COMPUTED_VALUE"""),"CHILE")</f>
        <v>CHILE</v>
      </c>
      <c r="Z153" s="1" t="str">
        <f>IFERROR(__xludf.DUMMYFUNCTION("""COMPUTED_VALUE"""),"T5373 Arqueólogo")</f>
        <v>T5373 Arqueólogo</v>
      </c>
    </row>
    <row r="154" hidden="1">
      <c r="A154" s="1" t="str">
        <f>IFERROR(__xludf.DUMMYFUNCTION("""COMPUTED_VALUE"""),"12090601 Departamento de Educación")</f>
        <v>12090601 Departamento de Educación</v>
      </c>
      <c r="B154" s="1" t="str">
        <f>IFERROR(__xludf.DUMMYFUNCTION("""COMPUTED_VALUE"""),"A3B001 Académico Prof. Asistente")</f>
        <v>A3B001 Académico Prof. Asistente</v>
      </c>
      <c r="C154" s="1" t="str">
        <f>IFERROR(__xludf.DUMMYFUNCTION("""COMPUTED_VALUE"""),"Prof. Asistente - Categ. Academica Doc.")</f>
        <v>Prof. Asistente - Categ. Academica Doc.</v>
      </c>
      <c r="D154" s="1" t="str">
        <f>IFERROR(__xludf.DUMMYFUNCTION("""COMPUTED_VALUE"""),"A3B Prof. Asistente - Categ. Academica Doc.")</f>
        <v>A3B Prof. Asistente - Categ. Academica Doc.</v>
      </c>
      <c r="E154" s="1" t="str">
        <f>IFERROR(__xludf.DUMMYFUNCTION("""COMPUTED_VALUE"""),"Masculino")</f>
        <v>Masculino</v>
      </c>
      <c r="F154" s="1" t="str">
        <f>IFERROR(__xludf.DUMMYFUNCTION("""COMPUTED_VALUE"""),"Jiménez")</f>
        <v>Jiménez</v>
      </c>
      <c r="G154" s="1" t="str">
        <f>IFERROR(__xludf.DUMMYFUNCTION("""COMPUTED_VALUE"""),"Lagos")</f>
        <v>Lagos</v>
      </c>
      <c r="H154" s="1" t="str">
        <f>IFERROR(__xludf.DUMMYFUNCTION("""COMPUTED_VALUE"""),"Gustavo Adolfo")</f>
        <v>Gustavo Adolfo</v>
      </c>
      <c r="I154" s="1" t="str">
        <f>IFERROR(__xludf.DUMMYFUNCTION("""COMPUTED_VALUE"""),"Jiménez Lagos Gustavo Adolfo")</f>
        <v>Jiménez Lagos Gustavo Adolfo</v>
      </c>
      <c r="J154" s="10">
        <f>IFERROR(__xludf.DUMMYFUNCTION("""COMPUTED_VALUE"""),38841.0)</f>
        <v>38841</v>
      </c>
      <c r="K154" s="10">
        <f>IFERROR(__xludf.DUMMYFUNCTION("""COMPUTED_VALUE"""),17042.0)</f>
        <v>17042</v>
      </c>
      <c r="L154" s="1">
        <f>IFERROR(__xludf.DUMMYFUNCTION("""COMPUTED_VALUE"""),77.0)</f>
        <v>77</v>
      </c>
      <c r="M154" s="1" t="str">
        <f>IFERROR(__xludf.DUMMYFUNCTION("""COMPUTED_VALUE"""),"0001 Casado")</f>
        <v>0001 Casado</v>
      </c>
      <c r="N154" s="1"/>
      <c r="O154" s="10">
        <f>IFERROR(__xludf.DUMMYFUNCTION("""COMPUTED_VALUE"""),38841.0)</f>
        <v>38841</v>
      </c>
      <c r="P154" s="10">
        <f>IFERROR(__xludf.DUMMYFUNCTION("""COMPUTED_VALUE"""),38929.0)</f>
        <v>38929</v>
      </c>
      <c r="Q154" s="1" t="str">
        <f>IFERROR(__xludf.DUMMYFUNCTION("""COMPUTED_VALUE"""),"C Contrata")</f>
        <v>C Contrata</v>
      </c>
      <c r="R154" s="1" t="str">
        <f>IFERROR(__xludf.DUMMYFUNCTION("""COMPUTED_VALUE"""),"A Académico")</f>
        <v>A Académico</v>
      </c>
      <c r="S154" s="9" t="str">
        <f>IFERROR(__xludf.DUMMYFUNCTION("""COMPUTED_VALUE"""),"52215374")</f>
        <v>52215374</v>
      </c>
      <c r="T154" s="1" t="str">
        <f>IFERROR(__xludf.DUMMYFUNCTION("""COMPUTED_VALUE"""),"0052215374")</f>
        <v>0052215374</v>
      </c>
      <c r="U154" s="1">
        <f>IFERROR(__xludf.DUMMYFUNCTION("""COMPUTED_VALUE"""),12.0)</f>
        <v>12</v>
      </c>
      <c r="V154" s="1"/>
      <c r="W154" s="1"/>
      <c r="X154" s="1"/>
      <c r="Y154" s="1"/>
      <c r="Z154" s="1" t="str">
        <f>IFERROR(__xludf.DUMMYFUNCTION("""COMPUTED_VALUE"""),"T5124 Psicologo")</f>
        <v>T5124 Psicologo</v>
      </c>
    </row>
    <row r="155" hidden="1">
      <c r="A155" s="1" t="str">
        <f>IFERROR(__xludf.DUMMYFUNCTION("""COMPUTED_VALUE"""),"12090501 Departamento de Investigaciónes Mediáticas y de la Comunicación")</f>
        <v>12090501 Departamento de Investigaciónes Mediáticas y de la Comunicación</v>
      </c>
      <c r="B155" s="1" t="str">
        <f>IFERROR(__xludf.DUMMYFUNCTION("""COMPUTED_VALUE"""),"A5A001 ACADEMICO AYUDANTE")</f>
        <v>A5A001 ACADEMICO AYUDANTE</v>
      </c>
      <c r="C155" s="1" t="str">
        <f>IFERROR(__xludf.DUMMYFUNCTION("""COMPUTED_VALUE"""),"Ayudante")</f>
        <v>Ayudante</v>
      </c>
      <c r="D155" s="1" t="str">
        <f>IFERROR(__xludf.DUMMYFUNCTION("""COMPUTED_VALUE"""),"A5A Ayudante")</f>
        <v>A5A Ayudante</v>
      </c>
      <c r="E155" s="1" t="str">
        <f>IFERROR(__xludf.DUMMYFUNCTION("""COMPUTED_VALUE"""),"Masculino")</f>
        <v>Masculino</v>
      </c>
      <c r="F155" s="1" t="str">
        <f>IFERROR(__xludf.DUMMYFUNCTION("""COMPUTED_VALUE"""),"Jiménez")</f>
        <v>Jiménez</v>
      </c>
      <c r="G155" s="1" t="str">
        <f>IFERROR(__xludf.DUMMYFUNCTION("""COMPUTED_VALUE"""),"Michaelis")</f>
        <v>Michaelis</v>
      </c>
      <c r="H155" s="1" t="str">
        <f>IFERROR(__xludf.DUMMYFUNCTION("""COMPUTED_VALUE"""),"Alejandro James")</f>
        <v>Alejandro James</v>
      </c>
      <c r="I155" s="1" t="str">
        <f>IFERROR(__xludf.DUMMYFUNCTION("""COMPUTED_VALUE"""),"Jiménez Michaelis Alejandro James")</f>
        <v>Jiménez Michaelis Alejandro James</v>
      </c>
      <c r="J155" s="10">
        <f>IFERROR(__xludf.DUMMYFUNCTION("""COMPUTED_VALUE"""),27120.0)</f>
        <v>27120</v>
      </c>
      <c r="K155" s="10">
        <f>IFERROR(__xludf.DUMMYFUNCTION("""COMPUTED_VALUE"""),18423.0)</f>
        <v>18423</v>
      </c>
      <c r="L155" s="1">
        <f>IFERROR(__xludf.DUMMYFUNCTION("""COMPUTED_VALUE"""),73.0)</f>
        <v>73</v>
      </c>
      <c r="M155" s="1" t="str">
        <f>IFERROR(__xludf.DUMMYFUNCTION("""COMPUTED_VALUE"""),"0001 Casado")</f>
        <v>0001 Casado</v>
      </c>
      <c r="N155" s="1"/>
      <c r="O155" s="10">
        <f>IFERROR(__xludf.DUMMYFUNCTION("""COMPUTED_VALUE"""),33695.0)</f>
        <v>33695</v>
      </c>
      <c r="P155" s="10">
        <f>IFERROR(__xludf.DUMMYFUNCTION("""COMPUTED_VALUE"""),34546.0)</f>
        <v>34546</v>
      </c>
      <c r="Q155" s="1" t="str">
        <f>IFERROR(__xludf.DUMMYFUNCTION("""COMPUTED_VALUE"""),"P Propiedad")</f>
        <v>P Propiedad</v>
      </c>
      <c r="R155" s="1" t="str">
        <f>IFERROR(__xludf.DUMMYFUNCTION("""COMPUTED_VALUE"""),"A Académico")</f>
        <v>A Académico</v>
      </c>
      <c r="S155" s="9" t="str">
        <f>IFERROR(__xludf.DUMMYFUNCTION("""COMPUTED_VALUE"""),"58911925")</f>
        <v>58911925</v>
      </c>
      <c r="T155" s="1" t="str">
        <f>IFERROR(__xludf.DUMMYFUNCTION("""COMPUTED_VALUE"""),"0058911925")</f>
        <v>0058911925</v>
      </c>
      <c r="U155" s="1">
        <f>IFERROR(__xludf.DUMMYFUNCTION("""COMPUTED_VALUE"""),6.0)</f>
        <v>6</v>
      </c>
      <c r="V155" s="1"/>
      <c r="W155" s="1"/>
      <c r="X155" s="1"/>
      <c r="Y155" s="1"/>
      <c r="Z155" s="1"/>
    </row>
    <row r="156">
      <c r="A156" s="1" t="str">
        <f>IFERROR(__xludf.DUMMYFUNCTION("""COMPUTED_VALUE"""),"12090118 Dpto. de  Psicología (funcionamiento)")</f>
        <v>12090118 Dpto. de  Psicología (funcionamiento)</v>
      </c>
      <c r="B156" s="1" t="str">
        <f>IFERROR(__xludf.DUMMYFUNCTION("""COMPUTED_VALUE"""),"A5A001 ACADEMICO AYUDANTE")</f>
        <v>A5A001 ACADEMICO AYUDANTE</v>
      </c>
      <c r="C156" s="1" t="str">
        <f>IFERROR(__xludf.DUMMYFUNCTION("""COMPUTED_VALUE"""),"Ayudante")</f>
        <v>Ayudante</v>
      </c>
      <c r="D156" s="1" t="str">
        <f>IFERROR(__xludf.DUMMYFUNCTION("""COMPUTED_VALUE"""),"A5A Ayudante")</f>
        <v>A5A Ayudante</v>
      </c>
      <c r="E156" s="1" t="str">
        <f>IFERROR(__xludf.DUMMYFUNCTION("""COMPUTED_VALUE"""),"Masculino")</f>
        <v>Masculino</v>
      </c>
      <c r="F156" s="1" t="str">
        <f>IFERROR(__xludf.DUMMYFUNCTION("""COMPUTED_VALUE"""),"Jiménez")</f>
        <v>Jiménez</v>
      </c>
      <c r="G156" s="1" t="str">
        <f>IFERROR(__xludf.DUMMYFUNCTION("""COMPUTED_VALUE"""),"Parodi")</f>
        <v>Parodi</v>
      </c>
      <c r="H156" s="1" t="str">
        <f>IFERROR(__xludf.DUMMYFUNCTION("""COMPUTED_VALUE"""),"Francisco Andrés")</f>
        <v>Francisco Andrés</v>
      </c>
      <c r="I156" s="1" t="str">
        <f>IFERROR(__xludf.DUMMYFUNCTION("""COMPUTED_VALUE"""),"Jiménez Parodi Francisco Andrés")</f>
        <v>Jiménez Parodi Francisco Andrés</v>
      </c>
      <c r="J156" s="10">
        <f>IFERROR(__xludf.DUMMYFUNCTION("""COMPUTED_VALUE"""),39814.0)</f>
        <v>39814</v>
      </c>
      <c r="K156" s="10">
        <f>IFERROR(__xludf.DUMMYFUNCTION("""COMPUTED_VALUE"""),30092.0)</f>
        <v>30092</v>
      </c>
      <c r="L156" s="1">
        <f>IFERROR(__xludf.DUMMYFUNCTION("""COMPUTED_VALUE"""),41.0)</f>
        <v>41</v>
      </c>
      <c r="M156" s="1" t="str">
        <f>IFERROR(__xludf.DUMMYFUNCTION("""COMPUTED_VALUE"""),"0001 Casado")</f>
        <v>0001 Casado</v>
      </c>
      <c r="N156" s="1"/>
      <c r="O156" s="10">
        <f>IFERROR(__xludf.DUMMYFUNCTION("""COMPUTED_VALUE"""),42186.0)</f>
        <v>42186</v>
      </c>
      <c r="P156" s="10">
        <f>IFERROR(__xludf.DUMMYFUNCTION("""COMPUTED_VALUE"""),42369.0)</f>
        <v>42369</v>
      </c>
      <c r="Q156" s="1" t="str">
        <f>IFERROR(__xludf.DUMMYFUNCTION("""COMPUTED_VALUE"""),"C Contrata")</f>
        <v>C Contrata</v>
      </c>
      <c r="R156" s="1" t="str">
        <f>IFERROR(__xludf.DUMMYFUNCTION("""COMPUTED_VALUE"""),"A Académico")</f>
        <v>A Académico</v>
      </c>
      <c r="S156" s="9" t="str">
        <f>IFERROR(__xludf.DUMMYFUNCTION("""COMPUTED_VALUE"""),"154216960")</f>
        <v>154216960</v>
      </c>
      <c r="T156" s="1" t="str">
        <f>IFERROR(__xludf.DUMMYFUNCTION("""COMPUTED_VALUE"""),"0154216960")</f>
        <v>0154216960</v>
      </c>
      <c r="U156" s="1">
        <f>IFERROR(__xludf.DUMMYFUNCTION("""COMPUTED_VALUE"""),2.0)</f>
        <v>2</v>
      </c>
      <c r="V156" s="1" t="str">
        <f>IFERROR(__xludf.DUMMYFUNCTION("""COMPUTED_VALUE"""),"P0401 Licenciado")</f>
        <v>P0401 Licenciado</v>
      </c>
      <c r="W156" s="1">
        <f>IFERROR(__xludf.DUMMYFUNCTION("""COMPUTED_VALUE"""),39083.0)</f>
        <v>39083</v>
      </c>
      <c r="X156" s="1" t="str">
        <f>IFERROR(__xludf.DUMMYFUNCTION("""COMPUTED_VALUE"""),"Universidad De Chile")</f>
        <v>Universidad De Chile</v>
      </c>
      <c r="Y156" s="1" t="str">
        <f>IFERROR(__xludf.DUMMYFUNCTION("""COMPUTED_VALUE"""),"CHILE")</f>
        <v>CHILE</v>
      </c>
      <c r="Z156" s="1" t="str">
        <f>IFERROR(__xludf.DUMMYFUNCTION("""COMPUTED_VALUE"""),"T5124 Psicologo")</f>
        <v>T5124 Psicologo</v>
      </c>
    </row>
    <row r="157">
      <c r="A157" s="1" t="str">
        <f>IFERROR(__xludf.DUMMYFUNCTION("""COMPUTED_VALUE"""),"12090118 Dpto. de  Psicología (funcionamiento)")</f>
        <v>12090118 Dpto. de  Psicología (funcionamiento)</v>
      </c>
      <c r="B157" s="1" t="str">
        <f>IFERROR(__xludf.DUMMYFUNCTION("""COMPUTED_VALUE"""),"004047 Investigador(a) Postdoctoral")</f>
        <v>004047 Investigador(a) Postdoctoral</v>
      </c>
      <c r="C157" s="1" t="str">
        <f>IFERROR(__xludf.DUMMYFUNCTION("""COMPUTED_VALUE"""),"Investigador(a) Postdoctoral")</f>
        <v>Investigador(a) Postdoctoral</v>
      </c>
      <c r="D157" s="1" t="str">
        <f>IFERROR(__xludf.DUMMYFUNCTION("""COMPUTED_VALUE"""),"A11 Investigador(a) Postdoctoral")</f>
        <v>A11 Investigador(a) Postdoctoral</v>
      </c>
      <c r="E157" s="1" t="str">
        <f>IFERROR(__xludf.DUMMYFUNCTION("""COMPUTED_VALUE"""),"Femenino")</f>
        <v>Femenino</v>
      </c>
      <c r="F157" s="1" t="str">
        <f>IFERROR(__xludf.DUMMYFUNCTION("""COMPUTED_VALUE"""),"Jorquera")</f>
        <v>Jorquera</v>
      </c>
      <c r="G157" s="1" t="str">
        <f>IFERROR(__xludf.DUMMYFUNCTION("""COMPUTED_VALUE"""),"Álvarez")</f>
        <v>Álvarez</v>
      </c>
      <c r="H157" s="1" t="str">
        <f>IFERROR(__xludf.DUMMYFUNCTION("""COMPUTED_VALUE"""),"Tamara Gabriela")</f>
        <v>Tamara Gabriela</v>
      </c>
      <c r="I157" s="1" t="str">
        <f>IFERROR(__xludf.DUMMYFUNCTION("""COMPUTED_VALUE"""),"Jorquera Álvarez Tamara Gabriela")</f>
        <v>Jorquera Álvarez Tamara Gabriela</v>
      </c>
      <c r="J157" s="10">
        <f>IFERROR(__xludf.DUMMYFUNCTION("""COMPUTED_VALUE"""),41232.0)</f>
        <v>41232</v>
      </c>
      <c r="K157" s="10">
        <f>IFERROR(__xludf.DUMMYFUNCTION("""COMPUTED_VALUE"""),32219.0)</f>
        <v>32219</v>
      </c>
      <c r="L157" s="1">
        <f>IFERROR(__xludf.DUMMYFUNCTION("""COMPUTED_VALUE"""),35.0)</f>
        <v>35</v>
      </c>
      <c r="M157" s="1" t="str">
        <f>IFERROR(__xludf.DUMMYFUNCTION("""COMPUTED_VALUE"""),"0001 Casado")</f>
        <v>0001 Casado</v>
      </c>
      <c r="N157" s="1" t="str">
        <f>IFERROR(__xludf.DUMMYFUNCTION("""COMPUTED_VALUE"""),"N0040 Profesional Superior")</f>
        <v>N0040 Profesional Superior</v>
      </c>
      <c r="O157" s="10">
        <f>IFERROR(__xludf.DUMMYFUNCTION("""COMPUTED_VALUE"""),44927.0)</f>
        <v>44927</v>
      </c>
      <c r="P157" s="10">
        <f>IFERROR(__xludf.DUMMYFUNCTION("""COMPUTED_VALUE"""),45030.0)</f>
        <v>45030</v>
      </c>
      <c r="Q157" s="1" t="str">
        <f>IFERROR(__xludf.DUMMYFUNCTION("""COMPUTED_VALUE"""),"K Ad Honorem Contrata")</f>
        <v>K Ad Honorem Contrata</v>
      </c>
      <c r="R157" s="1" t="str">
        <f>IFERROR(__xludf.DUMMYFUNCTION("""COMPUTED_VALUE"""),"A Académico")</f>
        <v>A Académico</v>
      </c>
      <c r="S157" s="9" t="str">
        <f>IFERROR(__xludf.DUMMYFUNCTION("""COMPUTED_VALUE"""),"167494048")</f>
        <v>167494048</v>
      </c>
      <c r="T157" s="1" t="str">
        <f>IFERROR(__xludf.DUMMYFUNCTION("""COMPUTED_VALUE"""),"0167494048")</f>
        <v>0167494048</v>
      </c>
      <c r="U157" s="1">
        <f>IFERROR(__xludf.DUMMYFUNCTION("""COMPUTED_VALUE"""),44.0)</f>
        <v>44</v>
      </c>
      <c r="V157" s="1" t="str">
        <f>IFERROR(__xludf.DUMMYFUNCTION("""COMPUTED_VALUE"""),"P0900 Doctor")</f>
        <v>P0900 Doctor</v>
      </c>
      <c r="W157" s="1">
        <f>IFERROR(__xludf.DUMMYFUNCTION("""COMPUTED_VALUE"""),43602.0)</f>
        <v>43602</v>
      </c>
      <c r="X157" s="1" t="str">
        <f>IFERROR(__xludf.DUMMYFUNCTION("""COMPUTED_VALUE"""),"Universidad De Chile")</f>
        <v>Universidad De Chile</v>
      </c>
      <c r="Y157" s="1" t="str">
        <f>IFERROR(__xludf.DUMMYFUNCTION("""COMPUTED_VALUE"""),"CHILE")</f>
        <v>CHILE</v>
      </c>
      <c r="Z157" s="1" t="str">
        <f>IFERROR(__xludf.DUMMYFUNCTION("""COMPUTED_VALUE"""),"T5276 Psicologo")</f>
        <v>T5276 Psicologo</v>
      </c>
    </row>
    <row r="158" hidden="1">
      <c r="A158" s="1" t="str">
        <f>IFERROR(__xludf.DUMMYFUNCTION("""COMPUTED_VALUE"""),"12090301 Departamento de Antropología")</f>
        <v>12090301 Departamento de Antropología</v>
      </c>
      <c r="B158" s="1" t="str">
        <f>IFERROR(__xludf.DUMMYFUNCTION("""COMPUTED_VALUE"""),"A2A001 Académico Prof. Asociado")</f>
        <v>A2A001 Académico Prof. Asociado</v>
      </c>
      <c r="C158" s="1" t="str">
        <f>IFERROR(__xludf.DUMMYFUNCTION("""COMPUTED_VALUE"""),"Prof. Asociado - Categ. Academica Ord.")</f>
        <v>Prof. Asociado - Categ. Academica Ord.</v>
      </c>
      <c r="D158" s="1" t="str">
        <f>IFERROR(__xludf.DUMMYFUNCTION("""COMPUTED_VALUE"""),"A2A Prof. Asociado - Categ. Academica Ord.")</f>
        <v>A2A Prof. Asociado - Categ. Academica Ord.</v>
      </c>
      <c r="E158" s="1" t="str">
        <f>IFERROR(__xludf.DUMMYFUNCTION("""COMPUTED_VALUE"""),"Masculino")</f>
        <v>Masculino</v>
      </c>
      <c r="F158" s="1" t="str">
        <f>IFERROR(__xludf.DUMMYFUNCTION("""COMPUTED_VALUE"""),"Kaltwasser")</f>
        <v>Kaltwasser</v>
      </c>
      <c r="G158" s="1" t="str">
        <f>IFERROR(__xludf.DUMMYFUNCTION("""COMPUTED_VALUE"""),"Passig")</f>
        <v>Passig</v>
      </c>
      <c r="H158" s="1" t="str">
        <f>IFERROR(__xludf.DUMMYFUNCTION("""COMPUTED_VALUE"""),"Jorge Oscar")</f>
        <v>Jorge Oscar</v>
      </c>
      <c r="I158" s="1" t="str">
        <f>IFERROR(__xludf.DUMMYFUNCTION("""COMPUTED_VALUE"""),"Kaltwasser Passig Jorge Oscar")</f>
        <v>Kaltwasser Passig Jorge Oscar</v>
      </c>
      <c r="J158" s="10">
        <f>IFERROR(__xludf.DUMMYFUNCTION("""COMPUTED_VALUE"""),20121.0)</f>
        <v>20121</v>
      </c>
      <c r="K158" s="10">
        <f>IFERROR(__xludf.DUMMYFUNCTION("""COMPUTED_VALUE"""),6290.0)</f>
        <v>6290</v>
      </c>
      <c r="L158" s="1">
        <f>IFERROR(__xludf.DUMMYFUNCTION("""COMPUTED_VALUE"""),106.0)</f>
        <v>106</v>
      </c>
      <c r="M158" s="1" t="str">
        <f>IFERROR(__xludf.DUMMYFUNCTION("""COMPUTED_VALUE"""),"0001 Casado")</f>
        <v>0001 Casado</v>
      </c>
      <c r="N158" s="1"/>
      <c r="O158" s="10">
        <f>IFERROR(__xludf.DUMMYFUNCTION("""COMPUTED_VALUE"""),33390.0)</f>
        <v>33390</v>
      </c>
      <c r="P158" s="10">
        <f>IFERROR(__xludf.DUMMYFUNCTION("""COMPUTED_VALUE"""),34607.0)</f>
        <v>34607</v>
      </c>
      <c r="Q158" s="1" t="str">
        <f>IFERROR(__xludf.DUMMYFUNCTION("""COMPUTED_VALUE"""),"P Propiedad")</f>
        <v>P Propiedad</v>
      </c>
      <c r="R158" s="1" t="str">
        <f>IFERROR(__xludf.DUMMYFUNCTION("""COMPUTED_VALUE"""),"A Académico")</f>
        <v>A Académico</v>
      </c>
      <c r="S158" s="9" t="str">
        <f>IFERROR(__xludf.DUMMYFUNCTION("""COMPUTED_VALUE"""),"10956358")</f>
        <v>10956358</v>
      </c>
      <c r="T158" s="1" t="str">
        <f>IFERROR(__xludf.DUMMYFUNCTION("""COMPUTED_VALUE"""),"0010956358")</f>
        <v>0010956358</v>
      </c>
      <c r="U158" s="1">
        <f>IFERROR(__xludf.DUMMYFUNCTION("""COMPUTED_VALUE"""),22.0)</f>
        <v>22</v>
      </c>
      <c r="V158" s="1"/>
      <c r="W158" s="1"/>
      <c r="X158" s="1"/>
      <c r="Y158" s="1"/>
      <c r="Z158" s="1"/>
    </row>
    <row r="159" hidden="1">
      <c r="A159" s="1" t="str">
        <f>IFERROR(__xludf.DUMMYFUNCTION("""COMPUTED_VALUE"""),"12090701 Departamento de Psicología")</f>
        <v>12090701 Departamento de Psicología</v>
      </c>
      <c r="B159" s="1" t="str">
        <f>IFERROR(__xludf.DUMMYFUNCTION("""COMPUTED_VALUE"""),"A5A001 ACADEMICO AYUDANTE")</f>
        <v>A5A001 ACADEMICO AYUDANTE</v>
      </c>
      <c r="C159" s="1" t="str">
        <f>IFERROR(__xludf.DUMMYFUNCTION("""COMPUTED_VALUE"""),"Ayudante")</f>
        <v>Ayudante</v>
      </c>
      <c r="D159" s="1" t="str">
        <f>IFERROR(__xludf.DUMMYFUNCTION("""COMPUTED_VALUE"""),"A5A Ayudante")</f>
        <v>A5A Ayudante</v>
      </c>
      <c r="E159" s="1" t="str">
        <f>IFERROR(__xludf.DUMMYFUNCTION("""COMPUTED_VALUE"""),"Femenino")</f>
        <v>Femenino</v>
      </c>
      <c r="F159" s="1" t="str">
        <f>IFERROR(__xludf.DUMMYFUNCTION("""COMPUTED_VALUE"""),"Kardonsky")</f>
        <v>Kardonsky</v>
      </c>
      <c r="G159" s="1" t="str">
        <f>IFERROR(__xludf.DUMMYFUNCTION("""COMPUTED_VALUE"""),"Cohn")</f>
        <v>Cohn</v>
      </c>
      <c r="H159" s="1" t="str">
        <f>IFERROR(__xludf.DUMMYFUNCTION("""COMPUTED_VALUE"""),"Vera")</f>
        <v>Vera</v>
      </c>
      <c r="I159" s="1" t="str">
        <f>IFERROR(__xludf.DUMMYFUNCTION("""COMPUTED_VALUE"""),"Kardonsky Cohn Vera")</f>
        <v>Kardonsky Cohn Vera</v>
      </c>
      <c r="J159" s="10">
        <f>IFERROR(__xludf.DUMMYFUNCTION("""COMPUTED_VALUE"""),22525.0)</f>
        <v>22525</v>
      </c>
      <c r="K159" s="10">
        <f>IFERROR(__xludf.DUMMYFUNCTION("""COMPUTED_VALUE"""),12313.0)</f>
        <v>12313</v>
      </c>
      <c r="L159" s="1">
        <f>IFERROR(__xludf.DUMMYFUNCTION("""COMPUTED_VALUE"""),90.0)</f>
        <v>90</v>
      </c>
      <c r="M159" s="1" t="str">
        <f>IFERROR(__xludf.DUMMYFUNCTION("""COMPUTED_VALUE"""),"0001 Casado")</f>
        <v>0001 Casado</v>
      </c>
      <c r="N159" s="1"/>
      <c r="O159" s="10">
        <f>IFERROR(__xludf.DUMMYFUNCTION("""COMPUTED_VALUE"""),33512.0)</f>
        <v>33512</v>
      </c>
      <c r="P159" s="10">
        <f>IFERROR(__xludf.DUMMYFUNCTION("""COMPUTED_VALUE"""),36646.0)</f>
        <v>36646</v>
      </c>
      <c r="Q159" s="1" t="str">
        <f>IFERROR(__xludf.DUMMYFUNCTION("""COMPUTED_VALUE"""),"A Ad Honorem Propiedad")</f>
        <v>A Ad Honorem Propiedad</v>
      </c>
      <c r="R159" s="1" t="str">
        <f>IFERROR(__xludf.DUMMYFUNCTION("""COMPUTED_VALUE"""),"A Académico")</f>
        <v>A Académico</v>
      </c>
      <c r="S159" s="9" t="str">
        <f>IFERROR(__xludf.DUMMYFUNCTION("""COMPUTED_VALUE"""),"28516088")</f>
        <v>28516088</v>
      </c>
      <c r="T159" s="1" t="str">
        <f>IFERROR(__xludf.DUMMYFUNCTION("""COMPUTED_VALUE"""),"0028516088")</f>
        <v>0028516088</v>
      </c>
      <c r="U159" s="1">
        <f>IFERROR(__xludf.DUMMYFUNCTION("""COMPUTED_VALUE"""),6.0)</f>
        <v>6</v>
      </c>
      <c r="V159" s="1"/>
      <c r="W159" s="1"/>
      <c r="X159" s="1"/>
      <c r="Y159" s="1"/>
      <c r="Z159" s="1"/>
    </row>
    <row r="160" hidden="1">
      <c r="A160" s="1" t="str">
        <f>IFERROR(__xludf.DUMMYFUNCTION("""COMPUTED_VALUE"""),"12090701 Departamento de Psicología")</f>
        <v>12090701 Departamento de Psicología</v>
      </c>
      <c r="B160" s="1" t="str">
        <f>IFERROR(__xludf.DUMMYFUNCTION("""COMPUTED_VALUE"""),"A3A001 Académico Prof. Asistente")</f>
        <v>A3A001 Académico Prof. Asistente</v>
      </c>
      <c r="C160" s="1" t="str">
        <f>IFERROR(__xludf.DUMMYFUNCTION("""COMPUTED_VALUE"""),"Prof. Asistente - Categ. Academica Ord.")</f>
        <v>Prof. Asistente - Categ. Academica Ord.</v>
      </c>
      <c r="D160" s="1" t="str">
        <f>IFERROR(__xludf.DUMMYFUNCTION("""COMPUTED_VALUE"""),"A3A Prof. Asistente - Categ. Academica Ord.")</f>
        <v>A3A Prof. Asistente - Categ. Academica Ord.</v>
      </c>
      <c r="E160" s="1" t="str">
        <f>IFERROR(__xludf.DUMMYFUNCTION("""COMPUTED_VALUE"""),"Femenino")</f>
        <v>Femenino</v>
      </c>
      <c r="F160" s="1" t="str">
        <f>IFERROR(__xludf.DUMMYFUNCTION("""COMPUTED_VALUE"""),"Kovalskys")</f>
        <v>Kovalskys</v>
      </c>
      <c r="G160" s="1" t="str">
        <f>IFERROR(__xludf.DUMMYFUNCTION("""COMPUTED_VALUE"""),"Szvarc")</f>
        <v>Szvarc</v>
      </c>
      <c r="H160" s="1" t="str">
        <f>IFERROR(__xludf.DUMMYFUNCTION("""COMPUTED_VALUE"""),"Juana")</f>
        <v>Juana</v>
      </c>
      <c r="I160" s="1" t="str">
        <f>IFERROR(__xludf.DUMMYFUNCTION("""COMPUTED_VALUE"""),"Kovalskys Szvarc Juana")</f>
        <v>Kovalskys Szvarc Juana</v>
      </c>
      <c r="J160" s="10">
        <f>IFERROR(__xludf.DUMMYFUNCTION("""COMPUTED_VALUE"""),22525.0)</f>
        <v>22525</v>
      </c>
      <c r="K160" s="10">
        <f>IFERROR(__xludf.DUMMYFUNCTION("""COMPUTED_VALUE"""),12275.0)</f>
        <v>12275</v>
      </c>
      <c r="L160" s="1">
        <f>IFERROR(__xludf.DUMMYFUNCTION("""COMPUTED_VALUE"""),90.0)</f>
        <v>90</v>
      </c>
      <c r="M160" s="1" t="str">
        <f>IFERROR(__xludf.DUMMYFUNCTION("""COMPUTED_VALUE"""),"0003 Viudo")</f>
        <v>0003 Viudo</v>
      </c>
      <c r="N160" s="1"/>
      <c r="O160" s="10">
        <f>IFERROR(__xludf.DUMMYFUNCTION("""COMPUTED_VALUE"""),39904.0)</f>
        <v>39904</v>
      </c>
      <c r="P160" s="10">
        <f>IFERROR(__xludf.DUMMYFUNCTION("""COMPUTED_VALUE"""),39994.0)</f>
        <v>39994</v>
      </c>
      <c r="Q160" s="1" t="str">
        <f>IFERROR(__xludf.DUMMYFUNCTION("""COMPUTED_VALUE"""),"C Contrata")</f>
        <v>C Contrata</v>
      </c>
      <c r="R160" s="1" t="str">
        <f>IFERROR(__xludf.DUMMYFUNCTION("""COMPUTED_VALUE"""),"A Académico")</f>
        <v>A Académico</v>
      </c>
      <c r="S160" s="9" t="str">
        <f>IFERROR(__xludf.DUMMYFUNCTION("""COMPUTED_VALUE"""),"43558242")</f>
        <v>43558242</v>
      </c>
      <c r="T160" s="1" t="str">
        <f>IFERROR(__xludf.DUMMYFUNCTION("""COMPUTED_VALUE"""),"0043558242")</f>
        <v>0043558242</v>
      </c>
      <c r="U160" s="1">
        <f>IFERROR(__xludf.DUMMYFUNCTION("""COMPUTED_VALUE"""),2.0)</f>
        <v>2</v>
      </c>
      <c r="V160" s="1" t="str">
        <f>IFERROR(__xludf.DUMMYFUNCTION("""COMPUTED_VALUE"""),"P0850 Magister")</f>
        <v>P0850 Magister</v>
      </c>
      <c r="W160" s="1">
        <f>IFERROR(__xludf.DUMMYFUNCTION("""COMPUTED_VALUE"""),38243.0)</f>
        <v>38243</v>
      </c>
      <c r="X160" s="1" t="str">
        <f>IFERROR(__xludf.DUMMYFUNCTION("""COMPUTED_VALUE"""),"Universidad Catolica")</f>
        <v>Universidad Catolica</v>
      </c>
      <c r="Y160" s="1" t="str">
        <f>IFERROR(__xludf.DUMMYFUNCTION("""COMPUTED_VALUE"""),"CHILE")</f>
        <v>CHILE</v>
      </c>
      <c r="Z160" s="1" t="str">
        <f>IFERROR(__xludf.DUMMYFUNCTION("""COMPUTED_VALUE"""),"T5124 Psicologo")</f>
        <v>T5124 Psicologo</v>
      </c>
    </row>
    <row r="161">
      <c r="A161" s="1" t="str">
        <f>IFERROR(__xludf.DUMMYFUNCTION("""COMPUTED_VALUE"""),"12090118 Dpto. de  Psicología (funcionamiento)")</f>
        <v>12090118 Dpto. de  Psicología (funcionamiento)</v>
      </c>
      <c r="B161" s="1" t="str">
        <f>IFERROR(__xludf.DUMMYFUNCTION("""COMPUTED_VALUE"""),"A3A001 Académico Prof. Asistente")</f>
        <v>A3A001 Académico Prof. Asistente</v>
      </c>
      <c r="C161" s="1" t="str">
        <f>IFERROR(__xludf.DUMMYFUNCTION("""COMPUTED_VALUE"""),"Prof. Asistente - Categ. Academica Ord.")</f>
        <v>Prof. Asistente - Categ. Academica Ord.</v>
      </c>
      <c r="D161" s="1" t="str">
        <f>IFERROR(__xludf.DUMMYFUNCTION("""COMPUTED_VALUE"""),"A3A Prof. Asistente - Categ. Academica Ord.")</f>
        <v>A3A Prof. Asistente - Categ. Academica Ord.</v>
      </c>
      <c r="E161" s="1" t="str">
        <f>IFERROR(__xludf.DUMMYFUNCTION("""COMPUTED_VALUE"""),"Masculino")</f>
        <v>Masculino</v>
      </c>
      <c r="F161" s="1" t="str">
        <f>IFERROR(__xludf.DUMMYFUNCTION("""COMPUTED_VALUE"""),"Kramp")</f>
        <v>Kramp</v>
      </c>
      <c r="G161" s="1" t="str">
        <f>IFERROR(__xludf.DUMMYFUNCTION("""COMPUTED_VALUE"""),"Denegri")</f>
        <v>Denegri</v>
      </c>
      <c r="H161" s="1" t="str">
        <f>IFERROR(__xludf.DUMMYFUNCTION("""COMPUTED_VALUE"""),"Uwe Arthur")</f>
        <v>Uwe Arthur</v>
      </c>
      <c r="I161" s="1" t="str">
        <f>IFERROR(__xludf.DUMMYFUNCTION("""COMPUTED_VALUE"""),"Kramp Denegri Uwe Arthur")</f>
        <v>Kramp Denegri Uwe Arthur</v>
      </c>
      <c r="J161" s="10">
        <f>IFERROR(__xludf.DUMMYFUNCTION("""COMPUTED_VALUE"""),40179.0)</f>
        <v>40179</v>
      </c>
      <c r="K161" s="10">
        <f>IFERROR(__xludf.DUMMYFUNCTION("""COMPUTED_VALUE"""),26813.0)</f>
        <v>26813</v>
      </c>
      <c r="L161" s="1">
        <f>IFERROR(__xludf.DUMMYFUNCTION("""COMPUTED_VALUE"""),50.0)</f>
        <v>50</v>
      </c>
      <c r="M161" s="1" t="str">
        <f>IFERROR(__xludf.DUMMYFUNCTION("""COMPUTED_VALUE"""),"0001 Casado")</f>
        <v>0001 Casado</v>
      </c>
      <c r="N161" s="1"/>
      <c r="O161" s="10">
        <f>IFERROR(__xludf.DUMMYFUNCTION("""COMPUTED_VALUE"""),44197.0)</f>
        <v>44197</v>
      </c>
      <c r="P161" s="10">
        <f>IFERROR(__xludf.DUMMYFUNCTION("""COMPUTED_VALUE"""),44241.0)</f>
        <v>44241</v>
      </c>
      <c r="Q161" s="1" t="str">
        <f>IFERROR(__xludf.DUMMYFUNCTION("""COMPUTED_VALUE"""),"C Contrata")</f>
        <v>C Contrata</v>
      </c>
      <c r="R161" s="1" t="str">
        <f>IFERROR(__xludf.DUMMYFUNCTION("""COMPUTED_VALUE"""),"A Académico")</f>
        <v>A Académico</v>
      </c>
      <c r="S161" s="9" t="str">
        <f>IFERROR(__xludf.DUMMYFUNCTION("""COMPUTED_VALUE"""),"009384050K")</f>
        <v>009384050K</v>
      </c>
      <c r="T161" s="1" t="str">
        <f>IFERROR(__xludf.DUMMYFUNCTION("""COMPUTED_VALUE"""),"009384050K")</f>
        <v>009384050K</v>
      </c>
      <c r="U161" s="1">
        <f>IFERROR(__xludf.DUMMYFUNCTION("""COMPUTED_VALUE"""),44.0)</f>
        <v>44</v>
      </c>
      <c r="V161" s="1" t="str">
        <f>IFERROR(__xludf.DUMMYFUNCTION("""COMPUTED_VALUE"""),"P0900 Doctor")</f>
        <v>P0900 Doctor</v>
      </c>
      <c r="W161" s="1">
        <f>IFERROR(__xludf.DUMMYFUNCTION("""COMPUTED_VALUE"""),38974.0)</f>
        <v>38974</v>
      </c>
      <c r="X161" s="1" t="str">
        <f>IFERROR(__xludf.DUMMYFUNCTION("""COMPUTED_VALUE"""),"Universidad de Barcelona")</f>
        <v>Universidad de Barcelona</v>
      </c>
      <c r="Y161" s="1" t="str">
        <f>IFERROR(__xludf.DUMMYFUNCTION("""COMPUTED_VALUE"""),"ESPAÑA")</f>
        <v>ESPAÑA</v>
      </c>
      <c r="Z161" s="1" t="str">
        <f>IFERROR(__xludf.DUMMYFUNCTION("""COMPUTED_VALUE"""),"T5124 Psicologo")</f>
        <v>T5124 Psicologo</v>
      </c>
    </row>
    <row r="162">
      <c r="A162" s="1" t="str">
        <f>IFERROR(__xludf.DUMMYFUNCTION("""COMPUTED_VALUE"""),"12090116 Dpto. de Antropología (funcionamiento)")</f>
        <v>12090116 Dpto. de Antropología (funcionamiento)</v>
      </c>
      <c r="B162" s="1" t="str">
        <f>IFERROR(__xludf.DUMMYFUNCTION("""COMPUTED_VALUE"""),"A3B001 Académico Prof. Asistente")</f>
        <v>A3B001 Académico Prof. Asistente</v>
      </c>
      <c r="C162" s="1" t="str">
        <f>IFERROR(__xludf.DUMMYFUNCTION("""COMPUTED_VALUE"""),"Prof. Asistente - Categ. Academica Doc.")</f>
        <v>Prof. Asistente - Categ. Academica Doc.</v>
      </c>
      <c r="D162" s="1" t="str">
        <f>IFERROR(__xludf.DUMMYFUNCTION("""COMPUTED_VALUE"""),"A3B Prof. Asistente - Categ. Academica Doc.")</f>
        <v>A3B Prof. Asistente - Categ. Academica Doc.</v>
      </c>
      <c r="E162" s="1" t="str">
        <f>IFERROR(__xludf.DUMMYFUNCTION("""COMPUTED_VALUE"""),"Masculino")</f>
        <v>Masculino</v>
      </c>
      <c r="F162" s="1" t="str">
        <f>IFERROR(__xludf.DUMMYFUNCTION("""COMPUTED_VALUE"""),"Krapivka")</f>
        <v>Krapivka</v>
      </c>
      <c r="G162" s="1" t="str">
        <f>IFERROR(__xludf.DUMMYFUNCTION("""COMPUTED_VALUE"""),"Flores")</f>
        <v>Flores</v>
      </c>
      <c r="H162" s="1" t="str">
        <f>IFERROR(__xludf.DUMMYFUNCTION("""COMPUTED_VALUE"""),"Sebastián Alejandro")</f>
        <v>Sebastián Alejandro</v>
      </c>
      <c r="I162" s="1" t="str">
        <f>IFERROR(__xludf.DUMMYFUNCTION("""COMPUTED_VALUE"""),"Krapivka Flores Sebastián Alejandro")</f>
        <v>Krapivka Flores Sebastián Alejandro</v>
      </c>
      <c r="J162" s="10">
        <f>IFERROR(__xludf.DUMMYFUNCTION("""COMPUTED_VALUE"""),39508.0)</f>
        <v>39508</v>
      </c>
      <c r="K162" s="10">
        <f>IFERROR(__xludf.DUMMYFUNCTION("""COMPUTED_VALUE"""),29000.0)</f>
        <v>29000</v>
      </c>
      <c r="L162" s="1">
        <f>IFERROR(__xludf.DUMMYFUNCTION("""COMPUTED_VALUE"""),44.0)</f>
        <v>44</v>
      </c>
      <c r="M162" s="1" t="str">
        <f>IFERROR(__xludf.DUMMYFUNCTION("""COMPUTED_VALUE"""),"0001 Casado")</f>
        <v>0001 Casado</v>
      </c>
      <c r="N162" s="1" t="str">
        <f>IFERROR(__xludf.DUMMYFUNCTION("""COMPUTED_VALUE"""),"N0041 Profesional Superior Sin Titulo")</f>
        <v>N0041 Profesional Superior Sin Titulo</v>
      </c>
      <c r="O162" s="10">
        <f>IFERROR(__xludf.DUMMYFUNCTION("""COMPUTED_VALUE"""),43466.0)</f>
        <v>43466</v>
      </c>
      <c r="P162" s="10">
        <f>IFERROR(__xludf.DUMMYFUNCTION("""COMPUTED_VALUE"""),43677.0)</f>
        <v>43677</v>
      </c>
      <c r="Q162" s="1" t="str">
        <f>IFERROR(__xludf.DUMMYFUNCTION("""COMPUTED_VALUE"""),"C Contrata")</f>
        <v>C Contrata</v>
      </c>
      <c r="R162" s="1" t="str">
        <f>IFERROR(__xludf.DUMMYFUNCTION("""COMPUTED_VALUE"""),"A Académico")</f>
        <v>A Académico</v>
      </c>
      <c r="S162" s="9" t="str">
        <f>IFERROR(__xludf.DUMMYFUNCTION("""COMPUTED_VALUE"""),"103282357")</f>
        <v>103282357</v>
      </c>
      <c r="T162" s="1" t="str">
        <f>IFERROR(__xludf.DUMMYFUNCTION("""COMPUTED_VALUE"""),"0103282357")</f>
        <v>0103282357</v>
      </c>
      <c r="U162" s="1">
        <f>IFERROR(__xludf.DUMMYFUNCTION("""COMPUTED_VALUE"""),22.0)</f>
        <v>22</v>
      </c>
      <c r="V162" s="1" t="str">
        <f>IFERROR(__xludf.DUMMYFUNCTION("""COMPUTED_VALUE"""),"P0863 Magister En Ciencias Biologicas")</f>
        <v>P0863 Magister En Ciencias Biologicas</v>
      </c>
      <c r="W162" s="1">
        <f>IFERROR(__xludf.DUMMYFUNCTION("""COMPUTED_VALUE"""),41240.0)</f>
        <v>41240</v>
      </c>
      <c r="X162" s="1" t="str">
        <f>IFERROR(__xludf.DUMMYFUNCTION("""COMPUTED_VALUE"""),"Universidad De Chile")</f>
        <v>Universidad De Chile</v>
      </c>
      <c r="Y162" s="1" t="str">
        <f>IFERROR(__xludf.DUMMYFUNCTION("""COMPUTED_VALUE"""),"CHILE")</f>
        <v>CHILE</v>
      </c>
      <c r="Z162" s="1" t="str">
        <f>IFERROR(__xludf.DUMMYFUNCTION("""COMPUTED_VALUE"""),"T5302 Licenciado en Ciencias Biologicas")</f>
        <v>T5302 Licenciado en Ciencias Biologicas</v>
      </c>
    </row>
    <row r="163">
      <c r="A163" s="1" t="str">
        <f>IFERROR(__xludf.DUMMYFUNCTION("""COMPUTED_VALUE"""),"12090701 Departamento de Psicología")</f>
        <v>12090701 Departamento de Psicología</v>
      </c>
      <c r="B163" s="1" t="str">
        <f>IFERROR(__xludf.DUMMYFUNCTION("""COMPUTED_VALUE"""),"A5A001 ACADEMICO AYUDANTE")</f>
        <v>A5A001 ACADEMICO AYUDANTE</v>
      </c>
      <c r="C163" s="1" t="str">
        <f>IFERROR(__xludf.DUMMYFUNCTION("""COMPUTED_VALUE"""),"Ayudante")</f>
        <v>Ayudante</v>
      </c>
      <c r="D163" s="1" t="str">
        <f>IFERROR(__xludf.DUMMYFUNCTION("""COMPUTED_VALUE"""),"A5A Ayudante")</f>
        <v>A5A Ayudante</v>
      </c>
      <c r="E163" s="1" t="str">
        <f>IFERROR(__xludf.DUMMYFUNCTION("""COMPUTED_VALUE"""),"Masculino")</f>
        <v>Masculino</v>
      </c>
      <c r="F163" s="1" t="str">
        <f>IFERROR(__xludf.DUMMYFUNCTION("""COMPUTED_VALUE"""),"Kusanovic")</f>
        <v>Kusanovic</v>
      </c>
      <c r="G163" s="1" t="str">
        <f>IFERROR(__xludf.DUMMYFUNCTION("""COMPUTED_VALUE"""),"Galleguillos")</f>
        <v>Galleguillos</v>
      </c>
      <c r="H163" s="1" t="str">
        <f>IFERROR(__xludf.DUMMYFUNCTION("""COMPUTED_VALUE"""),"Jorge Antonio")</f>
        <v>Jorge Antonio</v>
      </c>
      <c r="I163" s="1" t="str">
        <f>IFERROR(__xludf.DUMMYFUNCTION("""COMPUTED_VALUE"""),"Kusanovic Galleguillos Jorge Antonio")</f>
        <v>Kusanovic Galleguillos Jorge Antonio</v>
      </c>
      <c r="J163" s="10">
        <f>IFERROR(__xludf.DUMMYFUNCTION("""COMPUTED_VALUE"""),37438.0)</f>
        <v>37438</v>
      </c>
      <c r="K163" s="10">
        <f>IFERROR(__xludf.DUMMYFUNCTION("""COMPUTED_VALUE"""),26956.0)</f>
        <v>26956</v>
      </c>
      <c r="L163" s="1">
        <f>IFERROR(__xludf.DUMMYFUNCTION("""COMPUTED_VALUE"""),50.0)</f>
        <v>50</v>
      </c>
      <c r="M163" s="1" t="str">
        <f>IFERROR(__xludf.DUMMYFUNCTION("""COMPUTED_VALUE"""),"0001 Casado")</f>
        <v>0001 Casado</v>
      </c>
      <c r="N163" s="1"/>
      <c r="O163" s="10">
        <f>IFERROR(__xludf.DUMMYFUNCTION("""COMPUTED_VALUE"""),38353.0)</f>
        <v>38353</v>
      </c>
      <c r="P163" s="10">
        <f>IFERROR(__xludf.DUMMYFUNCTION("""COMPUTED_VALUE"""),38472.0)</f>
        <v>38472</v>
      </c>
      <c r="Q163" s="1" t="str">
        <f>IFERROR(__xludf.DUMMYFUNCTION("""COMPUTED_VALUE"""),"C Contrata")</f>
        <v>C Contrata</v>
      </c>
      <c r="R163" s="1" t="str">
        <f>IFERROR(__xludf.DUMMYFUNCTION("""COMPUTED_VALUE"""),"A Académico")</f>
        <v>A Académico</v>
      </c>
      <c r="S163" s="9" t="str">
        <f>IFERROR(__xludf.DUMMYFUNCTION("""COMPUTED_VALUE"""),"83930667")</f>
        <v>83930667</v>
      </c>
      <c r="T163" s="1" t="str">
        <f>IFERROR(__xludf.DUMMYFUNCTION("""COMPUTED_VALUE"""),"0083930667")</f>
        <v>0083930667</v>
      </c>
      <c r="U163" s="1">
        <f>IFERROR(__xludf.DUMMYFUNCTION("""COMPUTED_VALUE"""),3.0)</f>
        <v>3</v>
      </c>
      <c r="V163" s="1" t="str">
        <f>IFERROR(__xludf.DUMMYFUNCTION("""COMPUTED_VALUE"""),"P0501 Con Titulo Profesional")</f>
        <v>P0501 Con Titulo Profesional</v>
      </c>
      <c r="W163" s="1">
        <f>IFERROR(__xludf.DUMMYFUNCTION("""COMPUTED_VALUE"""),37622.0)</f>
        <v>37622</v>
      </c>
      <c r="X163" s="1" t="str">
        <f>IFERROR(__xludf.DUMMYFUNCTION("""COMPUTED_VALUE"""),"Universidad De Chile")</f>
        <v>Universidad De Chile</v>
      </c>
      <c r="Y163" s="1" t="str">
        <f>IFERROR(__xludf.DUMMYFUNCTION("""COMPUTED_VALUE"""),"CHILE")</f>
        <v>CHILE</v>
      </c>
      <c r="Z163" s="1" t="str">
        <f>IFERROR(__xludf.DUMMYFUNCTION("""COMPUTED_VALUE"""),"T5124 Psicologo")</f>
        <v>T5124 Psicologo</v>
      </c>
    </row>
    <row r="164">
      <c r="A164" s="1" t="str">
        <f>IFERROR(__xludf.DUMMYFUNCTION("""COMPUTED_VALUE"""),"12090701 Departamento de Psicología")</f>
        <v>12090701 Departamento de Psicología</v>
      </c>
      <c r="B164" s="1" t="str">
        <f>IFERROR(__xludf.DUMMYFUNCTION("""COMPUTED_VALUE"""),"A3A001 Académico Prof. Asistente")</f>
        <v>A3A001 Académico Prof. Asistente</v>
      </c>
      <c r="C164" s="1" t="str">
        <f>IFERROR(__xludf.DUMMYFUNCTION("""COMPUTED_VALUE"""),"Prof. Asistente - Categ. Academica Ord.")</f>
        <v>Prof. Asistente - Categ. Academica Ord.</v>
      </c>
      <c r="D164" s="1" t="str">
        <f>IFERROR(__xludf.DUMMYFUNCTION("""COMPUTED_VALUE"""),"A3A Prof. Asistente - Categ. Academica Ord.")</f>
        <v>A3A Prof. Asistente - Categ. Academica Ord.</v>
      </c>
      <c r="E164" s="1" t="str">
        <f>IFERROR(__xludf.DUMMYFUNCTION("""COMPUTED_VALUE"""),"Masculino")</f>
        <v>Masculino</v>
      </c>
      <c r="F164" s="1" t="str">
        <f>IFERROR(__xludf.DUMMYFUNCTION("""COMPUTED_VALUE"""),"Labra")</f>
        <v>Labra</v>
      </c>
      <c r="G164" s="1" t="str">
        <f>IFERROR(__xludf.DUMMYFUNCTION("""COMPUTED_VALUE"""),"Sprohnle")</f>
        <v>Sprohnle</v>
      </c>
      <c r="H164" s="1" t="str">
        <f>IFERROR(__xludf.DUMMYFUNCTION("""COMPUTED_VALUE"""),"Fabián Arnaldo")</f>
        <v>Fabián Arnaldo</v>
      </c>
      <c r="I164" s="1" t="str">
        <f>IFERROR(__xludf.DUMMYFUNCTION("""COMPUTED_VALUE"""),"Labra Sprohnle Fabián Arnaldo")</f>
        <v>Labra Sprohnle Fabián Arnaldo</v>
      </c>
      <c r="J164" s="10">
        <f>IFERROR(__xludf.DUMMYFUNCTION("""COMPUTED_VALUE"""),36039.0)</f>
        <v>36039</v>
      </c>
      <c r="K164" s="10">
        <f>IFERROR(__xludf.DUMMYFUNCTION("""COMPUTED_VALUE"""),22369.0)</f>
        <v>22369</v>
      </c>
      <c r="L164" s="1">
        <f>IFERROR(__xludf.DUMMYFUNCTION("""COMPUTED_VALUE"""),62.0)</f>
        <v>62</v>
      </c>
      <c r="M164" s="1" t="str">
        <f>IFERROR(__xludf.DUMMYFUNCTION("""COMPUTED_VALUE"""),"0002 Soltero")</f>
        <v>0002 Soltero</v>
      </c>
      <c r="N164" s="1"/>
      <c r="O164" s="10">
        <f>IFERROR(__xludf.DUMMYFUNCTION("""COMPUTED_VALUE"""),36039.0)</f>
        <v>36039</v>
      </c>
      <c r="P164" s="10">
        <f>IFERROR(__xludf.DUMMYFUNCTION("""COMPUTED_VALUE"""),36891.0)</f>
        <v>36891</v>
      </c>
      <c r="Q164" s="1" t="str">
        <f>IFERROR(__xludf.DUMMYFUNCTION("""COMPUTED_VALUE"""),"A Ad Honorem Propiedad")</f>
        <v>A Ad Honorem Propiedad</v>
      </c>
      <c r="R164" s="1" t="str">
        <f>IFERROR(__xludf.DUMMYFUNCTION("""COMPUTED_VALUE"""),"A Académico")</f>
        <v>A Académico</v>
      </c>
      <c r="S164" s="9" t="str">
        <f>IFERROR(__xludf.DUMMYFUNCTION("""COMPUTED_VALUE"""),"009024485K")</f>
        <v>009024485K</v>
      </c>
      <c r="T164" s="1" t="str">
        <f>IFERROR(__xludf.DUMMYFUNCTION("""COMPUTED_VALUE"""),"009024485K")</f>
        <v>009024485K</v>
      </c>
      <c r="U164" s="1">
        <f>IFERROR(__xludf.DUMMYFUNCTION("""COMPUTED_VALUE"""),6.0)</f>
        <v>6</v>
      </c>
      <c r="V164" s="1" t="str">
        <f>IFERROR(__xludf.DUMMYFUNCTION("""COMPUTED_VALUE"""),"P0501 Con Titulo Profesional")</f>
        <v>P0501 Con Titulo Profesional</v>
      </c>
      <c r="W164" s="1">
        <f>IFERROR(__xludf.DUMMYFUNCTION("""COMPUTED_VALUE"""),1.0)</f>
        <v>1</v>
      </c>
      <c r="X164" s="1" t="str">
        <f>IFERROR(__xludf.DUMMYFUNCTION("""COMPUTED_VALUE"""),"Sin Información")</f>
        <v>Sin Información</v>
      </c>
      <c r="Y164" s="1" t="str">
        <f>IFERROR(__xludf.DUMMYFUNCTION("""COMPUTED_VALUE"""),"CHILE")</f>
        <v>CHILE</v>
      </c>
      <c r="Z164" s="1"/>
    </row>
    <row r="165">
      <c r="A165" s="1" t="str">
        <f>IFERROR(__xludf.DUMMYFUNCTION("""COMPUTED_VALUE"""),"12090118 Dpto. de  Psicología (funcionamiento)")</f>
        <v>12090118 Dpto. de  Psicología (funcionamiento)</v>
      </c>
      <c r="B165" s="1" t="str">
        <f>IFERROR(__xludf.DUMMYFUNCTION("""COMPUTED_VALUE"""),"A3B001 Académico Prof. Asistente")</f>
        <v>A3B001 Académico Prof. Asistente</v>
      </c>
      <c r="C165" s="1" t="str">
        <f>IFERROR(__xludf.DUMMYFUNCTION("""COMPUTED_VALUE"""),"Prof. Asistente - Categ. Academica Doc.")</f>
        <v>Prof. Asistente - Categ. Academica Doc.</v>
      </c>
      <c r="D165" s="1" t="str">
        <f>IFERROR(__xludf.DUMMYFUNCTION("""COMPUTED_VALUE"""),"A3B Prof. Asistente - Categ. Academica Doc.")</f>
        <v>A3B Prof. Asistente - Categ. Academica Doc.</v>
      </c>
      <c r="E165" s="1" t="str">
        <f>IFERROR(__xludf.DUMMYFUNCTION("""COMPUTED_VALUE"""),"Masculino")</f>
        <v>Masculino</v>
      </c>
      <c r="F165" s="1" t="str">
        <f>IFERROR(__xludf.DUMMYFUNCTION("""COMPUTED_VALUE"""),"Landabur")</f>
        <v>Landabur</v>
      </c>
      <c r="G165" s="1" t="str">
        <f>IFERROR(__xludf.DUMMYFUNCTION("""COMPUTED_VALUE"""),"Ayala")</f>
        <v>Ayala</v>
      </c>
      <c r="H165" s="1" t="str">
        <f>IFERROR(__xludf.DUMMYFUNCTION("""COMPUTED_VALUE"""),"Rodrigo Antonio")</f>
        <v>Rodrigo Antonio</v>
      </c>
      <c r="I165" s="1" t="str">
        <f>IFERROR(__xludf.DUMMYFUNCTION("""COMPUTED_VALUE"""),"Landabur Ayala Rodrigo Antonio")</f>
        <v>Landabur Ayala Rodrigo Antonio</v>
      </c>
      <c r="J165" s="10">
        <f>IFERROR(__xludf.DUMMYFUNCTION("""COMPUTED_VALUE"""),42552.0)</f>
        <v>42552</v>
      </c>
      <c r="K165" s="10">
        <f>IFERROR(__xludf.DUMMYFUNCTION("""COMPUTED_VALUE"""),29698.0)</f>
        <v>29698</v>
      </c>
      <c r="L165" s="1">
        <f>IFERROR(__xludf.DUMMYFUNCTION("""COMPUTED_VALUE"""),42.0)</f>
        <v>42</v>
      </c>
      <c r="M165" s="1" t="str">
        <f>IFERROR(__xludf.DUMMYFUNCTION("""COMPUTED_VALUE"""),"0002 Soltero")</f>
        <v>0002 Soltero</v>
      </c>
      <c r="N165" s="1" t="str">
        <f>IFERROR(__xludf.DUMMYFUNCTION("""COMPUTED_VALUE"""),"N0040 Profesional Superior")</f>
        <v>N0040 Profesional Superior</v>
      </c>
      <c r="O165" s="10">
        <f>IFERROR(__xludf.DUMMYFUNCTION("""COMPUTED_VALUE"""),43831.0)</f>
        <v>43831</v>
      </c>
      <c r="P165" s="10">
        <f>IFERROR(__xludf.DUMMYFUNCTION("""COMPUTED_VALUE"""),43890.0)</f>
        <v>43890</v>
      </c>
      <c r="Q165" s="1" t="str">
        <f>IFERROR(__xludf.DUMMYFUNCTION("""COMPUTED_VALUE"""),"C Contrata")</f>
        <v>C Contrata</v>
      </c>
      <c r="R165" s="1" t="str">
        <f>IFERROR(__xludf.DUMMYFUNCTION("""COMPUTED_VALUE"""),"A Académico")</f>
        <v>A Académico</v>
      </c>
      <c r="S165" s="9" t="str">
        <f>IFERROR(__xludf.DUMMYFUNCTION("""COMPUTED_VALUE"""),"014091035K")</f>
        <v>014091035K</v>
      </c>
      <c r="T165" s="1" t="str">
        <f>IFERROR(__xludf.DUMMYFUNCTION("""COMPUTED_VALUE"""),"014091035K")</f>
        <v>014091035K</v>
      </c>
      <c r="U165" s="1">
        <f>IFERROR(__xludf.DUMMYFUNCTION("""COMPUTED_VALUE"""),12.0)</f>
        <v>12</v>
      </c>
      <c r="V165" s="1" t="str">
        <f>IFERROR(__xludf.DUMMYFUNCTION("""COMPUTED_VALUE"""),"P0800 Magíster")</f>
        <v>P0800 Magíster</v>
      </c>
      <c r="W165" s="1">
        <f>IFERROR(__xludf.DUMMYFUNCTION("""COMPUTED_VALUE"""),41491.0)</f>
        <v>41491</v>
      </c>
      <c r="X165" s="1" t="str">
        <f>IFERROR(__xludf.DUMMYFUNCTION("""COMPUTED_VALUE"""),"universidad autonoma madrid")</f>
        <v>universidad autonoma madrid</v>
      </c>
      <c r="Y165" s="1" t="str">
        <f>IFERROR(__xludf.DUMMYFUNCTION("""COMPUTED_VALUE"""),"ESPAÑA")</f>
        <v>ESPAÑA</v>
      </c>
      <c r="Z165" s="1" t="str">
        <f>IFERROR(__xludf.DUMMYFUNCTION("""COMPUTED_VALUE"""),"T5276 Psicologo")</f>
        <v>T5276 Psicologo</v>
      </c>
    </row>
    <row r="166">
      <c r="A166" s="1" t="str">
        <f>IFERROR(__xludf.DUMMYFUNCTION("""COMPUTED_VALUE"""),"12090701 Departamento de Psicología")</f>
        <v>12090701 Departamento de Psicología</v>
      </c>
      <c r="B166" s="1" t="str">
        <f>IFERROR(__xludf.DUMMYFUNCTION("""COMPUTED_VALUE"""),"A4A001 ACADEMICO  INSTRUCTOR")</f>
        <v>A4A001 ACADEMICO  INSTRUCTOR</v>
      </c>
      <c r="C166" s="1" t="str">
        <f>IFERROR(__xludf.DUMMYFUNCTION("""COMPUTED_VALUE"""),"Instructor")</f>
        <v>Instructor</v>
      </c>
      <c r="D166" s="1" t="str">
        <f>IFERROR(__xludf.DUMMYFUNCTION("""COMPUTED_VALUE"""),"A4A Instructor")</f>
        <v>A4A Instructor</v>
      </c>
      <c r="E166" s="1" t="str">
        <f>IFERROR(__xludf.DUMMYFUNCTION("""COMPUTED_VALUE"""),"Masculino")</f>
        <v>Masculino</v>
      </c>
      <c r="F166" s="1" t="str">
        <f>IFERROR(__xludf.DUMMYFUNCTION("""COMPUTED_VALUE"""),"Lara")</f>
        <v>Lara</v>
      </c>
      <c r="G166" s="1" t="str">
        <f>IFERROR(__xludf.DUMMYFUNCTION("""COMPUTED_VALUE"""),"Cisternas")</f>
        <v>Cisternas</v>
      </c>
      <c r="H166" s="1" t="str">
        <f>IFERROR(__xludf.DUMMYFUNCTION("""COMPUTED_VALUE"""),"Sergio Antonio")</f>
        <v>Sergio Antonio</v>
      </c>
      <c r="I166" s="1" t="str">
        <f>IFERROR(__xludf.DUMMYFUNCTION("""COMPUTED_VALUE"""),"Lara Cisternas Sergio Antonio")</f>
        <v>Lara Cisternas Sergio Antonio</v>
      </c>
      <c r="J166" s="10">
        <f>IFERROR(__xludf.DUMMYFUNCTION("""COMPUTED_VALUE"""),37591.0)</f>
        <v>37591</v>
      </c>
      <c r="K166" s="10">
        <f>IFERROR(__xludf.DUMMYFUNCTION("""COMPUTED_VALUE"""),23550.0)</f>
        <v>23550</v>
      </c>
      <c r="L166" s="1">
        <f>IFERROR(__xludf.DUMMYFUNCTION("""COMPUTED_VALUE"""),59.0)</f>
        <v>59</v>
      </c>
      <c r="M166" s="1" t="str">
        <f>IFERROR(__xludf.DUMMYFUNCTION("""COMPUTED_VALUE"""),"0002 Soltero")</f>
        <v>0002 Soltero</v>
      </c>
      <c r="N166" s="1"/>
      <c r="O166" s="10">
        <f>IFERROR(__xludf.DUMMYFUNCTION("""COMPUTED_VALUE"""),38078.0)</f>
        <v>38078</v>
      </c>
      <c r="P166" s="10">
        <f>IFERROR(__xludf.DUMMYFUNCTION("""COMPUTED_VALUE"""),38230.0)</f>
        <v>38230</v>
      </c>
      <c r="Q166" s="1" t="str">
        <f>IFERROR(__xludf.DUMMYFUNCTION("""COMPUTED_VALUE"""),"C Contrata")</f>
        <v>C Contrata</v>
      </c>
      <c r="R166" s="1" t="str">
        <f>IFERROR(__xludf.DUMMYFUNCTION("""COMPUTED_VALUE"""),"A Académico")</f>
        <v>A Académico</v>
      </c>
      <c r="S166" s="9" t="str">
        <f>IFERROR(__xludf.DUMMYFUNCTION("""COMPUTED_VALUE"""),"88393295")</f>
        <v>88393295</v>
      </c>
      <c r="T166" s="1" t="str">
        <f>IFERROR(__xludf.DUMMYFUNCTION("""COMPUTED_VALUE"""),"0088393295")</f>
        <v>0088393295</v>
      </c>
      <c r="U166" s="1">
        <f>IFERROR(__xludf.DUMMYFUNCTION("""COMPUTED_VALUE"""),12.0)</f>
        <v>12</v>
      </c>
      <c r="V166" s="1"/>
      <c r="W166" s="1"/>
      <c r="X166" s="1"/>
      <c r="Y166" s="1"/>
      <c r="Z166" s="1" t="str">
        <f>IFERROR(__xludf.DUMMYFUNCTION("""COMPUTED_VALUE"""),"T5124 Psicologo")</f>
        <v>T5124 Psicologo</v>
      </c>
    </row>
    <row r="167">
      <c r="A167" s="1" t="str">
        <f>IFERROR(__xludf.DUMMYFUNCTION("""COMPUTED_VALUE"""),"12090601 Departamento de Educación")</f>
        <v>12090601 Departamento de Educación</v>
      </c>
      <c r="B167" s="1" t="str">
        <f>IFERROR(__xludf.DUMMYFUNCTION("""COMPUTED_VALUE"""),"A4A001 ACADEMICO  INSTRUCTOR")</f>
        <v>A4A001 ACADEMICO  INSTRUCTOR</v>
      </c>
      <c r="C167" s="1" t="str">
        <f>IFERROR(__xludf.DUMMYFUNCTION("""COMPUTED_VALUE"""),"Instructor")</f>
        <v>Instructor</v>
      </c>
      <c r="D167" s="1" t="str">
        <f>IFERROR(__xludf.DUMMYFUNCTION("""COMPUTED_VALUE"""),"A4A Instructor")</f>
        <v>A4A Instructor</v>
      </c>
      <c r="E167" s="1" t="str">
        <f>IFERROR(__xludf.DUMMYFUNCTION("""COMPUTED_VALUE"""),"Masculino")</f>
        <v>Masculino</v>
      </c>
      <c r="F167" s="1" t="str">
        <f>IFERROR(__xludf.DUMMYFUNCTION("""COMPUTED_VALUE"""),"Larotonda")</f>
        <v>Larotonda</v>
      </c>
      <c r="G167" s="1" t="str">
        <f>IFERROR(__xludf.DUMMYFUNCTION("""COMPUTED_VALUE"""),"Dinardi")</f>
        <v>Dinardi</v>
      </c>
      <c r="H167" s="1" t="str">
        <f>IFERROR(__xludf.DUMMYFUNCTION("""COMPUTED_VALUE"""),"Christian Augusto")</f>
        <v>Christian Augusto</v>
      </c>
      <c r="I167" s="1" t="str">
        <f>IFERROR(__xludf.DUMMYFUNCTION("""COMPUTED_VALUE"""),"Larotonda Dinardi Christian Augusto")</f>
        <v>Larotonda Dinardi Christian Augusto</v>
      </c>
      <c r="J167" s="10">
        <f>IFERROR(__xludf.DUMMYFUNCTION("""COMPUTED_VALUE"""),38869.0)</f>
        <v>38869</v>
      </c>
      <c r="K167" s="10">
        <f>IFERROR(__xludf.DUMMYFUNCTION("""COMPUTED_VALUE"""),25039.0)</f>
        <v>25039</v>
      </c>
      <c r="L167" s="1">
        <f>IFERROR(__xludf.DUMMYFUNCTION("""COMPUTED_VALUE"""),55.0)</f>
        <v>55</v>
      </c>
      <c r="M167" s="1" t="str">
        <f>IFERROR(__xludf.DUMMYFUNCTION("""COMPUTED_VALUE"""),"0001 Casado")</f>
        <v>0001 Casado</v>
      </c>
      <c r="N167" s="1"/>
      <c r="O167" s="10">
        <f>IFERROR(__xludf.DUMMYFUNCTION("""COMPUTED_VALUE"""),39083.0)</f>
        <v>39083</v>
      </c>
      <c r="P167" s="10">
        <f>IFERROR(__xludf.DUMMYFUNCTION("""COMPUTED_VALUE"""),39294.0)</f>
        <v>39294</v>
      </c>
      <c r="Q167" s="1" t="str">
        <f>IFERROR(__xludf.DUMMYFUNCTION("""COMPUTED_VALUE"""),"C Contrata")</f>
        <v>C Contrata</v>
      </c>
      <c r="R167" s="1" t="str">
        <f>IFERROR(__xludf.DUMMYFUNCTION("""COMPUTED_VALUE"""),"A Académico")</f>
        <v>A Académico</v>
      </c>
      <c r="S167" s="9" t="str">
        <f>IFERROR(__xludf.DUMMYFUNCTION("""COMPUTED_VALUE"""),"146159915")</f>
        <v>146159915</v>
      </c>
      <c r="T167" s="1" t="str">
        <f>IFERROR(__xludf.DUMMYFUNCTION("""COMPUTED_VALUE"""),"0146159915")</f>
        <v>0146159915</v>
      </c>
      <c r="U167" s="1">
        <f>IFERROR(__xludf.DUMMYFUNCTION("""COMPUTED_VALUE"""),12.0)</f>
        <v>12</v>
      </c>
      <c r="V167" s="1" t="str">
        <f>IFERROR(__xludf.DUMMYFUNCTION("""COMPUTED_VALUE"""),"P0855 Magister En Educacion")</f>
        <v>P0855 Magister En Educacion</v>
      </c>
      <c r="W167" s="1">
        <f>IFERROR(__xludf.DUMMYFUNCTION("""COMPUTED_VALUE"""),37957.0)</f>
        <v>37957</v>
      </c>
      <c r="X167" s="1" t="str">
        <f>IFERROR(__xludf.DUMMYFUNCTION("""COMPUTED_VALUE"""),"Universidad De Chile")</f>
        <v>Universidad De Chile</v>
      </c>
      <c r="Y167" s="1" t="str">
        <f>IFERROR(__xludf.DUMMYFUNCTION("""COMPUTED_VALUE"""),"CHILE")</f>
        <v>CHILE</v>
      </c>
      <c r="Z167" s="1" t="str">
        <f>IFERROR(__xludf.DUMMYFUNCTION("""COMPUTED_VALUE"""),"T5099 Profesor De Filosofia")</f>
        <v>T5099 Profesor De Filosofia</v>
      </c>
    </row>
    <row r="168" hidden="1">
      <c r="A168" s="1" t="str">
        <f>IFERROR(__xludf.DUMMYFUNCTION("""COMPUTED_VALUE"""),"12090701 Departamento de Psicología")</f>
        <v>12090701 Departamento de Psicología</v>
      </c>
      <c r="B168" s="1" t="str">
        <f>IFERROR(__xludf.DUMMYFUNCTION("""COMPUTED_VALUE"""),"A7A001 ACADEMICO PROF. ADJUNTO")</f>
        <v>A7A001 ACADEMICO PROF. ADJUNTO</v>
      </c>
      <c r="C168" s="1" t="str">
        <f>IFERROR(__xludf.DUMMYFUNCTION("""COMPUTED_VALUE"""),"Prof. Adjunto")</f>
        <v>Prof. Adjunto</v>
      </c>
      <c r="D168" s="1" t="str">
        <f>IFERROR(__xludf.DUMMYFUNCTION("""COMPUTED_VALUE"""),"A7A Prof. Adjunto")</f>
        <v>A7A Prof. Adjunto</v>
      </c>
      <c r="E168" s="1" t="str">
        <f>IFERROR(__xludf.DUMMYFUNCTION("""COMPUTED_VALUE"""),"Femenino")</f>
        <v>Femenino</v>
      </c>
      <c r="F168" s="1" t="str">
        <f>IFERROR(__xludf.DUMMYFUNCTION("""COMPUTED_VALUE"""),"Larraín")</f>
        <v>Larraín</v>
      </c>
      <c r="G168" s="1" t="str">
        <f>IFERROR(__xludf.DUMMYFUNCTION("""COMPUTED_VALUE"""),"Heiremans")</f>
        <v>Heiremans</v>
      </c>
      <c r="H168" s="1" t="str">
        <f>IFERROR(__xludf.DUMMYFUNCTION("""COMPUTED_VALUE"""),"María Soledad")</f>
        <v>María Soledad</v>
      </c>
      <c r="I168" s="1" t="str">
        <f>IFERROR(__xludf.DUMMYFUNCTION("""COMPUTED_VALUE"""),"Larraín Heiremans María Soledad")</f>
        <v>Larraín Heiremans María Soledad</v>
      </c>
      <c r="J168" s="10">
        <f>IFERROR(__xludf.DUMMYFUNCTION("""COMPUTED_VALUE"""),34060.0)</f>
        <v>34060</v>
      </c>
      <c r="K168" s="10">
        <f>IFERROR(__xludf.DUMMYFUNCTION("""COMPUTED_VALUE"""),17675.0)</f>
        <v>17675</v>
      </c>
      <c r="L168" s="1">
        <f>IFERROR(__xludf.DUMMYFUNCTION("""COMPUTED_VALUE"""),75.0)</f>
        <v>75</v>
      </c>
      <c r="M168" s="1" t="str">
        <f>IFERROR(__xludf.DUMMYFUNCTION("""COMPUTED_VALUE"""),"0002 Soltero")</f>
        <v>0002 Soltero</v>
      </c>
      <c r="N168" s="1"/>
      <c r="O168" s="10">
        <f>IFERROR(__xludf.DUMMYFUNCTION("""COMPUTED_VALUE"""),38353.0)</f>
        <v>38353</v>
      </c>
      <c r="P168" s="10">
        <f>IFERROR(__xludf.DUMMYFUNCTION("""COMPUTED_VALUE"""),38472.0)</f>
        <v>38472</v>
      </c>
      <c r="Q168" s="1" t="str">
        <f>IFERROR(__xludf.DUMMYFUNCTION("""COMPUTED_VALUE"""),"K Ad Honorem Contrata")</f>
        <v>K Ad Honorem Contrata</v>
      </c>
      <c r="R168" s="1" t="str">
        <f>IFERROR(__xludf.DUMMYFUNCTION("""COMPUTED_VALUE"""),"A Académico")</f>
        <v>A Académico</v>
      </c>
      <c r="S168" s="9" t="str">
        <f>IFERROR(__xludf.DUMMYFUNCTION("""COMPUTED_VALUE"""),"56631089")</f>
        <v>56631089</v>
      </c>
      <c r="T168" s="1" t="str">
        <f>IFERROR(__xludf.DUMMYFUNCTION("""COMPUTED_VALUE"""),"0056631089")</f>
        <v>0056631089</v>
      </c>
      <c r="U168" s="1">
        <f>IFERROR(__xludf.DUMMYFUNCTION("""COMPUTED_VALUE"""),2.0)</f>
        <v>2</v>
      </c>
      <c r="V168" s="1" t="str">
        <f>IFERROR(__xludf.DUMMYFUNCTION("""COMPUTED_VALUE"""),"P0501 Con Titulo Profesional")</f>
        <v>P0501 Con Titulo Profesional</v>
      </c>
      <c r="W168" s="1">
        <f>IFERROR(__xludf.DUMMYFUNCTION("""COMPUTED_VALUE"""),28122.0)</f>
        <v>28122</v>
      </c>
      <c r="X168" s="1" t="str">
        <f>IFERROR(__xludf.DUMMYFUNCTION("""COMPUTED_VALUE"""),"Universidad Catolica Cardenal Raúl Silva Heníquez")</f>
        <v>Universidad Catolica Cardenal Raúl Silva Heníquez</v>
      </c>
      <c r="Y168" s="1" t="str">
        <f>IFERROR(__xludf.DUMMYFUNCTION("""COMPUTED_VALUE"""),"CHILE")</f>
        <v>CHILE</v>
      </c>
      <c r="Z168" s="1" t="str">
        <f>IFERROR(__xludf.DUMMYFUNCTION("""COMPUTED_VALUE"""),"T5124 Psicologo")</f>
        <v>T5124 Psicologo</v>
      </c>
    </row>
    <row r="169">
      <c r="A169" s="1" t="str">
        <f>IFERROR(__xludf.DUMMYFUNCTION("""COMPUTED_VALUE"""),"12090501 Departamento de Investigaciónes Mediáticas y de la Comunicación")</f>
        <v>12090501 Departamento de Investigaciónes Mediáticas y de la Comunicación</v>
      </c>
      <c r="B169" s="1" t="str">
        <f>IFERROR(__xludf.DUMMYFUNCTION("""COMPUTED_VALUE"""),"A7A001 ACADEMICO PROF. ADJUNTO")</f>
        <v>A7A001 ACADEMICO PROF. ADJUNTO</v>
      </c>
      <c r="C169" s="1" t="str">
        <f>IFERROR(__xludf.DUMMYFUNCTION("""COMPUTED_VALUE"""),"Prof. Adjunto")</f>
        <v>Prof. Adjunto</v>
      </c>
      <c r="D169" s="1" t="str">
        <f>IFERROR(__xludf.DUMMYFUNCTION("""COMPUTED_VALUE"""),"A7A Prof. Adjunto")</f>
        <v>A7A Prof. Adjunto</v>
      </c>
      <c r="E169" s="1" t="str">
        <f>IFERROR(__xludf.DUMMYFUNCTION("""COMPUTED_VALUE"""),"Masculino")</f>
        <v>Masculino</v>
      </c>
      <c r="F169" s="1" t="str">
        <f>IFERROR(__xludf.DUMMYFUNCTION("""COMPUTED_VALUE"""),"Larrea")</f>
        <v>Larrea</v>
      </c>
      <c r="G169" s="1" t="str">
        <f>IFERROR(__xludf.DUMMYFUNCTION("""COMPUTED_VALUE"""),"Peroldo")</f>
        <v>Peroldo</v>
      </c>
      <c r="H169" s="1" t="str">
        <f>IFERROR(__xludf.DUMMYFUNCTION("""COMPUTED_VALUE"""),"Miguel Angel")</f>
        <v>Miguel Angel</v>
      </c>
      <c r="I169" s="1" t="str">
        <f>IFERROR(__xludf.DUMMYFUNCTION("""COMPUTED_VALUE"""),"Larrea Peroldo Miguel Angel")</f>
        <v>Larrea Peroldo Miguel Angel</v>
      </c>
      <c r="J169" s="10">
        <f>IFERROR(__xludf.DUMMYFUNCTION("""COMPUTED_VALUE"""),36161.0)</f>
        <v>36161</v>
      </c>
      <c r="K169" s="10">
        <f>IFERROR(__xludf.DUMMYFUNCTION("""COMPUTED_VALUE"""),20648.0)</f>
        <v>20648</v>
      </c>
      <c r="L169" s="1">
        <f>IFERROR(__xludf.DUMMYFUNCTION("""COMPUTED_VALUE"""),67.0)</f>
        <v>67</v>
      </c>
      <c r="M169" s="1" t="str">
        <f>IFERROR(__xludf.DUMMYFUNCTION("""COMPUTED_VALUE"""),"0001 Casado")</f>
        <v>0001 Casado</v>
      </c>
      <c r="N169" s="1"/>
      <c r="O169" s="10">
        <f>IFERROR(__xludf.DUMMYFUNCTION("""COMPUTED_VALUE"""),37803.0)</f>
        <v>37803</v>
      </c>
      <c r="P169" s="10">
        <f>IFERROR(__xludf.DUMMYFUNCTION("""COMPUTED_VALUE"""),37833.0)</f>
        <v>37833</v>
      </c>
      <c r="Q169" s="1" t="str">
        <f>IFERROR(__xludf.DUMMYFUNCTION("""COMPUTED_VALUE"""),"C Contrata")</f>
        <v>C Contrata</v>
      </c>
      <c r="R169" s="1" t="str">
        <f>IFERROR(__xludf.DUMMYFUNCTION("""COMPUTED_VALUE"""),"A Académico")</f>
        <v>A Académico</v>
      </c>
      <c r="S169" s="9" t="str">
        <f>IFERROR(__xludf.DUMMYFUNCTION("""COMPUTED_VALUE"""),"60006385")</f>
        <v>60006385</v>
      </c>
      <c r="T169" s="1" t="str">
        <f>IFERROR(__xludf.DUMMYFUNCTION("""COMPUTED_VALUE"""),"0060006385")</f>
        <v>0060006385</v>
      </c>
      <c r="U169" s="1">
        <f>IFERROR(__xludf.DUMMYFUNCTION("""COMPUTED_VALUE"""),12.0)</f>
        <v>12</v>
      </c>
      <c r="V169" s="1" t="str">
        <f>IFERROR(__xludf.DUMMYFUNCTION("""COMPUTED_VALUE"""),"P0401 Licenciado")</f>
        <v>P0401 Licenciado</v>
      </c>
      <c r="W169" s="1">
        <f>IFERROR(__xludf.DUMMYFUNCTION("""COMPUTED_VALUE"""),34670.0)</f>
        <v>34670</v>
      </c>
      <c r="X169" s="1" t="str">
        <f>IFERROR(__xludf.DUMMYFUNCTION("""COMPUTED_VALUE"""),"Universidad De Santiago De Chile")</f>
        <v>Universidad De Santiago De Chile</v>
      </c>
      <c r="Y169" s="1" t="str">
        <f>IFERROR(__xludf.DUMMYFUNCTION("""COMPUTED_VALUE"""),"CHILE")</f>
        <v>CHILE</v>
      </c>
      <c r="Z169" s="1" t="str">
        <f>IFERROR(__xludf.DUMMYFUNCTION("""COMPUTED_VALUE"""),"T5074 Periodista")</f>
        <v>T5074 Periodista</v>
      </c>
    </row>
    <row r="170">
      <c r="A170" s="1" t="str">
        <f>IFERROR(__xludf.DUMMYFUNCTION("""COMPUTED_VALUE"""),"12090701 Departamento de Psicología")</f>
        <v>12090701 Departamento de Psicología</v>
      </c>
      <c r="B170" s="1" t="str">
        <f>IFERROR(__xludf.DUMMYFUNCTION("""COMPUTED_VALUE"""),"A4A001 ACADEMICO  INSTRUCTOR")</f>
        <v>A4A001 ACADEMICO  INSTRUCTOR</v>
      </c>
      <c r="C170" s="1" t="str">
        <f>IFERROR(__xludf.DUMMYFUNCTION("""COMPUTED_VALUE"""),"Instructor")</f>
        <v>Instructor</v>
      </c>
      <c r="D170" s="1" t="str">
        <f>IFERROR(__xludf.DUMMYFUNCTION("""COMPUTED_VALUE"""),"A4A Instructor")</f>
        <v>A4A Instructor</v>
      </c>
      <c r="E170" s="1" t="str">
        <f>IFERROR(__xludf.DUMMYFUNCTION("""COMPUTED_VALUE"""),"Femenino")</f>
        <v>Femenino</v>
      </c>
      <c r="F170" s="1" t="str">
        <f>IFERROR(__xludf.DUMMYFUNCTION("""COMPUTED_VALUE"""),"Lastra")</f>
        <v>Lastra</v>
      </c>
      <c r="G170" s="1" t="str">
        <f>IFERROR(__xludf.DUMMYFUNCTION("""COMPUTED_VALUE"""),"Bravo")</f>
        <v>Bravo</v>
      </c>
      <c r="H170" s="1" t="str">
        <f>IFERROR(__xludf.DUMMYFUNCTION("""COMPUTED_VALUE"""),"Maritza Lucrecia")</f>
        <v>Maritza Lucrecia</v>
      </c>
      <c r="I170" s="1" t="str">
        <f>IFERROR(__xludf.DUMMYFUNCTION("""COMPUTED_VALUE"""),"Lastra Bravo Maritza Lucrecia")</f>
        <v>Lastra Bravo Maritza Lucrecia</v>
      </c>
      <c r="J170" s="10">
        <f>IFERROR(__xludf.DUMMYFUNCTION("""COMPUTED_VALUE"""),34881.0)</f>
        <v>34881</v>
      </c>
      <c r="K170" s="10">
        <f>IFERROR(__xludf.DUMMYFUNCTION("""COMPUTED_VALUE"""),22789.0)</f>
        <v>22789</v>
      </c>
      <c r="L170" s="1">
        <f>IFERROR(__xludf.DUMMYFUNCTION("""COMPUTED_VALUE"""),61.0)</f>
        <v>61</v>
      </c>
      <c r="M170" s="1" t="str">
        <f>IFERROR(__xludf.DUMMYFUNCTION("""COMPUTED_VALUE"""),"0001 Casado")</f>
        <v>0001 Casado</v>
      </c>
      <c r="N170" s="1"/>
      <c r="O170" s="10">
        <f>IFERROR(__xludf.DUMMYFUNCTION("""COMPUTED_VALUE"""),35065.0)</f>
        <v>35065</v>
      </c>
      <c r="P170" s="10">
        <f>IFERROR(__xludf.DUMMYFUNCTION("""COMPUTED_VALUE"""),35124.0)</f>
        <v>35124</v>
      </c>
      <c r="Q170" s="1" t="str">
        <f>IFERROR(__xludf.DUMMYFUNCTION("""COMPUTED_VALUE"""),"C Contrata")</f>
        <v>C Contrata</v>
      </c>
      <c r="R170" s="1" t="str">
        <f>IFERROR(__xludf.DUMMYFUNCTION("""COMPUTED_VALUE"""),"A Académico")</f>
        <v>A Académico</v>
      </c>
      <c r="S170" s="9" t="str">
        <f>IFERROR(__xludf.DUMMYFUNCTION("""COMPUTED_VALUE"""),"91558041")</f>
        <v>91558041</v>
      </c>
      <c r="T170" s="1" t="str">
        <f>IFERROR(__xludf.DUMMYFUNCTION("""COMPUTED_VALUE"""),"0091558041")</f>
        <v>0091558041</v>
      </c>
      <c r="U170" s="1">
        <f>IFERROR(__xludf.DUMMYFUNCTION("""COMPUTED_VALUE"""),6.0)</f>
        <v>6</v>
      </c>
      <c r="V170" s="1"/>
      <c r="W170" s="1"/>
      <c r="X170" s="1"/>
      <c r="Y170" s="1"/>
      <c r="Z170" s="1"/>
    </row>
    <row r="171" hidden="1">
      <c r="A171" s="1" t="str">
        <f>IFERROR(__xludf.DUMMYFUNCTION("""COMPUTED_VALUE"""),"12090601 Departamento de Educación")</f>
        <v>12090601 Departamento de Educación</v>
      </c>
      <c r="B171" s="1" t="str">
        <f>IFERROR(__xludf.DUMMYFUNCTION("""COMPUTED_VALUE"""),"A3A001 Académico Prof. Asistente")</f>
        <v>A3A001 Académico Prof. Asistente</v>
      </c>
      <c r="C171" s="1" t="str">
        <f>IFERROR(__xludf.DUMMYFUNCTION("""COMPUTED_VALUE"""),"Prof. Asistente - Categ. Academica Ord.")</f>
        <v>Prof. Asistente - Categ. Academica Ord.</v>
      </c>
      <c r="D171" s="1" t="str">
        <f>IFERROR(__xludf.DUMMYFUNCTION("""COMPUTED_VALUE"""),"A3A Prof. Asistente - Categ. Academica Ord.")</f>
        <v>A3A Prof. Asistente - Categ. Academica Ord.</v>
      </c>
      <c r="E171" s="1" t="str">
        <f>IFERROR(__xludf.DUMMYFUNCTION("""COMPUTED_VALUE"""),"Femenino")</f>
        <v>Femenino</v>
      </c>
      <c r="F171" s="1" t="str">
        <f>IFERROR(__xludf.DUMMYFUNCTION("""COMPUTED_VALUE"""),"Lastra")</f>
        <v>Lastra</v>
      </c>
      <c r="G171" s="1" t="str">
        <f>IFERROR(__xludf.DUMMYFUNCTION("""COMPUTED_VALUE"""),"Torres")</f>
        <v>Torres</v>
      </c>
      <c r="H171" s="1" t="str">
        <f>IFERROR(__xludf.DUMMYFUNCTION("""COMPUTED_VALUE"""),"Sonia")</f>
        <v>Sonia</v>
      </c>
      <c r="I171" s="1" t="str">
        <f>IFERROR(__xludf.DUMMYFUNCTION("""COMPUTED_VALUE"""),"Lastra Torres Sonia")</f>
        <v>Lastra Torres Sonia</v>
      </c>
      <c r="J171" s="10">
        <f>IFERROR(__xludf.DUMMYFUNCTION("""COMPUTED_VALUE"""),38838.0)</f>
        <v>38838</v>
      </c>
      <c r="K171" s="10">
        <f>IFERROR(__xludf.DUMMYFUNCTION("""COMPUTED_VALUE"""),17773.0)</f>
        <v>17773</v>
      </c>
      <c r="L171" s="1">
        <f>IFERROR(__xludf.DUMMYFUNCTION("""COMPUTED_VALUE"""),75.0)</f>
        <v>75</v>
      </c>
      <c r="M171" s="1" t="str">
        <f>IFERROR(__xludf.DUMMYFUNCTION("""COMPUTED_VALUE"""),"0001 Casado")</f>
        <v>0001 Casado</v>
      </c>
      <c r="N171" s="1"/>
      <c r="O171" s="10">
        <f>IFERROR(__xludf.DUMMYFUNCTION("""COMPUTED_VALUE"""),38838.0)</f>
        <v>38838</v>
      </c>
      <c r="P171" s="10">
        <f>IFERROR(__xludf.DUMMYFUNCTION("""COMPUTED_VALUE"""),40997.0)</f>
        <v>40997</v>
      </c>
      <c r="Q171" s="1" t="str">
        <f>IFERROR(__xludf.DUMMYFUNCTION("""COMPUTED_VALUE"""),"P Propiedad")</f>
        <v>P Propiedad</v>
      </c>
      <c r="R171" s="1" t="str">
        <f>IFERROR(__xludf.DUMMYFUNCTION("""COMPUTED_VALUE"""),"A Académico")</f>
        <v>A Académico</v>
      </c>
      <c r="S171" s="9" t="str">
        <f>IFERROR(__xludf.DUMMYFUNCTION("""COMPUTED_VALUE"""),"61072772")</f>
        <v>61072772</v>
      </c>
      <c r="T171" s="1" t="str">
        <f>IFERROR(__xludf.DUMMYFUNCTION("""COMPUTED_VALUE"""),"0061072772")</f>
        <v>0061072772</v>
      </c>
      <c r="U171" s="1">
        <f>IFERROR(__xludf.DUMMYFUNCTION("""COMPUTED_VALUE"""),6.0)</f>
        <v>6</v>
      </c>
      <c r="V171" s="1" t="str">
        <f>IFERROR(__xludf.DUMMYFUNCTION("""COMPUTED_VALUE"""),"P0855 Magister En Educacion")</f>
        <v>P0855 Magister En Educacion</v>
      </c>
      <c r="W171" s="1">
        <f>IFERROR(__xludf.DUMMYFUNCTION("""COMPUTED_VALUE"""),38527.0)</f>
        <v>38527</v>
      </c>
      <c r="X171" s="1" t="str">
        <f>IFERROR(__xludf.DUMMYFUNCTION("""COMPUTED_VALUE"""),"Universidad De Chile")</f>
        <v>Universidad De Chile</v>
      </c>
      <c r="Y171" s="1" t="str">
        <f>IFERROR(__xludf.DUMMYFUNCTION("""COMPUTED_VALUE"""),"CHILE")</f>
        <v>CHILE</v>
      </c>
      <c r="Z171" s="1" t="str">
        <f>IFERROR(__xludf.DUMMYFUNCTION("""COMPUTED_VALUE"""),"T5117 Prof.De Educ.Gral.Bas.En Matematica")</f>
        <v>T5117 Prof.De Educ.Gral.Bas.En Matematica</v>
      </c>
    </row>
    <row r="172" hidden="1">
      <c r="A172" s="1" t="str">
        <f>IFERROR(__xludf.DUMMYFUNCTION("""COMPUTED_VALUE"""),"12090501 Departamento de Investigaciónes Mediáticas y de la Comunicación")</f>
        <v>12090501 Departamento de Investigaciónes Mediáticas y de la Comunicación</v>
      </c>
      <c r="B172" s="1" t="str">
        <f>IFERROR(__xludf.DUMMYFUNCTION("""COMPUTED_VALUE"""),"A1A001 Académico Prof. Titular")</f>
        <v>A1A001 Académico Prof. Titular</v>
      </c>
      <c r="C172" s="1" t="str">
        <f>IFERROR(__xludf.DUMMYFUNCTION("""COMPUTED_VALUE"""),"Prof.Titular - Categ. Academica Ord.")</f>
        <v>Prof.Titular - Categ. Academica Ord.</v>
      </c>
      <c r="D172" s="1" t="str">
        <f>IFERROR(__xludf.DUMMYFUNCTION("""COMPUTED_VALUE"""),"A1A Prof.Titular - Categ. Academica Ord.")</f>
        <v>A1A Prof.Titular - Categ. Academica Ord.</v>
      </c>
      <c r="E172" s="1" t="str">
        <f>IFERROR(__xludf.DUMMYFUNCTION("""COMPUTED_VALUE"""),"Masculino")</f>
        <v>Masculino</v>
      </c>
      <c r="F172" s="1" t="str">
        <f>IFERROR(__xludf.DUMMYFUNCTION("""COMPUTED_VALUE"""),"Latorre")</f>
        <v>Latorre</v>
      </c>
      <c r="G172" s="1" t="str">
        <f>IFERROR(__xludf.DUMMYFUNCTION("""COMPUTED_VALUE"""),"Gaete")</f>
        <v>Gaete</v>
      </c>
      <c r="H172" s="1" t="str">
        <f>IFERROR(__xludf.DUMMYFUNCTION("""COMPUTED_VALUE"""),"Enrique Eduardo")</f>
        <v>Enrique Eduardo</v>
      </c>
      <c r="I172" s="1" t="str">
        <f>IFERROR(__xludf.DUMMYFUNCTION("""COMPUTED_VALUE"""),"Latorre Gaete Enrique Eduardo")</f>
        <v>Latorre Gaete Enrique Eduardo</v>
      </c>
      <c r="J172" s="10">
        <f>IFERROR(__xludf.DUMMYFUNCTION("""COMPUTED_VALUE"""),27120.0)</f>
        <v>27120</v>
      </c>
      <c r="K172" s="10">
        <f>IFERROR(__xludf.DUMMYFUNCTION("""COMPUTED_VALUE"""),11609.0)</f>
        <v>11609</v>
      </c>
      <c r="L172" s="1">
        <f>IFERROR(__xludf.DUMMYFUNCTION("""COMPUTED_VALUE"""),92.0)</f>
        <v>92</v>
      </c>
      <c r="M172" s="1" t="str">
        <f>IFERROR(__xludf.DUMMYFUNCTION("""COMPUTED_VALUE"""),"0001 Casado")</f>
        <v>0001 Casado</v>
      </c>
      <c r="N172" s="1"/>
      <c r="O172" s="10">
        <f>IFERROR(__xludf.DUMMYFUNCTION("""COMPUTED_VALUE"""),28126.0)</f>
        <v>28126</v>
      </c>
      <c r="P172" s="10">
        <f>IFERROR(__xludf.DUMMYFUNCTION("""COMPUTED_VALUE"""),34638.0)</f>
        <v>34638</v>
      </c>
      <c r="Q172" s="1" t="str">
        <f>IFERROR(__xludf.DUMMYFUNCTION("""COMPUTED_VALUE"""),"P Propiedad")</f>
        <v>P Propiedad</v>
      </c>
      <c r="R172" s="1" t="str">
        <f>IFERROR(__xludf.DUMMYFUNCTION("""COMPUTED_VALUE"""),"A Académico")</f>
        <v>A Académico</v>
      </c>
      <c r="S172" s="9" t="str">
        <f>IFERROR(__xludf.DUMMYFUNCTION("""COMPUTED_VALUE"""),"30674758")</f>
        <v>30674758</v>
      </c>
      <c r="T172" s="1" t="str">
        <f>IFERROR(__xludf.DUMMYFUNCTION("""COMPUTED_VALUE"""),"0030674758")</f>
        <v>0030674758</v>
      </c>
      <c r="U172" s="1">
        <f>IFERROR(__xludf.DUMMYFUNCTION("""COMPUTED_VALUE"""),44.0)</f>
        <v>44</v>
      </c>
      <c r="V172" s="1"/>
      <c r="W172" s="1"/>
      <c r="X172" s="1"/>
      <c r="Y172" s="1"/>
      <c r="Z172" s="1"/>
    </row>
    <row r="173">
      <c r="A173" s="1" t="str">
        <f>IFERROR(__xludf.DUMMYFUNCTION("""COMPUTED_VALUE"""),"12090701 Departamento de Psicología")</f>
        <v>12090701 Departamento de Psicología</v>
      </c>
      <c r="B173" s="1" t="str">
        <f>IFERROR(__xludf.DUMMYFUNCTION("""COMPUTED_VALUE"""),"A8A001 ACADEMICO INSTRUCTOR ADJUNTO")</f>
        <v>A8A001 ACADEMICO INSTRUCTOR ADJUNTO</v>
      </c>
      <c r="C173" s="1" t="str">
        <f>IFERROR(__xludf.DUMMYFUNCTION("""COMPUTED_VALUE"""),"Inst. Adjunto")</f>
        <v>Inst. Adjunto</v>
      </c>
      <c r="D173" s="1" t="str">
        <f>IFERROR(__xludf.DUMMYFUNCTION("""COMPUTED_VALUE"""),"A8A Inst. Adjunto")</f>
        <v>A8A Inst. Adjunto</v>
      </c>
      <c r="E173" s="1" t="str">
        <f>IFERROR(__xludf.DUMMYFUNCTION("""COMPUTED_VALUE"""),"Femenino")</f>
        <v>Femenino</v>
      </c>
      <c r="F173" s="1" t="str">
        <f>IFERROR(__xludf.DUMMYFUNCTION("""COMPUTED_VALUE"""),"Lavados")</f>
        <v>Lavados</v>
      </c>
      <c r="G173" s="1" t="str">
        <f>IFERROR(__xludf.DUMMYFUNCTION("""COMPUTED_VALUE"""),"Montes")</f>
        <v>Montes</v>
      </c>
      <c r="H173" s="1" t="str">
        <f>IFERROR(__xludf.DUMMYFUNCTION("""COMPUTED_VALUE"""),"Carmen Marcela")</f>
        <v>Carmen Marcela</v>
      </c>
      <c r="I173" s="1" t="str">
        <f>IFERROR(__xludf.DUMMYFUNCTION("""COMPUTED_VALUE"""),"Lavados Montes Carmen Marcela")</f>
        <v>Lavados Montes Carmen Marcela</v>
      </c>
      <c r="J173" s="10">
        <f>IFERROR(__xludf.DUMMYFUNCTION("""COMPUTED_VALUE"""),34820.0)</f>
        <v>34820</v>
      </c>
      <c r="K173" s="10">
        <f>IFERROR(__xludf.DUMMYFUNCTION("""COMPUTED_VALUE"""),21419.0)</f>
        <v>21419</v>
      </c>
      <c r="L173" s="1">
        <f>IFERROR(__xludf.DUMMYFUNCTION("""COMPUTED_VALUE"""),65.0)</f>
        <v>65</v>
      </c>
      <c r="M173" s="1" t="str">
        <f>IFERROR(__xludf.DUMMYFUNCTION("""COMPUTED_VALUE"""),"0001 Casado")</f>
        <v>0001 Casado</v>
      </c>
      <c r="N173" s="1"/>
      <c r="O173" s="10">
        <f>IFERROR(__xludf.DUMMYFUNCTION("""COMPUTED_VALUE"""),37742.0)</f>
        <v>37742</v>
      </c>
      <c r="P173" s="10">
        <f>IFERROR(__xludf.DUMMYFUNCTION("""COMPUTED_VALUE"""),39141.0)</f>
        <v>39141</v>
      </c>
      <c r="Q173" s="1" t="str">
        <f>IFERROR(__xludf.DUMMYFUNCTION("""COMPUTED_VALUE"""),"P Propiedad")</f>
        <v>P Propiedad</v>
      </c>
      <c r="R173" s="1" t="str">
        <f>IFERROR(__xludf.DUMMYFUNCTION("""COMPUTED_VALUE"""),"A Académico")</f>
        <v>A Académico</v>
      </c>
      <c r="S173" s="9" t="str">
        <f>IFERROR(__xludf.DUMMYFUNCTION("""COMPUTED_VALUE"""),"83863927")</f>
        <v>83863927</v>
      </c>
      <c r="T173" s="1" t="str">
        <f>IFERROR(__xludf.DUMMYFUNCTION("""COMPUTED_VALUE"""),"0083863927")</f>
        <v>0083863927</v>
      </c>
      <c r="U173" s="1">
        <f>IFERROR(__xludf.DUMMYFUNCTION("""COMPUTED_VALUE"""),6.0)</f>
        <v>6</v>
      </c>
      <c r="V173" s="1" t="str">
        <f>IFERROR(__xludf.DUMMYFUNCTION("""COMPUTED_VALUE"""),"P0501 Con Titulo Profesional")</f>
        <v>P0501 Con Titulo Profesional</v>
      </c>
      <c r="W173" s="1">
        <f>IFERROR(__xludf.DUMMYFUNCTION("""COMPUTED_VALUE"""),30553.0)</f>
        <v>30553</v>
      </c>
      <c r="X173" s="1" t="str">
        <f>IFERROR(__xludf.DUMMYFUNCTION("""COMPUTED_VALUE"""),"Universidad De Chile")</f>
        <v>Universidad De Chile</v>
      </c>
      <c r="Y173" s="1" t="str">
        <f>IFERROR(__xludf.DUMMYFUNCTION("""COMPUTED_VALUE"""),"CHILE")</f>
        <v>CHILE</v>
      </c>
      <c r="Z173" s="1" t="str">
        <f>IFERROR(__xludf.DUMMYFUNCTION("""COMPUTED_VALUE"""),"T5124 Psicologo")</f>
        <v>T5124 Psicologo</v>
      </c>
    </row>
    <row r="174" hidden="1">
      <c r="A174" s="1" t="str">
        <f>IFERROR(__xludf.DUMMYFUNCTION("""COMPUTED_VALUE"""),"12090501 Departamento de Investigaciónes Mediáticas y de la Comunicación")</f>
        <v>12090501 Departamento de Investigaciónes Mediáticas y de la Comunicación</v>
      </c>
      <c r="B174" s="1" t="str">
        <f>IFERROR(__xludf.DUMMYFUNCTION("""COMPUTED_VALUE"""),"A4A001 ACADEMICO  INSTRUCTOR")</f>
        <v>A4A001 ACADEMICO  INSTRUCTOR</v>
      </c>
      <c r="C174" s="1" t="str">
        <f>IFERROR(__xludf.DUMMYFUNCTION("""COMPUTED_VALUE"""),"Instructor")</f>
        <v>Instructor</v>
      </c>
      <c r="D174" s="1" t="str">
        <f>IFERROR(__xludf.DUMMYFUNCTION("""COMPUTED_VALUE"""),"A4A Instructor")</f>
        <v>A4A Instructor</v>
      </c>
      <c r="E174" s="1" t="str">
        <f>IFERROR(__xludf.DUMMYFUNCTION("""COMPUTED_VALUE"""),"Masculino")</f>
        <v>Masculino</v>
      </c>
      <c r="F174" s="1" t="str">
        <f>IFERROR(__xludf.DUMMYFUNCTION("""COMPUTED_VALUE"""),"Lavanchy")</f>
        <v>Lavanchy</v>
      </c>
      <c r="G174" s="1" t="str">
        <f>IFERROR(__xludf.DUMMYFUNCTION("""COMPUTED_VALUE"""),"Ávila")</f>
        <v>Ávila</v>
      </c>
      <c r="H174" s="1" t="str">
        <f>IFERROR(__xludf.DUMMYFUNCTION("""COMPUTED_VALUE"""),"Ernesto Enrique")</f>
        <v>Ernesto Enrique</v>
      </c>
      <c r="I174" s="1" t="str">
        <f>IFERROR(__xludf.DUMMYFUNCTION("""COMPUTED_VALUE"""),"Lavanchy Ávila Ernesto Enrique")</f>
        <v>Lavanchy Ávila Ernesto Enrique</v>
      </c>
      <c r="J174" s="10">
        <f>IFERROR(__xludf.DUMMYFUNCTION("""COMPUTED_VALUE"""),27030.0)</f>
        <v>27030</v>
      </c>
      <c r="K174" s="10">
        <f>IFERROR(__xludf.DUMMYFUNCTION("""COMPUTED_VALUE"""),13920.0)</f>
        <v>13920</v>
      </c>
      <c r="L174" s="1">
        <f>IFERROR(__xludf.DUMMYFUNCTION("""COMPUTED_VALUE"""),85.0)</f>
        <v>85</v>
      </c>
      <c r="M174" s="1" t="str">
        <f>IFERROR(__xludf.DUMMYFUNCTION("""COMPUTED_VALUE"""),"0001 Casado")</f>
        <v>0001 Casado</v>
      </c>
      <c r="N174" s="1"/>
      <c r="O174" s="10">
        <f>IFERROR(__xludf.DUMMYFUNCTION("""COMPUTED_VALUE"""),34790.0)</f>
        <v>34790</v>
      </c>
      <c r="P174" s="10">
        <f>IFERROR(__xludf.DUMMYFUNCTION("""COMPUTED_VALUE"""),35673.0)</f>
        <v>35673</v>
      </c>
      <c r="Q174" s="1" t="str">
        <f>IFERROR(__xludf.DUMMYFUNCTION("""COMPUTED_VALUE"""),"P Propiedad")</f>
        <v>P Propiedad</v>
      </c>
      <c r="R174" s="1" t="str">
        <f>IFERROR(__xludf.DUMMYFUNCTION("""COMPUTED_VALUE"""),"A Académico")</f>
        <v>A Académico</v>
      </c>
      <c r="S174" s="9" t="str">
        <f>IFERROR(__xludf.DUMMYFUNCTION("""COMPUTED_VALUE"""),"36840080")</f>
        <v>36840080</v>
      </c>
      <c r="T174" s="1" t="str">
        <f>IFERROR(__xludf.DUMMYFUNCTION("""COMPUTED_VALUE"""),"0036840080")</f>
        <v>0036840080</v>
      </c>
      <c r="U174" s="1">
        <f>IFERROR(__xludf.DUMMYFUNCTION("""COMPUTED_VALUE"""),12.0)</f>
        <v>12</v>
      </c>
      <c r="V174" s="1"/>
      <c r="W174" s="1"/>
      <c r="X174" s="1"/>
      <c r="Y174" s="1"/>
      <c r="Z174" s="1"/>
    </row>
    <row r="175" hidden="1">
      <c r="A175" s="1" t="str">
        <f>IFERROR(__xludf.DUMMYFUNCTION("""COMPUTED_VALUE"""),"12090601 Departamento de Educación")</f>
        <v>12090601 Departamento de Educación</v>
      </c>
      <c r="B175" s="1" t="str">
        <f>IFERROR(__xludf.DUMMYFUNCTION("""COMPUTED_VALUE"""),"001845 Profesor Asistente")</f>
        <v>001845 Profesor Asistente</v>
      </c>
      <c r="C175" s="1" t="str">
        <f>IFERROR(__xludf.DUMMYFUNCTION("""COMPUTED_VALUE"""),"Prof. Asistente - Categ. Academica Ord.")</f>
        <v>Prof. Asistente - Categ. Academica Ord.</v>
      </c>
      <c r="D175" s="1" t="str">
        <f>IFERROR(__xludf.DUMMYFUNCTION("""COMPUTED_VALUE"""),"A3A Prof. Asistente - Categ. Academica Ord.")</f>
        <v>A3A Prof. Asistente - Categ. Academica Ord.</v>
      </c>
      <c r="E175" s="1" t="str">
        <f>IFERROR(__xludf.DUMMYFUNCTION("""COMPUTED_VALUE"""),"Femenino")</f>
        <v>Femenino</v>
      </c>
      <c r="F175" s="1" t="str">
        <f>IFERROR(__xludf.DUMMYFUNCTION("""COMPUTED_VALUE"""),"Lecaros")</f>
        <v>Lecaros</v>
      </c>
      <c r="G175" s="1" t="str">
        <f>IFERROR(__xludf.DUMMYFUNCTION("""COMPUTED_VALUE"""),"Pino")</f>
        <v>Pino</v>
      </c>
      <c r="H175" s="1" t="str">
        <f>IFERROR(__xludf.DUMMYFUNCTION("""COMPUTED_VALUE"""),"Astrid Lucía")</f>
        <v>Astrid Lucía</v>
      </c>
      <c r="I175" s="1" t="str">
        <f>IFERROR(__xludf.DUMMYFUNCTION("""COMPUTED_VALUE"""),"Lecaros Pino Astrid Lucía")</f>
        <v>Lecaros Pino Astrid Lucía</v>
      </c>
      <c r="J175" s="10">
        <f>IFERROR(__xludf.DUMMYFUNCTION("""COMPUTED_VALUE"""),38961.0)</f>
        <v>38961</v>
      </c>
      <c r="K175" s="10">
        <f>IFERROR(__xludf.DUMMYFUNCTION("""COMPUTED_VALUE"""),19307.0)</f>
        <v>19307</v>
      </c>
      <c r="L175" s="1">
        <f>IFERROR(__xludf.DUMMYFUNCTION("""COMPUTED_VALUE"""),71.0)</f>
        <v>71</v>
      </c>
      <c r="M175" s="1" t="str">
        <f>IFERROR(__xludf.DUMMYFUNCTION("""COMPUTED_VALUE"""),"0001 Casado")</f>
        <v>0001 Casado</v>
      </c>
      <c r="N175" s="1"/>
      <c r="O175" s="10">
        <f>IFERROR(__xludf.DUMMYFUNCTION("""COMPUTED_VALUE"""),40544.0)</f>
        <v>40544</v>
      </c>
      <c r="P175" s="10">
        <f>IFERROR(__xludf.DUMMYFUNCTION("""COMPUTED_VALUE"""),40908.0)</f>
        <v>40908</v>
      </c>
      <c r="Q175" s="1" t="str">
        <f>IFERROR(__xludf.DUMMYFUNCTION("""COMPUTED_VALUE"""),"C Contrata")</f>
        <v>C Contrata</v>
      </c>
      <c r="R175" s="1" t="str">
        <f>IFERROR(__xludf.DUMMYFUNCTION("""COMPUTED_VALUE"""),"A Académico")</f>
        <v>A Académico</v>
      </c>
      <c r="S175" s="9" t="str">
        <f>IFERROR(__xludf.DUMMYFUNCTION("""COMPUTED_VALUE"""),"59399578")</f>
        <v>59399578</v>
      </c>
      <c r="T175" s="1" t="str">
        <f>IFERROR(__xludf.DUMMYFUNCTION("""COMPUTED_VALUE"""),"0059399578")</f>
        <v>0059399578</v>
      </c>
      <c r="U175" s="1">
        <f>IFERROR(__xludf.DUMMYFUNCTION("""COMPUTED_VALUE"""),6.0)</f>
        <v>6</v>
      </c>
      <c r="V175" s="1" t="str">
        <f>IFERROR(__xludf.DUMMYFUNCTION("""COMPUTED_VALUE"""),"P0855 Magister En Educacion")</f>
        <v>P0855 Magister En Educacion</v>
      </c>
      <c r="W175" s="1">
        <f>IFERROR(__xludf.DUMMYFUNCTION("""COMPUTED_VALUE"""),36249.0)</f>
        <v>36249</v>
      </c>
      <c r="X175" s="1" t="str">
        <f>IFERROR(__xludf.DUMMYFUNCTION("""COMPUTED_VALUE"""),"Universidad De Chile")</f>
        <v>Universidad De Chile</v>
      </c>
      <c r="Y175" s="1" t="str">
        <f>IFERROR(__xludf.DUMMYFUNCTION("""COMPUTED_VALUE"""),"CHILE")</f>
        <v>CHILE</v>
      </c>
      <c r="Z175" s="1" t="str">
        <f>IFERROR(__xludf.DUMMYFUNCTION("""COMPUTED_VALUE"""),"T5020 Educadora De Parvulos")</f>
        <v>T5020 Educadora De Parvulos</v>
      </c>
    </row>
    <row r="176">
      <c r="A176" s="1" t="str">
        <f>IFERROR(__xludf.DUMMYFUNCTION("""COMPUTED_VALUE"""),"12090116 Dpto. de Antropología (funcionamiento)")</f>
        <v>12090116 Dpto. de Antropología (funcionamiento)</v>
      </c>
      <c r="B176" s="1" t="str">
        <f>IFERROR(__xludf.DUMMYFUNCTION("""COMPUTED_VALUE"""),"A4A001 ACADEMICO  INSTRUCTOR")</f>
        <v>A4A001 ACADEMICO  INSTRUCTOR</v>
      </c>
      <c r="C176" s="1" t="str">
        <f>IFERROR(__xludf.DUMMYFUNCTION("""COMPUTED_VALUE"""),"Instructor")</f>
        <v>Instructor</v>
      </c>
      <c r="D176" s="1" t="str">
        <f>IFERROR(__xludf.DUMMYFUNCTION("""COMPUTED_VALUE"""),"A4A Instructor")</f>
        <v>A4A Instructor</v>
      </c>
      <c r="E176" s="1" t="str">
        <f>IFERROR(__xludf.DUMMYFUNCTION("""COMPUTED_VALUE"""),"Femenino")</f>
        <v>Femenino</v>
      </c>
      <c r="F176" s="1" t="str">
        <f>IFERROR(__xludf.DUMMYFUNCTION("""COMPUTED_VALUE"""),"Lemp")</f>
        <v>Lemp</v>
      </c>
      <c r="G176" s="1" t="str">
        <f>IFERROR(__xludf.DUMMYFUNCTION("""COMPUTED_VALUE"""),"Urzúa")</f>
        <v>Urzúa</v>
      </c>
      <c r="H176" s="1" t="str">
        <f>IFERROR(__xludf.DUMMYFUNCTION("""COMPUTED_VALUE"""),"Cecilia Mariana")</f>
        <v>Cecilia Mariana</v>
      </c>
      <c r="I176" s="1" t="str">
        <f>IFERROR(__xludf.DUMMYFUNCTION("""COMPUTED_VALUE"""),"Lemp Urzúa Cecilia Mariana")</f>
        <v>Lemp Urzúa Cecilia Mariana</v>
      </c>
      <c r="J176" s="10">
        <f>IFERROR(__xludf.DUMMYFUNCTION("""COMPUTED_VALUE"""),40483.0)</f>
        <v>40483</v>
      </c>
      <c r="K176" s="10">
        <f>IFERROR(__xludf.DUMMYFUNCTION("""COMPUTED_VALUE"""),27401.0)</f>
        <v>27401</v>
      </c>
      <c r="L176" s="1">
        <f>IFERROR(__xludf.DUMMYFUNCTION("""COMPUTED_VALUE"""),49.0)</f>
        <v>49</v>
      </c>
      <c r="M176" s="1" t="str">
        <f>IFERROR(__xludf.DUMMYFUNCTION("""COMPUTED_VALUE"""),"0002 Soltero")</f>
        <v>0002 Soltero</v>
      </c>
      <c r="N176" s="1"/>
      <c r="O176" s="10">
        <f>IFERROR(__xludf.DUMMYFUNCTION("""COMPUTED_VALUE"""),44197.0)</f>
        <v>44197</v>
      </c>
      <c r="P176" s="10">
        <f>IFERROR(__xludf.DUMMYFUNCTION("""COMPUTED_VALUE"""),44377.0)</f>
        <v>44377</v>
      </c>
      <c r="Q176" s="1" t="str">
        <f>IFERROR(__xludf.DUMMYFUNCTION("""COMPUTED_VALUE"""),"C Contrata")</f>
        <v>C Contrata</v>
      </c>
      <c r="R176" s="1" t="str">
        <f>IFERROR(__xludf.DUMMYFUNCTION("""COMPUTED_VALUE"""),"A Académico")</f>
        <v>A Académico</v>
      </c>
      <c r="S176" s="9" t="str">
        <f>IFERROR(__xludf.DUMMYFUNCTION("""COMPUTED_VALUE"""),"128447989")</f>
        <v>128447989</v>
      </c>
      <c r="T176" s="1" t="str">
        <f>IFERROR(__xludf.DUMMYFUNCTION("""COMPUTED_VALUE"""),"0128447989")</f>
        <v>0128447989</v>
      </c>
      <c r="U176" s="1">
        <f>IFERROR(__xludf.DUMMYFUNCTION("""COMPUTED_VALUE"""),12.0)</f>
        <v>12</v>
      </c>
      <c r="V176" s="1" t="str">
        <f>IFERROR(__xludf.DUMMYFUNCTION("""COMPUTED_VALUE"""),"P0401 Licenciado")</f>
        <v>P0401 Licenciado</v>
      </c>
      <c r="W176" s="1">
        <f>IFERROR(__xludf.DUMMYFUNCTION("""COMPUTED_VALUE"""),38419.0)</f>
        <v>38419</v>
      </c>
      <c r="X176" s="1" t="str">
        <f>IFERROR(__xludf.DUMMYFUNCTION("""COMPUTED_VALUE"""),"Pontificia Universidad Catolica De Chile")</f>
        <v>Pontificia Universidad Catolica De Chile</v>
      </c>
      <c r="Y176" s="1" t="str">
        <f>IFERROR(__xludf.DUMMYFUNCTION("""COMPUTED_VALUE"""),"CHILE")</f>
        <v>CHILE</v>
      </c>
      <c r="Z176" s="1" t="str">
        <f>IFERROR(__xludf.DUMMYFUNCTION("""COMPUTED_VALUE"""),"T8167 Licenciada en Arte con Mención en Restauración")</f>
        <v>T8167 Licenciada en Arte con Mención en Restauración</v>
      </c>
    </row>
    <row r="177">
      <c r="A177" s="1" t="str">
        <f>IFERROR(__xludf.DUMMYFUNCTION("""COMPUTED_VALUE"""),"12090601 Departamento de Educación")</f>
        <v>12090601 Departamento de Educación</v>
      </c>
      <c r="B177" s="1" t="str">
        <f>IFERROR(__xludf.DUMMYFUNCTION("""COMPUTED_VALUE"""),"A4A001 ACADEMICO  INSTRUCTOR")</f>
        <v>A4A001 ACADEMICO  INSTRUCTOR</v>
      </c>
      <c r="C177" s="1" t="str">
        <f>IFERROR(__xludf.DUMMYFUNCTION("""COMPUTED_VALUE"""),"Instructor")</f>
        <v>Instructor</v>
      </c>
      <c r="D177" s="1" t="str">
        <f>IFERROR(__xludf.DUMMYFUNCTION("""COMPUTED_VALUE"""),"A4A Instructor")</f>
        <v>A4A Instructor</v>
      </c>
      <c r="E177" s="1" t="str">
        <f>IFERROR(__xludf.DUMMYFUNCTION("""COMPUTED_VALUE"""),"Femenino")</f>
        <v>Femenino</v>
      </c>
      <c r="F177" s="1" t="str">
        <f>IFERROR(__xludf.DUMMYFUNCTION("""COMPUTED_VALUE"""),"Lepe")</f>
        <v>Lepe</v>
      </c>
      <c r="G177" s="1" t="str">
        <f>IFERROR(__xludf.DUMMYFUNCTION("""COMPUTED_VALUE"""),"Saldías")</f>
        <v>Saldías</v>
      </c>
      <c r="H177" s="1" t="str">
        <f>IFERROR(__xludf.DUMMYFUNCTION("""COMPUTED_VALUE"""),"Yasna Marcela")</f>
        <v>Yasna Marcela</v>
      </c>
      <c r="I177" s="1" t="str">
        <f>IFERROR(__xludf.DUMMYFUNCTION("""COMPUTED_VALUE"""),"Lepe Saldías Yasna Marcela")</f>
        <v>Lepe Saldías Yasna Marcela</v>
      </c>
      <c r="J177" s="10">
        <f>IFERROR(__xludf.DUMMYFUNCTION("""COMPUTED_VALUE"""),43831.0)</f>
        <v>43831</v>
      </c>
      <c r="K177" s="10">
        <f>IFERROR(__xludf.DUMMYFUNCTION("""COMPUTED_VALUE"""),25688.0)</f>
        <v>25688</v>
      </c>
      <c r="L177" s="1">
        <f>IFERROR(__xludf.DUMMYFUNCTION("""COMPUTED_VALUE"""),53.0)</f>
        <v>53</v>
      </c>
      <c r="M177" s="1" t="str">
        <f>IFERROR(__xludf.DUMMYFUNCTION("""COMPUTED_VALUE"""),"0002 Soltero")</f>
        <v>0002 Soltero</v>
      </c>
      <c r="N177" s="1" t="str">
        <f>IFERROR(__xludf.DUMMYFUNCTION("""COMPUTED_VALUE"""),"N0040 Profesional Superior")</f>
        <v>N0040 Profesional Superior</v>
      </c>
      <c r="O177" s="10">
        <f>IFERROR(__xludf.DUMMYFUNCTION("""COMPUTED_VALUE"""),40026.0)</f>
        <v>40026</v>
      </c>
      <c r="P177" s="10">
        <f>IFERROR(__xludf.DUMMYFUNCTION("""COMPUTED_VALUE"""),40178.0)</f>
        <v>40178</v>
      </c>
      <c r="Q177" s="1" t="str">
        <f>IFERROR(__xludf.DUMMYFUNCTION("""COMPUTED_VALUE"""),"C Contrata")</f>
        <v>C Contrata</v>
      </c>
      <c r="R177" s="1" t="str">
        <f>IFERROR(__xludf.DUMMYFUNCTION("""COMPUTED_VALUE"""),"A Académico")</f>
        <v>A Académico</v>
      </c>
      <c r="S177" s="9" t="str">
        <f>IFERROR(__xludf.DUMMYFUNCTION("""COMPUTED_VALUE"""),"107939865")</f>
        <v>107939865</v>
      </c>
      <c r="T177" s="1" t="str">
        <f>IFERROR(__xludf.DUMMYFUNCTION("""COMPUTED_VALUE"""),"0107939865")</f>
        <v>0107939865</v>
      </c>
      <c r="U177" s="1">
        <f>IFERROR(__xludf.DUMMYFUNCTION("""COMPUTED_VALUE"""),6.0)</f>
        <v>6</v>
      </c>
      <c r="V177" s="1" t="str">
        <f>IFERROR(__xludf.DUMMYFUNCTION("""COMPUTED_VALUE"""),"P0401 Licenciado")</f>
        <v>P0401 Licenciado</v>
      </c>
      <c r="W177" s="1">
        <f>IFERROR(__xludf.DUMMYFUNCTION("""COMPUTED_VALUE"""),37162.0)</f>
        <v>37162</v>
      </c>
      <c r="X177" s="1" t="str">
        <f>IFERROR(__xludf.DUMMYFUNCTION("""COMPUTED_VALUE"""),"Universidad De Chile")</f>
        <v>Universidad De Chile</v>
      </c>
      <c r="Y177" s="1" t="str">
        <f>IFERROR(__xludf.DUMMYFUNCTION("""COMPUTED_VALUE"""),"CHILE")</f>
        <v>CHILE</v>
      </c>
      <c r="Z177" s="1" t="str">
        <f>IFERROR(__xludf.DUMMYFUNCTION("""COMPUTED_VALUE"""),"T5365 Profesor Especializado en Danza")</f>
        <v>T5365 Profesor Especializado en Danza</v>
      </c>
    </row>
    <row r="178" hidden="1">
      <c r="A178" s="1" t="str">
        <f>IFERROR(__xludf.DUMMYFUNCTION("""COMPUTED_VALUE"""),"12090301 Departamento de Antropología")</f>
        <v>12090301 Departamento de Antropología</v>
      </c>
      <c r="B178" s="1" t="str">
        <f>IFERROR(__xludf.DUMMYFUNCTION("""COMPUTED_VALUE"""),"A3A001 Académico Prof. Asistente")</f>
        <v>A3A001 Académico Prof. Asistente</v>
      </c>
      <c r="C178" s="1" t="str">
        <f>IFERROR(__xludf.DUMMYFUNCTION("""COMPUTED_VALUE"""),"Prof. Asistente - Categ. Academica Ord.")</f>
        <v>Prof. Asistente - Categ. Academica Ord.</v>
      </c>
      <c r="D178" s="1" t="str">
        <f>IFERROR(__xludf.DUMMYFUNCTION("""COMPUTED_VALUE"""),"A3A Prof. Asistente - Categ. Academica Ord.")</f>
        <v>A3A Prof. Asistente - Categ. Academica Ord.</v>
      </c>
      <c r="E178" s="1" t="str">
        <f>IFERROR(__xludf.DUMMYFUNCTION("""COMPUTED_VALUE"""),"Femenino")</f>
        <v>Femenino</v>
      </c>
      <c r="F178" s="1" t="str">
        <f>IFERROR(__xludf.DUMMYFUNCTION("""COMPUTED_VALUE"""),"Letelier")</f>
        <v>Letelier</v>
      </c>
      <c r="G178" s="1" t="str">
        <f>IFERROR(__xludf.DUMMYFUNCTION("""COMPUTED_VALUE"""),"Vial")</f>
        <v>Vial</v>
      </c>
      <c r="H178" s="1" t="str">
        <f>IFERROR(__xludf.DUMMYFUNCTION("""COMPUTED_VALUE"""),"María del Rosario")</f>
        <v>María del Rosario</v>
      </c>
      <c r="I178" s="1" t="str">
        <f>IFERROR(__xludf.DUMMYFUNCTION("""COMPUTED_VALUE"""),"Letelier Vial María del Rosario")</f>
        <v>Letelier Vial María del Rosario</v>
      </c>
      <c r="J178" s="10">
        <f>IFERROR(__xludf.DUMMYFUNCTION("""COMPUTED_VALUE"""),27150.0)</f>
        <v>27150</v>
      </c>
      <c r="K178" s="10">
        <f>IFERROR(__xludf.DUMMYFUNCTION("""COMPUTED_VALUE"""),17888.0)</f>
        <v>17888</v>
      </c>
      <c r="L178" s="1">
        <f>IFERROR(__xludf.DUMMYFUNCTION("""COMPUTED_VALUE"""),75.0)</f>
        <v>75</v>
      </c>
      <c r="M178" s="1" t="str">
        <f>IFERROR(__xludf.DUMMYFUNCTION("""COMPUTED_VALUE"""),"0001 Casado")</f>
        <v>0001 Casado</v>
      </c>
      <c r="N178" s="1"/>
      <c r="O178" s="10">
        <f>IFERROR(__xludf.DUMMYFUNCTION("""COMPUTED_VALUE"""),38353.0)</f>
        <v>38353</v>
      </c>
      <c r="P178" s="10">
        <f>IFERROR(__xludf.DUMMYFUNCTION("""COMPUTED_VALUE"""),38472.0)</f>
        <v>38472</v>
      </c>
      <c r="Q178" s="1" t="str">
        <f>IFERROR(__xludf.DUMMYFUNCTION("""COMPUTED_VALUE"""),"K Ad Honorem Contrata")</f>
        <v>K Ad Honorem Contrata</v>
      </c>
      <c r="R178" s="1" t="str">
        <f>IFERROR(__xludf.DUMMYFUNCTION("""COMPUTED_VALUE"""),"A Académico")</f>
        <v>A Académico</v>
      </c>
      <c r="S178" s="9" t="str">
        <f>IFERROR(__xludf.DUMMYFUNCTION("""COMPUTED_VALUE"""),"55019959")</f>
        <v>55019959</v>
      </c>
      <c r="T178" s="1" t="str">
        <f>IFERROR(__xludf.DUMMYFUNCTION("""COMPUTED_VALUE"""),"0055019959")</f>
        <v>0055019959</v>
      </c>
      <c r="U178" s="1">
        <f>IFERROR(__xludf.DUMMYFUNCTION("""COMPUTED_VALUE"""),2.0)</f>
        <v>2</v>
      </c>
      <c r="V178" s="1" t="str">
        <f>IFERROR(__xludf.DUMMYFUNCTION("""COMPUTED_VALUE"""),"P0401 Licenciado")</f>
        <v>P0401 Licenciado</v>
      </c>
      <c r="W178" s="1">
        <f>IFERROR(__xludf.DUMMYFUNCTION("""COMPUTED_VALUE"""),31588.0)</f>
        <v>31588</v>
      </c>
      <c r="X178" s="1" t="str">
        <f>IFERROR(__xludf.DUMMYFUNCTION("""COMPUTED_VALUE"""),"Universidad De Chile")</f>
        <v>Universidad De Chile</v>
      </c>
      <c r="Y178" s="1" t="str">
        <f>IFERROR(__xludf.DUMMYFUNCTION("""COMPUTED_VALUE"""),"CHILE")</f>
        <v>CHILE</v>
      </c>
      <c r="Z178" s="1"/>
    </row>
    <row r="179">
      <c r="A179" s="1" t="str">
        <f>IFERROR(__xludf.DUMMYFUNCTION("""COMPUTED_VALUE"""),"12090801 Departamento de Sociología")</f>
        <v>12090801 Departamento de Sociología</v>
      </c>
      <c r="B179" s="1" t="str">
        <f>IFERROR(__xludf.DUMMYFUNCTION("""COMPUTED_VALUE"""),"A4A001 ACADEMICO  INSTRUCTOR")</f>
        <v>A4A001 ACADEMICO  INSTRUCTOR</v>
      </c>
      <c r="C179" s="1" t="str">
        <f>IFERROR(__xludf.DUMMYFUNCTION("""COMPUTED_VALUE"""),"Instructor")</f>
        <v>Instructor</v>
      </c>
      <c r="D179" s="1" t="str">
        <f>IFERROR(__xludf.DUMMYFUNCTION("""COMPUTED_VALUE"""),"A4A Instructor")</f>
        <v>A4A Instructor</v>
      </c>
      <c r="E179" s="1" t="str">
        <f>IFERROR(__xludf.DUMMYFUNCTION("""COMPUTED_VALUE"""),"Masculino")</f>
        <v>Masculino</v>
      </c>
      <c r="F179" s="1" t="str">
        <f>IFERROR(__xludf.DUMMYFUNCTION("""COMPUTED_VALUE"""),"Llanos")</f>
        <v>Llanos</v>
      </c>
      <c r="G179" s="1" t="str">
        <f>IFERROR(__xludf.DUMMYFUNCTION("""COMPUTED_VALUE"""),"Silva")</f>
        <v>Silva</v>
      </c>
      <c r="H179" s="1" t="str">
        <f>IFERROR(__xludf.DUMMYFUNCTION("""COMPUTED_VALUE"""),"Andrés Osvaldo")</f>
        <v>Andrés Osvaldo</v>
      </c>
      <c r="I179" s="1" t="str">
        <f>IFERROR(__xludf.DUMMYFUNCTION("""COMPUTED_VALUE"""),"Llanos Silva Andrés Osvaldo")</f>
        <v>Llanos Silva Andrés Osvaldo</v>
      </c>
      <c r="J179" s="10">
        <f>IFERROR(__xludf.DUMMYFUNCTION("""COMPUTED_VALUE"""),29556.0)</f>
        <v>29556</v>
      </c>
      <c r="K179" s="10">
        <f>IFERROR(__xludf.DUMMYFUNCTION("""COMPUTED_VALUE"""),21145.0)</f>
        <v>21145</v>
      </c>
      <c r="L179" s="1">
        <f>IFERROR(__xludf.DUMMYFUNCTION("""COMPUTED_VALUE"""),66.0)</f>
        <v>66</v>
      </c>
      <c r="M179" s="1" t="str">
        <f>IFERROR(__xludf.DUMMYFUNCTION("""COMPUTED_VALUE"""),"0001 Casado")</f>
        <v>0001 Casado</v>
      </c>
      <c r="N179" s="1"/>
      <c r="O179" s="10">
        <f>IFERROR(__xludf.DUMMYFUNCTION("""COMPUTED_VALUE"""),38353.0)</f>
        <v>38353</v>
      </c>
      <c r="P179" s="10">
        <f>IFERROR(__xludf.DUMMYFUNCTION("""COMPUTED_VALUE"""),38472.0)</f>
        <v>38472</v>
      </c>
      <c r="Q179" s="1" t="str">
        <f>IFERROR(__xludf.DUMMYFUNCTION("""COMPUTED_VALUE"""),"C Contrata")</f>
        <v>C Contrata</v>
      </c>
      <c r="R179" s="1" t="str">
        <f>IFERROR(__xludf.DUMMYFUNCTION("""COMPUTED_VALUE"""),"A Académico")</f>
        <v>A Académico</v>
      </c>
      <c r="S179" s="9" t="str">
        <f>IFERROR(__xludf.DUMMYFUNCTION("""COMPUTED_VALUE"""),"74161103")</f>
        <v>74161103</v>
      </c>
      <c r="T179" s="1" t="str">
        <f>IFERROR(__xludf.DUMMYFUNCTION("""COMPUTED_VALUE"""),"0074161103")</f>
        <v>0074161103</v>
      </c>
      <c r="U179" s="1">
        <f>IFERROR(__xludf.DUMMYFUNCTION("""COMPUTED_VALUE"""),12.0)</f>
        <v>12</v>
      </c>
      <c r="V179" s="1" t="str">
        <f>IFERROR(__xludf.DUMMYFUNCTION("""COMPUTED_VALUE"""),"P0501 Con Titulo Profesional")</f>
        <v>P0501 Con Titulo Profesional</v>
      </c>
      <c r="W179" s="1">
        <f>IFERROR(__xludf.DUMMYFUNCTION("""COMPUTED_VALUE"""),31376.0)</f>
        <v>31376</v>
      </c>
      <c r="X179" s="1" t="str">
        <f>IFERROR(__xludf.DUMMYFUNCTION("""COMPUTED_VALUE"""),"Universidad De Chile")</f>
        <v>Universidad De Chile</v>
      </c>
      <c r="Y179" s="1" t="str">
        <f>IFERROR(__xludf.DUMMYFUNCTION("""COMPUTED_VALUE"""),"CHILE")</f>
        <v>CHILE</v>
      </c>
      <c r="Z179" s="1"/>
    </row>
    <row r="180" hidden="1">
      <c r="A180" s="1" t="str">
        <f>IFERROR(__xludf.DUMMYFUNCTION("""COMPUTED_VALUE"""),"12090117 Dpto. Educación (funcionamiento)")</f>
        <v>12090117 Dpto. Educación (funcionamiento)</v>
      </c>
      <c r="B180" s="1" t="str">
        <f>IFERROR(__xludf.DUMMYFUNCTION("""COMPUTED_VALUE"""),"A2A001 Académico Prof. Asociado")</f>
        <v>A2A001 Académico Prof. Asociado</v>
      </c>
      <c r="C180" s="1" t="str">
        <f>IFERROR(__xludf.DUMMYFUNCTION("""COMPUTED_VALUE"""),"Prof. Asociado - Categ. Academica Ord.")</f>
        <v>Prof. Asociado - Categ. Academica Ord.</v>
      </c>
      <c r="D180" s="1" t="str">
        <f>IFERROR(__xludf.DUMMYFUNCTION("""COMPUTED_VALUE"""),"A2A Prof. Asociado - Categ. Academica Ord.")</f>
        <v>A2A Prof. Asociado - Categ. Academica Ord.</v>
      </c>
      <c r="E180" s="1" t="str">
        <f>IFERROR(__xludf.DUMMYFUNCTION("""COMPUTED_VALUE"""),"Femenino")</f>
        <v>Femenino</v>
      </c>
      <c r="F180" s="1" t="str">
        <f>IFERROR(__xludf.DUMMYFUNCTION("""COMPUTED_VALUE"""),"Llaña")</f>
        <v>Llaña</v>
      </c>
      <c r="G180" s="1" t="str">
        <f>IFERROR(__xludf.DUMMYFUNCTION("""COMPUTED_VALUE"""),"Mena")</f>
        <v>Mena</v>
      </c>
      <c r="H180" s="1" t="str">
        <f>IFERROR(__xludf.DUMMYFUNCTION("""COMPUTED_VALUE"""),"Mónica Elena")</f>
        <v>Mónica Elena</v>
      </c>
      <c r="I180" s="1" t="str">
        <f>IFERROR(__xludf.DUMMYFUNCTION("""COMPUTED_VALUE"""),"Llaña Mena Mónica Elena")</f>
        <v>Llaña Mena Mónica Elena</v>
      </c>
      <c r="J180" s="10">
        <f>IFERROR(__xludf.DUMMYFUNCTION("""COMPUTED_VALUE"""),27181.0)</f>
        <v>27181</v>
      </c>
      <c r="K180" s="10">
        <f>IFERROR(__xludf.DUMMYFUNCTION("""COMPUTED_VALUE"""),14382.0)</f>
        <v>14382</v>
      </c>
      <c r="L180" s="1">
        <f>IFERROR(__xludf.DUMMYFUNCTION("""COMPUTED_VALUE"""),84.0)</f>
        <v>84</v>
      </c>
      <c r="M180" s="1" t="str">
        <f>IFERROR(__xludf.DUMMYFUNCTION("""COMPUTED_VALUE"""),"0001 Casado")</f>
        <v>0001 Casado</v>
      </c>
      <c r="N180" s="1" t="str">
        <f>IFERROR(__xludf.DUMMYFUNCTION("""COMPUTED_VALUE"""),"N0040 Profesional Superior")</f>
        <v>N0040 Profesional Superior</v>
      </c>
      <c r="O180" s="10">
        <f>IFERROR(__xludf.DUMMYFUNCTION("""COMPUTED_VALUE"""),42186.0)</f>
        <v>42186</v>
      </c>
      <c r="P180" s="10">
        <f>IFERROR(__xludf.DUMMYFUNCTION("""COMPUTED_VALUE"""),73050.0)</f>
        <v>73050</v>
      </c>
      <c r="Q180" s="1" t="str">
        <f>IFERROR(__xludf.DUMMYFUNCTION("""COMPUTED_VALUE"""),"P Propiedad")</f>
        <v>P Propiedad</v>
      </c>
      <c r="R180" s="1" t="str">
        <f>IFERROR(__xludf.DUMMYFUNCTION("""COMPUTED_VALUE"""),"A Académico")</f>
        <v>A Académico</v>
      </c>
      <c r="S180" s="9" t="str">
        <f>IFERROR(__xludf.DUMMYFUNCTION("""COMPUTED_VALUE"""),"41034130")</f>
        <v>41034130</v>
      </c>
      <c r="T180" s="1" t="str">
        <f>IFERROR(__xludf.DUMMYFUNCTION("""COMPUTED_VALUE"""),"0041034130")</f>
        <v>0041034130</v>
      </c>
      <c r="U180" s="1">
        <f>IFERROR(__xludf.DUMMYFUNCTION("""COMPUTED_VALUE"""),44.0)</f>
        <v>44</v>
      </c>
      <c r="V180" s="1" t="str">
        <f>IFERROR(__xludf.DUMMYFUNCTION("""COMPUTED_VALUE"""),"P0850 Magister")</f>
        <v>P0850 Magister</v>
      </c>
      <c r="W180" s="1">
        <f>IFERROR(__xludf.DUMMYFUNCTION("""COMPUTED_VALUE"""),32444.0)</f>
        <v>32444</v>
      </c>
      <c r="X180" s="1" t="str">
        <f>IFERROR(__xludf.DUMMYFUNCTION("""COMPUTED_VALUE"""),"Universidad De Chile")</f>
        <v>Universidad De Chile</v>
      </c>
      <c r="Y180" s="1" t="str">
        <f>IFERROR(__xludf.DUMMYFUNCTION("""COMPUTED_VALUE"""),"CHILE")</f>
        <v>CHILE</v>
      </c>
      <c r="Z180" s="1" t="str">
        <f>IFERROR(__xludf.DUMMYFUNCTION("""COMPUTED_VALUE"""),"T5082 Sociologo")</f>
        <v>T5082 Sociologo</v>
      </c>
    </row>
    <row r="181" hidden="1">
      <c r="A181" s="1" t="str">
        <f>IFERROR(__xludf.DUMMYFUNCTION("""COMPUTED_VALUE"""),"12090601 Departamento de Educación")</f>
        <v>12090601 Departamento de Educación</v>
      </c>
      <c r="B181" s="1" t="str">
        <f>IFERROR(__xludf.DUMMYFUNCTION("""COMPUTED_VALUE"""),"A1A001 Académico Prof. Titular")</f>
        <v>A1A001 Académico Prof. Titular</v>
      </c>
      <c r="C181" s="1" t="str">
        <f>IFERROR(__xludf.DUMMYFUNCTION("""COMPUTED_VALUE"""),"Prof.Titular - Categ. Academica Ord.")</f>
        <v>Prof.Titular - Categ. Academica Ord.</v>
      </c>
      <c r="D181" s="1" t="str">
        <f>IFERROR(__xludf.DUMMYFUNCTION("""COMPUTED_VALUE"""),"A1A Prof.Titular - Categ. Academica Ord.")</f>
        <v>A1A Prof.Titular - Categ. Academica Ord.</v>
      </c>
      <c r="E181" s="1" t="str">
        <f>IFERROR(__xludf.DUMMYFUNCTION("""COMPUTED_VALUE"""),"Femenino")</f>
        <v>Femenino</v>
      </c>
      <c r="F181" s="1" t="str">
        <f>IFERROR(__xludf.DUMMYFUNCTION("""COMPUTED_VALUE"""),"Lolas")</f>
        <v>Lolas</v>
      </c>
      <c r="G181" s="1" t="str">
        <f>IFERROR(__xludf.DUMMYFUNCTION("""COMPUTED_VALUE"""),"Nazrala")</f>
        <v>Nazrala</v>
      </c>
      <c r="H181" s="1" t="str">
        <f>IFERROR(__xludf.DUMMYFUNCTION("""COMPUTED_VALUE"""),"Mercedes")</f>
        <v>Mercedes</v>
      </c>
      <c r="I181" s="1" t="str">
        <f>IFERROR(__xludf.DUMMYFUNCTION("""COMPUTED_VALUE"""),"Lolas Nazrala Mercedes")</f>
        <v>Lolas Nazrala Mercedes</v>
      </c>
      <c r="J181" s="10">
        <f>IFERROR(__xludf.DUMMYFUNCTION("""COMPUTED_VALUE"""),24532.0)</f>
        <v>24532</v>
      </c>
      <c r="K181" s="10">
        <f>IFERROR(__xludf.DUMMYFUNCTION("""COMPUTED_VALUE"""),8089.0)</f>
        <v>8089</v>
      </c>
      <c r="L181" s="1">
        <f>IFERROR(__xludf.DUMMYFUNCTION("""COMPUTED_VALUE"""),101.0)</f>
        <v>101</v>
      </c>
      <c r="M181" s="1" t="str">
        <f>IFERROR(__xludf.DUMMYFUNCTION("""COMPUTED_VALUE"""),"0002 Soltero")</f>
        <v>0002 Soltero</v>
      </c>
      <c r="N181" s="1"/>
      <c r="O181" s="10">
        <f>IFERROR(__xludf.DUMMYFUNCTION("""COMPUTED_VALUE"""),33390.0)</f>
        <v>33390</v>
      </c>
      <c r="P181" s="10">
        <f>IFERROR(__xludf.DUMMYFUNCTION("""COMPUTED_VALUE"""),35915.0)</f>
        <v>35915</v>
      </c>
      <c r="Q181" s="1" t="str">
        <f>IFERROR(__xludf.DUMMYFUNCTION("""COMPUTED_VALUE"""),"P Propiedad")</f>
        <v>P Propiedad</v>
      </c>
      <c r="R181" s="1" t="str">
        <f>IFERROR(__xludf.DUMMYFUNCTION("""COMPUTED_VALUE"""),"A Académico")</f>
        <v>A Académico</v>
      </c>
      <c r="S181" s="9" t="str">
        <f>IFERROR(__xludf.DUMMYFUNCTION("""COMPUTED_VALUE"""),"21327255")</f>
        <v>21327255</v>
      </c>
      <c r="T181" s="1" t="str">
        <f>IFERROR(__xludf.DUMMYFUNCTION("""COMPUTED_VALUE"""),"0021327255")</f>
        <v>0021327255</v>
      </c>
      <c r="U181" s="1">
        <f>IFERROR(__xludf.DUMMYFUNCTION("""COMPUTED_VALUE"""),6.0)</f>
        <v>6</v>
      </c>
      <c r="V181" s="1"/>
      <c r="W181" s="1"/>
      <c r="X181" s="1"/>
      <c r="Y181" s="1"/>
      <c r="Z181" s="1"/>
    </row>
    <row r="182" hidden="1">
      <c r="A182" s="1" t="str">
        <f>IFERROR(__xludf.DUMMYFUNCTION("""COMPUTED_VALUE"""),"12090901 Escuela de Postgrado")</f>
        <v>12090901 Escuela de Postgrado</v>
      </c>
      <c r="B182" s="1" t="str">
        <f>IFERROR(__xludf.DUMMYFUNCTION("""COMPUTED_VALUE"""),"A1A001 Académico Prof. Titular")</f>
        <v>A1A001 Académico Prof. Titular</v>
      </c>
      <c r="C182" s="1" t="str">
        <f>IFERROR(__xludf.DUMMYFUNCTION("""COMPUTED_VALUE"""),"Prof.Titular - Categ. Academica Ord.")</f>
        <v>Prof.Titular - Categ. Academica Ord.</v>
      </c>
      <c r="D182" s="1" t="str">
        <f>IFERROR(__xludf.DUMMYFUNCTION("""COMPUTED_VALUE"""),"A1A Prof.Titular - Categ. Academica Ord.")</f>
        <v>A1A Prof.Titular - Categ. Academica Ord.</v>
      </c>
      <c r="E182" s="1" t="str">
        <f>IFERROR(__xludf.DUMMYFUNCTION("""COMPUTED_VALUE"""),"Masculino")</f>
        <v>Masculino</v>
      </c>
      <c r="F182" s="1" t="str">
        <f>IFERROR(__xludf.DUMMYFUNCTION("""COMPUTED_VALUE"""),"Lolas")</f>
        <v>Lolas</v>
      </c>
      <c r="G182" s="1" t="str">
        <f>IFERROR(__xludf.DUMMYFUNCTION("""COMPUTED_VALUE"""),"Stepke")</f>
        <v>Stepke</v>
      </c>
      <c r="H182" s="1" t="str">
        <f>IFERROR(__xludf.DUMMYFUNCTION("""COMPUTED_VALUE"""),"Víctor Fernando")</f>
        <v>Víctor Fernando</v>
      </c>
      <c r="I182" s="1" t="str">
        <f>IFERROR(__xludf.DUMMYFUNCTION("""COMPUTED_VALUE"""),"Lolas Stepke Víctor Fernando")</f>
        <v>Lolas Stepke Víctor Fernando</v>
      </c>
      <c r="J182" s="10">
        <f>IFERROR(__xludf.DUMMYFUNCTION("""COMPUTED_VALUE"""),25750.0)</f>
        <v>25750</v>
      </c>
      <c r="K182" s="10">
        <f>IFERROR(__xludf.DUMMYFUNCTION("""COMPUTED_VALUE"""),17623.0)</f>
        <v>17623</v>
      </c>
      <c r="L182" s="1">
        <f>IFERROR(__xludf.DUMMYFUNCTION("""COMPUTED_VALUE"""),75.0)</f>
        <v>75</v>
      </c>
      <c r="M182" s="1" t="str">
        <f>IFERROR(__xludf.DUMMYFUNCTION("""COMPUTED_VALUE"""),"0001 Casado")</f>
        <v>0001 Casado</v>
      </c>
      <c r="N182" s="1" t="str">
        <f>IFERROR(__xludf.DUMMYFUNCTION("""COMPUTED_VALUE"""),"N0040 Profesional Superior")</f>
        <v>N0040 Profesional Superior</v>
      </c>
      <c r="O182" s="10">
        <f>IFERROR(__xludf.DUMMYFUNCTION("""COMPUTED_VALUE"""),37257.0)</f>
        <v>37257</v>
      </c>
      <c r="P182" s="10">
        <f>IFERROR(__xludf.DUMMYFUNCTION("""COMPUTED_VALUE"""),37437.0)</f>
        <v>37437</v>
      </c>
      <c r="Q182" s="1" t="str">
        <f>IFERROR(__xludf.DUMMYFUNCTION("""COMPUTED_VALUE"""),"C Contrata")</f>
        <v>C Contrata</v>
      </c>
      <c r="R182" s="1" t="str">
        <f>IFERROR(__xludf.DUMMYFUNCTION("""COMPUTED_VALUE"""),"A Académico")</f>
        <v>A Académico</v>
      </c>
      <c r="S182" s="9" t="str">
        <f>IFERROR(__xludf.DUMMYFUNCTION("""COMPUTED_VALUE"""),"53990622")</f>
        <v>53990622</v>
      </c>
      <c r="T182" s="1" t="str">
        <f>IFERROR(__xludf.DUMMYFUNCTION("""COMPUTED_VALUE"""),"0053990622")</f>
        <v>0053990622</v>
      </c>
      <c r="U182" s="1">
        <f>IFERROR(__xludf.DUMMYFUNCTION("""COMPUTED_VALUE"""),6.0)</f>
        <v>6</v>
      </c>
      <c r="V182" s="1" t="str">
        <f>IFERROR(__xludf.DUMMYFUNCTION("""COMPUTED_VALUE"""),"P0602 Especialidad Médica u Odontológica")</f>
        <v>P0602 Especialidad Médica u Odontológica</v>
      </c>
      <c r="W182" s="1">
        <f>IFERROR(__xludf.DUMMYFUNCTION("""COMPUTED_VALUE"""),35234.0)</f>
        <v>35234</v>
      </c>
      <c r="X182" s="1" t="str">
        <f>IFERROR(__xludf.DUMMYFUNCTION("""COMPUTED_VALUE"""),"Universidad De Chile")</f>
        <v>Universidad De Chile</v>
      </c>
      <c r="Y182" s="1" t="str">
        <f>IFERROR(__xludf.DUMMYFUNCTION("""COMPUTED_VALUE"""),"CHILE")</f>
        <v>CHILE</v>
      </c>
      <c r="Z182" s="1" t="str">
        <f>IFERROR(__xludf.DUMMYFUNCTION("""COMPUTED_VALUE"""),"T5070 Medico-Cirujano")</f>
        <v>T5070 Medico-Cirujano</v>
      </c>
    </row>
    <row r="183">
      <c r="A183" s="1" t="str">
        <f>IFERROR(__xludf.DUMMYFUNCTION("""COMPUTED_VALUE"""),"12090701 Departamento de Psicología")</f>
        <v>12090701 Departamento de Psicología</v>
      </c>
      <c r="B183" s="1" t="str">
        <f>IFERROR(__xludf.DUMMYFUNCTION("""COMPUTED_VALUE"""),"A4A001 ACADEMICO  INSTRUCTOR")</f>
        <v>A4A001 ACADEMICO  INSTRUCTOR</v>
      </c>
      <c r="C183" s="1" t="str">
        <f>IFERROR(__xludf.DUMMYFUNCTION("""COMPUTED_VALUE"""),"Instructor")</f>
        <v>Instructor</v>
      </c>
      <c r="D183" s="1" t="str">
        <f>IFERROR(__xludf.DUMMYFUNCTION("""COMPUTED_VALUE"""),"A4A Instructor")</f>
        <v>A4A Instructor</v>
      </c>
      <c r="E183" s="1" t="str">
        <f>IFERROR(__xludf.DUMMYFUNCTION("""COMPUTED_VALUE"""),"Masculino")</f>
        <v>Masculino</v>
      </c>
      <c r="F183" s="1" t="str">
        <f>IFERROR(__xludf.DUMMYFUNCTION("""COMPUTED_VALUE"""),"López")</f>
        <v>López</v>
      </c>
      <c r="G183" s="1" t="str">
        <f>IFERROR(__xludf.DUMMYFUNCTION("""COMPUTED_VALUE"""),"del Pino")</f>
        <v>del Pino</v>
      </c>
      <c r="H183" s="1" t="str">
        <f>IFERROR(__xludf.DUMMYFUNCTION("""COMPUTED_VALUE"""),"Jorge Edmundo")</f>
        <v>Jorge Edmundo</v>
      </c>
      <c r="I183" s="1" t="str">
        <f>IFERROR(__xludf.DUMMYFUNCTION("""COMPUTED_VALUE"""),"López del Pino Jorge Edmundo")</f>
        <v>López del Pino Jorge Edmundo</v>
      </c>
      <c r="J183" s="10">
        <f>IFERROR(__xludf.DUMMYFUNCTION("""COMPUTED_VALUE"""),35096.0)</f>
        <v>35096</v>
      </c>
      <c r="K183" s="10">
        <f>IFERROR(__xludf.DUMMYFUNCTION("""COMPUTED_VALUE"""),22848.0)</f>
        <v>22848</v>
      </c>
      <c r="L183" s="1">
        <f>IFERROR(__xludf.DUMMYFUNCTION("""COMPUTED_VALUE"""),61.0)</f>
        <v>61</v>
      </c>
      <c r="M183" s="1" t="str">
        <f>IFERROR(__xludf.DUMMYFUNCTION("""COMPUTED_VALUE"""),"0001 Casado")</f>
        <v>0001 Casado</v>
      </c>
      <c r="N183" s="1" t="str">
        <f>IFERROR(__xludf.DUMMYFUNCTION("""COMPUTED_VALUE"""),"N0040 Profesional Superior")</f>
        <v>N0040 Profesional Superior</v>
      </c>
      <c r="O183" s="10">
        <f>IFERROR(__xludf.DUMMYFUNCTION("""COMPUTED_VALUE"""),35096.0)</f>
        <v>35096</v>
      </c>
      <c r="P183" s="10">
        <f>IFERROR(__xludf.DUMMYFUNCTION("""COMPUTED_VALUE"""),35338.0)</f>
        <v>35338</v>
      </c>
      <c r="Q183" s="1" t="str">
        <f>IFERROR(__xludf.DUMMYFUNCTION("""COMPUTED_VALUE"""),"C Contrata")</f>
        <v>C Contrata</v>
      </c>
      <c r="R183" s="1" t="str">
        <f>IFERROR(__xludf.DUMMYFUNCTION("""COMPUTED_VALUE"""),"A Académico")</f>
        <v>A Académico</v>
      </c>
      <c r="S183" s="9" t="str">
        <f>IFERROR(__xludf.DUMMYFUNCTION("""COMPUTED_VALUE"""),"94881994")</f>
        <v>94881994</v>
      </c>
      <c r="T183" s="1" t="str">
        <f>IFERROR(__xludf.DUMMYFUNCTION("""COMPUTED_VALUE"""),"0094881994")</f>
        <v>0094881994</v>
      </c>
      <c r="U183" s="1">
        <f>IFERROR(__xludf.DUMMYFUNCTION("""COMPUTED_VALUE"""),6.0)</f>
        <v>6</v>
      </c>
      <c r="V183" s="1"/>
      <c r="W183" s="1"/>
      <c r="X183" s="1"/>
      <c r="Y183" s="1"/>
      <c r="Z183" s="1" t="str">
        <f>IFERROR(__xludf.DUMMYFUNCTION("""COMPUTED_VALUE"""),"T5276 Psicologo")</f>
        <v>T5276 Psicologo</v>
      </c>
    </row>
    <row r="184" hidden="1">
      <c r="A184" s="1" t="str">
        <f>IFERROR(__xludf.DUMMYFUNCTION("""COMPUTED_VALUE"""),"12091001 Escuela de Pregrado")</f>
        <v>12091001 Escuela de Pregrado</v>
      </c>
      <c r="B184" s="1" t="str">
        <f>IFERROR(__xludf.DUMMYFUNCTION("""COMPUTED_VALUE"""),"A3A001 Académico Prof. Asistente")</f>
        <v>A3A001 Académico Prof. Asistente</v>
      </c>
      <c r="C184" s="1" t="str">
        <f>IFERROR(__xludf.DUMMYFUNCTION("""COMPUTED_VALUE"""),"Prof. Asistente - Categ. Academica Ord.")</f>
        <v>Prof. Asistente - Categ. Academica Ord.</v>
      </c>
      <c r="D184" s="1" t="str">
        <f>IFERROR(__xludf.DUMMYFUNCTION("""COMPUTED_VALUE"""),"A3A Prof. Asistente - Categ. Academica Ord.")</f>
        <v>A3A Prof. Asistente - Categ. Academica Ord.</v>
      </c>
      <c r="E184" s="1" t="str">
        <f>IFERROR(__xludf.DUMMYFUNCTION("""COMPUTED_VALUE"""),"Masculino")</f>
        <v>Masculino</v>
      </c>
      <c r="F184" s="1" t="str">
        <f>IFERROR(__xludf.DUMMYFUNCTION("""COMPUTED_VALUE"""),"López")</f>
        <v>López</v>
      </c>
      <c r="G184" s="1" t="str">
        <f>IFERROR(__xludf.DUMMYFUNCTION("""COMPUTED_VALUE"""),"Hucke")</f>
        <v>Hucke</v>
      </c>
      <c r="H184" s="1" t="str">
        <f>IFERROR(__xludf.DUMMYFUNCTION("""COMPUTED_VALUE"""),"Edmundo Luciano Oscar")</f>
        <v>Edmundo Luciano Oscar</v>
      </c>
      <c r="I184" s="1" t="str">
        <f>IFERROR(__xludf.DUMMYFUNCTION("""COMPUTED_VALUE"""),"López Hucke Edmundo Luciano Oscar")</f>
        <v>López Hucke Edmundo Luciano Oscar</v>
      </c>
      <c r="J184" s="10">
        <f>IFERROR(__xludf.DUMMYFUNCTION("""COMPUTED_VALUE"""),26481.0)</f>
        <v>26481</v>
      </c>
      <c r="K184" s="10">
        <f>IFERROR(__xludf.DUMMYFUNCTION("""COMPUTED_VALUE"""),16015.0)</f>
        <v>16015</v>
      </c>
      <c r="L184" s="1">
        <f>IFERROR(__xludf.DUMMYFUNCTION("""COMPUTED_VALUE"""),80.0)</f>
        <v>80</v>
      </c>
      <c r="M184" s="1" t="str">
        <f>IFERROR(__xludf.DUMMYFUNCTION("""COMPUTED_VALUE"""),"0001 Casado")</f>
        <v>0001 Casado</v>
      </c>
      <c r="N184" s="1"/>
      <c r="O184" s="10">
        <f>IFERROR(__xludf.DUMMYFUNCTION("""COMPUTED_VALUE"""),37500.0)</f>
        <v>37500</v>
      </c>
      <c r="P184" s="10">
        <f>IFERROR(__xludf.DUMMYFUNCTION("""COMPUTED_VALUE"""),39172.0)</f>
        <v>39172</v>
      </c>
      <c r="Q184" s="1" t="str">
        <f>IFERROR(__xludf.DUMMYFUNCTION("""COMPUTED_VALUE"""),"D Función Docente")</f>
        <v>D Función Docente</v>
      </c>
      <c r="R184" s="1" t="str">
        <f>IFERROR(__xludf.DUMMYFUNCTION("""COMPUTED_VALUE"""),"A Académico")</f>
        <v>A Académico</v>
      </c>
      <c r="S184" s="9" t="str">
        <f>IFERROR(__xludf.DUMMYFUNCTION("""COMPUTED_VALUE"""),"36390328")</f>
        <v>36390328</v>
      </c>
      <c r="T184" s="1" t="str">
        <f>IFERROR(__xludf.DUMMYFUNCTION("""COMPUTED_VALUE"""),"0036390328")</f>
        <v>0036390328</v>
      </c>
      <c r="U184" s="1">
        <f>IFERROR(__xludf.DUMMYFUNCTION("""COMPUTED_VALUE"""),0.0)</f>
        <v>0</v>
      </c>
      <c r="V184" s="1" t="str">
        <f>IFERROR(__xludf.DUMMYFUNCTION("""COMPUTED_VALUE"""),"P0850 Magister")</f>
        <v>P0850 Magister</v>
      </c>
      <c r="W184" s="1">
        <f>IFERROR(__xludf.DUMMYFUNCTION("""COMPUTED_VALUE"""),26664.0)</f>
        <v>26664</v>
      </c>
      <c r="X184" s="1" t="str">
        <f>IFERROR(__xludf.DUMMYFUNCTION("""COMPUTED_VALUE"""),"Universidad Catolica De Lovaina")</f>
        <v>Universidad Catolica De Lovaina</v>
      </c>
      <c r="Y184" s="1" t="str">
        <f>IFERROR(__xludf.DUMMYFUNCTION("""COMPUTED_VALUE"""),"BÉLGICA")</f>
        <v>BÉLGICA</v>
      </c>
      <c r="Z184" s="1" t="str">
        <f>IFERROR(__xludf.DUMMYFUNCTION("""COMPUTED_VALUE"""),"T5232 Administrador De Empresas")</f>
        <v>T5232 Administrador De Empresas</v>
      </c>
    </row>
    <row r="185" hidden="1">
      <c r="A185" s="1" t="str">
        <f>IFERROR(__xludf.DUMMYFUNCTION("""COMPUTED_VALUE"""),"12090801 Departamento de Sociología")</f>
        <v>12090801 Departamento de Sociología</v>
      </c>
      <c r="B185" s="1" t="str">
        <f>IFERROR(__xludf.DUMMYFUNCTION("""COMPUTED_VALUE"""),"A3A001 Académico Prof. Asistente")</f>
        <v>A3A001 Académico Prof. Asistente</v>
      </c>
      <c r="C185" s="1" t="str">
        <f>IFERROR(__xludf.DUMMYFUNCTION("""COMPUTED_VALUE"""),"Prof. Asistente - Categ. Academica Ord.")</f>
        <v>Prof. Asistente - Categ. Academica Ord.</v>
      </c>
      <c r="D185" s="1" t="str">
        <f>IFERROR(__xludf.DUMMYFUNCTION("""COMPUTED_VALUE"""),"A3A Prof. Asistente - Categ. Academica Ord.")</f>
        <v>A3A Prof. Asistente - Categ. Academica Ord.</v>
      </c>
      <c r="E185" s="1" t="str">
        <f>IFERROR(__xludf.DUMMYFUNCTION("""COMPUTED_VALUE"""),"Masculino")</f>
        <v>Masculino</v>
      </c>
      <c r="F185" s="1" t="str">
        <f>IFERROR(__xludf.DUMMYFUNCTION("""COMPUTED_VALUE"""),"López")</f>
        <v>López</v>
      </c>
      <c r="G185" s="1" t="str">
        <f>IFERROR(__xludf.DUMMYFUNCTION("""COMPUTED_VALUE"""),"Hucke")</f>
        <v>Hucke</v>
      </c>
      <c r="H185" s="1" t="str">
        <f>IFERROR(__xludf.DUMMYFUNCTION("""COMPUTED_VALUE"""),"Edmundo Luciano Oscar")</f>
        <v>Edmundo Luciano Oscar</v>
      </c>
      <c r="I185" s="1" t="str">
        <f>IFERROR(__xludf.DUMMYFUNCTION("""COMPUTED_VALUE"""),"López Hucke Edmundo Luciano Oscar")</f>
        <v>López Hucke Edmundo Luciano Oscar</v>
      </c>
      <c r="J185" s="10">
        <f>IFERROR(__xludf.DUMMYFUNCTION("""COMPUTED_VALUE"""),26481.0)</f>
        <v>26481</v>
      </c>
      <c r="K185" s="10">
        <f>IFERROR(__xludf.DUMMYFUNCTION("""COMPUTED_VALUE"""),16015.0)</f>
        <v>16015</v>
      </c>
      <c r="L185" s="1">
        <f>IFERROR(__xludf.DUMMYFUNCTION("""COMPUTED_VALUE"""),80.0)</f>
        <v>80</v>
      </c>
      <c r="M185" s="1" t="str">
        <f>IFERROR(__xludf.DUMMYFUNCTION("""COMPUTED_VALUE"""),"0001 Casado")</f>
        <v>0001 Casado</v>
      </c>
      <c r="N185" s="1"/>
      <c r="O185" s="10">
        <f>IFERROR(__xludf.DUMMYFUNCTION("""COMPUTED_VALUE"""),39083.0)</f>
        <v>39083</v>
      </c>
      <c r="P185" s="10">
        <f>IFERROR(__xludf.DUMMYFUNCTION("""COMPUTED_VALUE"""),39172.0)</f>
        <v>39172</v>
      </c>
      <c r="Q185" s="1" t="str">
        <f>IFERROR(__xludf.DUMMYFUNCTION("""COMPUTED_VALUE"""),"C Contrata")</f>
        <v>C Contrata</v>
      </c>
      <c r="R185" s="1" t="str">
        <f>IFERROR(__xludf.DUMMYFUNCTION("""COMPUTED_VALUE"""),"A Académico")</f>
        <v>A Académico</v>
      </c>
      <c r="S185" s="9" t="str">
        <f>IFERROR(__xludf.DUMMYFUNCTION("""COMPUTED_VALUE"""),"36390328")</f>
        <v>36390328</v>
      </c>
      <c r="T185" s="1" t="str">
        <f>IFERROR(__xludf.DUMMYFUNCTION("""COMPUTED_VALUE"""),"0036390328")</f>
        <v>0036390328</v>
      </c>
      <c r="U185" s="1">
        <f>IFERROR(__xludf.DUMMYFUNCTION("""COMPUTED_VALUE"""),22.0)</f>
        <v>22</v>
      </c>
      <c r="V185" s="1" t="str">
        <f>IFERROR(__xludf.DUMMYFUNCTION("""COMPUTED_VALUE"""),"P0850 Magister")</f>
        <v>P0850 Magister</v>
      </c>
      <c r="W185" s="1">
        <f>IFERROR(__xludf.DUMMYFUNCTION("""COMPUTED_VALUE"""),26664.0)</f>
        <v>26664</v>
      </c>
      <c r="X185" s="1" t="str">
        <f>IFERROR(__xludf.DUMMYFUNCTION("""COMPUTED_VALUE"""),"Universidad Catolica De Lovaina")</f>
        <v>Universidad Catolica De Lovaina</v>
      </c>
      <c r="Y185" s="1" t="str">
        <f>IFERROR(__xludf.DUMMYFUNCTION("""COMPUTED_VALUE"""),"BÉLGICA")</f>
        <v>BÉLGICA</v>
      </c>
      <c r="Z185" s="1" t="str">
        <f>IFERROR(__xludf.DUMMYFUNCTION("""COMPUTED_VALUE"""),"T5232 Administrador De Empresas")</f>
        <v>T5232 Administrador De Empresas</v>
      </c>
    </row>
    <row r="186">
      <c r="A186" s="11" t="str">
        <f>IFERROR(__xludf.DUMMYFUNCTION("""COMPUTED_VALUE"""),"12090116 Dpto. de Antropología (funcionamiento)")</f>
        <v>12090116 Dpto. de Antropología (funcionamiento)</v>
      </c>
      <c r="B186" s="11" t="str">
        <f>IFERROR(__xludf.DUMMYFUNCTION("""COMPUTED_VALUE"""),"A3A001 Académico Prof. Asistente")</f>
        <v>A3A001 Académico Prof. Asistente</v>
      </c>
      <c r="C186" s="11" t="str">
        <f>IFERROR(__xludf.DUMMYFUNCTION("""COMPUTED_VALUE"""),"Prof. Asistente - Categ. Academica Ord.")</f>
        <v>Prof. Asistente - Categ. Academica Ord.</v>
      </c>
      <c r="D186" s="11" t="str">
        <f>IFERROR(__xludf.DUMMYFUNCTION("""COMPUTED_VALUE"""),"A3A Prof. Asistente - Categ. Academica Ord.")</f>
        <v>A3A Prof. Asistente - Categ. Academica Ord.</v>
      </c>
      <c r="E186" s="11" t="str">
        <f>IFERROR(__xludf.DUMMYFUNCTION("""COMPUTED_VALUE"""),"Femenino")</f>
        <v>Femenino</v>
      </c>
      <c r="F186" s="11" t="str">
        <f>IFERROR(__xludf.DUMMYFUNCTION("""COMPUTED_VALUE"""),"Lopéz")</f>
        <v>Lopéz</v>
      </c>
      <c r="G186" s="11" t="str">
        <f>IFERROR(__xludf.DUMMYFUNCTION("""COMPUTED_VALUE"""),"Lazaro")</f>
        <v>Lazaro</v>
      </c>
      <c r="H186" s="11" t="str">
        <f>IFERROR(__xludf.DUMMYFUNCTION("""COMPUTED_VALUE"""),"Sandra")</f>
        <v>Sandra</v>
      </c>
      <c r="I186" s="11" t="str">
        <f>IFERROR(__xludf.DUMMYFUNCTION("""COMPUTED_VALUE"""),"Lopéz Lazaro Sandra")</f>
        <v>Lopéz Lazaro Sandra</v>
      </c>
      <c r="J186" s="12">
        <f>IFERROR(__xludf.DUMMYFUNCTION("""COMPUTED_VALUE"""),43586.0)</f>
        <v>43586</v>
      </c>
      <c r="K186" s="12">
        <f>IFERROR(__xludf.DUMMYFUNCTION("""COMPUTED_VALUE"""),31114.0)</f>
        <v>31114</v>
      </c>
      <c r="L186" s="11">
        <f>IFERROR(__xludf.DUMMYFUNCTION("""COMPUTED_VALUE"""),38.0)</f>
        <v>38</v>
      </c>
      <c r="M186" s="11" t="str">
        <f>IFERROR(__xludf.DUMMYFUNCTION("""COMPUTED_VALUE"""),"0002 Soltero")</f>
        <v>0002 Soltero</v>
      </c>
      <c r="N186" s="11"/>
      <c r="O186" s="12">
        <f>IFERROR(__xludf.DUMMYFUNCTION("""COMPUTED_VALUE"""),44927.0)</f>
        <v>44927</v>
      </c>
      <c r="P186" s="12">
        <f>IFERROR(__xludf.DUMMYFUNCTION("""COMPUTED_VALUE"""),45291.0)</f>
        <v>45291</v>
      </c>
      <c r="Q186" s="11" t="str">
        <f>IFERROR(__xludf.DUMMYFUNCTION("""COMPUTED_VALUE"""),"C Contrata")</f>
        <v>C Contrata</v>
      </c>
      <c r="R186" s="11" t="str">
        <f>IFERROR(__xludf.DUMMYFUNCTION("""COMPUTED_VALUE"""),"A Académico")</f>
        <v>A Académico</v>
      </c>
      <c r="S186" s="13" t="str">
        <f>IFERROR(__xludf.DUMMYFUNCTION("""COMPUTED_VALUE"""),"255206532")</f>
        <v>255206532</v>
      </c>
      <c r="T186" s="11" t="str">
        <f>IFERROR(__xludf.DUMMYFUNCTION("""COMPUTED_VALUE"""),"0255206532")</f>
        <v>0255206532</v>
      </c>
      <c r="U186" s="11">
        <f>IFERROR(__xludf.DUMMYFUNCTION("""COMPUTED_VALUE"""),44.0)</f>
        <v>44</v>
      </c>
      <c r="V186" s="11" t="str">
        <f>IFERROR(__xludf.DUMMYFUNCTION("""COMPUTED_VALUE"""),"P0900 Doctor")</f>
        <v>P0900 Doctor</v>
      </c>
      <c r="W186" s="11">
        <f>IFERROR(__xludf.DUMMYFUNCTION("""COMPUTED_VALUE"""),42186.0)</f>
        <v>42186</v>
      </c>
      <c r="X186" s="11" t="str">
        <f>IFERROR(__xludf.DUMMYFUNCTION("""COMPUTED_VALUE"""),"Universidad de Granada")</f>
        <v>Universidad de Granada</v>
      </c>
      <c r="Y186" s="11" t="str">
        <f>IFERROR(__xludf.DUMMYFUNCTION("""COMPUTED_VALUE"""),"ESPAÑA")</f>
        <v>ESPAÑA</v>
      </c>
      <c r="Z186" s="11" t="str">
        <f>IFERROR(__xludf.DUMMYFUNCTION("""COMPUTED_VALUE"""),"T5332 Licenciado en Historia")</f>
        <v>T5332 Licenciado en Historia</v>
      </c>
      <c r="AA186" s="11"/>
      <c r="AB186" s="11"/>
      <c r="AC186" s="11"/>
      <c r="AD186" s="11"/>
      <c r="AE186" s="11"/>
    </row>
    <row r="187" hidden="1">
      <c r="A187" s="1" t="str">
        <f>IFERROR(__xludf.DUMMYFUNCTION("""COMPUTED_VALUE"""),"12090701 Departamento de Psicología")</f>
        <v>12090701 Departamento de Psicología</v>
      </c>
      <c r="B187" s="1" t="str">
        <f>IFERROR(__xludf.DUMMYFUNCTION("""COMPUTED_VALUE"""),"A3A001 Académico Prof. Asistente")</f>
        <v>A3A001 Académico Prof. Asistente</v>
      </c>
      <c r="C187" s="1" t="str">
        <f>IFERROR(__xludf.DUMMYFUNCTION("""COMPUTED_VALUE"""),"Prof. Asistente - Categ. Academica Ord.")</f>
        <v>Prof. Asistente - Categ. Academica Ord.</v>
      </c>
      <c r="D187" s="1" t="str">
        <f>IFERROR(__xludf.DUMMYFUNCTION("""COMPUTED_VALUE"""),"A3A Prof. Asistente - Categ. Academica Ord.")</f>
        <v>A3A Prof. Asistente - Categ. Academica Ord.</v>
      </c>
      <c r="E187" s="1" t="str">
        <f>IFERROR(__xludf.DUMMYFUNCTION("""COMPUTED_VALUE"""),"Masculino")</f>
        <v>Masculino</v>
      </c>
      <c r="F187" s="1" t="str">
        <f>IFERROR(__xludf.DUMMYFUNCTION("""COMPUTED_VALUE"""),"López")</f>
        <v>López</v>
      </c>
      <c r="G187" s="1" t="str">
        <f>IFERROR(__xludf.DUMMYFUNCTION("""COMPUTED_VALUE"""),"Mena")</f>
        <v>Mena</v>
      </c>
      <c r="H187" s="1" t="str">
        <f>IFERROR(__xludf.DUMMYFUNCTION("""COMPUTED_VALUE"""),"Luis Héctor")</f>
        <v>Luis Héctor</v>
      </c>
      <c r="I187" s="1" t="str">
        <f>IFERROR(__xludf.DUMMYFUNCTION("""COMPUTED_VALUE"""),"López Mena Luis Héctor")</f>
        <v>López Mena Luis Héctor</v>
      </c>
      <c r="J187" s="10">
        <f>IFERROR(__xludf.DUMMYFUNCTION("""COMPUTED_VALUE"""),25020.0)</f>
        <v>25020</v>
      </c>
      <c r="K187" s="10">
        <f>IFERROR(__xludf.DUMMYFUNCTION("""COMPUTED_VALUE"""),16477.0)</f>
        <v>16477</v>
      </c>
      <c r="L187" s="1">
        <f>IFERROR(__xludf.DUMMYFUNCTION("""COMPUTED_VALUE"""),78.0)</f>
        <v>78</v>
      </c>
      <c r="M187" s="1" t="str">
        <f>IFERROR(__xludf.DUMMYFUNCTION("""COMPUTED_VALUE"""),"0001 Casado")</f>
        <v>0001 Casado</v>
      </c>
      <c r="N187" s="1"/>
      <c r="O187" s="10">
        <f>IFERROR(__xludf.DUMMYFUNCTION("""COMPUTED_VALUE"""),35217.0)</f>
        <v>35217</v>
      </c>
      <c r="P187" s="10">
        <f>IFERROR(__xludf.DUMMYFUNCTION("""COMPUTED_VALUE"""),38664.0)</f>
        <v>38664</v>
      </c>
      <c r="Q187" s="1" t="str">
        <f>IFERROR(__xludf.DUMMYFUNCTION("""COMPUTED_VALUE"""),"P Propiedad")</f>
        <v>P Propiedad</v>
      </c>
      <c r="R187" s="1" t="str">
        <f>IFERROR(__xludf.DUMMYFUNCTION("""COMPUTED_VALUE"""),"A Académico")</f>
        <v>A Académico</v>
      </c>
      <c r="S187" s="9" t="str">
        <f>IFERROR(__xludf.DUMMYFUNCTION("""COMPUTED_VALUE"""),"52566428")</f>
        <v>52566428</v>
      </c>
      <c r="T187" s="1" t="str">
        <f>IFERROR(__xludf.DUMMYFUNCTION("""COMPUTED_VALUE"""),"0052566428")</f>
        <v>0052566428</v>
      </c>
      <c r="U187" s="1">
        <f>IFERROR(__xludf.DUMMYFUNCTION("""COMPUTED_VALUE"""),6.0)</f>
        <v>6</v>
      </c>
      <c r="V187" s="1" t="str">
        <f>IFERROR(__xludf.DUMMYFUNCTION("""COMPUTED_VALUE"""),"P0900 Doctor")</f>
        <v>P0900 Doctor</v>
      </c>
      <c r="W187" s="1">
        <f>IFERROR(__xludf.DUMMYFUNCTION("""COMPUTED_VALUE"""),31777.0)</f>
        <v>31777</v>
      </c>
      <c r="X187" s="1" t="str">
        <f>IFERROR(__xludf.DUMMYFUNCTION("""COMPUTED_VALUE"""),"Universidad De Barcelona")</f>
        <v>Universidad De Barcelona</v>
      </c>
      <c r="Y187" s="1" t="str">
        <f>IFERROR(__xludf.DUMMYFUNCTION("""COMPUTED_VALUE"""),"ESPAÑA")</f>
        <v>ESPAÑA</v>
      </c>
      <c r="Z187" s="1"/>
    </row>
    <row r="188">
      <c r="A188" s="1" t="str">
        <f>IFERROR(__xludf.DUMMYFUNCTION("""COMPUTED_VALUE"""),"12090116 Dpto. de Antropología (funcionamiento)")</f>
        <v>12090116 Dpto. de Antropología (funcionamiento)</v>
      </c>
      <c r="B188" s="1" t="str">
        <f>IFERROR(__xludf.DUMMYFUNCTION("""COMPUTED_VALUE"""),"A7A001 ACADEMICO PROF. ADJUNTO")</f>
        <v>A7A001 ACADEMICO PROF. ADJUNTO</v>
      </c>
      <c r="C188" s="1" t="str">
        <f>IFERROR(__xludf.DUMMYFUNCTION("""COMPUTED_VALUE"""),"Inst. Adjunto")</f>
        <v>Inst. Adjunto</v>
      </c>
      <c r="D188" s="1" t="str">
        <f>IFERROR(__xludf.DUMMYFUNCTION("""COMPUTED_VALUE"""),"A8A Inst. Adjunto")</f>
        <v>A8A Inst. Adjunto</v>
      </c>
      <c r="E188" s="1" t="str">
        <f>IFERROR(__xludf.DUMMYFUNCTION("""COMPUTED_VALUE"""),"Masculino")</f>
        <v>Masculino</v>
      </c>
      <c r="F188" s="1" t="str">
        <f>IFERROR(__xludf.DUMMYFUNCTION("""COMPUTED_VALUE"""),"López")</f>
        <v>López</v>
      </c>
      <c r="G188" s="1" t="str">
        <f>IFERROR(__xludf.DUMMYFUNCTION("""COMPUTED_VALUE"""),"Mendoza")</f>
        <v>Mendoza</v>
      </c>
      <c r="H188" s="1" t="str">
        <f>IFERROR(__xludf.DUMMYFUNCTION("""COMPUTED_VALUE"""),"Patricio Gonzalo")</f>
        <v>Patricio Gonzalo</v>
      </c>
      <c r="I188" s="1" t="str">
        <f>IFERROR(__xludf.DUMMYFUNCTION("""COMPUTED_VALUE"""),"López Mendoza Patricio Gonzalo")</f>
        <v>López Mendoza Patricio Gonzalo</v>
      </c>
      <c r="J188" s="10">
        <f>IFERROR(__xludf.DUMMYFUNCTION("""COMPUTED_VALUE"""),42217.0)</f>
        <v>42217</v>
      </c>
      <c r="K188" s="10">
        <f>IFERROR(__xludf.DUMMYFUNCTION("""COMPUTED_VALUE"""),27992.0)</f>
        <v>27992</v>
      </c>
      <c r="L188" s="1">
        <f>IFERROR(__xludf.DUMMYFUNCTION("""COMPUTED_VALUE"""),47.0)</f>
        <v>47</v>
      </c>
      <c r="M188" s="1" t="str">
        <f>IFERROR(__xludf.DUMMYFUNCTION("""COMPUTED_VALUE"""),"0002 Soltero")</f>
        <v>0002 Soltero</v>
      </c>
      <c r="N188" s="1"/>
      <c r="O188" s="10">
        <f>IFERROR(__xludf.DUMMYFUNCTION("""COMPUTED_VALUE"""),42370.0)</f>
        <v>42370</v>
      </c>
      <c r="P188" s="10">
        <f>IFERROR(__xludf.DUMMYFUNCTION("""COMPUTED_VALUE"""),42735.0)</f>
        <v>42735</v>
      </c>
      <c r="Q188" s="1" t="str">
        <f>IFERROR(__xludf.DUMMYFUNCTION("""COMPUTED_VALUE"""),"C Contrata")</f>
        <v>C Contrata</v>
      </c>
      <c r="R188" s="1" t="str">
        <f>IFERROR(__xludf.DUMMYFUNCTION("""COMPUTED_VALUE"""),"A Académico")</f>
        <v>A Académico</v>
      </c>
      <c r="S188" s="9" t="str">
        <f>IFERROR(__xludf.DUMMYFUNCTION("""COMPUTED_VALUE"""),"130841848")</f>
        <v>130841848</v>
      </c>
      <c r="T188" s="1" t="str">
        <f>IFERROR(__xludf.DUMMYFUNCTION("""COMPUTED_VALUE"""),"0130841848")</f>
        <v>0130841848</v>
      </c>
      <c r="U188" s="1">
        <f>IFERROR(__xludf.DUMMYFUNCTION("""COMPUTED_VALUE"""),21.0)</f>
        <v>21</v>
      </c>
      <c r="V188" s="1" t="str">
        <f>IFERROR(__xludf.DUMMYFUNCTION("""COMPUTED_VALUE"""),"P0800 Magíster")</f>
        <v>P0800 Magíster</v>
      </c>
      <c r="W188" s="1">
        <f>IFERROR(__xludf.DUMMYFUNCTION("""COMPUTED_VALUE"""),41178.0)</f>
        <v>41178</v>
      </c>
      <c r="X188" s="1" t="str">
        <f>IFERROR(__xludf.DUMMYFUNCTION("""COMPUTED_VALUE"""),"Universidad De Tarapaca")</f>
        <v>Universidad De Tarapaca</v>
      </c>
      <c r="Y188" s="1" t="str">
        <f>IFERROR(__xludf.DUMMYFUNCTION("""COMPUTED_VALUE"""),"CHILE")</f>
        <v>CHILE</v>
      </c>
      <c r="Z188" s="1" t="str">
        <f>IFERROR(__xludf.DUMMYFUNCTION("""COMPUTED_VALUE"""),"T5373 Arqueólogo")</f>
        <v>T5373 Arqueólogo</v>
      </c>
    </row>
    <row r="189" hidden="1">
      <c r="A189" s="1" t="str">
        <f>IFERROR(__xludf.DUMMYFUNCTION("""COMPUTED_VALUE"""),"12090501 Departamento de Investigaciónes Mediáticas y de la Comunicación")</f>
        <v>12090501 Departamento de Investigaciónes Mediáticas y de la Comunicación</v>
      </c>
      <c r="B189" s="1" t="str">
        <f>IFERROR(__xludf.DUMMYFUNCTION("""COMPUTED_VALUE"""),"A3A001 Académico Prof. Asistente")</f>
        <v>A3A001 Académico Prof. Asistente</v>
      </c>
      <c r="C189" s="1" t="str">
        <f>IFERROR(__xludf.DUMMYFUNCTION("""COMPUTED_VALUE"""),"Prof. Asistente - Categ. Academica Ord.")</f>
        <v>Prof. Asistente - Categ. Academica Ord.</v>
      </c>
      <c r="D189" s="1" t="str">
        <f>IFERROR(__xludf.DUMMYFUNCTION("""COMPUTED_VALUE"""),"A3A Prof. Asistente - Categ. Academica Ord.")</f>
        <v>A3A Prof. Asistente - Categ. Academica Ord.</v>
      </c>
      <c r="E189" s="1" t="str">
        <f>IFERROR(__xludf.DUMMYFUNCTION("""COMPUTED_VALUE"""),"Masculino")</f>
        <v>Masculino</v>
      </c>
      <c r="F189" s="1" t="str">
        <f>IFERROR(__xludf.DUMMYFUNCTION("""COMPUTED_VALUE"""),"López")</f>
        <v>López</v>
      </c>
      <c r="G189" s="1" t="str">
        <f>IFERROR(__xludf.DUMMYFUNCTION("""COMPUTED_VALUE"""),"Pérez")</f>
        <v>Pérez</v>
      </c>
      <c r="H189" s="1" t="str">
        <f>IFERROR(__xludf.DUMMYFUNCTION("""COMPUTED_VALUE"""),"Ricardo Arturo")</f>
        <v>Ricardo Arturo</v>
      </c>
      <c r="I189" s="1" t="str">
        <f>IFERROR(__xludf.DUMMYFUNCTION("""COMPUTED_VALUE"""),"López Pérez Ricardo Arturo")</f>
        <v>López Pérez Ricardo Arturo</v>
      </c>
      <c r="J189" s="10">
        <f>IFERROR(__xludf.DUMMYFUNCTION("""COMPUTED_VALUE"""),34060.0)</f>
        <v>34060</v>
      </c>
      <c r="K189" s="10">
        <f>IFERROR(__xludf.DUMMYFUNCTION("""COMPUTED_VALUE"""),18849.0)</f>
        <v>18849</v>
      </c>
      <c r="L189" s="1">
        <f>IFERROR(__xludf.DUMMYFUNCTION("""COMPUTED_VALUE"""),72.0)</f>
        <v>72</v>
      </c>
      <c r="M189" s="1" t="str">
        <f>IFERROR(__xludf.DUMMYFUNCTION("""COMPUTED_VALUE"""),"0001 Casado")</f>
        <v>0001 Casado</v>
      </c>
      <c r="N189" s="1" t="str">
        <f>IFERROR(__xludf.DUMMYFUNCTION("""COMPUTED_VALUE"""),"N0041 Profesional Superior Sin Titulo")</f>
        <v>N0041 Profesional Superior Sin Titulo</v>
      </c>
      <c r="O189" s="10">
        <f>IFERROR(__xludf.DUMMYFUNCTION("""COMPUTED_VALUE"""),35521.0)</f>
        <v>35521</v>
      </c>
      <c r="P189" s="10">
        <f>IFERROR(__xludf.DUMMYFUNCTION("""COMPUTED_VALUE"""),37833.0)</f>
        <v>37833</v>
      </c>
      <c r="Q189" s="1" t="str">
        <f>IFERROR(__xludf.DUMMYFUNCTION("""COMPUTED_VALUE"""),"P Propiedad")</f>
        <v>P Propiedad</v>
      </c>
      <c r="R189" s="1" t="str">
        <f>IFERROR(__xludf.DUMMYFUNCTION("""COMPUTED_VALUE"""),"A Académico")</f>
        <v>A Académico</v>
      </c>
      <c r="S189" s="9" t="str">
        <f>IFERROR(__xludf.DUMMYFUNCTION("""COMPUTED_VALUE"""),"60673659")</f>
        <v>60673659</v>
      </c>
      <c r="T189" s="1" t="str">
        <f>IFERROR(__xludf.DUMMYFUNCTION("""COMPUTED_VALUE"""),"0060673659")</f>
        <v>0060673659</v>
      </c>
      <c r="U189" s="1">
        <f>IFERROR(__xludf.DUMMYFUNCTION("""COMPUTED_VALUE"""),22.0)</f>
        <v>22</v>
      </c>
      <c r="V189" s="1" t="str">
        <f>IFERROR(__xludf.DUMMYFUNCTION("""COMPUTED_VALUE"""),"P0900 Doctor")</f>
        <v>P0900 Doctor</v>
      </c>
      <c r="W189" s="1">
        <f>IFERROR(__xludf.DUMMYFUNCTION("""COMPUTED_VALUE"""),1.0)</f>
        <v>1</v>
      </c>
      <c r="X189" s="1" t="str">
        <f>IFERROR(__xludf.DUMMYFUNCTION("""COMPUTED_VALUE"""),"Universidad De Chile")</f>
        <v>Universidad De Chile</v>
      </c>
      <c r="Y189" s="1" t="str">
        <f>IFERROR(__xludf.DUMMYFUNCTION("""COMPUTED_VALUE"""),"CHILE")</f>
        <v>CHILE</v>
      </c>
      <c r="Z189" s="1" t="str">
        <f>IFERROR(__xludf.DUMMYFUNCTION("""COMPUTED_VALUE"""),"T5062 Licenciado en Filosofia")</f>
        <v>T5062 Licenciado en Filosofia</v>
      </c>
    </row>
    <row r="190">
      <c r="A190" s="1" t="str">
        <f>IFERROR(__xludf.DUMMYFUNCTION("""COMPUTED_VALUE"""),"12090601 Departamento de Educación")</f>
        <v>12090601 Departamento de Educación</v>
      </c>
      <c r="B190" s="1" t="str">
        <f>IFERROR(__xludf.DUMMYFUNCTION("""COMPUTED_VALUE"""),"A4A001 ACADEMICO  INSTRUCTOR")</f>
        <v>A4A001 ACADEMICO  INSTRUCTOR</v>
      </c>
      <c r="C190" s="1" t="str">
        <f>IFERROR(__xludf.DUMMYFUNCTION("""COMPUTED_VALUE"""),"Instructor")</f>
        <v>Instructor</v>
      </c>
      <c r="D190" s="1" t="str">
        <f>IFERROR(__xludf.DUMMYFUNCTION("""COMPUTED_VALUE"""),"A4A Instructor")</f>
        <v>A4A Instructor</v>
      </c>
      <c r="E190" s="1" t="str">
        <f>IFERROR(__xludf.DUMMYFUNCTION("""COMPUTED_VALUE"""),"Masculino")</f>
        <v>Masculino</v>
      </c>
      <c r="F190" s="1" t="str">
        <f>IFERROR(__xludf.DUMMYFUNCTION("""COMPUTED_VALUE"""),"Lozano")</f>
        <v>Lozano</v>
      </c>
      <c r="G190" s="1" t="str">
        <f>IFERROR(__xludf.DUMMYFUNCTION("""COMPUTED_VALUE"""),"Medina")</f>
        <v>Medina</v>
      </c>
      <c r="H190" s="1" t="str">
        <f>IFERROR(__xludf.DUMMYFUNCTION("""COMPUTED_VALUE"""),"Ricardo Antonio")</f>
        <v>Ricardo Antonio</v>
      </c>
      <c r="I190" s="1" t="str">
        <f>IFERROR(__xludf.DUMMYFUNCTION("""COMPUTED_VALUE"""),"Lozano Medina Ricardo Antonio")</f>
        <v>Lozano Medina Ricardo Antonio</v>
      </c>
      <c r="J190" s="10">
        <f>IFERROR(__xludf.DUMMYFUNCTION("""COMPUTED_VALUE"""),38200.0)</f>
        <v>38200</v>
      </c>
      <c r="K190" s="10">
        <f>IFERROR(__xludf.DUMMYFUNCTION("""COMPUTED_VALUE"""),25617.0)</f>
        <v>25617</v>
      </c>
      <c r="L190" s="1">
        <f>IFERROR(__xludf.DUMMYFUNCTION("""COMPUTED_VALUE"""),53.0)</f>
        <v>53</v>
      </c>
      <c r="M190" s="1" t="str">
        <f>IFERROR(__xludf.DUMMYFUNCTION("""COMPUTED_VALUE"""),"0002 Soltero")</f>
        <v>0002 Soltero</v>
      </c>
      <c r="N190" s="1"/>
      <c r="O190" s="10">
        <f>IFERROR(__xludf.DUMMYFUNCTION("""COMPUTED_VALUE"""),38200.0)</f>
        <v>38200</v>
      </c>
      <c r="P190" s="10">
        <f>IFERROR(__xludf.DUMMYFUNCTION("""COMPUTED_VALUE"""),38352.0)</f>
        <v>38352</v>
      </c>
      <c r="Q190" s="1" t="str">
        <f>IFERROR(__xludf.DUMMYFUNCTION("""COMPUTED_VALUE"""),"C Contrata")</f>
        <v>C Contrata</v>
      </c>
      <c r="R190" s="1" t="str">
        <f>IFERROR(__xludf.DUMMYFUNCTION("""COMPUTED_VALUE"""),"A Académico")</f>
        <v>A Académico</v>
      </c>
      <c r="S190" s="9" t="str">
        <f>IFERROR(__xludf.DUMMYFUNCTION("""COMPUTED_VALUE"""),"116327465")</f>
        <v>116327465</v>
      </c>
      <c r="T190" s="1" t="str">
        <f>IFERROR(__xludf.DUMMYFUNCTION("""COMPUTED_VALUE"""),"0116327465")</f>
        <v>0116327465</v>
      </c>
      <c r="U190" s="1">
        <f>IFERROR(__xludf.DUMMYFUNCTION("""COMPUTED_VALUE"""),3.0)</f>
        <v>3</v>
      </c>
      <c r="V190" s="1"/>
      <c r="W190" s="1"/>
      <c r="X190" s="1"/>
      <c r="Y190" s="1"/>
      <c r="Z190" s="1" t="str">
        <f>IFERROR(__xludf.DUMMYFUNCTION("""COMPUTED_VALUE"""),"T5105 Profesor De Matematicas")</f>
        <v>T5105 Profesor De Matematicas</v>
      </c>
    </row>
    <row r="191" hidden="1">
      <c r="A191" s="1" t="str">
        <f>IFERROR(__xludf.DUMMYFUNCTION("""COMPUTED_VALUE"""),"12090701 Departamento de Psicología")</f>
        <v>12090701 Departamento de Psicología</v>
      </c>
      <c r="B191" s="1" t="str">
        <f>IFERROR(__xludf.DUMMYFUNCTION("""COMPUTED_VALUE"""),"A2A001 Académico Prof. Asociado")</f>
        <v>A2A001 Académico Prof. Asociado</v>
      </c>
      <c r="C191" s="1" t="str">
        <f>IFERROR(__xludf.DUMMYFUNCTION("""COMPUTED_VALUE"""),"Prof. Asociado - Categ. Academica Ord.")</f>
        <v>Prof. Asociado - Categ. Academica Ord.</v>
      </c>
      <c r="D191" s="1" t="str">
        <f>IFERROR(__xludf.DUMMYFUNCTION("""COMPUTED_VALUE"""),"A2A Prof. Asociado - Categ. Academica Ord.")</f>
        <v>A2A Prof. Asociado - Categ. Academica Ord.</v>
      </c>
      <c r="E191" s="1" t="str">
        <f>IFERROR(__xludf.DUMMYFUNCTION("""COMPUTED_VALUE"""),"Masculino")</f>
        <v>Masculino</v>
      </c>
      <c r="F191" s="1" t="str">
        <f>IFERROR(__xludf.DUMMYFUNCTION("""COMPUTED_VALUE"""),"Luzoro")</f>
        <v>Luzoro</v>
      </c>
      <c r="G191" s="1" t="str">
        <f>IFERROR(__xludf.DUMMYFUNCTION("""COMPUTED_VALUE"""),"García")</f>
        <v>García</v>
      </c>
      <c r="H191" s="1" t="str">
        <f>IFERROR(__xludf.DUMMYFUNCTION("""COMPUTED_VALUE"""),"Jorge Pancracio")</f>
        <v>Jorge Pancracio</v>
      </c>
      <c r="I191" s="1" t="str">
        <f>IFERROR(__xludf.DUMMYFUNCTION("""COMPUTED_VALUE"""),"Luzoro García Jorge Pancracio")</f>
        <v>Luzoro García Jorge Pancracio</v>
      </c>
      <c r="J191" s="10">
        <f>IFERROR(__xludf.DUMMYFUNCTION("""COMPUTED_VALUE"""),27181.0)</f>
        <v>27181</v>
      </c>
      <c r="K191" s="10">
        <f>IFERROR(__xludf.DUMMYFUNCTION("""COMPUTED_VALUE"""),16459.0)</f>
        <v>16459</v>
      </c>
      <c r="L191" s="1">
        <f>IFERROR(__xludf.DUMMYFUNCTION("""COMPUTED_VALUE"""),78.0)</f>
        <v>78</v>
      </c>
      <c r="M191" s="1" t="str">
        <f>IFERROR(__xludf.DUMMYFUNCTION("""COMPUTED_VALUE"""),"0001 Casado")</f>
        <v>0001 Casado</v>
      </c>
      <c r="N191" s="1" t="str">
        <f>IFERROR(__xludf.DUMMYFUNCTION("""COMPUTED_VALUE"""),"N0040 Profesional Superior")</f>
        <v>N0040 Profesional Superior</v>
      </c>
      <c r="O191" s="10">
        <f>IFERROR(__xludf.DUMMYFUNCTION("""COMPUTED_VALUE"""),35556.0)</f>
        <v>35556</v>
      </c>
      <c r="P191" s="10">
        <f>IFERROR(__xludf.DUMMYFUNCTION("""COMPUTED_VALUE"""),38472.0)</f>
        <v>38472</v>
      </c>
      <c r="Q191" s="1" t="str">
        <f>IFERROR(__xludf.DUMMYFUNCTION("""COMPUTED_VALUE"""),"P Propiedad")</f>
        <v>P Propiedad</v>
      </c>
      <c r="R191" s="1" t="str">
        <f>IFERROR(__xludf.DUMMYFUNCTION("""COMPUTED_VALUE"""),"A Académico")</f>
        <v>A Académico</v>
      </c>
      <c r="S191" s="9" t="str">
        <f>IFERROR(__xludf.DUMMYFUNCTION("""COMPUTED_VALUE"""),"50804445")</f>
        <v>50804445</v>
      </c>
      <c r="T191" s="1" t="str">
        <f>IFERROR(__xludf.DUMMYFUNCTION("""COMPUTED_VALUE"""),"0050804445")</f>
        <v>0050804445</v>
      </c>
      <c r="U191" s="1">
        <f>IFERROR(__xludf.DUMMYFUNCTION("""COMPUTED_VALUE"""),0.0)</f>
        <v>0</v>
      </c>
      <c r="V191" s="1" t="str">
        <f>IFERROR(__xludf.DUMMYFUNCTION("""COMPUTED_VALUE"""),"P0900 Doctor")</f>
        <v>P0900 Doctor</v>
      </c>
      <c r="W191" s="1">
        <f>IFERROR(__xludf.DUMMYFUNCTION("""COMPUTED_VALUE"""),33238.0)</f>
        <v>33238</v>
      </c>
      <c r="X191" s="1" t="str">
        <f>IFERROR(__xludf.DUMMYFUNCTION("""COMPUTED_VALUE"""),"Universidad De Granada")</f>
        <v>Universidad De Granada</v>
      </c>
      <c r="Y191" s="1" t="str">
        <f>IFERROR(__xludf.DUMMYFUNCTION("""COMPUTED_VALUE"""),"ESPAÑA")</f>
        <v>ESPAÑA</v>
      </c>
      <c r="Z191" s="1" t="str">
        <f>IFERROR(__xludf.DUMMYFUNCTION("""COMPUTED_VALUE"""),"T5124 Psicologo")</f>
        <v>T5124 Psicologo</v>
      </c>
    </row>
    <row r="192" hidden="1">
      <c r="A192" s="1" t="str">
        <f>IFERROR(__xludf.DUMMYFUNCTION("""COMPUTED_VALUE"""),"12090701 Departamento de Psicología")</f>
        <v>12090701 Departamento de Psicología</v>
      </c>
      <c r="B192" s="1" t="str">
        <f>IFERROR(__xludf.DUMMYFUNCTION("""COMPUTED_VALUE"""),"A2A001 Académico Prof. Asociado")</f>
        <v>A2A001 Académico Prof. Asociado</v>
      </c>
      <c r="C192" s="1" t="str">
        <f>IFERROR(__xludf.DUMMYFUNCTION("""COMPUTED_VALUE"""),"Prof. Asociado - Categ. Academica Ord.")</f>
        <v>Prof. Asociado - Categ. Academica Ord.</v>
      </c>
      <c r="D192" s="1" t="str">
        <f>IFERROR(__xludf.DUMMYFUNCTION("""COMPUTED_VALUE"""),"A2A Prof. Asociado - Categ. Academica Ord.")</f>
        <v>A2A Prof. Asociado - Categ. Academica Ord.</v>
      </c>
      <c r="E192" s="1" t="str">
        <f>IFERROR(__xludf.DUMMYFUNCTION("""COMPUTED_VALUE"""),"Masculino")</f>
        <v>Masculino</v>
      </c>
      <c r="F192" s="1" t="str">
        <f>IFERROR(__xludf.DUMMYFUNCTION("""COMPUTED_VALUE"""),"Luzoro")</f>
        <v>Luzoro</v>
      </c>
      <c r="G192" s="1" t="str">
        <f>IFERROR(__xludf.DUMMYFUNCTION("""COMPUTED_VALUE"""),"García")</f>
        <v>García</v>
      </c>
      <c r="H192" s="1" t="str">
        <f>IFERROR(__xludf.DUMMYFUNCTION("""COMPUTED_VALUE"""),"Jorge Pancracio")</f>
        <v>Jorge Pancracio</v>
      </c>
      <c r="I192" s="1" t="str">
        <f>IFERROR(__xludf.DUMMYFUNCTION("""COMPUTED_VALUE"""),"Luzoro García Jorge Pancracio")</f>
        <v>Luzoro García Jorge Pancracio</v>
      </c>
      <c r="J192" s="10">
        <f>IFERROR(__xludf.DUMMYFUNCTION("""COMPUTED_VALUE"""),27181.0)</f>
        <v>27181</v>
      </c>
      <c r="K192" s="10">
        <f>IFERROR(__xludf.DUMMYFUNCTION("""COMPUTED_VALUE"""),16459.0)</f>
        <v>16459</v>
      </c>
      <c r="L192" s="1">
        <f>IFERROR(__xludf.DUMMYFUNCTION("""COMPUTED_VALUE"""),78.0)</f>
        <v>78</v>
      </c>
      <c r="M192" s="1" t="str">
        <f>IFERROR(__xludf.DUMMYFUNCTION("""COMPUTED_VALUE"""),"0001 Casado")</f>
        <v>0001 Casado</v>
      </c>
      <c r="N192" s="1" t="str">
        <f>IFERROR(__xludf.DUMMYFUNCTION("""COMPUTED_VALUE"""),"N0040 Profesional Superior")</f>
        <v>N0040 Profesional Superior</v>
      </c>
      <c r="O192" s="10">
        <f>IFERROR(__xludf.DUMMYFUNCTION("""COMPUTED_VALUE"""),38353.0)</f>
        <v>38353</v>
      </c>
      <c r="P192" s="10">
        <f>IFERROR(__xludf.DUMMYFUNCTION("""COMPUTED_VALUE"""),38472.0)</f>
        <v>38472</v>
      </c>
      <c r="Q192" s="1" t="str">
        <f>IFERROR(__xludf.DUMMYFUNCTION("""COMPUTED_VALUE"""),"C Contrata")</f>
        <v>C Contrata</v>
      </c>
      <c r="R192" s="1" t="str">
        <f>IFERROR(__xludf.DUMMYFUNCTION("""COMPUTED_VALUE"""),"A Académico")</f>
        <v>A Académico</v>
      </c>
      <c r="S192" s="9" t="str">
        <f>IFERROR(__xludf.DUMMYFUNCTION("""COMPUTED_VALUE"""),"50804445")</f>
        <v>50804445</v>
      </c>
      <c r="T192" s="1" t="str">
        <f>IFERROR(__xludf.DUMMYFUNCTION("""COMPUTED_VALUE"""),"0050804445")</f>
        <v>0050804445</v>
      </c>
      <c r="U192" s="1">
        <f>IFERROR(__xludf.DUMMYFUNCTION("""COMPUTED_VALUE"""),6.0)</f>
        <v>6</v>
      </c>
      <c r="V192" s="1" t="str">
        <f>IFERROR(__xludf.DUMMYFUNCTION("""COMPUTED_VALUE"""),"P0900 Doctor")</f>
        <v>P0900 Doctor</v>
      </c>
      <c r="W192" s="1">
        <f>IFERROR(__xludf.DUMMYFUNCTION("""COMPUTED_VALUE"""),33238.0)</f>
        <v>33238</v>
      </c>
      <c r="X192" s="1" t="str">
        <f>IFERROR(__xludf.DUMMYFUNCTION("""COMPUTED_VALUE"""),"Universidad De Granada")</f>
        <v>Universidad De Granada</v>
      </c>
      <c r="Y192" s="1" t="str">
        <f>IFERROR(__xludf.DUMMYFUNCTION("""COMPUTED_VALUE"""),"ESPAÑA")</f>
        <v>ESPAÑA</v>
      </c>
      <c r="Z192" s="1" t="str">
        <f>IFERROR(__xludf.DUMMYFUNCTION("""COMPUTED_VALUE"""),"T5124 Psicologo")</f>
        <v>T5124 Psicologo</v>
      </c>
    </row>
    <row r="193" hidden="1">
      <c r="A193" s="1" t="str">
        <f>IFERROR(__xludf.DUMMYFUNCTION("""COMPUTED_VALUE"""),"12090801 Departamento de Sociología")</f>
        <v>12090801 Departamento de Sociología</v>
      </c>
      <c r="B193" s="1" t="str">
        <f>IFERROR(__xludf.DUMMYFUNCTION("""COMPUTED_VALUE"""),"A3A001 Académico Prof. Asistente")</f>
        <v>A3A001 Académico Prof. Asistente</v>
      </c>
      <c r="C193" s="1" t="str">
        <f>IFERROR(__xludf.DUMMYFUNCTION("""COMPUTED_VALUE"""),"Prof. Asistente - Categ. Academica Ord.")</f>
        <v>Prof. Asistente - Categ. Academica Ord.</v>
      </c>
      <c r="D193" s="1" t="str">
        <f>IFERROR(__xludf.DUMMYFUNCTION("""COMPUTED_VALUE"""),"A3A Prof. Asistente - Categ. Academica Ord.")</f>
        <v>A3A Prof. Asistente - Categ. Academica Ord.</v>
      </c>
      <c r="E193" s="1" t="str">
        <f>IFERROR(__xludf.DUMMYFUNCTION("""COMPUTED_VALUE"""),"Masculino")</f>
        <v>Masculino</v>
      </c>
      <c r="F193" s="1" t="str">
        <f>IFERROR(__xludf.DUMMYFUNCTION("""COMPUTED_VALUE"""),"Madariaga")</f>
        <v>Madariaga</v>
      </c>
      <c r="G193" s="1" t="str">
        <f>IFERROR(__xludf.DUMMYFUNCTION("""COMPUTED_VALUE"""),"Díaz")</f>
        <v>Díaz</v>
      </c>
      <c r="H193" s="1" t="str">
        <f>IFERROR(__xludf.DUMMYFUNCTION("""COMPUTED_VALUE"""),"Hugo Alfonso")</f>
        <v>Hugo Alfonso</v>
      </c>
      <c r="I193" s="1" t="str">
        <f>IFERROR(__xludf.DUMMYFUNCTION("""COMPUTED_VALUE"""),"Madariaga Díaz Hugo Alfonso")</f>
        <v>Madariaga Díaz Hugo Alfonso</v>
      </c>
      <c r="J193" s="10">
        <f>IFERROR(__xludf.DUMMYFUNCTION("""COMPUTED_VALUE"""),23682.0)</f>
        <v>23682</v>
      </c>
      <c r="K193" s="10">
        <f>IFERROR(__xludf.DUMMYFUNCTION("""COMPUTED_VALUE"""),14621.0)</f>
        <v>14621</v>
      </c>
      <c r="L193" s="1">
        <f>IFERROR(__xludf.DUMMYFUNCTION("""COMPUTED_VALUE"""),84.0)</f>
        <v>84</v>
      </c>
      <c r="M193" s="1" t="str">
        <f>IFERROR(__xludf.DUMMYFUNCTION("""COMPUTED_VALUE"""),"0001 Casado")</f>
        <v>0001 Casado</v>
      </c>
      <c r="N193" s="1"/>
      <c r="O193" s="10">
        <f>IFERROR(__xludf.DUMMYFUNCTION("""COMPUTED_VALUE"""),34060.0)</f>
        <v>34060</v>
      </c>
      <c r="P193" s="10">
        <f>IFERROR(__xludf.DUMMYFUNCTION("""COMPUTED_VALUE"""),37937.0)</f>
        <v>37937</v>
      </c>
      <c r="Q193" s="1" t="str">
        <f>IFERROR(__xludf.DUMMYFUNCTION("""COMPUTED_VALUE"""),"P Propiedad")</f>
        <v>P Propiedad</v>
      </c>
      <c r="R193" s="1" t="str">
        <f>IFERROR(__xludf.DUMMYFUNCTION("""COMPUTED_VALUE"""),"A Académico")</f>
        <v>A Académico</v>
      </c>
      <c r="S193" s="9" t="str">
        <f>IFERROR(__xludf.DUMMYFUNCTION("""COMPUTED_VALUE"""),"46018044")</f>
        <v>46018044</v>
      </c>
      <c r="T193" s="1" t="str">
        <f>IFERROR(__xludf.DUMMYFUNCTION("""COMPUTED_VALUE"""),"0046018044")</f>
        <v>0046018044</v>
      </c>
      <c r="U193" s="1">
        <f>IFERROR(__xludf.DUMMYFUNCTION("""COMPUTED_VALUE"""),22.0)</f>
        <v>22</v>
      </c>
      <c r="V193" s="1" t="str">
        <f>IFERROR(__xludf.DUMMYFUNCTION("""COMPUTED_VALUE"""),"P0501 Con Titulo Profesional")</f>
        <v>P0501 Con Titulo Profesional</v>
      </c>
      <c r="W193" s="1">
        <f>IFERROR(__xludf.DUMMYFUNCTION("""COMPUTED_VALUE"""),24103.0)</f>
        <v>24103</v>
      </c>
      <c r="X193" s="1" t="str">
        <f>IFERROR(__xludf.DUMMYFUNCTION("""COMPUTED_VALUE"""),"Universidad De Chile")</f>
        <v>Universidad De Chile</v>
      </c>
      <c r="Y193" s="1" t="str">
        <f>IFERROR(__xludf.DUMMYFUNCTION("""COMPUTED_VALUE"""),"CHILE")</f>
        <v>CHILE</v>
      </c>
      <c r="Z193" s="1"/>
    </row>
    <row r="194">
      <c r="A194" s="1" t="str">
        <f>IFERROR(__xludf.DUMMYFUNCTION("""COMPUTED_VALUE"""),"12090701 Departamento de Psicología")</f>
        <v>12090701 Departamento de Psicología</v>
      </c>
      <c r="B194" s="1" t="str">
        <f>IFERROR(__xludf.DUMMYFUNCTION("""COMPUTED_VALUE"""),"A4A001 ACADEMICO  INSTRUCTOR")</f>
        <v>A4A001 ACADEMICO  INSTRUCTOR</v>
      </c>
      <c r="C194" s="1" t="str">
        <f>IFERROR(__xludf.DUMMYFUNCTION("""COMPUTED_VALUE"""),"Instructor")</f>
        <v>Instructor</v>
      </c>
      <c r="D194" s="1" t="str">
        <f>IFERROR(__xludf.DUMMYFUNCTION("""COMPUTED_VALUE"""),"A4A Instructor")</f>
        <v>A4A Instructor</v>
      </c>
      <c r="E194" s="1" t="str">
        <f>IFERROR(__xludf.DUMMYFUNCTION("""COMPUTED_VALUE"""),"Masculino")</f>
        <v>Masculino</v>
      </c>
      <c r="F194" s="1" t="str">
        <f>IFERROR(__xludf.DUMMYFUNCTION("""COMPUTED_VALUE"""),"Martínez")</f>
        <v>Martínez</v>
      </c>
      <c r="G194" s="1" t="str">
        <f>IFERROR(__xludf.DUMMYFUNCTION("""COMPUTED_VALUE"""),"Miranda")</f>
        <v>Miranda</v>
      </c>
      <c r="H194" s="1" t="str">
        <f>IFERROR(__xludf.DUMMYFUNCTION("""COMPUTED_VALUE"""),"Gabriel Andrés")</f>
        <v>Gabriel Andrés</v>
      </c>
      <c r="I194" s="1" t="str">
        <f>IFERROR(__xludf.DUMMYFUNCTION("""COMPUTED_VALUE"""),"Martínez Miranda Gabriel Andrés")</f>
        <v>Martínez Miranda Gabriel Andrés</v>
      </c>
      <c r="J194" s="10">
        <f>IFERROR(__xludf.DUMMYFUNCTION("""COMPUTED_VALUE"""),39866.0)</f>
        <v>39866</v>
      </c>
      <c r="K194" s="10">
        <f>IFERROR(__xludf.DUMMYFUNCTION("""COMPUTED_VALUE"""),30347.0)</f>
        <v>30347</v>
      </c>
      <c r="L194" s="1">
        <f>IFERROR(__xludf.DUMMYFUNCTION("""COMPUTED_VALUE"""),40.0)</f>
        <v>40</v>
      </c>
      <c r="M194" s="1" t="str">
        <f>IFERROR(__xludf.DUMMYFUNCTION("""COMPUTED_VALUE"""),"0002 Soltero")</f>
        <v>0002 Soltero</v>
      </c>
      <c r="N194" s="1"/>
      <c r="O194" s="10">
        <f>IFERROR(__xludf.DUMMYFUNCTION("""COMPUTED_VALUE"""),41275.0)</f>
        <v>41275</v>
      </c>
      <c r="P194" s="10">
        <f>IFERROR(__xludf.DUMMYFUNCTION("""COMPUTED_VALUE"""),41639.0)</f>
        <v>41639</v>
      </c>
      <c r="Q194" s="1" t="str">
        <f>IFERROR(__xludf.DUMMYFUNCTION("""COMPUTED_VALUE"""),"C Contrata")</f>
        <v>C Contrata</v>
      </c>
      <c r="R194" s="1" t="str">
        <f>IFERROR(__xludf.DUMMYFUNCTION("""COMPUTED_VALUE"""),"A Académico")</f>
        <v>A Académico</v>
      </c>
      <c r="S194" s="9" t="str">
        <f>IFERROR(__xludf.DUMMYFUNCTION("""COMPUTED_VALUE"""),"015384142K")</f>
        <v>015384142K</v>
      </c>
      <c r="T194" s="1" t="str">
        <f>IFERROR(__xludf.DUMMYFUNCTION("""COMPUTED_VALUE"""),"015384142K")</f>
        <v>015384142K</v>
      </c>
      <c r="U194" s="1">
        <f>IFERROR(__xludf.DUMMYFUNCTION("""COMPUTED_VALUE"""),2.0)</f>
        <v>2</v>
      </c>
      <c r="V194" s="1" t="str">
        <f>IFERROR(__xludf.DUMMYFUNCTION("""COMPUTED_VALUE"""),"P0401 Licenciado")</f>
        <v>P0401 Licenciado</v>
      </c>
      <c r="W194" s="1">
        <f>IFERROR(__xludf.DUMMYFUNCTION("""COMPUTED_VALUE"""),39083.0)</f>
        <v>39083</v>
      </c>
      <c r="X194" s="1" t="str">
        <f>IFERROR(__xludf.DUMMYFUNCTION("""COMPUTED_VALUE"""),"Universidad De Chile")</f>
        <v>Universidad De Chile</v>
      </c>
      <c r="Y194" s="1" t="str">
        <f>IFERROR(__xludf.DUMMYFUNCTION("""COMPUTED_VALUE"""),"CHILE")</f>
        <v>CHILE</v>
      </c>
      <c r="Z194" s="1" t="str">
        <f>IFERROR(__xludf.DUMMYFUNCTION("""COMPUTED_VALUE"""),"T5124 Psicologo")</f>
        <v>T5124 Psicologo</v>
      </c>
    </row>
    <row r="195" hidden="1">
      <c r="A195" s="1" t="str">
        <f>IFERROR(__xludf.DUMMYFUNCTION("""COMPUTED_VALUE"""),"12090118 Dpto. de  Psicología (funcionamiento)")</f>
        <v>12090118 Dpto. de  Psicología (funcionamiento)</v>
      </c>
      <c r="B195" s="1" t="str">
        <f>IFERROR(__xludf.DUMMYFUNCTION("""COMPUTED_VALUE"""),"A3A001 Académico Prof. Asistente")</f>
        <v>A3A001 Académico Prof. Asistente</v>
      </c>
      <c r="C195" s="1" t="str">
        <f>IFERROR(__xludf.DUMMYFUNCTION("""COMPUTED_VALUE"""),"Prof. Asistente - Categ. Academica Ord.")</f>
        <v>Prof. Asistente - Categ. Academica Ord.</v>
      </c>
      <c r="D195" s="1" t="str">
        <f>IFERROR(__xludf.DUMMYFUNCTION("""COMPUTED_VALUE"""),"A3A Prof. Asistente - Categ. Academica Ord.")</f>
        <v>A3A Prof. Asistente - Categ. Academica Ord.</v>
      </c>
      <c r="E195" s="1" t="str">
        <f>IFERROR(__xludf.DUMMYFUNCTION("""COMPUTED_VALUE"""),"Masculino")</f>
        <v>Masculino</v>
      </c>
      <c r="F195" s="1" t="str">
        <f>IFERROR(__xludf.DUMMYFUNCTION("""COMPUTED_VALUE"""),"Martínez")</f>
        <v>Martínez</v>
      </c>
      <c r="G195" s="1" t="str">
        <f>IFERROR(__xludf.DUMMYFUNCTION("""COMPUTED_VALUE"""),"Ravanal")</f>
        <v>Ravanal</v>
      </c>
      <c r="H195" s="1" t="str">
        <f>IFERROR(__xludf.DUMMYFUNCTION("""COMPUTED_VALUE"""),"Víctor Manuel")</f>
        <v>Víctor Manuel</v>
      </c>
      <c r="I195" s="1" t="str">
        <f>IFERROR(__xludf.DUMMYFUNCTION("""COMPUTED_VALUE"""),"Martínez Ravanal Víctor Manuel")</f>
        <v>Martínez Ravanal Víctor Manuel</v>
      </c>
      <c r="J195" s="10">
        <f>IFERROR(__xludf.DUMMYFUNCTION("""COMPUTED_VALUE"""),25812.0)</f>
        <v>25812</v>
      </c>
      <c r="K195" s="10">
        <f>IFERROR(__xludf.DUMMYFUNCTION("""COMPUTED_VALUE"""),16963.0)</f>
        <v>16963</v>
      </c>
      <c r="L195" s="1">
        <f>IFERROR(__xludf.DUMMYFUNCTION("""COMPUTED_VALUE"""),77.0)</f>
        <v>77</v>
      </c>
      <c r="M195" s="1" t="str">
        <f>IFERROR(__xludf.DUMMYFUNCTION("""COMPUTED_VALUE"""),"0001 Casado")</f>
        <v>0001 Casado</v>
      </c>
      <c r="N195" s="1"/>
      <c r="O195" s="10">
        <f>IFERROR(__xludf.DUMMYFUNCTION("""COMPUTED_VALUE"""),42186.0)</f>
        <v>42186</v>
      </c>
      <c r="P195" s="10">
        <f>IFERROR(__xludf.DUMMYFUNCTION("""COMPUTED_VALUE"""),73050.0)</f>
        <v>73050</v>
      </c>
      <c r="Q195" s="1" t="str">
        <f>IFERROR(__xludf.DUMMYFUNCTION("""COMPUTED_VALUE"""),"P Propiedad")</f>
        <v>P Propiedad</v>
      </c>
      <c r="R195" s="1" t="str">
        <f>IFERROR(__xludf.DUMMYFUNCTION("""COMPUTED_VALUE"""),"A Académico")</f>
        <v>A Académico</v>
      </c>
      <c r="S195" s="9" t="str">
        <f>IFERROR(__xludf.DUMMYFUNCTION("""COMPUTED_VALUE"""),"52935563")</f>
        <v>52935563</v>
      </c>
      <c r="T195" s="1" t="str">
        <f>IFERROR(__xludf.DUMMYFUNCTION("""COMPUTED_VALUE"""),"0052935563")</f>
        <v>0052935563</v>
      </c>
      <c r="U195" s="1">
        <f>IFERROR(__xludf.DUMMYFUNCTION("""COMPUTED_VALUE"""),12.0)</f>
        <v>12</v>
      </c>
      <c r="V195" s="1" t="str">
        <f>IFERROR(__xludf.DUMMYFUNCTION("""COMPUTED_VALUE"""),"P0800 Magíster")</f>
        <v>P0800 Magíster</v>
      </c>
      <c r="W195" s="1">
        <f>IFERROR(__xludf.DUMMYFUNCTION("""COMPUTED_VALUE"""),40668.0)</f>
        <v>40668</v>
      </c>
      <c r="X195" s="1" t="str">
        <f>IFERROR(__xludf.DUMMYFUNCTION("""COMPUTED_VALUE"""),"Universidad Alberto Hurtado")</f>
        <v>Universidad Alberto Hurtado</v>
      </c>
      <c r="Y195" s="1" t="str">
        <f>IFERROR(__xludf.DUMMYFUNCTION("""COMPUTED_VALUE"""),"CHILE")</f>
        <v>CHILE</v>
      </c>
      <c r="Z195" s="1" t="str">
        <f>IFERROR(__xludf.DUMMYFUNCTION("""COMPUTED_VALUE"""),"T5124 Psicologo")</f>
        <v>T5124 Psicologo</v>
      </c>
    </row>
    <row r="196">
      <c r="A196" s="1" t="str">
        <f>IFERROR(__xludf.DUMMYFUNCTION("""COMPUTED_VALUE"""),"12090701 Departamento de Psicología")</f>
        <v>12090701 Departamento de Psicología</v>
      </c>
      <c r="B196" s="1" t="str">
        <f>IFERROR(__xludf.DUMMYFUNCTION("""COMPUTED_VALUE"""),"A4A001 ACADEMICO  INSTRUCTOR")</f>
        <v>A4A001 ACADEMICO  INSTRUCTOR</v>
      </c>
      <c r="C196" s="1" t="str">
        <f>IFERROR(__xludf.DUMMYFUNCTION("""COMPUTED_VALUE"""),"Instructor")</f>
        <v>Instructor</v>
      </c>
      <c r="D196" s="1" t="str">
        <f>IFERROR(__xludf.DUMMYFUNCTION("""COMPUTED_VALUE"""),"A4A Instructor")</f>
        <v>A4A Instructor</v>
      </c>
      <c r="E196" s="1" t="str">
        <f>IFERROR(__xludf.DUMMYFUNCTION("""COMPUTED_VALUE"""),"Masculino")</f>
        <v>Masculino</v>
      </c>
      <c r="F196" s="1" t="str">
        <f>IFERROR(__xludf.DUMMYFUNCTION("""COMPUTED_VALUE"""),"Martínez")</f>
        <v>Martínez</v>
      </c>
      <c r="G196" s="1" t="str">
        <f>IFERROR(__xludf.DUMMYFUNCTION("""COMPUTED_VALUE"""),"Ribes")</f>
        <v>Ribes</v>
      </c>
      <c r="H196" s="1" t="str">
        <f>IFERROR(__xludf.DUMMYFUNCTION("""COMPUTED_VALUE"""),"Antonio Jesus")</f>
        <v>Antonio Jesus</v>
      </c>
      <c r="I196" s="1" t="str">
        <f>IFERROR(__xludf.DUMMYFUNCTION("""COMPUTED_VALUE"""),"Martínez Ribes Antonio Jesus")</f>
        <v>Martínez Ribes Antonio Jesus</v>
      </c>
      <c r="J196" s="10">
        <f>IFERROR(__xludf.DUMMYFUNCTION("""COMPUTED_VALUE"""),36617.0)</f>
        <v>36617</v>
      </c>
      <c r="K196" s="10">
        <f>IFERROR(__xludf.DUMMYFUNCTION("""COMPUTED_VALUE"""),23103.0)</f>
        <v>23103</v>
      </c>
      <c r="L196" s="1">
        <f>IFERROR(__xludf.DUMMYFUNCTION("""COMPUTED_VALUE"""),60.0)</f>
        <v>60</v>
      </c>
      <c r="M196" s="1" t="str">
        <f>IFERROR(__xludf.DUMMYFUNCTION("""COMPUTED_VALUE"""),"0001 Casado")</f>
        <v>0001 Casado</v>
      </c>
      <c r="N196" s="1"/>
      <c r="O196" s="10">
        <f>IFERROR(__xludf.DUMMYFUNCTION("""COMPUTED_VALUE"""),36617.0)</f>
        <v>36617</v>
      </c>
      <c r="P196" s="10">
        <f>IFERROR(__xludf.DUMMYFUNCTION("""COMPUTED_VALUE"""),36799.0)</f>
        <v>36799</v>
      </c>
      <c r="Q196" s="1" t="str">
        <f>IFERROR(__xludf.DUMMYFUNCTION("""COMPUTED_VALUE"""),"C Contrata")</f>
        <v>C Contrata</v>
      </c>
      <c r="R196" s="1" t="str">
        <f>IFERROR(__xludf.DUMMYFUNCTION("""COMPUTED_VALUE"""),"A Académico")</f>
        <v>A Académico</v>
      </c>
      <c r="S196" s="9" t="str">
        <f>IFERROR(__xludf.DUMMYFUNCTION("""COMPUTED_VALUE"""),"145394074")</f>
        <v>145394074</v>
      </c>
      <c r="T196" s="1" t="str">
        <f>IFERROR(__xludf.DUMMYFUNCTION("""COMPUTED_VALUE"""),"0145394074")</f>
        <v>0145394074</v>
      </c>
      <c r="U196" s="1">
        <f>IFERROR(__xludf.DUMMYFUNCTION("""COMPUTED_VALUE"""),6.0)</f>
        <v>6</v>
      </c>
      <c r="V196" s="1"/>
      <c r="W196" s="1"/>
      <c r="X196" s="1"/>
      <c r="Y196" s="1"/>
      <c r="Z196" s="1"/>
    </row>
    <row r="197" hidden="1">
      <c r="A197" s="1" t="str">
        <f>IFERROR(__xludf.DUMMYFUNCTION("""COMPUTED_VALUE"""),"12090301 Departamento de Antropología")</f>
        <v>12090301 Departamento de Antropología</v>
      </c>
      <c r="B197" s="1" t="str">
        <f>IFERROR(__xludf.DUMMYFUNCTION("""COMPUTED_VALUE"""),"A3A001 Académico Prof. Asistente")</f>
        <v>A3A001 Académico Prof. Asistente</v>
      </c>
      <c r="C197" s="1" t="str">
        <f>IFERROR(__xludf.DUMMYFUNCTION("""COMPUTED_VALUE"""),"Prof. Asistente - Categ. Academica Ord.")</f>
        <v>Prof. Asistente - Categ. Academica Ord.</v>
      </c>
      <c r="D197" s="1" t="str">
        <f>IFERROR(__xludf.DUMMYFUNCTION("""COMPUTED_VALUE"""),"A3A Prof. Asistente - Categ. Academica Ord.")</f>
        <v>A3A Prof. Asistente - Categ. Academica Ord.</v>
      </c>
      <c r="E197" s="1" t="str">
        <f>IFERROR(__xludf.DUMMYFUNCTION("""COMPUTED_VALUE"""),"Masculino")</f>
        <v>Masculino</v>
      </c>
      <c r="F197" s="1" t="str">
        <f>IFERROR(__xludf.DUMMYFUNCTION("""COMPUTED_VALUE"""),"Martinic")</f>
        <v>Martinic</v>
      </c>
      <c r="G197" s="1" t="str">
        <f>IFERROR(__xludf.DUMMYFUNCTION("""COMPUTED_VALUE"""),"Valencia")</f>
        <v>Valencia</v>
      </c>
      <c r="H197" s="1" t="str">
        <f>IFERROR(__xludf.DUMMYFUNCTION("""COMPUTED_VALUE"""),"Sergio")</f>
        <v>Sergio</v>
      </c>
      <c r="I197" s="1" t="str">
        <f>IFERROR(__xludf.DUMMYFUNCTION("""COMPUTED_VALUE"""),"Martinic Valencia Sergio")</f>
        <v>Martinic Valencia Sergio</v>
      </c>
      <c r="J197" s="10">
        <f>IFERROR(__xludf.DUMMYFUNCTION("""COMPUTED_VALUE"""),28185.0)</f>
        <v>28185</v>
      </c>
      <c r="K197" s="10">
        <f>IFERROR(__xludf.DUMMYFUNCTION("""COMPUTED_VALUE"""),18927.0)</f>
        <v>18927</v>
      </c>
      <c r="L197" s="1">
        <f>IFERROR(__xludf.DUMMYFUNCTION("""COMPUTED_VALUE"""),72.0)</f>
        <v>72</v>
      </c>
      <c r="M197" s="1" t="str">
        <f>IFERROR(__xludf.DUMMYFUNCTION("""COMPUTED_VALUE"""),"0001 Casado")</f>
        <v>0001 Casado</v>
      </c>
      <c r="N197" s="1"/>
      <c r="O197" s="10">
        <f>IFERROR(__xludf.DUMMYFUNCTION("""COMPUTED_VALUE"""),38200.0)</f>
        <v>38200</v>
      </c>
      <c r="P197" s="10">
        <f>IFERROR(__xludf.DUMMYFUNCTION("""COMPUTED_VALUE"""),38230.0)</f>
        <v>38230</v>
      </c>
      <c r="Q197" s="1" t="str">
        <f>IFERROR(__xludf.DUMMYFUNCTION("""COMPUTED_VALUE"""),"C Contrata")</f>
        <v>C Contrata</v>
      </c>
      <c r="R197" s="1" t="str">
        <f>IFERROR(__xludf.DUMMYFUNCTION("""COMPUTED_VALUE"""),"A Académico")</f>
        <v>A Académico</v>
      </c>
      <c r="S197" s="9" t="str">
        <f>IFERROR(__xludf.DUMMYFUNCTION("""COMPUTED_VALUE"""),"58972789")</f>
        <v>58972789</v>
      </c>
      <c r="T197" s="1" t="str">
        <f>IFERROR(__xludf.DUMMYFUNCTION("""COMPUTED_VALUE"""),"0058972789")</f>
        <v>0058972789</v>
      </c>
      <c r="U197" s="1">
        <f>IFERROR(__xludf.DUMMYFUNCTION("""COMPUTED_VALUE"""),9.0)</f>
        <v>9</v>
      </c>
      <c r="V197" s="1" t="str">
        <f>IFERROR(__xludf.DUMMYFUNCTION("""COMPUTED_VALUE"""),"P0900 Doctor")</f>
        <v>P0900 Doctor</v>
      </c>
      <c r="W197" s="1">
        <f>IFERROR(__xludf.DUMMYFUNCTION("""COMPUTED_VALUE"""),34699.0)</f>
        <v>34699</v>
      </c>
      <c r="X197" s="1" t="str">
        <f>IFERROR(__xludf.DUMMYFUNCTION("""COMPUTED_VALUE"""),"Universidad Catolica De Lovaina")</f>
        <v>Universidad Catolica De Lovaina</v>
      </c>
      <c r="Y197" s="1" t="str">
        <f>IFERROR(__xludf.DUMMYFUNCTION("""COMPUTED_VALUE"""),"BÉLGICA")</f>
        <v>BÉLGICA</v>
      </c>
      <c r="Z197" s="1"/>
    </row>
    <row r="198" hidden="1">
      <c r="A198" s="1" t="str">
        <f>IFERROR(__xludf.DUMMYFUNCTION("""COMPUTED_VALUE"""),"12090301 Departamento de Antropología")</f>
        <v>12090301 Departamento de Antropología</v>
      </c>
      <c r="B198" s="1" t="str">
        <f>IFERROR(__xludf.DUMMYFUNCTION("""COMPUTED_VALUE"""),"A3A001 Académico Prof. Asistente")</f>
        <v>A3A001 Académico Prof. Asistente</v>
      </c>
      <c r="C198" s="1" t="str">
        <f>IFERROR(__xludf.DUMMYFUNCTION("""COMPUTED_VALUE"""),"Prof. Asistente - Categ. Academica Ord.")</f>
        <v>Prof. Asistente - Categ. Academica Ord.</v>
      </c>
      <c r="D198" s="1" t="str">
        <f>IFERROR(__xludf.DUMMYFUNCTION("""COMPUTED_VALUE"""),"A3A Prof. Asistente - Categ. Academica Ord.")</f>
        <v>A3A Prof. Asistente - Categ. Academica Ord.</v>
      </c>
      <c r="E198" s="1" t="str">
        <f>IFERROR(__xludf.DUMMYFUNCTION("""COMPUTED_VALUE"""),"Masculino")</f>
        <v>Masculino</v>
      </c>
      <c r="F198" s="1" t="str">
        <f>IFERROR(__xludf.DUMMYFUNCTION("""COMPUTED_VALUE"""),"Massone")</f>
        <v>Massone</v>
      </c>
      <c r="G198" s="1" t="str">
        <f>IFERROR(__xludf.DUMMYFUNCTION("""COMPUTED_VALUE"""),"Mezzano")</f>
        <v>Mezzano</v>
      </c>
      <c r="H198" s="1" t="str">
        <f>IFERROR(__xludf.DUMMYFUNCTION("""COMPUTED_VALUE"""),"Claudio")</f>
        <v>Claudio</v>
      </c>
      <c r="I198" s="1" t="str">
        <f>IFERROR(__xludf.DUMMYFUNCTION("""COMPUTED_VALUE"""),"Massone Mezzano Claudio")</f>
        <v>Massone Mezzano Claudio</v>
      </c>
      <c r="J198" s="10">
        <f>IFERROR(__xludf.DUMMYFUNCTION("""COMPUTED_VALUE"""),29830.0)</f>
        <v>29830</v>
      </c>
      <c r="K198" s="10">
        <f>IFERROR(__xludf.DUMMYFUNCTION("""COMPUTED_VALUE"""),16011.0)</f>
        <v>16011</v>
      </c>
      <c r="L198" s="1">
        <f>IFERROR(__xludf.DUMMYFUNCTION("""COMPUTED_VALUE"""),80.0)</f>
        <v>80</v>
      </c>
      <c r="M198" s="1" t="str">
        <f>IFERROR(__xludf.DUMMYFUNCTION("""COMPUTED_VALUE"""),"0001 Casado")</f>
        <v>0001 Casado</v>
      </c>
      <c r="N198" s="1"/>
      <c r="O198" s="10">
        <f>IFERROR(__xludf.DUMMYFUNCTION("""COMPUTED_VALUE"""),32690.0)</f>
        <v>32690</v>
      </c>
      <c r="P198" s="10">
        <f>IFERROR(__xludf.DUMMYFUNCTION("""COMPUTED_VALUE"""),35145.0)</f>
        <v>35145</v>
      </c>
      <c r="Q198" s="1" t="str">
        <f>IFERROR(__xludf.DUMMYFUNCTION("""COMPUTED_VALUE"""),"P Propiedad")</f>
        <v>P Propiedad</v>
      </c>
      <c r="R198" s="1" t="str">
        <f>IFERROR(__xludf.DUMMYFUNCTION("""COMPUTED_VALUE"""),"A Académico")</f>
        <v>A Académico</v>
      </c>
      <c r="S198" s="9" t="str">
        <f>IFERROR(__xludf.DUMMYFUNCTION("""COMPUTED_VALUE"""),"53287174")</f>
        <v>53287174</v>
      </c>
      <c r="T198" s="1" t="str">
        <f>IFERROR(__xludf.DUMMYFUNCTION("""COMPUTED_VALUE"""),"0053287174")</f>
        <v>0053287174</v>
      </c>
      <c r="U198" s="1">
        <f>IFERROR(__xludf.DUMMYFUNCTION("""COMPUTED_VALUE"""),6.0)</f>
        <v>6</v>
      </c>
      <c r="V198" s="1"/>
      <c r="W198" s="1"/>
      <c r="X198" s="1"/>
      <c r="Y198" s="1"/>
      <c r="Z198" s="1"/>
    </row>
    <row r="199" hidden="1">
      <c r="A199" s="1" t="str">
        <f>IFERROR(__xludf.DUMMYFUNCTION("""COMPUTED_VALUE"""),"12090301 Departamento de Antropología")</f>
        <v>12090301 Departamento de Antropología</v>
      </c>
      <c r="B199" s="1" t="str">
        <f>IFERROR(__xludf.DUMMYFUNCTION("""COMPUTED_VALUE"""),"A3A001 Académico Prof. Asistente")</f>
        <v>A3A001 Académico Prof. Asistente</v>
      </c>
      <c r="C199" s="1" t="str">
        <f>IFERROR(__xludf.DUMMYFUNCTION("""COMPUTED_VALUE"""),"Prof. Asistente - Categ. Academica Ord.")</f>
        <v>Prof. Asistente - Categ. Academica Ord.</v>
      </c>
      <c r="D199" s="1" t="str">
        <f>IFERROR(__xludf.DUMMYFUNCTION("""COMPUTED_VALUE"""),"A3A Prof. Asistente - Categ. Academica Ord.")</f>
        <v>A3A Prof. Asistente - Categ. Academica Ord.</v>
      </c>
      <c r="E199" s="1" t="str">
        <f>IFERROR(__xludf.DUMMYFUNCTION("""COMPUTED_VALUE"""),"Masculino")</f>
        <v>Masculino</v>
      </c>
      <c r="F199" s="1" t="str">
        <f>IFERROR(__xludf.DUMMYFUNCTION("""COMPUTED_VALUE"""),"Massone")</f>
        <v>Massone</v>
      </c>
      <c r="G199" s="1" t="str">
        <f>IFERROR(__xludf.DUMMYFUNCTION("""COMPUTED_VALUE"""),"Mezzano")</f>
        <v>Mezzano</v>
      </c>
      <c r="H199" s="1" t="str">
        <f>IFERROR(__xludf.DUMMYFUNCTION("""COMPUTED_VALUE"""),"Mauricio")</f>
        <v>Mauricio</v>
      </c>
      <c r="I199" s="1" t="str">
        <f>IFERROR(__xludf.DUMMYFUNCTION("""COMPUTED_VALUE"""),"Massone Mezzano Mauricio")</f>
        <v>Massone Mezzano Mauricio</v>
      </c>
      <c r="J199" s="10">
        <f>IFERROR(__xludf.DUMMYFUNCTION("""COMPUTED_VALUE"""),32721.0)</f>
        <v>32721</v>
      </c>
      <c r="K199" s="10">
        <f>IFERROR(__xludf.DUMMYFUNCTION("""COMPUTED_VALUE"""),18075.0)</f>
        <v>18075</v>
      </c>
      <c r="L199" s="1">
        <f>IFERROR(__xludf.DUMMYFUNCTION("""COMPUTED_VALUE"""),74.0)</f>
        <v>74</v>
      </c>
      <c r="M199" s="1" t="str">
        <f>IFERROR(__xludf.DUMMYFUNCTION("""COMPUTED_VALUE"""),"0001 Casado")</f>
        <v>0001 Casado</v>
      </c>
      <c r="N199" s="1"/>
      <c r="O199" s="10">
        <f>IFERROR(__xludf.DUMMYFUNCTION("""COMPUTED_VALUE"""),33848.0)</f>
        <v>33848</v>
      </c>
      <c r="P199" s="10">
        <f>IFERROR(__xludf.DUMMYFUNCTION("""COMPUTED_VALUE"""),36981.0)</f>
        <v>36981</v>
      </c>
      <c r="Q199" s="1" t="str">
        <f>IFERROR(__xludf.DUMMYFUNCTION("""COMPUTED_VALUE"""),"P Propiedad")</f>
        <v>P Propiedad</v>
      </c>
      <c r="R199" s="1" t="str">
        <f>IFERROR(__xludf.DUMMYFUNCTION("""COMPUTED_VALUE"""),"A Académico")</f>
        <v>A Académico</v>
      </c>
      <c r="S199" s="9" t="str">
        <f>IFERROR(__xludf.DUMMYFUNCTION("""COMPUTED_VALUE"""),"64123688")</f>
        <v>64123688</v>
      </c>
      <c r="T199" s="1" t="str">
        <f>IFERROR(__xludf.DUMMYFUNCTION("""COMPUTED_VALUE"""),"0064123688")</f>
        <v>0064123688</v>
      </c>
      <c r="U199" s="1">
        <f>IFERROR(__xludf.DUMMYFUNCTION("""COMPUTED_VALUE"""),6.0)</f>
        <v>6</v>
      </c>
      <c r="V199" s="1"/>
      <c r="W199" s="1"/>
      <c r="X199" s="1"/>
      <c r="Y199" s="1"/>
      <c r="Z199" s="1"/>
    </row>
    <row r="200" hidden="1">
      <c r="A200" s="1" t="str">
        <f>IFERROR(__xludf.DUMMYFUNCTION("""COMPUTED_VALUE"""),"12090301 Departamento de Antropología")</f>
        <v>12090301 Departamento de Antropología</v>
      </c>
      <c r="B200" s="1" t="str">
        <f>IFERROR(__xludf.DUMMYFUNCTION("""COMPUTED_VALUE"""),"A4A001 ACADEMICO  INSTRUCTOR")</f>
        <v>A4A001 ACADEMICO  INSTRUCTOR</v>
      </c>
      <c r="C200" s="1" t="str">
        <f>IFERROR(__xludf.DUMMYFUNCTION("""COMPUTED_VALUE"""),"Instructor")</f>
        <v>Instructor</v>
      </c>
      <c r="D200" s="1" t="str">
        <f>IFERROR(__xludf.DUMMYFUNCTION("""COMPUTED_VALUE"""),"A4A Instructor")</f>
        <v>A4A Instructor</v>
      </c>
      <c r="E200" s="1" t="str">
        <f>IFERROR(__xludf.DUMMYFUNCTION("""COMPUTED_VALUE"""),"Masculino")</f>
        <v>Masculino</v>
      </c>
      <c r="F200" s="1" t="str">
        <f>IFERROR(__xludf.DUMMYFUNCTION("""COMPUTED_VALUE"""),"Maturana")</f>
        <v>Maturana</v>
      </c>
      <c r="G200" s="1" t="str">
        <f>IFERROR(__xludf.DUMMYFUNCTION("""COMPUTED_VALUE"""),"Miranda")</f>
        <v>Miranda</v>
      </c>
      <c r="H200" s="1" t="str">
        <f>IFERROR(__xludf.DUMMYFUNCTION("""COMPUTED_VALUE"""),"Carlos Horacio")</f>
        <v>Carlos Horacio</v>
      </c>
      <c r="I200" s="1" t="str">
        <f>IFERROR(__xludf.DUMMYFUNCTION("""COMPUTED_VALUE"""),"Maturana Miranda Carlos Horacio")</f>
        <v>Maturana Miranda Carlos Horacio</v>
      </c>
      <c r="J200" s="10">
        <f>IFERROR(__xludf.DUMMYFUNCTION("""COMPUTED_VALUE"""),36220.0)</f>
        <v>36220</v>
      </c>
      <c r="K200" s="10">
        <f>IFERROR(__xludf.DUMMYFUNCTION("""COMPUTED_VALUE"""),14027.0)</f>
        <v>14027</v>
      </c>
      <c r="L200" s="1">
        <f>IFERROR(__xludf.DUMMYFUNCTION("""COMPUTED_VALUE"""),85.0)</f>
        <v>85</v>
      </c>
      <c r="M200" s="1" t="str">
        <f>IFERROR(__xludf.DUMMYFUNCTION("""COMPUTED_VALUE"""),"0001 Casado")</f>
        <v>0001 Casado</v>
      </c>
      <c r="N200" s="1"/>
      <c r="O200" s="10">
        <f>IFERROR(__xludf.DUMMYFUNCTION("""COMPUTED_VALUE"""),38353.0)</f>
        <v>38353</v>
      </c>
      <c r="P200" s="10">
        <f>IFERROR(__xludf.DUMMYFUNCTION("""COMPUTED_VALUE"""),38472.0)</f>
        <v>38472</v>
      </c>
      <c r="Q200" s="1" t="str">
        <f>IFERROR(__xludf.DUMMYFUNCTION("""COMPUTED_VALUE"""),"C Contrata")</f>
        <v>C Contrata</v>
      </c>
      <c r="R200" s="1" t="str">
        <f>IFERROR(__xludf.DUMMYFUNCTION("""COMPUTED_VALUE"""),"A Académico")</f>
        <v>A Académico</v>
      </c>
      <c r="S200" s="9" t="str">
        <f>IFERROR(__xludf.DUMMYFUNCTION("""COMPUTED_VALUE"""),"41021020")</f>
        <v>41021020</v>
      </c>
      <c r="T200" s="1" t="str">
        <f>IFERROR(__xludf.DUMMYFUNCTION("""COMPUTED_VALUE"""),"0041021020")</f>
        <v>0041021020</v>
      </c>
      <c r="U200" s="1">
        <f>IFERROR(__xludf.DUMMYFUNCTION("""COMPUTED_VALUE"""),6.0)</f>
        <v>6</v>
      </c>
      <c r="V200" s="1" t="str">
        <f>IFERROR(__xludf.DUMMYFUNCTION("""COMPUTED_VALUE"""),"P0501 Con Titulo Profesional")</f>
        <v>P0501 Con Titulo Profesional</v>
      </c>
      <c r="W200" s="1">
        <f>IFERROR(__xludf.DUMMYFUNCTION("""COMPUTED_VALUE"""),27926.0)</f>
        <v>27926</v>
      </c>
      <c r="X200" s="1" t="str">
        <f>IFERROR(__xludf.DUMMYFUNCTION("""COMPUTED_VALUE"""),"Universidad De Chile")</f>
        <v>Universidad De Chile</v>
      </c>
      <c r="Y200" s="1" t="str">
        <f>IFERROR(__xludf.DUMMYFUNCTION("""COMPUTED_VALUE"""),"CHILE")</f>
        <v>CHILE</v>
      </c>
      <c r="Z200" s="1"/>
    </row>
    <row r="201" hidden="1">
      <c r="A201" s="1" t="str">
        <f>IFERROR(__xludf.DUMMYFUNCTION("""COMPUTED_VALUE"""),"12090901 Escuela de Postgrado")</f>
        <v>12090901 Escuela de Postgrado</v>
      </c>
      <c r="B201" s="1" t="str">
        <f>IFERROR(__xludf.DUMMYFUNCTION("""COMPUTED_VALUE"""),"A1A001 Académico Prof. Titular")</f>
        <v>A1A001 Académico Prof. Titular</v>
      </c>
      <c r="C201" s="1" t="str">
        <f>IFERROR(__xludf.DUMMYFUNCTION("""COMPUTED_VALUE"""),"Prof.Titular - Categ. Academica Ord.")</f>
        <v>Prof.Titular - Categ. Academica Ord.</v>
      </c>
      <c r="D201" s="1" t="str">
        <f>IFERROR(__xludf.DUMMYFUNCTION("""COMPUTED_VALUE"""),"A1A Prof.Titular - Categ. Academica Ord.")</f>
        <v>A1A Prof.Titular - Categ. Academica Ord.</v>
      </c>
      <c r="E201" s="1" t="str">
        <f>IFERROR(__xludf.DUMMYFUNCTION("""COMPUTED_VALUE"""),"Masculino")</f>
        <v>Masculino</v>
      </c>
      <c r="F201" s="1" t="str">
        <f>IFERROR(__xludf.DUMMYFUNCTION("""COMPUTED_VALUE"""),"Maturana")</f>
        <v>Maturana</v>
      </c>
      <c r="G201" s="1" t="str">
        <f>IFERROR(__xludf.DUMMYFUNCTION("""COMPUTED_VALUE"""),"Romesin")</f>
        <v>Romesin</v>
      </c>
      <c r="H201" s="1" t="str">
        <f>IFERROR(__xludf.DUMMYFUNCTION("""COMPUTED_VALUE"""),"Humberto Augusto")</f>
        <v>Humberto Augusto</v>
      </c>
      <c r="I201" s="1" t="str">
        <f>IFERROR(__xludf.DUMMYFUNCTION("""COMPUTED_VALUE"""),"Maturana Romesin Humberto Augusto")</f>
        <v>Maturana Romesin Humberto Augusto</v>
      </c>
      <c r="J201" s="10">
        <f>IFERROR(__xludf.DUMMYFUNCTION("""COMPUTED_VALUE"""),19815.0)</f>
        <v>19815</v>
      </c>
      <c r="K201" s="10">
        <f>IFERROR(__xludf.DUMMYFUNCTION("""COMPUTED_VALUE"""),10485.0)</f>
        <v>10485</v>
      </c>
      <c r="L201" s="1">
        <f>IFERROR(__xludf.DUMMYFUNCTION("""COMPUTED_VALUE"""),95.0)</f>
        <v>95</v>
      </c>
      <c r="M201" s="1" t="str">
        <f>IFERROR(__xludf.DUMMYFUNCTION("""COMPUTED_VALUE"""),"0004 Otro")</f>
        <v>0004 Otro</v>
      </c>
      <c r="N201" s="1"/>
      <c r="O201" s="10">
        <f>IFERROR(__xludf.DUMMYFUNCTION("""COMPUTED_VALUE"""),37257.0)</f>
        <v>37257</v>
      </c>
      <c r="P201" s="10">
        <f>IFERROR(__xludf.DUMMYFUNCTION("""COMPUTED_VALUE"""),37437.0)</f>
        <v>37437</v>
      </c>
      <c r="Q201" s="1" t="str">
        <f>IFERROR(__xludf.DUMMYFUNCTION("""COMPUTED_VALUE"""),"C Contrata")</f>
        <v>C Contrata</v>
      </c>
      <c r="R201" s="1" t="str">
        <f>IFERROR(__xludf.DUMMYFUNCTION("""COMPUTED_VALUE"""),"A Académico")</f>
        <v>A Académico</v>
      </c>
      <c r="S201" s="9" t="str">
        <f>IFERROR(__xludf.DUMMYFUNCTION("""COMPUTED_VALUE"""),"29311803")</f>
        <v>29311803</v>
      </c>
      <c r="T201" s="1" t="str">
        <f>IFERROR(__xludf.DUMMYFUNCTION("""COMPUTED_VALUE"""),"0029311803")</f>
        <v>0029311803</v>
      </c>
      <c r="U201" s="1">
        <f>IFERROR(__xludf.DUMMYFUNCTION("""COMPUTED_VALUE"""),4.0)</f>
        <v>4</v>
      </c>
      <c r="V201" s="1" t="str">
        <f>IFERROR(__xludf.DUMMYFUNCTION("""COMPUTED_VALUE"""),"P0900 Doctor")</f>
        <v>P0900 Doctor</v>
      </c>
      <c r="W201" s="1">
        <f>IFERROR(__xludf.DUMMYFUNCTION("""COMPUTED_VALUE"""),21550.0)</f>
        <v>21550</v>
      </c>
      <c r="X201" s="1" t="str">
        <f>IFERROR(__xludf.DUMMYFUNCTION("""COMPUTED_VALUE"""),"Universidad De Harvard")</f>
        <v>Universidad De Harvard</v>
      </c>
      <c r="Y201" s="1" t="str">
        <f>IFERROR(__xludf.DUMMYFUNCTION("""COMPUTED_VALUE"""),"ESTADOS UNIDOS")</f>
        <v>ESTADOS UNIDOS</v>
      </c>
      <c r="Z201" s="1"/>
    </row>
    <row r="202">
      <c r="A202" s="1" t="str">
        <f>IFERROR(__xludf.DUMMYFUNCTION("""COMPUTED_VALUE"""),"12090501 Departamento de Investigaciónes Mediáticas y de la Comunicación")</f>
        <v>12090501 Departamento de Investigaciónes Mediáticas y de la Comunicación</v>
      </c>
      <c r="B202" s="1" t="str">
        <f>IFERROR(__xludf.DUMMYFUNCTION("""COMPUTED_VALUE"""),"A3A001 Académico Prof. Asistente")</f>
        <v>A3A001 Académico Prof. Asistente</v>
      </c>
      <c r="C202" s="1" t="str">
        <f>IFERROR(__xludf.DUMMYFUNCTION("""COMPUTED_VALUE"""),"Prof. Asistente - Categ. Academica Ord.")</f>
        <v>Prof. Asistente - Categ. Academica Ord.</v>
      </c>
      <c r="D202" s="1" t="str">
        <f>IFERROR(__xludf.DUMMYFUNCTION("""COMPUTED_VALUE"""),"A3A Prof. Asistente - Categ. Academica Ord.")</f>
        <v>A3A Prof. Asistente - Categ. Academica Ord.</v>
      </c>
      <c r="E202" s="1" t="str">
        <f>IFERROR(__xludf.DUMMYFUNCTION("""COMPUTED_VALUE"""),"Femenino")</f>
        <v>Femenino</v>
      </c>
      <c r="F202" s="1" t="str">
        <f>IFERROR(__xludf.DUMMYFUNCTION("""COMPUTED_VALUE"""),"Matus")</f>
        <v>Matus</v>
      </c>
      <c r="G202" s="1" t="str">
        <f>IFERROR(__xludf.DUMMYFUNCTION("""COMPUTED_VALUE"""),"Acuña")</f>
        <v>Acuña</v>
      </c>
      <c r="H202" s="1" t="str">
        <f>IFERROR(__xludf.DUMMYFUNCTION("""COMPUTED_VALUE"""),"Alejandra Marcela")</f>
        <v>Alejandra Marcela</v>
      </c>
      <c r="I202" s="1" t="str">
        <f>IFERROR(__xludf.DUMMYFUNCTION("""COMPUTED_VALUE"""),"Matus Acuña Alejandra Marcela")</f>
        <v>Matus Acuña Alejandra Marcela</v>
      </c>
      <c r="J202" s="10">
        <f>IFERROR(__xludf.DUMMYFUNCTION("""COMPUTED_VALUE"""),37622.0)</f>
        <v>37622</v>
      </c>
      <c r="K202" s="10">
        <f>IFERROR(__xludf.DUMMYFUNCTION("""COMPUTED_VALUE"""),24118.0)</f>
        <v>24118</v>
      </c>
      <c r="L202" s="1">
        <f>IFERROR(__xludf.DUMMYFUNCTION("""COMPUTED_VALUE"""),58.0)</f>
        <v>58</v>
      </c>
      <c r="M202" s="1" t="str">
        <f>IFERROR(__xludf.DUMMYFUNCTION("""COMPUTED_VALUE"""),"0001 Casado")</f>
        <v>0001 Casado</v>
      </c>
      <c r="N202" s="1" t="str">
        <f>IFERROR(__xludf.DUMMYFUNCTION("""COMPUTED_VALUE"""),"N0040 Profesional Superior")</f>
        <v>N0040 Profesional Superior</v>
      </c>
      <c r="O202" s="10">
        <f>IFERROR(__xludf.DUMMYFUNCTION("""COMPUTED_VALUE"""),37803.0)</f>
        <v>37803</v>
      </c>
      <c r="P202" s="10">
        <f>IFERROR(__xludf.DUMMYFUNCTION("""COMPUTED_VALUE"""),37833.0)</f>
        <v>37833</v>
      </c>
      <c r="Q202" s="1" t="str">
        <f>IFERROR(__xludf.DUMMYFUNCTION("""COMPUTED_VALUE"""),"C Contrata")</f>
        <v>C Contrata</v>
      </c>
      <c r="R202" s="1" t="str">
        <f>IFERROR(__xludf.DUMMYFUNCTION("""COMPUTED_VALUE"""),"A Académico")</f>
        <v>A Académico</v>
      </c>
      <c r="S202" s="9" t="str">
        <f>IFERROR(__xludf.DUMMYFUNCTION("""COMPUTED_VALUE"""),"98632395")</f>
        <v>98632395</v>
      </c>
      <c r="T202" s="1" t="str">
        <f>IFERROR(__xludf.DUMMYFUNCTION("""COMPUTED_VALUE"""),"0098632395")</f>
        <v>0098632395</v>
      </c>
      <c r="U202" s="1">
        <f>IFERROR(__xludf.DUMMYFUNCTION("""COMPUTED_VALUE"""),22.0)</f>
        <v>22</v>
      </c>
      <c r="V202" s="1" t="str">
        <f>IFERROR(__xludf.DUMMYFUNCTION("""COMPUTED_VALUE"""),"P0801 Master En Ciencias")</f>
        <v>P0801 Master En Ciencias</v>
      </c>
      <c r="W202" s="1">
        <f>IFERROR(__xludf.DUMMYFUNCTION("""COMPUTED_VALUE"""),40689.0)</f>
        <v>40689</v>
      </c>
      <c r="X202" s="1" t="str">
        <f>IFERROR(__xludf.DUMMYFUNCTION("""COMPUTED_VALUE"""),"Harvard University")</f>
        <v>Harvard University</v>
      </c>
      <c r="Y202" s="1" t="str">
        <f>IFERROR(__xludf.DUMMYFUNCTION("""COMPUTED_VALUE"""),"ESTADOS UNIDOS")</f>
        <v>ESTADOS UNIDOS</v>
      </c>
      <c r="Z202" s="1" t="str">
        <f>IFERROR(__xludf.DUMMYFUNCTION("""COMPUTED_VALUE"""),"T5074 Periodista")</f>
        <v>T5074 Periodista</v>
      </c>
    </row>
    <row r="203">
      <c r="A203" s="1" t="str">
        <f>IFERROR(__xludf.DUMMYFUNCTION("""COMPUTED_VALUE"""),"12090801 Departamento de Sociología")</f>
        <v>12090801 Departamento de Sociología</v>
      </c>
      <c r="B203" s="1" t="str">
        <f>IFERROR(__xludf.DUMMYFUNCTION("""COMPUTED_VALUE"""),"A3A001 Académico Prof. Asistente")</f>
        <v>A3A001 Académico Prof. Asistente</v>
      </c>
      <c r="C203" s="1" t="str">
        <f>IFERROR(__xludf.DUMMYFUNCTION("""COMPUTED_VALUE"""),"Prof. Asistente - Categ. Academica Ord.")</f>
        <v>Prof. Asistente - Categ. Academica Ord.</v>
      </c>
      <c r="D203" s="1" t="str">
        <f>IFERROR(__xludf.DUMMYFUNCTION("""COMPUTED_VALUE"""),"A3A Prof. Asistente - Categ. Academica Ord.")</f>
        <v>A3A Prof. Asistente - Categ. Academica Ord.</v>
      </c>
      <c r="E203" s="1" t="str">
        <f>IFERROR(__xludf.DUMMYFUNCTION("""COMPUTED_VALUE"""),"Masculino")</f>
        <v>Masculino</v>
      </c>
      <c r="F203" s="1" t="str">
        <f>IFERROR(__xludf.DUMMYFUNCTION("""COMPUTED_VALUE"""),"Mayol")</f>
        <v>Mayol</v>
      </c>
      <c r="G203" s="1" t="str">
        <f>IFERROR(__xludf.DUMMYFUNCTION("""COMPUTED_VALUE"""),"Miranda")</f>
        <v>Miranda</v>
      </c>
      <c r="H203" s="1" t="str">
        <f>IFERROR(__xludf.DUMMYFUNCTION("""COMPUTED_VALUE"""),"Alberto Manfredo")</f>
        <v>Alberto Manfredo</v>
      </c>
      <c r="I203" s="1" t="str">
        <f>IFERROR(__xludf.DUMMYFUNCTION("""COMPUTED_VALUE"""),"Mayol Miranda Alberto Manfredo")</f>
        <v>Mayol Miranda Alberto Manfredo</v>
      </c>
      <c r="J203" s="10">
        <f>IFERROR(__xludf.DUMMYFUNCTION("""COMPUTED_VALUE"""),39661.0)</f>
        <v>39661</v>
      </c>
      <c r="K203" s="10">
        <f>IFERROR(__xludf.DUMMYFUNCTION("""COMPUTED_VALUE"""),27949.0)</f>
        <v>27949</v>
      </c>
      <c r="L203" s="1">
        <f>IFERROR(__xludf.DUMMYFUNCTION("""COMPUTED_VALUE"""),47.0)</f>
        <v>47</v>
      </c>
      <c r="M203" s="1" t="str">
        <f>IFERROR(__xludf.DUMMYFUNCTION("""COMPUTED_VALUE"""),"0001 Casado")</f>
        <v>0001 Casado</v>
      </c>
      <c r="N203" s="1"/>
      <c r="O203" s="10">
        <f>IFERROR(__xludf.DUMMYFUNCTION("""COMPUTED_VALUE"""),40544.0)</f>
        <v>40544</v>
      </c>
      <c r="P203" s="10">
        <f>IFERROR(__xludf.DUMMYFUNCTION("""COMPUTED_VALUE"""),40574.0)</f>
        <v>40574</v>
      </c>
      <c r="Q203" s="1" t="str">
        <f>IFERROR(__xludf.DUMMYFUNCTION("""COMPUTED_VALUE"""),"C Contrata")</f>
        <v>C Contrata</v>
      </c>
      <c r="R203" s="1" t="str">
        <f>IFERROR(__xludf.DUMMYFUNCTION("""COMPUTED_VALUE"""),"A Académico")</f>
        <v>A Académico</v>
      </c>
      <c r="S203" s="9" t="str">
        <f>IFERROR(__xludf.DUMMYFUNCTION("""COMPUTED_VALUE"""),"99048794")</f>
        <v>99048794</v>
      </c>
      <c r="T203" s="1" t="str">
        <f>IFERROR(__xludf.DUMMYFUNCTION("""COMPUTED_VALUE"""),"0099048794")</f>
        <v>0099048794</v>
      </c>
      <c r="U203" s="1">
        <f>IFERROR(__xludf.DUMMYFUNCTION("""COMPUTED_VALUE"""),12.0)</f>
        <v>12</v>
      </c>
      <c r="V203" s="1"/>
      <c r="W203" s="1"/>
      <c r="X203" s="1"/>
      <c r="Y203" s="1"/>
      <c r="Z203" s="1" t="str">
        <f>IFERROR(__xludf.DUMMYFUNCTION("""COMPUTED_VALUE"""),"T5082 Sociologo")</f>
        <v>T5082 Sociologo</v>
      </c>
    </row>
    <row r="204">
      <c r="A204" s="1" t="str">
        <f>IFERROR(__xludf.DUMMYFUNCTION("""COMPUTED_VALUE"""),"12090301 Departamento de Antropología")</f>
        <v>12090301 Departamento de Antropología</v>
      </c>
      <c r="B204" s="1" t="str">
        <f>IFERROR(__xludf.DUMMYFUNCTION("""COMPUTED_VALUE"""),"A5A001 ACADEMICO AYUDANTE")</f>
        <v>A5A001 ACADEMICO AYUDANTE</v>
      </c>
      <c r="C204" s="1" t="str">
        <f>IFERROR(__xludf.DUMMYFUNCTION("""COMPUTED_VALUE"""),"Ayudante")</f>
        <v>Ayudante</v>
      </c>
      <c r="D204" s="1" t="str">
        <f>IFERROR(__xludf.DUMMYFUNCTION("""COMPUTED_VALUE"""),"A5A Ayudante")</f>
        <v>A5A Ayudante</v>
      </c>
      <c r="E204" s="1" t="str">
        <f>IFERROR(__xludf.DUMMYFUNCTION("""COMPUTED_VALUE"""),"Masculino")</f>
        <v>Masculino</v>
      </c>
      <c r="F204" s="1" t="str">
        <f>IFERROR(__xludf.DUMMYFUNCTION("""COMPUTED_VALUE"""),"Medina")</f>
        <v>Medina</v>
      </c>
      <c r="G204" s="1" t="str">
        <f>IFERROR(__xludf.DUMMYFUNCTION("""COMPUTED_VALUE"""),"Parra")</f>
        <v>Parra</v>
      </c>
      <c r="H204" s="1" t="str">
        <f>IFERROR(__xludf.DUMMYFUNCTION("""COMPUTED_VALUE"""),"Sergio Rodrigo")</f>
        <v>Sergio Rodrigo</v>
      </c>
      <c r="I204" s="1" t="str">
        <f>IFERROR(__xludf.DUMMYFUNCTION("""COMPUTED_VALUE"""),"Medina Parra Sergio Rodrigo")</f>
        <v>Medina Parra Sergio Rodrigo</v>
      </c>
      <c r="J204" s="10">
        <f>IFERROR(__xludf.DUMMYFUNCTION("""COMPUTED_VALUE"""),34455.0)</f>
        <v>34455</v>
      </c>
      <c r="K204" s="10">
        <f>IFERROR(__xludf.DUMMYFUNCTION("""COMPUTED_VALUE"""),24827.0)</f>
        <v>24827</v>
      </c>
      <c r="L204" s="1">
        <f>IFERROR(__xludf.DUMMYFUNCTION("""COMPUTED_VALUE"""),56.0)</f>
        <v>56</v>
      </c>
      <c r="M204" s="1" t="str">
        <f>IFERROR(__xludf.DUMMYFUNCTION("""COMPUTED_VALUE"""),"0002 Soltero")</f>
        <v>0002 Soltero</v>
      </c>
      <c r="N204" s="1"/>
      <c r="O204" s="10">
        <f>IFERROR(__xludf.DUMMYFUNCTION("""COMPUTED_VALUE"""),34455.0)</f>
        <v>34455</v>
      </c>
      <c r="P204" s="10">
        <f>IFERROR(__xludf.DUMMYFUNCTION("""COMPUTED_VALUE"""),34668.0)</f>
        <v>34668</v>
      </c>
      <c r="Q204" s="1" t="str">
        <f>IFERROR(__xludf.DUMMYFUNCTION("""COMPUTED_VALUE"""),"C Contrata")</f>
        <v>C Contrata</v>
      </c>
      <c r="R204" s="1" t="str">
        <f>IFERROR(__xludf.DUMMYFUNCTION("""COMPUTED_VALUE"""),"A Académico")</f>
        <v>A Académico</v>
      </c>
      <c r="S204" s="9" t="str">
        <f>IFERROR(__xludf.DUMMYFUNCTION("""COMPUTED_VALUE"""),"100479729")</f>
        <v>100479729</v>
      </c>
      <c r="T204" s="1" t="str">
        <f>IFERROR(__xludf.DUMMYFUNCTION("""COMPUTED_VALUE"""),"0100479729")</f>
        <v>0100479729</v>
      </c>
      <c r="U204" s="1">
        <f>IFERROR(__xludf.DUMMYFUNCTION("""COMPUTED_VALUE"""),22.0)</f>
        <v>22</v>
      </c>
      <c r="V204" s="1"/>
      <c r="W204" s="1"/>
      <c r="X204" s="1"/>
      <c r="Y204" s="1"/>
      <c r="Z204" s="1"/>
    </row>
    <row r="205">
      <c r="A205" s="1" t="str">
        <f>IFERROR(__xludf.DUMMYFUNCTION("""COMPUTED_VALUE"""),"12090301 Departamento de Antropología")</f>
        <v>12090301 Departamento de Antropología</v>
      </c>
      <c r="B205" s="1" t="str">
        <f>IFERROR(__xludf.DUMMYFUNCTION("""COMPUTED_VALUE"""),"A3A001 Académico Prof. Asistente")</f>
        <v>A3A001 Académico Prof. Asistente</v>
      </c>
      <c r="C205" s="1" t="str">
        <f>IFERROR(__xludf.DUMMYFUNCTION("""COMPUTED_VALUE"""),"Prof. Asistente - Categ. Academica Ord.")</f>
        <v>Prof. Asistente - Categ. Academica Ord.</v>
      </c>
      <c r="D205" s="1" t="str">
        <f>IFERROR(__xludf.DUMMYFUNCTION("""COMPUTED_VALUE"""),"A3A Prof. Asistente - Categ. Academica Ord.")</f>
        <v>A3A Prof. Asistente - Categ. Academica Ord.</v>
      </c>
      <c r="E205" s="1" t="str">
        <f>IFERROR(__xludf.DUMMYFUNCTION("""COMPUTED_VALUE"""),"Masculino")</f>
        <v>Masculino</v>
      </c>
      <c r="F205" s="1" t="str">
        <f>IFERROR(__xludf.DUMMYFUNCTION("""COMPUTED_VALUE"""),"Mena")</f>
        <v>Mena</v>
      </c>
      <c r="G205" s="1" t="str">
        <f>IFERROR(__xludf.DUMMYFUNCTION("""COMPUTED_VALUE"""),"Larraín")</f>
        <v>Larraín</v>
      </c>
      <c r="H205" s="1" t="str">
        <f>IFERROR(__xludf.DUMMYFUNCTION("""COMPUTED_VALUE"""),"Manuel Francisco")</f>
        <v>Manuel Francisco</v>
      </c>
      <c r="I205" s="1" t="str">
        <f>IFERROR(__xludf.DUMMYFUNCTION("""COMPUTED_VALUE"""),"Mena Larraín Manuel Francisco")</f>
        <v>Mena Larraín Manuel Francisco</v>
      </c>
      <c r="J205" s="10">
        <f>IFERROR(__xludf.DUMMYFUNCTION("""COMPUTED_VALUE"""),35521.0)</f>
        <v>35521</v>
      </c>
      <c r="K205" s="10">
        <f>IFERROR(__xludf.DUMMYFUNCTION("""COMPUTED_VALUE"""),21116.0)</f>
        <v>21116</v>
      </c>
      <c r="L205" s="1">
        <f>IFERROR(__xludf.DUMMYFUNCTION("""COMPUTED_VALUE"""),66.0)</f>
        <v>66</v>
      </c>
      <c r="M205" s="1" t="str">
        <f>IFERROR(__xludf.DUMMYFUNCTION("""COMPUTED_VALUE"""),"0001 Casado")</f>
        <v>0001 Casado</v>
      </c>
      <c r="N205" s="1"/>
      <c r="O205" s="10">
        <f>IFERROR(__xludf.DUMMYFUNCTION("""COMPUTED_VALUE"""),38565.0)</f>
        <v>38565</v>
      </c>
      <c r="P205" s="10">
        <f>IFERROR(__xludf.DUMMYFUNCTION("""COMPUTED_VALUE"""),38717.0)</f>
        <v>38717</v>
      </c>
      <c r="Q205" s="1" t="str">
        <f>IFERROR(__xludf.DUMMYFUNCTION("""COMPUTED_VALUE"""),"C Contrata")</f>
        <v>C Contrata</v>
      </c>
      <c r="R205" s="1" t="str">
        <f>IFERROR(__xludf.DUMMYFUNCTION("""COMPUTED_VALUE"""),"A Académico")</f>
        <v>A Académico</v>
      </c>
      <c r="S205" s="9" t="str">
        <f>IFERROR(__xludf.DUMMYFUNCTION("""COMPUTED_VALUE"""),"65575051")</f>
        <v>65575051</v>
      </c>
      <c r="T205" s="1" t="str">
        <f>IFERROR(__xludf.DUMMYFUNCTION("""COMPUTED_VALUE"""),"0065575051")</f>
        <v>0065575051</v>
      </c>
      <c r="U205" s="1">
        <f>IFERROR(__xludf.DUMMYFUNCTION("""COMPUTED_VALUE"""),6.0)</f>
        <v>6</v>
      </c>
      <c r="V205" s="1" t="str">
        <f>IFERROR(__xludf.DUMMYFUNCTION("""COMPUTED_VALUE"""),"P0900 Doctor")</f>
        <v>P0900 Doctor</v>
      </c>
      <c r="W205" s="1">
        <f>IFERROR(__xludf.DUMMYFUNCTION("""COMPUTED_VALUE"""),33603.0)</f>
        <v>33603</v>
      </c>
      <c r="X205" s="1" t="str">
        <f>IFERROR(__xludf.DUMMYFUNCTION("""COMPUTED_VALUE"""),"Universidad De California")</f>
        <v>Universidad De California</v>
      </c>
      <c r="Y205" s="1" t="str">
        <f>IFERROR(__xludf.DUMMYFUNCTION("""COMPUTED_VALUE"""),"ESTADOS UNIDOS")</f>
        <v>ESTADOS UNIDOS</v>
      </c>
      <c r="Z205" s="1"/>
    </row>
    <row r="206" hidden="1">
      <c r="A206" s="1" t="str">
        <f>IFERROR(__xludf.DUMMYFUNCTION("""COMPUTED_VALUE"""),"12090501 Departamento de Investigaciónes Mediáticas y de la Comunicación")</f>
        <v>12090501 Departamento de Investigaciónes Mediáticas y de la Comunicación</v>
      </c>
      <c r="B206" s="1" t="str">
        <f>IFERROR(__xludf.DUMMYFUNCTION("""COMPUTED_VALUE"""),"A3A001 Académico Prof. Asistente")</f>
        <v>A3A001 Académico Prof. Asistente</v>
      </c>
      <c r="C206" s="1" t="str">
        <f>IFERROR(__xludf.DUMMYFUNCTION("""COMPUTED_VALUE"""),"Prof. Asistente - Categ. Academica Ord.")</f>
        <v>Prof. Asistente - Categ. Academica Ord.</v>
      </c>
      <c r="D206" s="1" t="str">
        <f>IFERROR(__xludf.DUMMYFUNCTION("""COMPUTED_VALUE"""),"A3A Prof. Asistente - Categ. Academica Ord.")</f>
        <v>A3A Prof. Asistente - Categ. Academica Ord.</v>
      </c>
      <c r="E206" s="1" t="str">
        <f>IFERROR(__xludf.DUMMYFUNCTION("""COMPUTED_VALUE"""),"Masculino")</f>
        <v>Masculino</v>
      </c>
      <c r="F206" s="1" t="str">
        <f>IFERROR(__xludf.DUMMYFUNCTION("""COMPUTED_VALUE"""),"Mena")</f>
        <v>Mena</v>
      </c>
      <c r="G206" s="1" t="str">
        <f>IFERROR(__xludf.DUMMYFUNCTION("""COMPUTED_VALUE"""),"Orell")</f>
        <v>Orell</v>
      </c>
      <c r="H206" s="1" t="str">
        <f>IFERROR(__xludf.DUMMYFUNCTION("""COMPUTED_VALUE"""),"Samuel")</f>
        <v>Samuel</v>
      </c>
      <c r="I206" s="1" t="str">
        <f>IFERROR(__xludf.DUMMYFUNCTION("""COMPUTED_VALUE"""),"Mena Orell Samuel")</f>
        <v>Mena Orell Samuel</v>
      </c>
      <c r="J206" s="10">
        <f>IFERROR(__xludf.DUMMYFUNCTION("""COMPUTED_VALUE"""),31260.0)</f>
        <v>31260</v>
      </c>
      <c r="K206" s="10">
        <f>IFERROR(__xludf.DUMMYFUNCTION("""COMPUTED_VALUE"""),16968.0)</f>
        <v>16968</v>
      </c>
      <c r="L206" s="1">
        <f>IFERROR(__xludf.DUMMYFUNCTION("""COMPUTED_VALUE"""),77.0)</f>
        <v>77</v>
      </c>
      <c r="M206" s="1" t="str">
        <f>IFERROR(__xludf.DUMMYFUNCTION("""COMPUTED_VALUE"""),"0005 Divorciado")</f>
        <v>0005 Divorciado</v>
      </c>
      <c r="N206" s="1"/>
      <c r="O206" s="10">
        <f>IFERROR(__xludf.DUMMYFUNCTION("""COMPUTED_VALUE"""),35065.0)</f>
        <v>35065</v>
      </c>
      <c r="P206" s="10">
        <f>IFERROR(__xludf.DUMMYFUNCTION("""COMPUTED_VALUE"""),37894.0)</f>
        <v>37894</v>
      </c>
      <c r="Q206" s="1" t="str">
        <f>IFERROR(__xludf.DUMMYFUNCTION("""COMPUTED_VALUE"""),"P Propiedad")</f>
        <v>P Propiedad</v>
      </c>
      <c r="R206" s="1" t="str">
        <f>IFERROR(__xludf.DUMMYFUNCTION("""COMPUTED_VALUE"""),"A Académico")</f>
        <v>A Académico</v>
      </c>
      <c r="S206" s="9" t="str">
        <f>IFERROR(__xludf.DUMMYFUNCTION("""COMPUTED_VALUE"""),"55756147")</f>
        <v>55756147</v>
      </c>
      <c r="T206" s="1" t="str">
        <f>IFERROR(__xludf.DUMMYFUNCTION("""COMPUTED_VALUE"""),"0055756147")</f>
        <v>0055756147</v>
      </c>
      <c r="U206" s="1">
        <f>IFERROR(__xludf.DUMMYFUNCTION("""COMPUTED_VALUE"""),6.0)</f>
        <v>6</v>
      </c>
      <c r="V206" s="1" t="str">
        <f>IFERROR(__xludf.DUMMYFUNCTION("""COMPUTED_VALUE"""),"P0501 Con Titulo Profesional")</f>
        <v>P0501 Con Titulo Profesional</v>
      </c>
      <c r="W206" s="1">
        <f>IFERROR(__xludf.DUMMYFUNCTION("""COMPUTED_VALUE"""),29571.0)</f>
        <v>29571</v>
      </c>
      <c r="X206" s="1" t="str">
        <f>IFERROR(__xludf.DUMMYFUNCTION("""COMPUTED_VALUE"""),"Universidad De Chile")</f>
        <v>Universidad De Chile</v>
      </c>
      <c r="Y206" s="1" t="str">
        <f>IFERROR(__xludf.DUMMYFUNCTION("""COMPUTED_VALUE"""),"CHILE")</f>
        <v>CHILE</v>
      </c>
      <c r="Z206" s="1"/>
    </row>
    <row r="207">
      <c r="A207" s="1" t="str">
        <f>IFERROR(__xludf.DUMMYFUNCTION("""COMPUTED_VALUE"""),"12090116 Dpto. de Antropología (funcionamiento)")</f>
        <v>12090116 Dpto. de Antropología (funcionamiento)</v>
      </c>
      <c r="B207" s="1" t="str">
        <f>IFERROR(__xludf.DUMMYFUNCTION("""COMPUTED_VALUE"""),"A2A001 Académico Prof. Asociado")</f>
        <v>A2A001 Académico Prof. Asociado</v>
      </c>
      <c r="C207" s="1" t="str">
        <f>IFERROR(__xludf.DUMMYFUNCTION("""COMPUTED_VALUE"""),"Prof. Asociado - Categ. Academica Ord.")</f>
        <v>Prof. Asociado - Categ. Academica Ord.</v>
      </c>
      <c r="D207" s="1" t="str">
        <f>IFERROR(__xludf.DUMMYFUNCTION("""COMPUTED_VALUE"""),"A2A Prof. Asociado - Categ. Academica Ord.")</f>
        <v>A2A Prof. Asociado - Categ. Academica Ord.</v>
      </c>
      <c r="E207" s="1" t="str">
        <f>IFERROR(__xludf.DUMMYFUNCTION("""COMPUTED_VALUE"""),"Masculino")</f>
        <v>Masculino</v>
      </c>
      <c r="F207" s="1" t="str">
        <f>IFERROR(__xludf.DUMMYFUNCTION("""COMPUTED_VALUE"""),"Mendez")</f>
        <v>Mendez</v>
      </c>
      <c r="G207" s="1" t="str">
        <f>IFERROR(__xludf.DUMMYFUNCTION("""COMPUTED_VALUE"""),"Melgar")</f>
        <v>Melgar</v>
      </c>
      <c r="H207" s="1" t="str">
        <f>IFERROR(__xludf.DUMMYFUNCTION("""COMPUTED_VALUE"""),"Cesar Augusto")</f>
        <v>Cesar Augusto</v>
      </c>
      <c r="I207" s="1" t="str">
        <f>IFERROR(__xludf.DUMMYFUNCTION("""COMPUTED_VALUE"""),"Mendez Melgar Cesar Augusto")</f>
        <v>Mendez Melgar Cesar Augusto</v>
      </c>
      <c r="J207" s="10">
        <f>IFERROR(__xludf.DUMMYFUNCTION("""COMPUTED_VALUE"""),38292.0)</f>
        <v>38292</v>
      </c>
      <c r="K207" s="10">
        <f>IFERROR(__xludf.DUMMYFUNCTION("""COMPUTED_VALUE"""),28438.0)</f>
        <v>28438</v>
      </c>
      <c r="L207" s="1">
        <f>IFERROR(__xludf.DUMMYFUNCTION("""COMPUTED_VALUE"""),46.0)</f>
        <v>46</v>
      </c>
      <c r="M207" s="1" t="str">
        <f>IFERROR(__xludf.DUMMYFUNCTION("""COMPUTED_VALUE"""),"0001 Casado")</f>
        <v>0001 Casado</v>
      </c>
      <c r="N207" s="1"/>
      <c r="O207" s="10">
        <f>IFERROR(__xludf.DUMMYFUNCTION("""COMPUTED_VALUE"""),42372.0)</f>
        <v>42372</v>
      </c>
      <c r="P207" s="10">
        <f>IFERROR(__xludf.DUMMYFUNCTION("""COMPUTED_VALUE"""),43009.0)</f>
        <v>43009</v>
      </c>
      <c r="Q207" s="1" t="str">
        <f>IFERROR(__xludf.DUMMYFUNCTION("""COMPUTED_VALUE"""),"P Propiedad")</f>
        <v>P Propiedad</v>
      </c>
      <c r="R207" s="1" t="str">
        <f>IFERROR(__xludf.DUMMYFUNCTION("""COMPUTED_VALUE"""),"A Académico")</f>
        <v>A Académico</v>
      </c>
      <c r="S207" s="9" t="str">
        <f>IFERROR(__xludf.DUMMYFUNCTION("""COMPUTED_VALUE"""),"014458614K")</f>
        <v>014458614K</v>
      </c>
      <c r="T207" s="1" t="str">
        <f>IFERROR(__xludf.DUMMYFUNCTION("""COMPUTED_VALUE"""),"014458614K")</f>
        <v>014458614K</v>
      </c>
      <c r="U207" s="1">
        <f>IFERROR(__xludf.DUMMYFUNCTION("""COMPUTED_VALUE"""),44.0)</f>
        <v>44</v>
      </c>
      <c r="V207" s="1" t="str">
        <f>IFERROR(__xludf.DUMMYFUNCTION("""COMPUTED_VALUE"""),"P0900 Doctor")</f>
        <v>P0900 Doctor</v>
      </c>
      <c r="W207" s="1">
        <f>IFERROR(__xludf.DUMMYFUNCTION("""COMPUTED_VALUE"""),40786.0)</f>
        <v>40786</v>
      </c>
      <c r="X207" s="1" t="str">
        <f>IFERROR(__xludf.DUMMYFUNCTION("""COMPUTED_VALUE"""),"Universidad De Tarapaca")</f>
        <v>Universidad De Tarapaca</v>
      </c>
      <c r="Y207" s="1" t="str">
        <f>IFERROR(__xludf.DUMMYFUNCTION("""COMPUTED_VALUE"""),"CHILE")</f>
        <v>CHILE</v>
      </c>
      <c r="Z207" s="1" t="str">
        <f>IFERROR(__xludf.DUMMYFUNCTION("""COMPUTED_VALUE"""),"T5373 Arqueólogo")</f>
        <v>T5373 Arqueólogo</v>
      </c>
    </row>
    <row r="208" hidden="1">
      <c r="A208" s="1" t="str">
        <f>IFERROR(__xludf.DUMMYFUNCTION("""COMPUTED_VALUE"""),"12090601 Departamento de Educación")</f>
        <v>12090601 Departamento de Educación</v>
      </c>
      <c r="B208" s="1" t="str">
        <f>IFERROR(__xludf.DUMMYFUNCTION("""COMPUTED_VALUE"""),"A7A001 ACADEMICO PROF. ADJUNTO")</f>
        <v>A7A001 ACADEMICO PROF. ADJUNTO</v>
      </c>
      <c r="C208" s="1" t="str">
        <f>IFERROR(__xludf.DUMMYFUNCTION("""COMPUTED_VALUE"""),"Prof. Adjunto")</f>
        <v>Prof. Adjunto</v>
      </c>
      <c r="D208" s="1" t="str">
        <f>IFERROR(__xludf.DUMMYFUNCTION("""COMPUTED_VALUE"""),"A7A Prof. Adjunto")</f>
        <v>A7A Prof. Adjunto</v>
      </c>
      <c r="E208" s="1" t="str">
        <f>IFERROR(__xludf.DUMMYFUNCTION("""COMPUTED_VALUE"""),"Masculino")</f>
        <v>Masculino</v>
      </c>
      <c r="F208" s="1" t="str">
        <f>IFERROR(__xludf.DUMMYFUNCTION("""COMPUTED_VALUE"""),"Menke")</f>
        <v>Menke</v>
      </c>
      <c r="G208" s="1" t="str">
        <f>IFERROR(__xludf.DUMMYFUNCTION("""COMPUTED_VALUE"""),"Theis")</f>
        <v>Theis</v>
      </c>
      <c r="H208" s="1" t="str">
        <f>IFERROR(__xludf.DUMMYFUNCTION("""COMPUTED_VALUE"""),"Luis")</f>
        <v>Luis</v>
      </c>
      <c r="I208" s="1" t="str">
        <f>IFERROR(__xludf.DUMMYFUNCTION("""COMPUTED_VALUE"""),"Menke Theis Luis")</f>
        <v>Menke Theis Luis</v>
      </c>
      <c r="J208" s="10">
        <f>IFERROR(__xludf.DUMMYFUNCTION("""COMPUTED_VALUE"""),20972.0)</f>
        <v>20972</v>
      </c>
      <c r="K208" s="10">
        <f>IFERROR(__xludf.DUMMYFUNCTION("""COMPUTED_VALUE"""),11830.0)</f>
        <v>11830</v>
      </c>
      <c r="L208" s="1">
        <f>IFERROR(__xludf.DUMMYFUNCTION("""COMPUTED_VALUE"""),91.0)</f>
        <v>91</v>
      </c>
      <c r="M208" s="1" t="str">
        <f>IFERROR(__xludf.DUMMYFUNCTION("""COMPUTED_VALUE"""),"0001 Casado")</f>
        <v>0001 Casado</v>
      </c>
      <c r="N208" s="1"/>
      <c r="O208" s="10">
        <f>IFERROR(__xludf.DUMMYFUNCTION("""COMPUTED_VALUE"""),38718.0)</f>
        <v>38718</v>
      </c>
      <c r="P208" s="10">
        <f>IFERROR(__xludf.DUMMYFUNCTION("""COMPUTED_VALUE"""),38895.0)</f>
        <v>38895</v>
      </c>
      <c r="Q208" s="1" t="str">
        <f>IFERROR(__xludf.DUMMYFUNCTION("""COMPUTED_VALUE"""),"K Ad Honorem Contrata")</f>
        <v>K Ad Honorem Contrata</v>
      </c>
      <c r="R208" s="1" t="str">
        <f>IFERROR(__xludf.DUMMYFUNCTION("""COMPUTED_VALUE"""),"A Académico")</f>
        <v>A Académico</v>
      </c>
      <c r="S208" s="9" t="str">
        <f>IFERROR(__xludf.DUMMYFUNCTION("""COMPUTED_VALUE"""),"31995647")</f>
        <v>31995647</v>
      </c>
      <c r="T208" s="1" t="str">
        <f>IFERROR(__xludf.DUMMYFUNCTION("""COMPUTED_VALUE"""),"0031995647")</f>
        <v>0031995647</v>
      </c>
      <c r="U208" s="1">
        <f>IFERROR(__xludf.DUMMYFUNCTION("""COMPUTED_VALUE"""),6.0)</f>
        <v>6</v>
      </c>
      <c r="V208" s="1" t="str">
        <f>IFERROR(__xludf.DUMMYFUNCTION("""COMPUTED_VALUE"""),"P0501 Con Titulo Profesional")</f>
        <v>P0501 Con Titulo Profesional</v>
      </c>
      <c r="W208" s="1">
        <f>IFERROR(__xludf.DUMMYFUNCTION("""COMPUTED_VALUE"""),20820.0)</f>
        <v>20820</v>
      </c>
      <c r="X208" s="1" t="str">
        <f>IFERROR(__xludf.DUMMYFUNCTION("""COMPUTED_VALUE"""),"Universidad De Chile")</f>
        <v>Universidad De Chile</v>
      </c>
      <c r="Y208" s="1" t="str">
        <f>IFERROR(__xludf.DUMMYFUNCTION("""COMPUTED_VALUE"""),"CHILE")</f>
        <v>CHILE</v>
      </c>
      <c r="Z208" s="1" t="str">
        <f>IFERROR(__xludf.DUMMYFUNCTION("""COMPUTED_VALUE"""),"T5103 Prof.De Hist. Y Geogr.Y Educ Civica")</f>
        <v>T5103 Prof.De Hist. Y Geogr.Y Educ Civica</v>
      </c>
    </row>
    <row r="209">
      <c r="A209" s="1" t="str">
        <f>IFERROR(__xludf.DUMMYFUNCTION("""COMPUTED_VALUE"""),"12090701 Departamento de Psicología")</f>
        <v>12090701 Departamento de Psicología</v>
      </c>
      <c r="B209" s="1" t="str">
        <f>IFERROR(__xludf.DUMMYFUNCTION("""COMPUTED_VALUE"""),"001064 Academico")</f>
        <v>001064 Academico</v>
      </c>
      <c r="C209" s="1" t="str">
        <f>IFERROR(__xludf.DUMMYFUNCTION("""COMPUTED_VALUE"""),"Prof. Asistente - Categ. Academica Ord.")</f>
        <v>Prof. Asistente - Categ. Academica Ord.</v>
      </c>
      <c r="D209" s="1" t="str">
        <f>IFERROR(__xludf.DUMMYFUNCTION("""COMPUTED_VALUE"""),"A3A Prof. Asistente - Categ. Academica Ord.")</f>
        <v>A3A Prof. Asistente - Categ. Academica Ord.</v>
      </c>
      <c r="E209" s="1" t="str">
        <f>IFERROR(__xludf.DUMMYFUNCTION("""COMPUTED_VALUE"""),"Femenino")</f>
        <v>Femenino</v>
      </c>
      <c r="F209" s="1" t="str">
        <f>IFERROR(__xludf.DUMMYFUNCTION("""COMPUTED_VALUE"""),"Micheli")</f>
        <v>Micheli</v>
      </c>
      <c r="G209" s="1" t="str">
        <f>IFERROR(__xludf.DUMMYFUNCTION("""COMPUTED_VALUE"""),"Ibáñez")</f>
        <v>Ibáñez</v>
      </c>
      <c r="H209" s="1" t="str">
        <f>IFERROR(__xludf.DUMMYFUNCTION("""COMPUTED_VALUE"""),"Carmen Gloria")</f>
        <v>Carmen Gloria</v>
      </c>
      <c r="I209" s="1" t="str">
        <f>IFERROR(__xludf.DUMMYFUNCTION("""COMPUTED_VALUE"""),"Micheli Ibáñez Carmen Gloria")</f>
        <v>Micheli Ibáñez Carmen Gloria</v>
      </c>
      <c r="J209" s="10">
        <f>IFERROR(__xludf.DUMMYFUNCTION("""COMPUTED_VALUE"""),30742.0)</f>
        <v>30742</v>
      </c>
      <c r="K209" s="10">
        <f>IFERROR(__xludf.DUMMYFUNCTION("""COMPUTED_VALUE"""),21201.0)</f>
        <v>21201</v>
      </c>
      <c r="L209" s="1">
        <f>IFERROR(__xludf.DUMMYFUNCTION("""COMPUTED_VALUE"""),66.0)</f>
        <v>66</v>
      </c>
      <c r="M209" s="1" t="str">
        <f>IFERROR(__xludf.DUMMYFUNCTION("""COMPUTED_VALUE"""),"0003 Viudo")</f>
        <v>0003 Viudo</v>
      </c>
      <c r="N209" s="1"/>
      <c r="O209" s="10">
        <f>IFERROR(__xludf.DUMMYFUNCTION("""COMPUTED_VALUE"""),38047.0)</f>
        <v>38047</v>
      </c>
      <c r="P209" s="10">
        <f>IFERROR(__xludf.DUMMYFUNCTION("""COMPUTED_VALUE"""),38664.0)</f>
        <v>38664</v>
      </c>
      <c r="Q209" s="1" t="str">
        <f>IFERROR(__xludf.DUMMYFUNCTION("""COMPUTED_VALUE"""),"P Propiedad")</f>
        <v>P Propiedad</v>
      </c>
      <c r="R209" s="1" t="str">
        <f>IFERROR(__xludf.DUMMYFUNCTION("""COMPUTED_VALUE"""),"A Académico")</f>
        <v>A Académico</v>
      </c>
      <c r="S209" s="9" t="str">
        <f>IFERROR(__xludf.DUMMYFUNCTION("""COMPUTED_VALUE"""),"006551799K")</f>
        <v>006551799K</v>
      </c>
      <c r="T209" s="1" t="str">
        <f>IFERROR(__xludf.DUMMYFUNCTION("""COMPUTED_VALUE"""),"006551799K")</f>
        <v>006551799K</v>
      </c>
      <c r="U209" s="1">
        <f>IFERROR(__xludf.DUMMYFUNCTION("""COMPUTED_VALUE"""),2.0)</f>
        <v>2</v>
      </c>
      <c r="V209" s="1" t="str">
        <f>IFERROR(__xludf.DUMMYFUNCTION("""COMPUTED_VALUE"""),"P0501 Con Titulo Profesional")</f>
        <v>P0501 Con Titulo Profesional</v>
      </c>
      <c r="W209" s="1">
        <f>IFERROR(__xludf.DUMMYFUNCTION("""COMPUTED_VALUE"""),30515.0)</f>
        <v>30515</v>
      </c>
      <c r="X209" s="1" t="str">
        <f>IFERROR(__xludf.DUMMYFUNCTION("""COMPUTED_VALUE"""),"Universidad Catolica Cardenal Raúl Silva Heníquez")</f>
        <v>Universidad Catolica Cardenal Raúl Silva Heníquez</v>
      </c>
      <c r="Y209" s="1" t="str">
        <f>IFERROR(__xludf.DUMMYFUNCTION("""COMPUTED_VALUE"""),"CHILE")</f>
        <v>CHILE</v>
      </c>
      <c r="Z209" s="1" t="str">
        <f>IFERROR(__xludf.DUMMYFUNCTION("""COMPUTED_VALUE"""),"T5124 Psicologo")</f>
        <v>T5124 Psicologo</v>
      </c>
    </row>
    <row r="210" hidden="1">
      <c r="A210" s="1" t="str">
        <f>IFERROR(__xludf.DUMMYFUNCTION("""COMPUTED_VALUE"""),"12090701 Departamento de Psicología")</f>
        <v>12090701 Departamento de Psicología</v>
      </c>
      <c r="B210" s="1" t="str">
        <f>IFERROR(__xludf.DUMMYFUNCTION("""COMPUTED_VALUE"""),"A3A001 Académico Prof. Asistente")</f>
        <v>A3A001 Académico Prof. Asistente</v>
      </c>
      <c r="C210" s="1" t="str">
        <f>IFERROR(__xludf.DUMMYFUNCTION("""COMPUTED_VALUE"""),"Prof. Asistente - Categ. Academica Ord.")</f>
        <v>Prof. Asistente - Categ. Academica Ord.</v>
      </c>
      <c r="D210" s="1" t="str">
        <f>IFERROR(__xludf.DUMMYFUNCTION("""COMPUTED_VALUE"""),"A3A Prof. Asistente - Categ. Academica Ord.")</f>
        <v>A3A Prof. Asistente - Categ. Academica Ord.</v>
      </c>
      <c r="E210" s="1" t="str">
        <f>IFERROR(__xludf.DUMMYFUNCTION("""COMPUTED_VALUE"""),"Masculino")</f>
        <v>Masculino</v>
      </c>
      <c r="F210" s="1" t="str">
        <f>IFERROR(__xludf.DUMMYFUNCTION("""COMPUTED_VALUE"""),"Mladinich")</f>
        <v>Mladinich</v>
      </c>
      <c r="G210" s="1" t="str">
        <f>IFERROR(__xludf.DUMMYFUNCTION("""COMPUTED_VALUE"""),"Alonso")</f>
        <v>Alonso</v>
      </c>
      <c r="H210" s="1" t="str">
        <f>IFERROR(__xludf.DUMMYFUNCTION("""COMPUTED_VALUE"""),"Antonio Ramón")</f>
        <v>Antonio Ramón</v>
      </c>
      <c r="I210" s="1" t="str">
        <f>IFERROR(__xludf.DUMMYFUNCTION("""COMPUTED_VALUE"""),"Mladinich Alonso Antonio Ramón")</f>
        <v>Mladinich Alonso Antonio Ramón</v>
      </c>
      <c r="J210" s="10">
        <f>IFERROR(__xludf.DUMMYFUNCTION("""COMPUTED_VALUE"""),28734.0)</f>
        <v>28734</v>
      </c>
      <c r="K210" s="10">
        <f>IFERROR(__xludf.DUMMYFUNCTION("""COMPUTED_VALUE"""),18930.0)</f>
        <v>18930</v>
      </c>
      <c r="L210" s="1">
        <f>IFERROR(__xludf.DUMMYFUNCTION("""COMPUTED_VALUE"""),72.0)</f>
        <v>72</v>
      </c>
      <c r="M210" s="1" t="str">
        <f>IFERROR(__xludf.DUMMYFUNCTION("""COMPUTED_VALUE"""),"0001 Casado")</f>
        <v>0001 Casado</v>
      </c>
      <c r="N210" s="1"/>
      <c r="O210" s="10">
        <f>IFERROR(__xludf.DUMMYFUNCTION("""COMPUTED_VALUE"""),35431.0)</f>
        <v>35431</v>
      </c>
      <c r="P210" s="10">
        <f>IFERROR(__xludf.DUMMYFUNCTION("""COMPUTED_VALUE"""),35673.0)</f>
        <v>35673</v>
      </c>
      <c r="Q210" s="1" t="str">
        <f>IFERROR(__xludf.DUMMYFUNCTION("""COMPUTED_VALUE"""),"C Contrata")</f>
        <v>C Contrata</v>
      </c>
      <c r="R210" s="1" t="str">
        <f>IFERROR(__xludf.DUMMYFUNCTION("""COMPUTED_VALUE"""),"A Académico")</f>
        <v>A Académico</v>
      </c>
      <c r="S210" s="9" t="str">
        <f>IFERROR(__xludf.DUMMYFUNCTION("""COMPUTED_VALUE"""),"60722676")</f>
        <v>60722676</v>
      </c>
      <c r="T210" s="1" t="str">
        <f>IFERROR(__xludf.DUMMYFUNCTION("""COMPUTED_VALUE"""),"0060722676")</f>
        <v>0060722676</v>
      </c>
      <c r="U210" s="1">
        <f>IFERROR(__xludf.DUMMYFUNCTION("""COMPUTED_VALUE"""),12.0)</f>
        <v>12</v>
      </c>
      <c r="V210" s="1"/>
      <c r="W210" s="1"/>
      <c r="X210" s="1"/>
      <c r="Y210" s="1"/>
      <c r="Z210" s="1" t="str">
        <f>IFERROR(__xludf.DUMMYFUNCTION("""COMPUTED_VALUE"""),"T5099 Profesor De Filosofia")</f>
        <v>T5099 Profesor De Filosofia</v>
      </c>
    </row>
    <row r="211">
      <c r="A211" s="1" t="str">
        <f>IFERROR(__xludf.DUMMYFUNCTION("""COMPUTED_VALUE"""),"12090701 Departamento de Psicología")</f>
        <v>12090701 Departamento de Psicología</v>
      </c>
      <c r="B211" s="1" t="str">
        <f>IFERROR(__xludf.DUMMYFUNCTION("""COMPUTED_VALUE"""),"A2B001 Académico Prof. Asociado")</f>
        <v>A2B001 Académico Prof. Asociado</v>
      </c>
      <c r="C211" s="1" t="str">
        <f>IFERROR(__xludf.DUMMYFUNCTION("""COMPUTED_VALUE"""),"Prof. Asociado - Categ. Academica Doc.")</f>
        <v>Prof. Asociado - Categ. Academica Doc.</v>
      </c>
      <c r="D211" s="1" t="str">
        <f>IFERROR(__xludf.DUMMYFUNCTION("""COMPUTED_VALUE"""),"A2B Prof. Asociado - Categ. Academica Doc.")</f>
        <v>A2B Prof. Asociado - Categ. Academica Doc.</v>
      </c>
      <c r="E211" s="1" t="str">
        <f>IFERROR(__xludf.DUMMYFUNCTION("""COMPUTED_VALUE"""),"Femenino")</f>
        <v>Femenino</v>
      </c>
      <c r="F211" s="1" t="str">
        <f>IFERROR(__xludf.DUMMYFUNCTION("""COMPUTED_VALUE"""),"Moncada")</f>
        <v>Moncada</v>
      </c>
      <c r="G211" s="1" t="str">
        <f>IFERROR(__xludf.DUMMYFUNCTION("""COMPUTED_VALUE"""),"Arroyo")</f>
        <v>Arroyo</v>
      </c>
      <c r="H211" s="1" t="str">
        <f>IFERROR(__xludf.DUMMYFUNCTION("""COMPUTED_VALUE"""),"Laura Adriana")</f>
        <v>Laura Adriana</v>
      </c>
      <c r="I211" s="1" t="str">
        <f>IFERROR(__xludf.DUMMYFUNCTION("""COMPUTED_VALUE"""),"Moncada Arroyo Laura Adriana")</f>
        <v>Moncada Arroyo Laura Adriana</v>
      </c>
      <c r="J211" s="10">
        <f>IFERROR(__xludf.DUMMYFUNCTION("""COMPUTED_VALUE"""),44136.0)</f>
        <v>44136</v>
      </c>
      <c r="K211" s="10">
        <f>IFERROR(__xludf.DUMMYFUNCTION("""COMPUTED_VALUE"""),19790.0)</f>
        <v>19790</v>
      </c>
      <c r="L211" s="1">
        <f>IFERROR(__xludf.DUMMYFUNCTION("""COMPUTED_VALUE"""),69.0)</f>
        <v>69</v>
      </c>
      <c r="M211" s="1" t="str">
        <f>IFERROR(__xludf.DUMMYFUNCTION("""COMPUTED_VALUE"""),"0005 Divorciado")</f>
        <v>0005 Divorciado</v>
      </c>
      <c r="N211" s="1" t="str">
        <f>IFERROR(__xludf.DUMMYFUNCTION("""COMPUTED_VALUE"""),"N0040 Profesional Superior")</f>
        <v>N0040 Profesional Superior</v>
      </c>
      <c r="O211" s="10">
        <f>IFERROR(__xludf.DUMMYFUNCTION("""COMPUTED_VALUE"""),41275.0)</f>
        <v>41275</v>
      </c>
      <c r="P211" s="10">
        <f>IFERROR(__xludf.DUMMYFUNCTION("""COMPUTED_VALUE"""),42063.0)</f>
        <v>42063</v>
      </c>
      <c r="Q211" s="1" t="str">
        <f>IFERROR(__xludf.DUMMYFUNCTION("""COMPUTED_VALUE"""),"P Propiedad")</f>
        <v>P Propiedad</v>
      </c>
      <c r="R211" s="1" t="str">
        <f>IFERROR(__xludf.DUMMYFUNCTION("""COMPUTED_VALUE"""),"A Académico")</f>
        <v>A Académico</v>
      </c>
      <c r="S211" s="9" t="str">
        <f>IFERROR(__xludf.DUMMYFUNCTION("""COMPUTED_VALUE"""),"70045486")</f>
        <v>70045486</v>
      </c>
      <c r="T211" s="1" t="str">
        <f>IFERROR(__xludf.DUMMYFUNCTION("""COMPUTED_VALUE"""),"0070045486")</f>
        <v>0070045486</v>
      </c>
      <c r="U211" s="1">
        <f>IFERROR(__xludf.DUMMYFUNCTION("""COMPUTED_VALUE"""),22.0)</f>
        <v>22</v>
      </c>
      <c r="V211" s="1" t="str">
        <f>IFERROR(__xludf.DUMMYFUNCTION("""COMPUTED_VALUE"""),"P0900 Doctor")</f>
        <v>P0900 Doctor</v>
      </c>
      <c r="W211" s="1">
        <f>IFERROR(__xludf.DUMMYFUNCTION("""COMPUTED_VALUE"""),38720.0)</f>
        <v>38720</v>
      </c>
      <c r="X211" s="1" t="str">
        <f>IFERROR(__xludf.DUMMYFUNCTION("""COMPUTED_VALUE"""),"Universidad De Chile")</f>
        <v>Universidad De Chile</v>
      </c>
      <c r="Y211" s="1" t="str">
        <f>IFERROR(__xludf.DUMMYFUNCTION("""COMPUTED_VALUE"""),"CHILE")</f>
        <v>CHILE</v>
      </c>
      <c r="Z211" s="1" t="str">
        <f>IFERROR(__xludf.DUMMYFUNCTION("""COMPUTED_VALUE"""),"T5124 Psicologo")</f>
        <v>T5124 Psicologo</v>
      </c>
    </row>
    <row r="212" hidden="1">
      <c r="A212" s="1" t="str">
        <f>IFERROR(__xludf.DUMMYFUNCTION("""COMPUTED_VALUE"""),"12090801 Departamento de Sociología")</f>
        <v>12090801 Departamento de Sociología</v>
      </c>
      <c r="B212" s="1" t="str">
        <f>IFERROR(__xludf.DUMMYFUNCTION("""COMPUTED_VALUE"""),"A2A001 Académico Prof. Asociado")</f>
        <v>A2A001 Académico Prof. Asociado</v>
      </c>
      <c r="C212" s="1" t="str">
        <f>IFERROR(__xludf.DUMMYFUNCTION("""COMPUTED_VALUE"""),"Prof. Asociado - Categ. Academica Ord.")</f>
        <v>Prof. Asociado - Categ. Academica Ord.</v>
      </c>
      <c r="D212" s="1" t="str">
        <f>IFERROR(__xludf.DUMMYFUNCTION("""COMPUTED_VALUE"""),"A2A Prof. Asociado - Categ. Academica Ord.")</f>
        <v>A2A Prof. Asociado - Categ. Academica Ord.</v>
      </c>
      <c r="E212" s="1" t="str">
        <f>IFERROR(__xludf.DUMMYFUNCTION("""COMPUTED_VALUE"""),"Femenino")</f>
        <v>Femenino</v>
      </c>
      <c r="F212" s="1" t="str">
        <f>IFERROR(__xludf.DUMMYFUNCTION("""COMPUTED_VALUE"""),"Montero")</f>
        <v>Montero</v>
      </c>
      <c r="G212" s="1" t="str">
        <f>IFERROR(__xludf.DUMMYFUNCTION("""COMPUTED_VALUE"""),"Saavedra")</f>
        <v>Saavedra</v>
      </c>
      <c r="H212" s="1" t="str">
        <f>IFERROR(__xludf.DUMMYFUNCTION("""COMPUTED_VALUE"""),"Cecilia Lucía Irma")</f>
        <v>Cecilia Lucía Irma</v>
      </c>
      <c r="I212" s="1" t="str">
        <f>IFERROR(__xludf.DUMMYFUNCTION("""COMPUTED_VALUE"""),"Montero Saavedra Cecilia Lucía Irma")</f>
        <v>Montero Saavedra Cecilia Lucía Irma</v>
      </c>
      <c r="J212" s="10">
        <f>IFERROR(__xludf.DUMMYFUNCTION("""COMPUTED_VALUE"""),33695.0)</f>
        <v>33695</v>
      </c>
      <c r="K212" s="10">
        <f>IFERROR(__xludf.DUMMYFUNCTION("""COMPUTED_VALUE"""),16285.0)</f>
        <v>16285</v>
      </c>
      <c r="L212" s="1">
        <f>IFERROR(__xludf.DUMMYFUNCTION("""COMPUTED_VALUE"""),79.0)</f>
        <v>79</v>
      </c>
      <c r="M212" s="1" t="str">
        <f>IFERROR(__xludf.DUMMYFUNCTION("""COMPUTED_VALUE"""),"0001 Casado")</f>
        <v>0001 Casado</v>
      </c>
      <c r="N212" s="1" t="str">
        <f>IFERROR(__xludf.DUMMYFUNCTION("""COMPUTED_VALUE"""),"N0040 Profesional Superior")</f>
        <v>N0040 Profesional Superior</v>
      </c>
      <c r="O212" s="10">
        <f>IFERROR(__xludf.DUMMYFUNCTION("""COMPUTED_VALUE"""),35521.0)</f>
        <v>35521</v>
      </c>
      <c r="P212" s="10">
        <f>IFERROR(__xludf.DUMMYFUNCTION("""COMPUTED_VALUE"""),38664.0)</f>
        <v>38664</v>
      </c>
      <c r="Q212" s="1" t="str">
        <f>IFERROR(__xludf.DUMMYFUNCTION("""COMPUTED_VALUE"""),"A Ad Honorem Propiedad")</f>
        <v>A Ad Honorem Propiedad</v>
      </c>
      <c r="R212" s="1" t="str">
        <f>IFERROR(__xludf.DUMMYFUNCTION("""COMPUTED_VALUE"""),"A Académico")</f>
        <v>A Académico</v>
      </c>
      <c r="S212" s="9" t="str">
        <f>IFERROR(__xludf.DUMMYFUNCTION("""COMPUTED_VALUE"""),"47403472")</f>
        <v>47403472</v>
      </c>
      <c r="T212" s="1" t="str">
        <f>IFERROR(__xludf.DUMMYFUNCTION("""COMPUTED_VALUE"""),"0047403472")</f>
        <v>0047403472</v>
      </c>
      <c r="U212" s="1">
        <f>IFERROR(__xludf.DUMMYFUNCTION("""COMPUTED_VALUE"""),2.0)</f>
        <v>2</v>
      </c>
      <c r="V212" s="1" t="str">
        <f>IFERROR(__xludf.DUMMYFUNCTION("""COMPUTED_VALUE"""),"P0900 Doctor")</f>
        <v>P0900 Doctor</v>
      </c>
      <c r="W212" s="1">
        <f>IFERROR(__xludf.DUMMYFUNCTION("""COMPUTED_VALUE"""),29220.0)</f>
        <v>29220</v>
      </c>
      <c r="X212" s="1" t="str">
        <f>IFERROR(__xludf.DUMMYFUNCTION("""COMPUTED_VALUE"""),"Universidad De Paris")</f>
        <v>Universidad De Paris</v>
      </c>
      <c r="Y212" s="1" t="str">
        <f>IFERROR(__xludf.DUMMYFUNCTION("""COMPUTED_VALUE"""),"FRANCIA")</f>
        <v>FRANCIA</v>
      </c>
      <c r="Z212" s="1" t="str">
        <f>IFERROR(__xludf.DUMMYFUNCTION("""COMPUTED_VALUE"""),"T5082 Sociologo")</f>
        <v>T5082 Sociologo</v>
      </c>
    </row>
    <row r="213">
      <c r="A213" s="1" t="str">
        <f>IFERROR(__xludf.DUMMYFUNCTION("""COMPUTED_VALUE"""),"12090701 Departamento de Psicología")</f>
        <v>12090701 Departamento de Psicología</v>
      </c>
      <c r="B213" s="1" t="str">
        <f>IFERROR(__xludf.DUMMYFUNCTION("""COMPUTED_VALUE"""),"A3A001 Académico Prof. Asistente")</f>
        <v>A3A001 Académico Prof. Asistente</v>
      </c>
      <c r="C213" s="1" t="str">
        <f>IFERROR(__xludf.DUMMYFUNCTION("""COMPUTED_VALUE"""),"Prof. Asistente - Categ. Academica Ord.")</f>
        <v>Prof. Asistente - Categ. Academica Ord.</v>
      </c>
      <c r="D213" s="1" t="str">
        <f>IFERROR(__xludf.DUMMYFUNCTION("""COMPUTED_VALUE"""),"A3A Prof. Asistente - Categ. Academica Ord.")</f>
        <v>A3A Prof. Asistente - Categ. Academica Ord.</v>
      </c>
      <c r="E213" s="1" t="str">
        <f>IFERROR(__xludf.DUMMYFUNCTION("""COMPUTED_VALUE"""),"Masculino")</f>
        <v>Masculino</v>
      </c>
      <c r="F213" s="1" t="str">
        <f>IFERROR(__xludf.DUMMYFUNCTION("""COMPUTED_VALUE"""),"Morales")</f>
        <v>Morales</v>
      </c>
      <c r="G213" s="1" t="str">
        <f>IFERROR(__xludf.DUMMYFUNCTION("""COMPUTED_VALUE"""),"Farías")</f>
        <v>Farías</v>
      </c>
      <c r="H213" s="1" t="str">
        <f>IFERROR(__xludf.DUMMYFUNCTION("""COMPUTED_VALUE"""),"Germán Patricio")</f>
        <v>Germán Patricio</v>
      </c>
      <c r="I213" s="1" t="str">
        <f>IFERROR(__xludf.DUMMYFUNCTION("""COMPUTED_VALUE"""),"Morales Farías Germán Patricio")</f>
        <v>Morales Farías Germán Patricio</v>
      </c>
      <c r="J213" s="10">
        <f>IFERROR(__xludf.DUMMYFUNCTION("""COMPUTED_VALUE"""),34759.0)</f>
        <v>34759</v>
      </c>
      <c r="K213" s="10">
        <f>IFERROR(__xludf.DUMMYFUNCTION("""COMPUTED_VALUE"""),22237.0)</f>
        <v>22237</v>
      </c>
      <c r="L213" s="1">
        <f>IFERROR(__xludf.DUMMYFUNCTION("""COMPUTED_VALUE"""),63.0)</f>
        <v>63</v>
      </c>
      <c r="M213" s="1" t="str">
        <f>IFERROR(__xludf.DUMMYFUNCTION("""COMPUTED_VALUE"""),"0001 Casado")</f>
        <v>0001 Casado</v>
      </c>
      <c r="N213" s="1" t="str">
        <f>IFERROR(__xludf.DUMMYFUNCTION("""COMPUTED_VALUE"""),"N0040 Profesional Superior")</f>
        <v>N0040 Profesional Superior</v>
      </c>
      <c r="O213" s="10">
        <f>IFERROR(__xludf.DUMMYFUNCTION("""COMPUTED_VALUE"""),36312.0)</f>
        <v>36312</v>
      </c>
      <c r="P213" s="10">
        <f>IFERROR(__xludf.DUMMYFUNCTION("""COMPUTED_VALUE"""),38442.0)</f>
        <v>38442</v>
      </c>
      <c r="Q213" s="1" t="str">
        <f>IFERROR(__xludf.DUMMYFUNCTION("""COMPUTED_VALUE"""),"P Propiedad")</f>
        <v>P Propiedad</v>
      </c>
      <c r="R213" s="1" t="str">
        <f>IFERROR(__xludf.DUMMYFUNCTION("""COMPUTED_VALUE"""),"A Académico")</f>
        <v>A Académico</v>
      </c>
      <c r="S213" s="9" t="str">
        <f>IFERROR(__xludf.DUMMYFUNCTION("""COMPUTED_VALUE"""),"008327431K")</f>
        <v>008327431K</v>
      </c>
      <c r="T213" s="1" t="str">
        <f>IFERROR(__xludf.DUMMYFUNCTION("""COMPUTED_VALUE"""),"008327431K")</f>
        <v>008327431K</v>
      </c>
      <c r="U213" s="1">
        <f>IFERROR(__xludf.DUMMYFUNCTION("""COMPUTED_VALUE"""),12.0)</f>
        <v>12</v>
      </c>
      <c r="V213" s="1" t="str">
        <f>IFERROR(__xludf.DUMMYFUNCTION("""COMPUTED_VALUE"""),"P0501 Con Titulo Profesional")</f>
        <v>P0501 Con Titulo Profesional</v>
      </c>
      <c r="W213" s="1">
        <f>IFERROR(__xludf.DUMMYFUNCTION("""COMPUTED_VALUE"""),32108.0)</f>
        <v>32108</v>
      </c>
      <c r="X213" s="1" t="str">
        <f>IFERROR(__xludf.DUMMYFUNCTION("""COMPUTED_VALUE"""),"Universidad Catolica Cardenal Raúl Silva Heníquez")</f>
        <v>Universidad Catolica Cardenal Raúl Silva Heníquez</v>
      </c>
      <c r="Y213" s="1" t="str">
        <f>IFERROR(__xludf.DUMMYFUNCTION("""COMPUTED_VALUE"""),"CHILE")</f>
        <v>CHILE</v>
      </c>
      <c r="Z213" s="1" t="str">
        <f>IFERROR(__xludf.DUMMYFUNCTION("""COMPUTED_VALUE"""),"T5124 Psicologo")</f>
        <v>T5124 Psicologo</v>
      </c>
    </row>
    <row r="214" hidden="1">
      <c r="A214" s="1" t="str">
        <f>IFERROR(__xludf.DUMMYFUNCTION("""COMPUTED_VALUE"""),"12090801 Departamento de Sociología")</f>
        <v>12090801 Departamento de Sociología</v>
      </c>
      <c r="B214" s="1" t="str">
        <f>IFERROR(__xludf.DUMMYFUNCTION("""COMPUTED_VALUE"""),"A7A001 ACADEMICO PROF. ADJUNTO")</f>
        <v>A7A001 ACADEMICO PROF. ADJUNTO</v>
      </c>
      <c r="C214" s="1" t="str">
        <f>IFERROR(__xludf.DUMMYFUNCTION("""COMPUTED_VALUE"""),"Prof. Adjunto")</f>
        <v>Prof. Adjunto</v>
      </c>
      <c r="D214" s="1" t="str">
        <f>IFERROR(__xludf.DUMMYFUNCTION("""COMPUTED_VALUE"""),"A7A Prof. Adjunto")</f>
        <v>A7A Prof. Adjunto</v>
      </c>
      <c r="E214" s="1" t="str">
        <f>IFERROR(__xludf.DUMMYFUNCTION("""COMPUTED_VALUE"""),"Masculino")</f>
        <v>Masculino</v>
      </c>
      <c r="F214" s="1" t="str">
        <f>IFERROR(__xludf.DUMMYFUNCTION("""COMPUTED_VALUE"""),"Morales")</f>
        <v>Morales</v>
      </c>
      <c r="G214" s="1" t="str">
        <f>IFERROR(__xludf.DUMMYFUNCTION("""COMPUTED_VALUE"""),"Morales")</f>
        <v>Morales</v>
      </c>
      <c r="H214" s="1" t="str">
        <f>IFERROR(__xludf.DUMMYFUNCTION("""COMPUTED_VALUE"""),"Eduardo Javier")</f>
        <v>Eduardo Javier</v>
      </c>
      <c r="I214" s="1" t="str">
        <f>IFERROR(__xludf.DUMMYFUNCTION("""COMPUTED_VALUE"""),"Morales Morales Eduardo Javier")</f>
        <v>Morales Morales Eduardo Javier</v>
      </c>
      <c r="J214" s="10">
        <f>IFERROR(__xludf.DUMMYFUNCTION("""COMPUTED_VALUE"""),25112.0)</f>
        <v>25112</v>
      </c>
      <c r="K214" s="10">
        <f>IFERROR(__xludf.DUMMYFUNCTION("""COMPUTED_VALUE"""),15104.0)</f>
        <v>15104</v>
      </c>
      <c r="L214" s="1">
        <f>IFERROR(__xludf.DUMMYFUNCTION("""COMPUTED_VALUE"""),82.0)</f>
        <v>82</v>
      </c>
      <c r="M214" s="1" t="str">
        <f>IFERROR(__xludf.DUMMYFUNCTION("""COMPUTED_VALUE"""),"0001 Casado")</f>
        <v>0001 Casado</v>
      </c>
      <c r="N214" s="1"/>
      <c r="O214" s="10">
        <f>IFERROR(__xludf.DUMMYFUNCTION("""COMPUTED_VALUE"""),39417.0)</f>
        <v>39417</v>
      </c>
      <c r="P214" s="10">
        <f>IFERROR(__xludf.DUMMYFUNCTION("""COMPUTED_VALUE"""),40240.0)</f>
        <v>40240</v>
      </c>
      <c r="Q214" s="1" t="str">
        <f>IFERROR(__xludf.DUMMYFUNCTION("""COMPUTED_VALUE"""),"P Propiedad")</f>
        <v>P Propiedad</v>
      </c>
      <c r="R214" s="1" t="str">
        <f>IFERROR(__xludf.DUMMYFUNCTION("""COMPUTED_VALUE"""),"A Académico")</f>
        <v>A Académico</v>
      </c>
      <c r="S214" s="9" t="str">
        <f>IFERROR(__xludf.DUMMYFUNCTION("""COMPUTED_VALUE"""),"40482059")</f>
        <v>40482059</v>
      </c>
      <c r="T214" s="1" t="str">
        <f>IFERROR(__xludf.DUMMYFUNCTION("""COMPUTED_VALUE"""),"0040482059")</f>
        <v>0040482059</v>
      </c>
      <c r="U214" s="1">
        <f>IFERROR(__xludf.DUMMYFUNCTION("""COMPUTED_VALUE"""),44.0)</f>
        <v>44</v>
      </c>
      <c r="V214" s="1" t="str">
        <f>IFERROR(__xludf.DUMMYFUNCTION("""COMPUTED_VALUE"""),"P0501 Con Titulo Profesional")</f>
        <v>P0501 Con Titulo Profesional</v>
      </c>
      <c r="W214" s="1">
        <f>IFERROR(__xludf.DUMMYFUNCTION("""COMPUTED_VALUE"""),25588.0)</f>
        <v>25588</v>
      </c>
      <c r="X214" s="1" t="str">
        <f>IFERROR(__xludf.DUMMYFUNCTION("""COMPUTED_VALUE"""),"Universidad De Chile")</f>
        <v>Universidad De Chile</v>
      </c>
      <c r="Y214" s="1" t="str">
        <f>IFERROR(__xludf.DUMMYFUNCTION("""COMPUTED_VALUE"""),"CHILE")</f>
        <v>CHILE</v>
      </c>
      <c r="Z214" s="1" t="str">
        <f>IFERROR(__xludf.DUMMYFUNCTION("""COMPUTED_VALUE"""),"T5082 Sociologo")</f>
        <v>T5082 Sociologo</v>
      </c>
    </row>
    <row r="215">
      <c r="A215" s="1" t="str">
        <f>IFERROR(__xludf.DUMMYFUNCTION("""COMPUTED_VALUE"""),"12090120 Departamento de Trabajo Social")</f>
        <v>12090120 Departamento de Trabajo Social</v>
      </c>
      <c r="B215" s="1" t="str">
        <f>IFERROR(__xludf.DUMMYFUNCTION("""COMPUTED_VALUE"""),"A3A001 Académico Prof. Asistente")</f>
        <v>A3A001 Académico Prof. Asistente</v>
      </c>
      <c r="C215" s="1" t="str">
        <f>IFERROR(__xludf.DUMMYFUNCTION("""COMPUTED_VALUE"""),"Prof. Asistente - Categ. Academica Ord.")</f>
        <v>Prof. Asistente - Categ. Academica Ord.</v>
      </c>
      <c r="D215" s="1" t="str">
        <f>IFERROR(__xludf.DUMMYFUNCTION("""COMPUTED_VALUE"""),"A3A Prof. Asistente - Categ. Academica Ord.")</f>
        <v>A3A Prof. Asistente - Categ. Academica Ord.</v>
      </c>
      <c r="E215" s="1" t="str">
        <f>IFERROR(__xludf.DUMMYFUNCTION("""COMPUTED_VALUE"""),"Femenino")</f>
        <v>Femenino</v>
      </c>
      <c r="F215" s="1" t="str">
        <f>IFERROR(__xludf.DUMMYFUNCTION("""COMPUTED_VALUE"""),"Moreno")</f>
        <v>Moreno</v>
      </c>
      <c r="G215" s="1" t="str">
        <f>IFERROR(__xludf.DUMMYFUNCTION("""COMPUTED_VALUE"""),"Romero")</f>
        <v>Romero</v>
      </c>
      <c r="H215" s="1" t="str">
        <f>IFERROR(__xludf.DUMMYFUNCTION("""COMPUTED_VALUE"""),"Jenny Andrea")</f>
        <v>Jenny Andrea</v>
      </c>
      <c r="I215" s="1" t="str">
        <f>IFERROR(__xludf.DUMMYFUNCTION("""COMPUTED_VALUE"""),"Moreno Romero Jenny Andrea")</f>
        <v>Moreno Romero Jenny Andrea</v>
      </c>
      <c r="J215" s="10">
        <f>IFERROR(__xludf.DUMMYFUNCTION("""COMPUTED_VALUE"""),43405.0)</f>
        <v>43405</v>
      </c>
      <c r="K215" s="10">
        <f>IFERROR(__xludf.DUMMYFUNCTION("""COMPUTED_VALUE"""),30654.0)</f>
        <v>30654</v>
      </c>
      <c r="L215" s="1">
        <f>IFERROR(__xludf.DUMMYFUNCTION("""COMPUTED_VALUE"""),40.0)</f>
        <v>40</v>
      </c>
      <c r="M215" s="1" t="str">
        <f>IFERROR(__xludf.DUMMYFUNCTION("""COMPUTED_VALUE"""),"0002 Soltero")</f>
        <v>0002 Soltero</v>
      </c>
      <c r="N215" s="1"/>
      <c r="O215" s="10">
        <f>IFERROR(__xludf.DUMMYFUNCTION("""COMPUTED_VALUE"""),44197.0)</f>
        <v>44197</v>
      </c>
      <c r="P215" s="10">
        <f>IFERROR(__xludf.DUMMYFUNCTION("""COMPUTED_VALUE"""),44286.0)</f>
        <v>44286</v>
      </c>
      <c r="Q215" s="1" t="str">
        <f>IFERROR(__xludf.DUMMYFUNCTION("""COMPUTED_VALUE"""),"C Contrata")</f>
        <v>C Contrata</v>
      </c>
      <c r="R215" s="1" t="str">
        <f>IFERROR(__xludf.DUMMYFUNCTION("""COMPUTED_VALUE"""),"A Académico")</f>
        <v>A Académico</v>
      </c>
      <c r="S215" s="9" t="str">
        <f>IFERROR(__xludf.DUMMYFUNCTION("""COMPUTED_VALUE"""),"156148091")</f>
        <v>156148091</v>
      </c>
      <c r="T215" s="1" t="str">
        <f>IFERROR(__xludf.DUMMYFUNCTION("""COMPUTED_VALUE"""),"0156148091")</f>
        <v>0156148091</v>
      </c>
      <c r="U215" s="1">
        <f>IFERROR(__xludf.DUMMYFUNCTION("""COMPUTED_VALUE"""),44.0)</f>
        <v>44</v>
      </c>
      <c r="V215" s="1" t="str">
        <f>IFERROR(__xludf.DUMMYFUNCTION("""COMPUTED_VALUE"""),"P0900 Doctor")</f>
        <v>P0900 Doctor</v>
      </c>
      <c r="W215" s="1">
        <f>IFERROR(__xludf.DUMMYFUNCTION("""COMPUTED_VALUE"""),42719.0)</f>
        <v>42719</v>
      </c>
      <c r="X215" s="1" t="str">
        <f>IFERROR(__xludf.DUMMYFUNCTION("""COMPUTED_VALUE"""),"The University of Nottingham")</f>
        <v>The University of Nottingham</v>
      </c>
      <c r="Y215" s="1" t="str">
        <f>IFERROR(__xludf.DUMMYFUNCTION("""COMPUTED_VALUE"""),"INGLATERRA")</f>
        <v>INGLATERRA</v>
      </c>
      <c r="Z215" s="1" t="str">
        <f>IFERROR(__xludf.DUMMYFUNCTION("""COMPUTED_VALUE"""),"T5005 Asistente Social")</f>
        <v>T5005 Asistente Social</v>
      </c>
    </row>
    <row r="216" hidden="1">
      <c r="A216" s="1" t="str">
        <f>IFERROR(__xludf.DUMMYFUNCTION("""COMPUTED_VALUE"""),"12090601 Departamento de Educación")</f>
        <v>12090601 Departamento de Educación</v>
      </c>
      <c r="B216" s="1" t="str">
        <f>IFERROR(__xludf.DUMMYFUNCTION("""COMPUTED_VALUE"""),"A1A001 Académico Prof. Titular")</f>
        <v>A1A001 Académico Prof. Titular</v>
      </c>
      <c r="C216" s="1" t="str">
        <f>IFERROR(__xludf.DUMMYFUNCTION("""COMPUTED_VALUE"""),"Prof.Titular - Categ. Academica Ord.")</f>
        <v>Prof.Titular - Categ. Academica Ord.</v>
      </c>
      <c r="D216" s="1" t="str">
        <f>IFERROR(__xludf.DUMMYFUNCTION("""COMPUTED_VALUE"""),"A1A Prof.Titular - Categ. Academica Ord.")</f>
        <v>A1A Prof.Titular - Categ. Academica Ord.</v>
      </c>
      <c r="E216" s="1" t="str">
        <f>IFERROR(__xludf.DUMMYFUNCTION("""COMPUTED_VALUE"""),"Masculino")</f>
        <v>Masculino</v>
      </c>
      <c r="F216" s="1" t="str">
        <f>IFERROR(__xludf.DUMMYFUNCTION("""COMPUTED_VALUE"""),"Munizaga")</f>
        <v>Munizaga</v>
      </c>
      <c r="G216" s="1" t="str">
        <f>IFERROR(__xludf.DUMMYFUNCTION("""COMPUTED_VALUE"""),"Aguirre")</f>
        <v>Aguirre</v>
      </c>
      <c r="H216" s="1" t="str">
        <f>IFERROR(__xludf.DUMMYFUNCTION("""COMPUTED_VALUE"""),"Roberto")</f>
        <v>Roberto</v>
      </c>
      <c r="I216" s="1" t="str">
        <f>IFERROR(__xludf.DUMMYFUNCTION("""COMPUTED_VALUE"""),"Munizaga Aguirre Roberto")</f>
        <v>Munizaga Aguirre Roberto</v>
      </c>
      <c r="J216" s="10">
        <f>IFERROR(__xludf.DUMMYFUNCTION("""COMPUTED_VALUE"""),10349.0)</f>
        <v>10349</v>
      </c>
      <c r="K216" s="10">
        <f>IFERROR(__xludf.DUMMYFUNCTION("""COMPUTED_VALUE"""),2000.0)</f>
        <v>2000</v>
      </c>
      <c r="L216" s="1">
        <f>IFERROR(__xludf.DUMMYFUNCTION("""COMPUTED_VALUE"""),118.0)</f>
        <v>118</v>
      </c>
      <c r="M216" s="1" t="str">
        <f>IFERROR(__xludf.DUMMYFUNCTION("""COMPUTED_VALUE"""),"0001 Casado")</f>
        <v>0001 Casado</v>
      </c>
      <c r="N216" s="1"/>
      <c r="O216" s="10">
        <f>IFERROR(__xludf.DUMMYFUNCTION("""COMPUTED_VALUE"""),29787.0)</f>
        <v>29787</v>
      </c>
      <c r="P216" s="10">
        <f>IFERROR(__xludf.DUMMYFUNCTION("""COMPUTED_VALUE"""),34577.0)</f>
        <v>34577</v>
      </c>
      <c r="Q216" s="1" t="str">
        <f>IFERROR(__xludf.DUMMYFUNCTION("""COMPUTED_VALUE"""),"P Propiedad")</f>
        <v>P Propiedad</v>
      </c>
      <c r="R216" s="1" t="str">
        <f>IFERROR(__xludf.DUMMYFUNCTION("""COMPUTED_VALUE"""),"A Académico")</f>
        <v>A Académico</v>
      </c>
      <c r="S216" s="9" t="str">
        <f>IFERROR(__xludf.DUMMYFUNCTION("""COMPUTED_VALUE"""),"4865693")</f>
        <v>4865693</v>
      </c>
      <c r="T216" s="1" t="str">
        <f>IFERROR(__xludf.DUMMYFUNCTION("""COMPUTED_VALUE"""),"4865693")</f>
        <v>4865693</v>
      </c>
      <c r="U216" s="1">
        <f>IFERROR(__xludf.DUMMYFUNCTION("""COMPUTED_VALUE"""),6.0)</f>
        <v>6</v>
      </c>
      <c r="V216" s="1"/>
      <c r="W216" s="1"/>
      <c r="X216" s="1"/>
      <c r="Y216" s="1"/>
      <c r="Z216" s="1"/>
    </row>
    <row r="217" hidden="1">
      <c r="A217" s="1" t="str">
        <f>IFERROR(__xludf.DUMMYFUNCTION("""COMPUTED_VALUE"""),"12090301 Departamento de Antropología")</f>
        <v>12090301 Departamento de Antropología</v>
      </c>
      <c r="B217" s="1" t="str">
        <f>IFERROR(__xludf.DUMMYFUNCTION("""COMPUTED_VALUE"""),"A1A001 Académico Prof. Titular")</f>
        <v>A1A001 Académico Prof. Titular</v>
      </c>
      <c r="C217" s="1" t="str">
        <f>IFERROR(__xludf.DUMMYFUNCTION("""COMPUTED_VALUE"""),"Prof.Titular - Categ. Academica Ord.")</f>
        <v>Prof.Titular - Categ. Academica Ord.</v>
      </c>
      <c r="D217" s="1" t="str">
        <f>IFERROR(__xludf.DUMMYFUNCTION("""COMPUTED_VALUE"""),"A1A Prof.Titular - Categ. Academica Ord.")</f>
        <v>A1A Prof.Titular - Categ. Academica Ord.</v>
      </c>
      <c r="E217" s="1" t="str">
        <f>IFERROR(__xludf.DUMMYFUNCTION("""COMPUTED_VALUE"""),"Masculino")</f>
        <v>Masculino</v>
      </c>
      <c r="F217" s="1" t="str">
        <f>IFERROR(__xludf.DUMMYFUNCTION("""COMPUTED_VALUE"""),"Munizaga")</f>
        <v>Munizaga</v>
      </c>
      <c r="G217" s="1" t="str">
        <f>IFERROR(__xludf.DUMMYFUNCTION("""COMPUTED_VALUE"""),"Villavicencio")</f>
        <v>Villavicencio</v>
      </c>
      <c r="H217" s="1" t="str">
        <f>IFERROR(__xludf.DUMMYFUNCTION("""COMPUTED_VALUE"""),"Juan Roberto")</f>
        <v>Juan Roberto</v>
      </c>
      <c r="I217" s="1" t="str">
        <f>IFERROR(__xludf.DUMMYFUNCTION("""COMPUTED_VALUE"""),"Munizaga Villavicencio Juan Roberto")</f>
        <v>Munizaga Villavicencio Juan Roberto</v>
      </c>
      <c r="J217" s="10">
        <f>IFERROR(__xludf.DUMMYFUNCTION("""COMPUTED_VALUE"""),21551.0)</f>
        <v>21551</v>
      </c>
      <c r="K217" s="10">
        <f>IFERROR(__xludf.DUMMYFUNCTION("""COMPUTED_VALUE"""),12695.0)</f>
        <v>12695</v>
      </c>
      <c r="L217" s="1">
        <f>IFERROR(__xludf.DUMMYFUNCTION("""COMPUTED_VALUE"""),89.0)</f>
        <v>89</v>
      </c>
      <c r="M217" s="1" t="str">
        <f>IFERROR(__xludf.DUMMYFUNCTION("""COMPUTED_VALUE"""),"0001 Casado")</f>
        <v>0001 Casado</v>
      </c>
      <c r="N217" s="1"/>
      <c r="O217" s="10">
        <f>IFERROR(__xludf.DUMMYFUNCTION("""COMPUTED_VALUE"""),34304.0)</f>
        <v>34304</v>
      </c>
      <c r="P217" s="10">
        <f>IFERROR(__xludf.DUMMYFUNCTION("""COMPUTED_VALUE"""),35117.0)</f>
        <v>35117</v>
      </c>
      <c r="Q217" s="1" t="str">
        <f>IFERROR(__xludf.DUMMYFUNCTION("""COMPUTED_VALUE"""),"A Ad Honorem Propiedad")</f>
        <v>A Ad Honorem Propiedad</v>
      </c>
      <c r="R217" s="1" t="str">
        <f>IFERROR(__xludf.DUMMYFUNCTION("""COMPUTED_VALUE"""),"A Académico")</f>
        <v>A Académico</v>
      </c>
      <c r="S217" s="9" t="str">
        <f>IFERROR(__xludf.DUMMYFUNCTION("""COMPUTED_VALUE"""),"34640521")</f>
        <v>34640521</v>
      </c>
      <c r="T217" s="1" t="str">
        <f>IFERROR(__xludf.DUMMYFUNCTION("""COMPUTED_VALUE"""),"0034640521")</f>
        <v>0034640521</v>
      </c>
      <c r="U217" s="1">
        <f>IFERROR(__xludf.DUMMYFUNCTION("""COMPUTED_VALUE"""),6.0)</f>
        <v>6</v>
      </c>
      <c r="V217" s="1"/>
      <c r="W217" s="1"/>
      <c r="X217" s="1"/>
      <c r="Y217" s="1"/>
      <c r="Z217" s="1"/>
    </row>
    <row r="218" hidden="1">
      <c r="A218" s="1" t="str">
        <f>IFERROR(__xludf.DUMMYFUNCTION("""COMPUTED_VALUE"""),"12090501 Departamento de Investigaciónes Mediáticas y de la Comunicación")</f>
        <v>12090501 Departamento de Investigaciónes Mediáticas y de la Comunicación</v>
      </c>
      <c r="B218" s="1" t="str">
        <f>IFERROR(__xludf.DUMMYFUNCTION("""COMPUTED_VALUE"""),"A3A001 Académico Prof. Asistente")</f>
        <v>A3A001 Académico Prof. Asistente</v>
      </c>
      <c r="C218" s="1" t="str">
        <f>IFERROR(__xludf.DUMMYFUNCTION("""COMPUTED_VALUE"""),"Prof. Asistente - Categ. Academica Ord.")</f>
        <v>Prof. Asistente - Categ. Academica Ord.</v>
      </c>
      <c r="D218" s="1" t="str">
        <f>IFERROR(__xludf.DUMMYFUNCTION("""COMPUTED_VALUE"""),"A3A Prof. Asistente - Categ. Academica Ord.")</f>
        <v>A3A Prof. Asistente - Categ. Academica Ord.</v>
      </c>
      <c r="E218" s="1" t="str">
        <f>IFERROR(__xludf.DUMMYFUNCTION("""COMPUTED_VALUE"""),"Masculino")</f>
        <v>Masculino</v>
      </c>
      <c r="F218" s="1" t="str">
        <f>IFERROR(__xludf.DUMMYFUNCTION("""COMPUTED_VALUE"""),"Muñoz")</f>
        <v>Muñoz</v>
      </c>
      <c r="G218" s="1" t="str">
        <f>IFERROR(__xludf.DUMMYFUNCTION("""COMPUTED_VALUE"""),"Chaut")</f>
        <v>Chaut</v>
      </c>
      <c r="H218" s="1" t="str">
        <f>IFERROR(__xludf.DUMMYFUNCTION("""COMPUTED_VALUE"""),"Raúl Enrique")</f>
        <v>Raúl Enrique</v>
      </c>
      <c r="I218" s="1" t="str">
        <f>IFERROR(__xludf.DUMMYFUNCTION("""COMPUTED_VALUE"""),"Muñoz Chaut Raúl Enrique")</f>
        <v>Muñoz Chaut Raúl Enrique</v>
      </c>
      <c r="J218" s="10">
        <f>IFERROR(__xludf.DUMMYFUNCTION("""COMPUTED_VALUE"""),24320.0)</f>
        <v>24320</v>
      </c>
      <c r="K218" s="10">
        <f>IFERROR(__xludf.DUMMYFUNCTION("""COMPUTED_VALUE"""),15902.0)</f>
        <v>15902</v>
      </c>
      <c r="L218" s="1">
        <f>IFERROR(__xludf.DUMMYFUNCTION("""COMPUTED_VALUE"""),80.0)</f>
        <v>80</v>
      </c>
      <c r="M218" s="1" t="str">
        <f>IFERROR(__xludf.DUMMYFUNCTION("""COMPUTED_VALUE"""),"0003 Viudo")</f>
        <v>0003 Viudo</v>
      </c>
      <c r="N218" s="1" t="str">
        <f>IFERROR(__xludf.DUMMYFUNCTION("""COMPUTED_VALUE"""),"N0040 Profesional Superior")</f>
        <v>N0040 Profesional Superior</v>
      </c>
      <c r="O218" s="10">
        <f>IFERROR(__xludf.DUMMYFUNCTION("""COMPUTED_VALUE"""),37469.0)</f>
        <v>37469</v>
      </c>
      <c r="P218" s="10">
        <f>IFERROR(__xludf.DUMMYFUNCTION("""COMPUTED_VALUE"""),37833.0)</f>
        <v>37833</v>
      </c>
      <c r="Q218" s="1" t="str">
        <f>IFERROR(__xludf.DUMMYFUNCTION("""COMPUTED_VALUE"""),"P Propiedad")</f>
        <v>P Propiedad</v>
      </c>
      <c r="R218" s="1" t="str">
        <f>IFERROR(__xludf.DUMMYFUNCTION("""COMPUTED_VALUE"""),"A Académico")</f>
        <v>A Académico</v>
      </c>
      <c r="S218" s="9" t="str">
        <f>IFERROR(__xludf.DUMMYFUNCTION("""COMPUTED_VALUE"""),"56029990")</f>
        <v>56029990</v>
      </c>
      <c r="T218" s="1" t="str">
        <f>IFERROR(__xludf.DUMMYFUNCTION("""COMPUTED_VALUE"""),"0056029990")</f>
        <v>0056029990</v>
      </c>
      <c r="U218" s="1">
        <f>IFERROR(__xludf.DUMMYFUNCTION("""COMPUTED_VALUE"""),44.0)</f>
        <v>44</v>
      </c>
      <c r="V218" s="1" t="str">
        <f>IFERROR(__xludf.DUMMYFUNCTION("""COMPUTED_VALUE"""),"P0850 Magister")</f>
        <v>P0850 Magister</v>
      </c>
      <c r="W218" s="1">
        <f>IFERROR(__xludf.DUMMYFUNCTION("""COMPUTED_VALUE"""),28855.0)</f>
        <v>28855</v>
      </c>
      <c r="X218" s="1" t="str">
        <f>IFERROR(__xludf.DUMMYFUNCTION("""COMPUTED_VALUE"""),"Universidad De Chile")</f>
        <v>Universidad De Chile</v>
      </c>
      <c r="Y218" s="1" t="str">
        <f>IFERROR(__xludf.DUMMYFUNCTION("""COMPUTED_VALUE"""),"CHILE")</f>
        <v>CHILE</v>
      </c>
      <c r="Z218" s="1" t="str">
        <f>IFERROR(__xludf.DUMMYFUNCTION("""COMPUTED_VALUE"""),"T5074 Periodista")</f>
        <v>T5074 Periodista</v>
      </c>
    </row>
    <row r="219" hidden="1">
      <c r="A219" s="1" t="str">
        <f>IFERROR(__xludf.DUMMYFUNCTION("""COMPUTED_VALUE"""),"12090801 Departamento de Sociología")</f>
        <v>12090801 Departamento de Sociología</v>
      </c>
      <c r="B219" s="1" t="str">
        <f>IFERROR(__xludf.DUMMYFUNCTION("""COMPUTED_VALUE"""),"A3A001 Académico Prof. Asistente")</f>
        <v>A3A001 Académico Prof. Asistente</v>
      </c>
      <c r="C219" s="1" t="str">
        <f>IFERROR(__xludf.DUMMYFUNCTION("""COMPUTED_VALUE"""),"Prof. Asistente - Categ. Academica Ord.")</f>
        <v>Prof. Asistente - Categ. Academica Ord.</v>
      </c>
      <c r="D219" s="1" t="str">
        <f>IFERROR(__xludf.DUMMYFUNCTION("""COMPUTED_VALUE"""),"A3A Prof. Asistente - Categ. Academica Ord.")</f>
        <v>A3A Prof. Asistente - Categ. Academica Ord.</v>
      </c>
      <c r="E219" s="1" t="str">
        <f>IFERROR(__xludf.DUMMYFUNCTION("""COMPUTED_VALUE"""),"Femenino")</f>
        <v>Femenino</v>
      </c>
      <c r="F219" s="1" t="str">
        <f>IFERROR(__xludf.DUMMYFUNCTION("""COMPUTED_VALUE"""),"Muñoz")</f>
        <v>Muñoz</v>
      </c>
      <c r="G219" s="1" t="str">
        <f>IFERROR(__xludf.DUMMYFUNCTION("""COMPUTED_VALUE"""),"Salazar")</f>
        <v>Salazar</v>
      </c>
      <c r="H219" s="1" t="str">
        <f>IFERROR(__xludf.DUMMYFUNCTION("""COMPUTED_VALUE"""),"Luisa Patricia Alejandra")</f>
        <v>Luisa Patricia Alejandra</v>
      </c>
      <c r="I219" s="1" t="str">
        <f>IFERROR(__xludf.DUMMYFUNCTION("""COMPUTED_VALUE"""),"Muñoz Salazar Luisa Patricia Alejandra")</f>
        <v>Muñoz Salazar Luisa Patricia Alejandra</v>
      </c>
      <c r="J219" s="10">
        <f>IFERROR(__xludf.DUMMYFUNCTION("""COMPUTED_VALUE"""),32509.0)</f>
        <v>32509</v>
      </c>
      <c r="K219" s="10">
        <f>IFERROR(__xludf.DUMMYFUNCTION("""COMPUTED_VALUE"""),18403.0)</f>
        <v>18403</v>
      </c>
      <c r="L219" s="1">
        <f>IFERROR(__xludf.DUMMYFUNCTION("""COMPUTED_VALUE"""),73.0)</f>
        <v>73</v>
      </c>
      <c r="M219" s="1" t="str">
        <f>IFERROR(__xludf.DUMMYFUNCTION("""COMPUTED_VALUE"""),"0001 Casado")</f>
        <v>0001 Casado</v>
      </c>
      <c r="N219" s="1"/>
      <c r="O219" s="10">
        <f>IFERROR(__xludf.DUMMYFUNCTION("""COMPUTED_VALUE"""),33939.0)</f>
        <v>33939</v>
      </c>
      <c r="P219" s="10">
        <f>IFERROR(__xludf.DUMMYFUNCTION("""COMPUTED_VALUE"""),38664.0)</f>
        <v>38664</v>
      </c>
      <c r="Q219" s="1" t="str">
        <f>IFERROR(__xludf.DUMMYFUNCTION("""COMPUTED_VALUE"""),"P Propiedad")</f>
        <v>P Propiedad</v>
      </c>
      <c r="R219" s="1" t="str">
        <f>IFERROR(__xludf.DUMMYFUNCTION("""COMPUTED_VALUE"""),"A Académico")</f>
        <v>A Académico</v>
      </c>
      <c r="S219" s="9" t="str">
        <f>IFERROR(__xludf.DUMMYFUNCTION("""COMPUTED_VALUE"""),"66339041")</f>
        <v>66339041</v>
      </c>
      <c r="T219" s="1" t="str">
        <f>IFERROR(__xludf.DUMMYFUNCTION("""COMPUTED_VALUE"""),"0066339041")</f>
        <v>0066339041</v>
      </c>
      <c r="U219" s="1">
        <f>IFERROR(__xludf.DUMMYFUNCTION("""COMPUTED_VALUE"""),12.0)</f>
        <v>12</v>
      </c>
      <c r="V219" s="1" t="str">
        <f>IFERROR(__xludf.DUMMYFUNCTION("""COMPUTED_VALUE"""),"P0900 Doctor")</f>
        <v>P0900 Doctor</v>
      </c>
      <c r="W219" s="1">
        <f>IFERROR(__xludf.DUMMYFUNCTION("""COMPUTED_VALUE"""),36739.0)</f>
        <v>36739</v>
      </c>
      <c r="X219" s="1" t="str">
        <f>IFERROR(__xludf.DUMMYFUNCTION("""COMPUTED_VALUE"""),"Universidad De Pennsylvania")</f>
        <v>Universidad De Pennsylvania</v>
      </c>
      <c r="Y219" s="1" t="str">
        <f>IFERROR(__xludf.DUMMYFUNCTION("""COMPUTED_VALUE"""),"ESTADOS UNIDOS")</f>
        <v>ESTADOS UNIDOS</v>
      </c>
      <c r="Z219" s="1"/>
    </row>
    <row r="220">
      <c r="A220" s="1" t="str">
        <f>IFERROR(__xludf.DUMMYFUNCTION("""COMPUTED_VALUE"""),"12090118 Dpto. de  Psicología (funcionamiento)")</f>
        <v>12090118 Dpto. de  Psicología (funcionamiento)</v>
      </c>
      <c r="B220" s="1" t="str">
        <f>IFERROR(__xludf.DUMMYFUNCTION("""COMPUTED_VALUE"""),"A3A001 Académico Prof. Asistente")</f>
        <v>A3A001 Académico Prof. Asistente</v>
      </c>
      <c r="C220" s="1" t="str">
        <f>IFERROR(__xludf.DUMMYFUNCTION("""COMPUTED_VALUE"""),"Prof. Asistente - Categ. Academica Ord.")</f>
        <v>Prof. Asistente - Categ. Academica Ord.</v>
      </c>
      <c r="D220" s="1" t="str">
        <f>IFERROR(__xludf.DUMMYFUNCTION("""COMPUTED_VALUE"""),"A3A Prof. Asistente - Categ. Academica Ord.")</f>
        <v>A3A Prof. Asistente - Categ. Academica Ord.</v>
      </c>
      <c r="E220" s="1" t="str">
        <f>IFERROR(__xludf.DUMMYFUNCTION("""COMPUTED_VALUE"""),"Femenino")</f>
        <v>Femenino</v>
      </c>
      <c r="F220" s="1" t="str">
        <f>IFERROR(__xludf.DUMMYFUNCTION("""COMPUTED_VALUE"""),"Navarro")</f>
        <v>Navarro</v>
      </c>
      <c r="G220" s="1" t="str">
        <f>IFERROR(__xludf.DUMMYFUNCTION("""COMPUTED_VALUE"""),"Medel")</f>
        <v>Medel</v>
      </c>
      <c r="H220" s="1" t="str">
        <f>IFERROR(__xludf.DUMMYFUNCTION("""COMPUTED_VALUE"""),"Carolina Violeta")</f>
        <v>Carolina Violeta</v>
      </c>
      <c r="I220" s="1" t="str">
        <f>IFERROR(__xludf.DUMMYFUNCTION("""COMPUTED_VALUE"""),"Navarro Medel Carolina Violeta")</f>
        <v>Navarro Medel Carolina Violeta</v>
      </c>
      <c r="J220" s="10">
        <f>IFERROR(__xludf.DUMMYFUNCTION("""COMPUTED_VALUE"""),35765.0)</f>
        <v>35765</v>
      </c>
      <c r="K220" s="10">
        <f>IFERROR(__xludf.DUMMYFUNCTION("""COMPUTED_VALUE"""),26317.0)</f>
        <v>26317</v>
      </c>
      <c r="L220" s="1">
        <f>IFERROR(__xludf.DUMMYFUNCTION("""COMPUTED_VALUE"""),51.0)</f>
        <v>51</v>
      </c>
      <c r="M220" s="1" t="str">
        <f>IFERROR(__xludf.DUMMYFUNCTION("""COMPUTED_VALUE"""),"0002 Soltero")</f>
        <v>0002 Soltero</v>
      </c>
      <c r="N220" s="1"/>
      <c r="O220" s="10">
        <f>IFERROR(__xludf.DUMMYFUNCTION("""COMPUTED_VALUE"""),42186.0)</f>
        <v>42186</v>
      </c>
      <c r="P220" s="10">
        <f>IFERROR(__xludf.DUMMYFUNCTION("""COMPUTED_VALUE"""),73050.0)</f>
        <v>73050</v>
      </c>
      <c r="Q220" s="1" t="str">
        <f>IFERROR(__xludf.DUMMYFUNCTION("""COMPUTED_VALUE"""),"P Propiedad")</f>
        <v>P Propiedad</v>
      </c>
      <c r="R220" s="1" t="str">
        <f>IFERROR(__xludf.DUMMYFUNCTION("""COMPUTED_VALUE"""),"A Académico")</f>
        <v>A Académico</v>
      </c>
      <c r="S220" s="9" t="str">
        <f>IFERROR(__xludf.DUMMYFUNCTION("""COMPUTED_VALUE"""),"122392619")</f>
        <v>122392619</v>
      </c>
      <c r="T220" s="1" t="str">
        <f>IFERROR(__xludf.DUMMYFUNCTION("""COMPUTED_VALUE"""),"0122392619")</f>
        <v>0122392619</v>
      </c>
      <c r="U220" s="1">
        <f>IFERROR(__xludf.DUMMYFUNCTION("""COMPUTED_VALUE"""),22.0)</f>
        <v>22</v>
      </c>
      <c r="V220" s="1" t="str">
        <f>IFERROR(__xludf.DUMMYFUNCTION("""COMPUTED_VALUE"""),"P0900 Doctor")</f>
        <v>P0900 Doctor</v>
      </c>
      <c r="W220" s="1">
        <f>IFERROR(__xludf.DUMMYFUNCTION("""COMPUTED_VALUE"""),43847.0)</f>
        <v>43847</v>
      </c>
      <c r="X220" s="1" t="str">
        <f>IFERROR(__xludf.DUMMYFUNCTION("""COMPUTED_VALUE"""),"DEAKIN UNIVERSITY")</f>
        <v>DEAKIN UNIVERSITY</v>
      </c>
      <c r="Y220" s="1" t="str">
        <f>IFERROR(__xludf.DUMMYFUNCTION("""COMPUTED_VALUE"""),"AUSTRALIA")</f>
        <v>AUSTRALIA</v>
      </c>
      <c r="Z220" s="1" t="str">
        <f>IFERROR(__xludf.DUMMYFUNCTION("""COMPUTED_VALUE"""),"T5124 Psicologo")</f>
        <v>T5124 Psicologo</v>
      </c>
    </row>
    <row r="221" hidden="1">
      <c r="A221" s="1" t="str">
        <f>IFERROR(__xludf.DUMMYFUNCTION("""COMPUTED_VALUE"""),"12090801 Departamento de Sociología")</f>
        <v>12090801 Departamento de Sociología</v>
      </c>
      <c r="B221" s="1" t="str">
        <f>IFERROR(__xludf.DUMMYFUNCTION("""COMPUTED_VALUE"""),"A2A001 Académico Prof. Asociado")</f>
        <v>A2A001 Académico Prof. Asociado</v>
      </c>
      <c r="C221" s="1" t="str">
        <f>IFERROR(__xludf.DUMMYFUNCTION("""COMPUTED_VALUE"""),"Prof. Asociado - Categ. Academica Ord.")</f>
        <v>Prof. Asociado - Categ. Academica Ord.</v>
      </c>
      <c r="D221" s="1" t="str">
        <f>IFERROR(__xludf.DUMMYFUNCTION("""COMPUTED_VALUE"""),"A2A Prof. Asociado - Categ. Academica Ord.")</f>
        <v>A2A Prof. Asociado - Categ. Academica Ord.</v>
      </c>
      <c r="E221" s="1" t="str">
        <f>IFERROR(__xludf.DUMMYFUNCTION("""COMPUTED_VALUE"""),"Masculino")</f>
        <v>Masculino</v>
      </c>
      <c r="F221" s="1" t="str">
        <f>IFERROR(__xludf.DUMMYFUNCTION("""COMPUTED_VALUE"""),"Nazar")</f>
        <v>Nazar</v>
      </c>
      <c r="G221" s="1" t="str">
        <f>IFERROR(__xludf.DUMMYFUNCTION("""COMPUTED_VALUE"""),"Contreras")</f>
        <v>Contreras</v>
      </c>
      <c r="H221" s="1" t="str">
        <f>IFERROR(__xludf.DUMMYFUNCTION("""COMPUTED_VALUE"""),"Víctor Leoncio")</f>
        <v>Víctor Leoncio</v>
      </c>
      <c r="I221" s="1" t="str">
        <f>IFERROR(__xludf.DUMMYFUNCTION("""COMPUTED_VALUE"""),"Nazar Contreras Víctor Leoncio")</f>
        <v>Nazar Contreras Víctor Leoncio</v>
      </c>
      <c r="J221" s="10">
        <f>IFERROR(__xludf.DUMMYFUNCTION("""COMPUTED_VALUE"""),22463.0)</f>
        <v>22463</v>
      </c>
      <c r="K221" s="10">
        <f>IFERROR(__xludf.DUMMYFUNCTION("""COMPUTED_VALUE"""),11577.0)</f>
        <v>11577</v>
      </c>
      <c r="L221" s="1">
        <f>IFERROR(__xludf.DUMMYFUNCTION("""COMPUTED_VALUE"""),92.0)</f>
        <v>92</v>
      </c>
      <c r="M221" s="1" t="str">
        <f>IFERROR(__xludf.DUMMYFUNCTION("""COMPUTED_VALUE"""),"0001 Casado")</f>
        <v>0001 Casado</v>
      </c>
      <c r="N221" s="1" t="str">
        <f>IFERROR(__xludf.DUMMYFUNCTION("""COMPUTED_VALUE"""),"N0040 Profesional Superior")</f>
        <v>N0040 Profesional Superior</v>
      </c>
      <c r="O221" s="10">
        <f>IFERROR(__xludf.DUMMYFUNCTION("""COMPUTED_VALUE"""),33909.0)</f>
        <v>33909</v>
      </c>
      <c r="P221" s="10">
        <f>IFERROR(__xludf.DUMMYFUNCTION("""COMPUTED_VALUE"""),34699.0)</f>
        <v>34699</v>
      </c>
      <c r="Q221" s="1" t="str">
        <f>IFERROR(__xludf.DUMMYFUNCTION("""COMPUTED_VALUE"""),"P Propiedad")</f>
        <v>P Propiedad</v>
      </c>
      <c r="R221" s="1" t="str">
        <f>IFERROR(__xludf.DUMMYFUNCTION("""COMPUTED_VALUE"""),"A Académico")</f>
        <v>A Académico</v>
      </c>
      <c r="S221" s="9" t="str">
        <f>IFERROR(__xludf.DUMMYFUNCTION("""COMPUTED_VALUE"""),"26960444")</f>
        <v>26960444</v>
      </c>
      <c r="T221" s="1" t="str">
        <f>IFERROR(__xludf.DUMMYFUNCTION("""COMPUTED_VALUE"""),"0026960444")</f>
        <v>0026960444</v>
      </c>
      <c r="U221" s="1">
        <f>IFERROR(__xludf.DUMMYFUNCTION("""COMPUTED_VALUE"""),6.0)</f>
        <v>6</v>
      </c>
      <c r="V221" s="1" t="str">
        <f>IFERROR(__xludf.DUMMYFUNCTION("""COMPUTED_VALUE"""),"P0501 Con Titulo Profesional")</f>
        <v>P0501 Con Titulo Profesional</v>
      </c>
      <c r="W221" s="1">
        <f>IFERROR(__xludf.DUMMYFUNCTION("""COMPUTED_VALUE"""),33442.0)</f>
        <v>33442</v>
      </c>
      <c r="X221" s="1" t="str">
        <f>IFERROR(__xludf.DUMMYFUNCTION("""COMPUTED_VALUE"""),"Universidad De Chile")</f>
        <v>Universidad De Chile</v>
      </c>
      <c r="Y221" s="1" t="str">
        <f>IFERROR(__xludf.DUMMYFUNCTION("""COMPUTED_VALUE"""),"CHILE")</f>
        <v>CHILE</v>
      </c>
      <c r="Z221" s="1" t="str">
        <f>IFERROR(__xludf.DUMMYFUNCTION("""COMPUTED_VALUE"""),"T5082 Sociologo")</f>
        <v>T5082 Sociologo</v>
      </c>
    </row>
    <row r="222" hidden="1">
      <c r="A222" s="1" t="str">
        <f>IFERROR(__xludf.DUMMYFUNCTION("""COMPUTED_VALUE"""),"12090116 Dpto. de Antropología (funcionamiento)")</f>
        <v>12090116 Dpto. de Antropología (funcionamiento)</v>
      </c>
      <c r="B222" s="1" t="str">
        <f>IFERROR(__xludf.DUMMYFUNCTION("""COMPUTED_VALUE"""),"A1A001 Académico Prof. Titular")</f>
        <v>A1A001 Académico Prof. Titular</v>
      </c>
      <c r="C222" s="1" t="str">
        <f>IFERROR(__xludf.DUMMYFUNCTION("""COMPUTED_VALUE"""),"Prof.Titular - Categ. Academica Ord.")</f>
        <v>Prof.Titular - Categ. Academica Ord.</v>
      </c>
      <c r="D222" s="1" t="str">
        <f>IFERROR(__xludf.DUMMYFUNCTION("""COMPUTED_VALUE"""),"A1A Prof.Titular - Categ. Academica Ord.")</f>
        <v>A1A Prof.Titular - Categ. Academica Ord.</v>
      </c>
      <c r="E222" s="1" t="str">
        <f>IFERROR(__xludf.DUMMYFUNCTION("""COMPUTED_VALUE"""),"Masculino")</f>
        <v>Masculino</v>
      </c>
      <c r="F222" s="1" t="str">
        <f>IFERROR(__xludf.DUMMYFUNCTION("""COMPUTED_VALUE"""),"Niemeyer")</f>
        <v>Niemeyer</v>
      </c>
      <c r="G222" s="1" t="str">
        <f>IFERROR(__xludf.DUMMYFUNCTION("""COMPUTED_VALUE"""),"Marich")</f>
        <v>Marich</v>
      </c>
      <c r="H222" s="1" t="str">
        <f>IFERROR(__xludf.DUMMYFUNCTION("""COMPUTED_VALUE"""),"August Hermann")</f>
        <v>August Hermann</v>
      </c>
      <c r="I222" s="1" t="str">
        <f>IFERROR(__xludf.DUMMYFUNCTION("""COMPUTED_VALUE"""),"Niemeyer Marich August Hermann")</f>
        <v>Niemeyer Marich August Hermann</v>
      </c>
      <c r="J222" s="10">
        <f>IFERROR(__xludf.DUMMYFUNCTION("""COMPUTED_VALUE"""),24198.0)</f>
        <v>24198</v>
      </c>
      <c r="K222" s="10">
        <f>IFERROR(__xludf.DUMMYFUNCTION("""COMPUTED_VALUE"""),16971.0)</f>
        <v>16971</v>
      </c>
      <c r="L222" s="1">
        <f>IFERROR(__xludf.DUMMYFUNCTION("""COMPUTED_VALUE"""),77.0)</f>
        <v>77</v>
      </c>
      <c r="M222" s="1" t="str">
        <f>IFERROR(__xludf.DUMMYFUNCTION("""COMPUTED_VALUE"""),"0001 Casado")</f>
        <v>0001 Casado</v>
      </c>
      <c r="N222" s="1"/>
      <c r="O222" s="10">
        <f>IFERROR(__xludf.DUMMYFUNCTION("""COMPUTED_VALUE"""),44927.0)</f>
        <v>44927</v>
      </c>
      <c r="P222" s="10">
        <f>IFERROR(__xludf.DUMMYFUNCTION("""COMPUTED_VALUE"""),45291.0)</f>
        <v>45291</v>
      </c>
      <c r="Q222" s="1" t="str">
        <f>IFERROR(__xludf.DUMMYFUNCTION("""COMPUTED_VALUE"""),"K Ad Honorem Contrata")</f>
        <v>K Ad Honorem Contrata</v>
      </c>
      <c r="R222" s="1" t="str">
        <f>IFERROR(__xludf.DUMMYFUNCTION("""COMPUTED_VALUE"""),"A Académico")</f>
        <v>A Académico</v>
      </c>
      <c r="S222" s="9" t="str">
        <f>IFERROR(__xludf.DUMMYFUNCTION("""COMPUTED_VALUE"""),"47562104")</f>
        <v>47562104</v>
      </c>
      <c r="T222" s="1" t="str">
        <f>IFERROR(__xludf.DUMMYFUNCTION("""COMPUTED_VALUE"""),"0047562104")</f>
        <v>0047562104</v>
      </c>
      <c r="U222" s="1">
        <f>IFERROR(__xludf.DUMMYFUNCTION("""COMPUTED_VALUE"""),6.0)</f>
        <v>6</v>
      </c>
      <c r="V222" s="1" t="str">
        <f>IFERROR(__xludf.DUMMYFUNCTION("""COMPUTED_VALUE"""),"P0900 Doctor")</f>
        <v>P0900 Doctor</v>
      </c>
      <c r="W222" s="1">
        <f>IFERROR(__xludf.DUMMYFUNCTION("""COMPUTED_VALUE"""),25781.0)</f>
        <v>25781</v>
      </c>
      <c r="X222" s="1" t="str">
        <f>IFERROR(__xludf.DUMMYFUNCTION("""COMPUTED_VALUE"""),"Universidad De California")</f>
        <v>Universidad De California</v>
      </c>
      <c r="Y222" s="1" t="str">
        <f>IFERROR(__xludf.DUMMYFUNCTION("""COMPUTED_VALUE"""),"ESTADOS UNIDOS")</f>
        <v>ESTADOS UNIDOS</v>
      </c>
      <c r="Z222" s="1"/>
    </row>
    <row r="223">
      <c r="A223" s="1" t="str">
        <f>IFERROR(__xludf.DUMMYFUNCTION("""COMPUTED_VALUE"""),"12090301 Departamento de Antropología")</f>
        <v>12090301 Departamento de Antropología</v>
      </c>
      <c r="B223" s="1" t="str">
        <f>IFERROR(__xludf.DUMMYFUNCTION("""COMPUTED_VALUE"""),"001845 Profesor Asistente")</f>
        <v>001845 Profesor Asistente</v>
      </c>
      <c r="C223" s="1" t="str">
        <f>IFERROR(__xludf.DUMMYFUNCTION("""COMPUTED_VALUE"""),"Prof. Asistente - Categ. Academica Ord.")</f>
        <v>Prof. Asistente - Categ. Academica Ord.</v>
      </c>
      <c r="D223" s="1" t="str">
        <f>IFERROR(__xludf.DUMMYFUNCTION("""COMPUTED_VALUE"""),"A3A Prof. Asistente - Categ. Academica Ord.")</f>
        <v>A3A Prof. Asistente - Categ. Academica Ord.</v>
      </c>
      <c r="E223" s="1" t="str">
        <f>IFERROR(__xludf.DUMMYFUNCTION("""COMPUTED_VALUE"""),"Femenino")</f>
        <v>Femenino</v>
      </c>
      <c r="F223" s="1" t="str">
        <f>IFERROR(__xludf.DUMMYFUNCTION("""COMPUTED_VALUE"""),"Obach")</f>
        <v>Obach</v>
      </c>
      <c r="G223" s="1" t="str">
        <f>IFERROR(__xludf.DUMMYFUNCTION("""COMPUTED_VALUE"""),"King")</f>
        <v>King</v>
      </c>
      <c r="H223" s="1" t="str">
        <f>IFERROR(__xludf.DUMMYFUNCTION("""COMPUTED_VALUE"""),"Alexandra Alice")</f>
        <v>Alexandra Alice</v>
      </c>
      <c r="I223" s="1" t="str">
        <f>IFERROR(__xludf.DUMMYFUNCTION("""COMPUTED_VALUE"""),"Obach King Alexandra Alice")</f>
        <v>Obach King Alexandra Alice</v>
      </c>
      <c r="J223" s="10">
        <f>IFERROR(__xludf.DUMMYFUNCTION("""COMPUTED_VALUE"""),37316.0)</f>
        <v>37316</v>
      </c>
      <c r="K223" s="10">
        <f>IFERROR(__xludf.DUMMYFUNCTION("""COMPUTED_VALUE"""),27467.0)</f>
        <v>27467</v>
      </c>
      <c r="L223" s="1">
        <f>IFERROR(__xludf.DUMMYFUNCTION("""COMPUTED_VALUE"""),48.0)</f>
        <v>48</v>
      </c>
      <c r="M223" s="1" t="str">
        <f>IFERROR(__xludf.DUMMYFUNCTION("""COMPUTED_VALUE"""),"0001 Casado")</f>
        <v>0001 Casado</v>
      </c>
      <c r="N223" s="1" t="str">
        <f>IFERROR(__xludf.DUMMYFUNCTION("""COMPUTED_VALUE"""),"N0040 Profesional Superior")</f>
        <v>N0040 Profesional Superior</v>
      </c>
      <c r="O223" s="10">
        <f>IFERROR(__xludf.DUMMYFUNCTION("""COMPUTED_VALUE"""),39052.0)</f>
        <v>39052</v>
      </c>
      <c r="P223" s="10">
        <f>IFERROR(__xludf.DUMMYFUNCTION("""COMPUTED_VALUE"""),39082.0)</f>
        <v>39082</v>
      </c>
      <c r="Q223" s="1" t="str">
        <f>IFERROR(__xludf.DUMMYFUNCTION("""COMPUTED_VALUE"""),"C Contrata")</f>
        <v>C Contrata</v>
      </c>
      <c r="R223" s="1" t="str">
        <f>IFERROR(__xludf.DUMMYFUNCTION("""COMPUTED_VALUE"""),"A Académico")</f>
        <v>A Académico</v>
      </c>
      <c r="S223" s="9" t="str">
        <f>IFERROR(__xludf.DUMMYFUNCTION("""COMPUTED_VALUE"""),"009497688K")</f>
        <v>009497688K</v>
      </c>
      <c r="T223" s="1" t="str">
        <f>IFERROR(__xludf.DUMMYFUNCTION("""COMPUTED_VALUE"""),"009497688K")</f>
        <v>009497688K</v>
      </c>
      <c r="U223" s="1">
        <f>IFERROR(__xludf.DUMMYFUNCTION("""COMPUTED_VALUE"""),12.0)</f>
        <v>12</v>
      </c>
      <c r="V223" s="1" t="str">
        <f>IFERROR(__xludf.DUMMYFUNCTION("""COMPUTED_VALUE"""),"P0501 Con Titulo Profesional")</f>
        <v>P0501 Con Titulo Profesional</v>
      </c>
      <c r="W223" s="1">
        <f>IFERROR(__xludf.DUMMYFUNCTION("""COMPUTED_VALUE"""),36891.0)</f>
        <v>36891</v>
      </c>
      <c r="X223" s="1" t="str">
        <f>IFERROR(__xludf.DUMMYFUNCTION("""COMPUTED_VALUE"""),"Universidad De Chile")</f>
        <v>Universidad De Chile</v>
      </c>
      <c r="Y223" s="1" t="str">
        <f>IFERROR(__xludf.DUMMYFUNCTION("""COMPUTED_VALUE"""),"CHILE")</f>
        <v>CHILE</v>
      </c>
      <c r="Z223" s="1" t="str">
        <f>IFERROR(__xludf.DUMMYFUNCTION("""COMPUTED_VALUE"""),"T5003 Antropologo")</f>
        <v>T5003 Antropologo</v>
      </c>
    </row>
    <row r="224" hidden="1">
      <c r="A224" s="1" t="str">
        <f>IFERROR(__xludf.DUMMYFUNCTION("""COMPUTED_VALUE"""),"12090501 Departamento de Investigaciónes Mediáticas y de la Comunicación")</f>
        <v>12090501 Departamento de Investigaciónes Mediáticas y de la Comunicación</v>
      </c>
      <c r="B224" s="1" t="str">
        <f>IFERROR(__xludf.DUMMYFUNCTION("""COMPUTED_VALUE"""),"A3A001 Académico Prof. Asistente")</f>
        <v>A3A001 Académico Prof. Asistente</v>
      </c>
      <c r="C224" s="1" t="str">
        <f>IFERROR(__xludf.DUMMYFUNCTION("""COMPUTED_VALUE"""),"Prof. Asistente - Categ. Academica Ord.")</f>
        <v>Prof. Asistente - Categ. Academica Ord.</v>
      </c>
      <c r="D224" s="1" t="str">
        <f>IFERROR(__xludf.DUMMYFUNCTION("""COMPUTED_VALUE"""),"A3A Prof. Asistente - Categ. Academica Ord.")</f>
        <v>A3A Prof. Asistente - Categ. Academica Ord.</v>
      </c>
      <c r="E224" s="1" t="str">
        <f>IFERROR(__xludf.DUMMYFUNCTION("""COMPUTED_VALUE"""),"Masculino")</f>
        <v>Masculino</v>
      </c>
      <c r="F224" s="1" t="str">
        <f>IFERROR(__xludf.DUMMYFUNCTION("""COMPUTED_VALUE"""),"Ochoa")</f>
        <v>Ochoa</v>
      </c>
      <c r="G224" s="1" t="str">
        <f>IFERROR(__xludf.DUMMYFUNCTION("""COMPUTED_VALUE"""),"Ballesteros")</f>
        <v>Ballesteros</v>
      </c>
      <c r="H224" s="1" t="str">
        <f>IFERROR(__xludf.DUMMYFUNCTION("""COMPUTED_VALUE"""),"Luis Alberto")</f>
        <v>Luis Alberto</v>
      </c>
      <c r="I224" s="1" t="str">
        <f>IFERROR(__xludf.DUMMYFUNCTION("""COMPUTED_VALUE"""),"Ochoa Ballesteros Luis Alberto")</f>
        <v>Ochoa Ballesteros Luis Alberto</v>
      </c>
      <c r="J224" s="10">
        <f>IFERROR(__xludf.DUMMYFUNCTION("""COMPUTED_VALUE"""),27273.0)</f>
        <v>27273</v>
      </c>
      <c r="K224" s="10">
        <f>IFERROR(__xludf.DUMMYFUNCTION("""COMPUTED_VALUE"""),11062.0)</f>
        <v>11062</v>
      </c>
      <c r="L224" s="1">
        <f>IFERROR(__xludf.DUMMYFUNCTION("""COMPUTED_VALUE"""),93.0)</f>
        <v>93</v>
      </c>
      <c r="M224" s="1" t="str">
        <f>IFERROR(__xludf.DUMMYFUNCTION("""COMPUTED_VALUE"""),"0001 Casado")</f>
        <v>0001 Casado</v>
      </c>
      <c r="N224" s="1"/>
      <c r="O224" s="10">
        <f>IFERROR(__xludf.DUMMYFUNCTION("""COMPUTED_VALUE"""),31625.0)</f>
        <v>31625</v>
      </c>
      <c r="P224" s="10">
        <f>IFERROR(__xludf.DUMMYFUNCTION("""COMPUTED_VALUE"""),34850.0)</f>
        <v>34850</v>
      </c>
      <c r="Q224" s="1" t="str">
        <f>IFERROR(__xludf.DUMMYFUNCTION("""COMPUTED_VALUE"""),"P Propiedad")</f>
        <v>P Propiedad</v>
      </c>
      <c r="R224" s="1" t="str">
        <f>IFERROR(__xludf.DUMMYFUNCTION("""COMPUTED_VALUE"""),"A Académico")</f>
        <v>A Académico</v>
      </c>
      <c r="S224" s="9" t="str">
        <f>IFERROR(__xludf.DUMMYFUNCTION("""COMPUTED_VALUE"""),"30865154")</f>
        <v>30865154</v>
      </c>
      <c r="T224" s="1" t="str">
        <f>IFERROR(__xludf.DUMMYFUNCTION("""COMPUTED_VALUE"""),"0030865154")</f>
        <v>0030865154</v>
      </c>
      <c r="U224" s="1">
        <f>IFERROR(__xludf.DUMMYFUNCTION("""COMPUTED_VALUE"""),44.0)</f>
        <v>44</v>
      </c>
      <c r="V224" s="1"/>
      <c r="W224" s="1"/>
      <c r="X224" s="1"/>
      <c r="Y224" s="1"/>
      <c r="Z224" s="1"/>
    </row>
    <row r="225" hidden="1">
      <c r="A225" s="1" t="str">
        <f>IFERROR(__xludf.DUMMYFUNCTION("""COMPUTED_VALUE"""),"12090301 Departamento de Antropología")</f>
        <v>12090301 Departamento de Antropología</v>
      </c>
      <c r="B225" s="1" t="str">
        <f>IFERROR(__xludf.DUMMYFUNCTION("""COMPUTED_VALUE"""),"A1A001 Académico Prof. Titular")</f>
        <v>A1A001 Académico Prof. Titular</v>
      </c>
      <c r="C225" s="1" t="str">
        <f>IFERROR(__xludf.DUMMYFUNCTION("""COMPUTED_VALUE"""),"Prof.Titular - Categ. Academica Ord.")</f>
        <v>Prof.Titular - Categ. Academica Ord.</v>
      </c>
      <c r="D225" s="1" t="str">
        <f>IFERROR(__xludf.DUMMYFUNCTION("""COMPUTED_VALUE"""),"A1A Prof.Titular - Categ. Academica Ord.")</f>
        <v>A1A Prof.Titular - Categ. Academica Ord.</v>
      </c>
      <c r="E225" s="1" t="str">
        <f>IFERROR(__xludf.DUMMYFUNCTION("""COMPUTED_VALUE"""),"Masculino")</f>
        <v>Masculino</v>
      </c>
      <c r="F225" s="1" t="str">
        <f>IFERROR(__xludf.DUMMYFUNCTION("""COMPUTED_VALUE"""),"Orellana")</f>
        <v>Orellana</v>
      </c>
      <c r="G225" s="1" t="str">
        <f>IFERROR(__xludf.DUMMYFUNCTION("""COMPUTED_VALUE"""),"Rodríguez")</f>
        <v>Rodríguez</v>
      </c>
      <c r="H225" s="1" t="str">
        <f>IFERROR(__xludf.DUMMYFUNCTION("""COMPUTED_VALUE"""),"Mario Julio")</f>
        <v>Mario Julio</v>
      </c>
      <c r="I225" s="1" t="str">
        <f>IFERROR(__xludf.DUMMYFUNCTION("""COMPUTED_VALUE"""),"Orellana Rodríguez Mario Julio")</f>
        <v>Orellana Rodríguez Mario Julio</v>
      </c>
      <c r="J225" s="10">
        <f>IFERROR(__xludf.DUMMYFUNCTION("""COMPUTED_VALUE"""),20576.0)</f>
        <v>20576</v>
      </c>
      <c r="K225" s="10">
        <f>IFERROR(__xludf.DUMMYFUNCTION("""COMPUTED_VALUE"""),11269.0)</f>
        <v>11269</v>
      </c>
      <c r="L225" s="1">
        <f>IFERROR(__xludf.DUMMYFUNCTION("""COMPUTED_VALUE"""),93.0)</f>
        <v>93</v>
      </c>
      <c r="M225" s="1" t="str">
        <f>IFERROR(__xludf.DUMMYFUNCTION("""COMPUTED_VALUE"""),"0003 Viudo")</f>
        <v>0003 Viudo</v>
      </c>
      <c r="N225" s="1"/>
      <c r="O225" s="10">
        <f>IFERROR(__xludf.DUMMYFUNCTION("""COMPUTED_VALUE"""),37530.0)</f>
        <v>37530</v>
      </c>
      <c r="P225" s="10">
        <f>IFERROR(__xludf.DUMMYFUNCTION("""COMPUTED_VALUE"""),37621.0)</f>
        <v>37621</v>
      </c>
      <c r="Q225" s="1" t="str">
        <f>IFERROR(__xludf.DUMMYFUNCTION("""COMPUTED_VALUE"""),"K Ad Honorem Contrata")</f>
        <v>K Ad Honorem Contrata</v>
      </c>
      <c r="R225" s="1" t="str">
        <f>IFERROR(__xludf.DUMMYFUNCTION("""COMPUTED_VALUE"""),"A Académico")</f>
        <v>A Académico</v>
      </c>
      <c r="S225" s="9" t="str">
        <f>IFERROR(__xludf.DUMMYFUNCTION("""COMPUTED_VALUE"""),"32406815")</f>
        <v>32406815</v>
      </c>
      <c r="T225" s="1" t="str">
        <f>IFERROR(__xludf.DUMMYFUNCTION("""COMPUTED_VALUE"""),"0032406815")</f>
        <v>0032406815</v>
      </c>
      <c r="U225" s="1">
        <f>IFERROR(__xludf.DUMMYFUNCTION("""COMPUTED_VALUE"""),2.0)</f>
        <v>2</v>
      </c>
      <c r="V225" s="1" t="str">
        <f>IFERROR(__xludf.DUMMYFUNCTION("""COMPUTED_VALUE"""),"P0401 Licenciado")</f>
        <v>P0401 Licenciado</v>
      </c>
      <c r="W225" s="1">
        <f>IFERROR(__xludf.DUMMYFUNCTION("""COMPUTED_VALUE"""),1.0)</f>
        <v>1</v>
      </c>
      <c r="X225" s="1" t="str">
        <f>IFERROR(__xludf.DUMMYFUNCTION("""COMPUTED_VALUE"""),"Sin Información")</f>
        <v>Sin Información</v>
      </c>
      <c r="Y225" s="1" t="str">
        <f>IFERROR(__xludf.DUMMYFUNCTION("""COMPUTED_VALUE"""),"CHILE")</f>
        <v>CHILE</v>
      </c>
      <c r="Z225" s="1" t="str">
        <f>IFERROR(__xludf.DUMMYFUNCTION("""COMPUTED_VALUE"""),"T5062 Licenciado en Filosofia")</f>
        <v>T5062 Licenciado en Filosofia</v>
      </c>
    </row>
    <row r="226" hidden="1">
      <c r="A226" s="1" t="str">
        <f>IFERROR(__xludf.DUMMYFUNCTION("""COMPUTED_VALUE"""),"12090501 Departamento de Investigaciónes Mediáticas y de la Comunicación")</f>
        <v>12090501 Departamento de Investigaciónes Mediáticas y de la Comunicación</v>
      </c>
      <c r="B226" s="1" t="str">
        <f>IFERROR(__xludf.DUMMYFUNCTION("""COMPUTED_VALUE"""),"A3A001 Académico Prof. Asistente")</f>
        <v>A3A001 Académico Prof. Asistente</v>
      </c>
      <c r="C226" s="1" t="str">
        <f>IFERROR(__xludf.DUMMYFUNCTION("""COMPUTED_VALUE"""),"Prof. Asistente - Categ. Academica Ord.")</f>
        <v>Prof. Asistente - Categ. Academica Ord.</v>
      </c>
      <c r="D226" s="1" t="str">
        <f>IFERROR(__xludf.DUMMYFUNCTION("""COMPUTED_VALUE"""),"A3A Prof. Asistente - Categ. Academica Ord.")</f>
        <v>A3A Prof. Asistente - Categ. Academica Ord.</v>
      </c>
      <c r="E226" s="1" t="str">
        <f>IFERROR(__xludf.DUMMYFUNCTION("""COMPUTED_VALUE"""),"Femenino")</f>
        <v>Femenino</v>
      </c>
      <c r="F226" s="1" t="str">
        <f>IFERROR(__xludf.DUMMYFUNCTION("""COMPUTED_VALUE"""),"Orellana")</f>
        <v>Orellana</v>
      </c>
      <c r="G226" s="1" t="str">
        <f>IFERROR(__xludf.DUMMYFUNCTION("""COMPUTED_VALUE"""),"Sanzana")</f>
        <v>Sanzana</v>
      </c>
      <c r="H226" s="1" t="str">
        <f>IFERROR(__xludf.DUMMYFUNCTION("""COMPUTED_VALUE"""),"Myriam del Carmen")</f>
        <v>Myriam del Carmen</v>
      </c>
      <c r="I226" s="1" t="str">
        <f>IFERROR(__xludf.DUMMYFUNCTION("""COMPUTED_VALUE"""),"Orellana Sanzana Myriam del Carmen")</f>
        <v>Orellana Sanzana Myriam del Carmen</v>
      </c>
      <c r="J226" s="10">
        <f>IFERROR(__xludf.DUMMYFUNCTION("""COMPUTED_VALUE"""),28795.0)</f>
        <v>28795</v>
      </c>
      <c r="K226" s="10">
        <f>IFERROR(__xludf.DUMMYFUNCTION("""COMPUTED_VALUE"""),18218.0)</f>
        <v>18218</v>
      </c>
      <c r="L226" s="1">
        <f>IFERROR(__xludf.DUMMYFUNCTION("""COMPUTED_VALUE"""),74.0)</f>
        <v>74</v>
      </c>
      <c r="M226" s="1" t="str">
        <f>IFERROR(__xludf.DUMMYFUNCTION("""COMPUTED_VALUE"""),"0002 Soltero")</f>
        <v>0002 Soltero</v>
      </c>
      <c r="N226" s="1"/>
      <c r="O226" s="10">
        <f>IFERROR(__xludf.DUMMYFUNCTION("""COMPUTED_VALUE"""),34060.0)</f>
        <v>34060</v>
      </c>
      <c r="P226" s="10">
        <f>IFERROR(__xludf.DUMMYFUNCTION("""COMPUTED_VALUE"""),34911.0)</f>
        <v>34911</v>
      </c>
      <c r="Q226" s="1" t="str">
        <f>IFERROR(__xludf.DUMMYFUNCTION("""COMPUTED_VALUE"""),"P Propiedad")</f>
        <v>P Propiedad</v>
      </c>
      <c r="R226" s="1" t="str">
        <f>IFERROR(__xludf.DUMMYFUNCTION("""COMPUTED_VALUE"""),"A Académico")</f>
        <v>A Académico</v>
      </c>
      <c r="S226" s="9" t="str">
        <f>IFERROR(__xludf.DUMMYFUNCTION("""COMPUTED_VALUE"""),"48436927")</f>
        <v>48436927</v>
      </c>
      <c r="T226" s="1" t="str">
        <f>IFERROR(__xludf.DUMMYFUNCTION("""COMPUTED_VALUE"""),"0048436927")</f>
        <v>0048436927</v>
      </c>
      <c r="U226" s="1">
        <f>IFERROR(__xludf.DUMMYFUNCTION("""COMPUTED_VALUE"""),12.0)</f>
        <v>12</v>
      </c>
      <c r="V226" s="1"/>
      <c r="W226" s="1"/>
      <c r="X226" s="1"/>
      <c r="Y226" s="1"/>
      <c r="Z226" s="1"/>
    </row>
    <row r="227">
      <c r="A227" s="1" t="str">
        <f>IFERROR(__xludf.DUMMYFUNCTION("""COMPUTED_VALUE"""),"12090701 Departamento de Psicología")</f>
        <v>12090701 Departamento de Psicología</v>
      </c>
      <c r="B227" s="1" t="str">
        <f>IFERROR(__xludf.DUMMYFUNCTION("""COMPUTED_VALUE"""),"A8A001 ACADEMICO INSTRUCTOR ADJUNTO")</f>
        <v>A8A001 ACADEMICO INSTRUCTOR ADJUNTO</v>
      </c>
      <c r="C227" s="1" t="str">
        <f>IFERROR(__xludf.DUMMYFUNCTION("""COMPUTED_VALUE"""),"Inst. Adjunto")</f>
        <v>Inst. Adjunto</v>
      </c>
      <c r="D227" s="1" t="str">
        <f>IFERROR(__xludf.DUMMYFUNCTION("""COMPUTED_VALUE"""),"A8A Inst. Adjunto")</f>
        <v>A8A Inst. Adjunto</v>
      </c>
      <c r="E227" s="1" t="str">
        <f>IFERROR(__xludf.DUMMYFUNCTION("""COMPUTED_VALUE"""),"Femenino")</f>
        <v>Femenino</v>
      </c>
      <c r="F227" s="1" t="str">
        <f>IFERROR(__xludf.DUMMYFUNCTION("""COMPUTED_VALUE"""),"Orler")</f>
        <v>Orler</v>
      </c>
      <c r="G227" s="1" t="str">
        <f>IFERROR(__xludf.DUMMYFUNCTION("""COMPUTED_VALUE"""),"Hutter")</f>
        <v>Hutter</v>
      </c>
      <c r="H227" s="1" t="str">
        <f>IFERROR(__xludf.DUMMYFUNCTION("""COMPUTED_VALUE"""),"Marcela Carola")</f>
        <v>Marcela Carola</v>
      </c>
      <c r="I227" s="1" t="str">
        <f>IFERROR(__xludf.DUMMYFUNCTION("""COMPUTED_VALUE"""),"Orler Hutter Marcela Carola")</f>
        <v>Orler Hutter Marcela Carola</v>
      </c>
      <c r="J227" s="10">
        <f>IFERROR(__xludf.DUMMYFUNCTION("""COMPUTED_VALUE"""),36495.0)</f>
        <v>36495</v>
      </c>
      <c r="K227" s="10">
        <f>IFERROR(__xludf.DUMMYFUNCTION("""COMPUTED_VALUE"""),25270.0)</f>
        <v>25270</v>
      </c>
      <c r="L227" s="1">
        <f>IFERROR(__xludf.DUMMYFUNCTION("""COMPUTED_VALUE"""),54.0)</f>
        <v>54</v>
      </c>
      <c r="M227" s="1" t="str">
        <f>IFERROR(__xludf.DUMMYFUNCTION("""COMPUTED_VALUE"""),"0002 Soltero")</f>
        <v>0002 Soltero</v>
      </c>
      <c r="N227" s="1"/>
      <c r="O227" s="10">
        <f>IFERROR(__xludf.DUMMYFUNCTION("""COMPUTED_VALUE"""),36800.0)</f>
        <v>36800</v>
      </c>
      <c r="P227" s="10">
        <f>IFERROR(__xludf.DUMMYFUNCTION("""COMPUTED_VALUE"""),36891.0)</f>
        <v>36891</v>
      </c>
      <c r="Q227" s="1" t="str">
        <f>IFERROR(__xludf.DUMMYFUNCTION("""COMPUTED_VALUE"""),"C Contrata")</f>
        <v>C Contrata</v>
      </c>
      <c r="R227" s="1" t="str">
        <f>IFERROR(__xludf.DUMMYFUNCTION("""COMPUTED_VALUE"""),"A Académico")</f>
        <v>A Académico</v>
      </c>
      <c r="S227" s="9" t="str">
        <f>IFERROR(__xludf.DUMMYFUNCTION("""COMPUTED_VALUE"""),"146751768")</f>
        <v>146751768</v>
      </c>
      <c r="T227" s="1" t="str">
        <f>IFERROR(__xludf.DUMMYFUNCTION("""COMPUTED_VALUE"""),"0146751768")</f>
        <v>0146751768</v>
      </c>
      <c r="U227" s="1">
        <f>IFERROR(__xludf.DUMMYFUNCTION("""COMPUTED_VALUE"""),6.0)</f>
        <v>6</v>
      </c>
      <c r="V227" s="1"/>
      <c r="W227" s="1"/>
      <c r="X227" s="1"/>
      <c r="Y227" s="1"/>
      <c r="Z227" s="1"/>
    </row>
    <row r="228">
      <c r="A228" s="1" t="str">
        <f>IFERROR(__xludf.DUMMYFUNCTION("""COMPUTED_VALUE"""),"12090118 Dpto. de  Psicología (funcionamiento)")</f>
        <v>12090118 Dpto. de  Psicología (funcionamiento)</v>
      </c>
      <c r="B228" s="1" t="str">
        <f>IFERROR(__xludf.DUMMYFUNCTION("""COMPUTED_VALUE"""),"A3A001 Académico Prof. Asistente")</f>
        <v>A3A001 Académico Prof. Asistente</v>
      </c>
      <c r="C228" s="1" t="str">
        <f>IFERROR(__xludf.DUMMYFUNCTION("""COMPUTED_VALUE"""),"Prof. Asistente - Categ. Academica Ord.")</f>
        <v>Prof. Asistente - Categ. Academica Ord.</v>
      </c>
      <c r="D228" s="1" t="str">
        <f>IFERROR(__xludf.DUMMYFUNCTION("""COMPUTED_VALUE"""),"A3A Prof. Asistente - Categ. Academica Ord.")</f>
        <v>A3A Prof. Asistente - Categ. Academica Ord.</v>
      </c>
      <c r="E228" s="1" t="str">
        <f>IFERROR(__xludf.DUMMYFUNCTION("""COMPUTED_VALUE"""),"Masculino")</f>
        <v>Masculino</v>
      </c>
      <c r="F228" s="1" t="str">
        <f>IFERROR(__xludf.DUMMYFUNCTION("""COMPUTED_VALUE"""),"Ortega")</f>
        <v>Ortega</v>
      </c>
      <c r="G228" s="1" t="str">
        <f>IFERROR(__xludf.DUMMYFUNCTION("""COMPUTED_VALUE"""),"Jiménez")</f>
        <v>Jiménez</v>
      </c>
      <c r="H228" s="1" t="str">
        <f>IFERROR(__xludf.DUMMYFUNCTION("""COMPUTED_VALUE"""),"Nelson Rodrigo")</f>
        <v>Nelson Rodrigo</v>
      </c>
      <c r="I228" s="1" t="str">
        <f>IFERROR(__xludf.DUMMYFUNCTION("""COMPUTED_VALUE"""),"Ortega Jiménez Nelson Rodrigo")</f>
        <v>Ortega Jiménez Nelson Rodrigo</v>
      </c>
      <c r="J228" s="10">
        <f>IFERROR(__xludf.DUMMYFUNCTION("""COMPUTED_VALUE"""),40900.0)</f>
        <v>40900</v>
      </c>
      <c r="K228" s="10">
        <f>IFERROR(__xludf.DUMMYFUNCTION("""COMPUTED_VALUE"""),27485.0)</f>
        <v>27485</v>
      </c>
      <c r="L228" s="1">
        <f>IFERROR(__xludf.DUMMYFUNCTION("""COMPUTED_VALUE"""),48.0)</f>
        <v>48</v>
      </c>
      <c r="M228" s="1" t="str">
        <f>IFERROR(__xludf.DUMMYFUNCTION("""COMPUTED_VALUE"""),"0002 Soltero")</f>
        <v>0002 Soltero</v>
      </c>
      <c r="N228" s="1" t="str">
        <f>IFERROR(__xludf.DUMMYFUNCTION("""COMPUTED_VALUE"""),"N0040 Profesional Superior")</f>
        <v>N0040 Profesional Superior</v>
      </c>
      <c r="O228" s="10">
        <f>IFERROR(__xludf.DUMMYFUNCTION("""COMPUTED_VALUE"""),44197.0)</f>
        <v>44197</v>
      </c>
      <c r="P228" s="10">
        <f>IFERROR(__xludf.DUMMYFUNCTION("""COMPUTED_VALUE"""),44255.0)</f>
        <v>44255</v>
      </c>
      <c r="Q228" s="1" t="str">
        <f>IFERROR(__xludf.DUMMYFUNCTION("""COMPUTED_VALUE"""),"C Contrata")</f>
        <v>C Contrata</v>
      </c>
      <c r="R228" s="1" t="str">
        <f>IFERROR(__xludf.DUMMYFUNCTION("""COMPUTED_VALUE"""),"A Académico")</f>
        <v>A Académico</v>
      </c>
      <c r="S228" s="9" t="str">
        <f>IFERROR(__xludf.DUMMYFUNCTION("""COMPUTED_VALUE"""),"105964374")</f>
        <v>105964374</v>
      </c>
      <c r="T228" s="1" t="str">
        <f>IFERROR(__xludf.DUMMYFUNCTION("""COMPUTED_VALUE"""),"0105964374")</f>
        <v>0105964374</v>
      </c>
      <c r="U228" s="1">
        <f>IFERROR(__xludf.DUMMYFUNCTION("""COMPUTED_VALUE"""),44.0)</f>
        <v>44</v>
      </c>
      <c r="V228" s="1" t="str">
        <f>IFERROR(__xludf.DUMMYFUNCTION("""COMPUTED_VALUE"""),"P0900 Doctor")</f>
        <v>P0900 Doctor</v>
      </c>
      <c r="W228" s="1">
        <f>IFERROR(__xludf.DUMMYFUNCTION("""COMPUTED_VALUE"""),42087.0)</f>
        <v>42087</v>
      </c>
      <c r="X228" s="1" t="str">
        <f>IFERROR(__xludf.DUMMYFUNCTION("""COMPUTED_VALUE"""),"Universidad De Chile")</f>
        <v>Universidad De Chile</v>
      </c>
      <c r="Y228" s="1" t="str">
        <f>IFERROR(__xludf.DUMMYFUNCTION("""COMPUTED_VALUE"""),"CHILE")</f>
        <v>CHILE</v>
      </c>
      <c r="Z228" s="1" t="str">
        <f>IFERROR(__xludf.DUMMYFUNCTION("""COMPUTED_VALUE"""),"T5124 Psicologo")</f>
        <v>T5124 Psicologo</v>
      </c>
    </row>
    <row r="229" hidden="1">
      <c r="A229" s="1" t="str">
        <f>IFERROR(__xludf.DUMMYFUNCTION("""COMPUTED_VALUE"""),"12090701 Departamento de Psicología")</f>
        <v>12090701 Departamento de Psicología</v>
      </c>
      <c r="B229" s="1" t="str">
        <f>IFERROR(__xludf.DUMMYFUNCTION("""COMPUTED_VALUE"""),"A3A001 Académico Prof. Asistente")</f>
        <v>A3A001 Académico Prof. Asistente</v>
      </c>
      <c r="C229" s="1" t="str">
        <f>IFERROR(__xludf.DUMMYFUNCTION("""COMPUTED_VALUE"""),"Prof. Asistente - Categ. Academica Ord.")</f>
        <v>Prof. Asistente - Categ. Academica Ord.</v>
      </c>
      <c r="D229" s="1" t="str">
        <f>IFERROR(__xludf.DUMMYFUNCTION("""COMPUTED_VALUE"""),"A3A Prof. Asistente - Categ. Academica Ord.")</f>
        <v>A3A Prof. Asistente - Categ. Academica Ord.</v>
      </c>
      <c r="E229" s="1" t="str">
        <f>IFERROR(__xludf.DUMMYFUNCTION("""COMPUTED_VALUE"""),"Masculino")</f>
        <v>Masculino</v>
      </c>
      <c r="F229" s="1" t="str">
        <f>IFERROR(__xludf.DUMMYFUNCTION("""COMPUTED_VALUE"""),"Osorio")</f>
        <v>Osorio</v>
      </c>
      <c r="G229" s="1" t="str">
        <f>IFERROR(__xludf.DUMMYFUNCTION("""COMPUTED_VALUE"""),"Hernández")</f>
        <v>Hernández</v>
      </c>
      <c r="H229" s="1" t="str">
        <f>IFERROR(__xludf.DUMMYFUNCTION("""COMPUTED_VALUE"""),"Héctor Hugo")</f>
        <v>Héctor Hugo</v>
      </c>
      <c r="I229" s="1" t="str">
        <f>IFERROR(__xludf.DUMMYFUNCTION("""COMPUTED_VALUE"""),"Osorio Hernández Héctor Hugo")</f>
        <v>Osorio Hernández Héctor Hugo</v>
      </c>
      <c r="J229" s="10">
        <f>IFERROR(__xludf.DUMMYFUNCTION("""COMPUTED_VALUE"""),25020.0)</f>
        <v>25020</v>
      </c>
      <c r="K229" s="10">
        <f>IFERROR(__xludf.DUMMYFUNCTION("""COMPUTED_VALUE"""),16811.0)</f>
        <v>16811</v>
      </c>
      <c r="L229" s="1">
        <f>IFERROR(__xludf.DUMMYFUNCTION("""COMPUTED_VALUE"""),78.0)</f>
        <v>78</v>
      </c>
      <c r="M229" s="1" t="str">
        <f>IFERROR(__xludf.DUMMYFUNCTION("""COMPUTED_VALUE"""),"0001 Casado")</f>
        <v>0001 Casado</v>
      </c>
      <c r="N229" s="1"/>
      <c r="O229" s="10">
        <f>IFERROR(__xludf.DUMMYFUNCTION("""COMPUTED_VALUE"""),35156.0)</f>
        <v>35156</v>
      </c>
      <c r="P229" s="10">
        <f>IFERROR(__xludf.DUMMYFUNCTION("""COMPUTED_VALUE"""),38101.0)</f>
        <v>38101</v>
      </c>
      <c r="Q229" s="1" t="str">
        <f>IFERROR(__xludf.DUMMYFUNCTION("""COMPUTED_VALUE"""),"P Propiedad")</f>
        <v>P Propiedad</v>
      </c>
      <c r="R229" s="1" t="str">
        <f>IFERROR(__xludf.DUMMYFUNCTION("""COMPUTED_VALUE"""),"A Académico")</f>
        <v>A Académico</v>
      </c>
      <c r="S229" s="9" t="str">
        <f>IFERROR(__xludf.DUMMYFUNCTION("""COMPUTED_VALUE"""),"47644054")</f>
        <v>47644054</v>
      </c>
      <c r="T229" s="1" t="str">
        <f>IFERROR(__xludf.DUMMYFUNCTION("""COMPUTED_VALUE"""),"0047644054")</f>
        <v>0047644054</v>
      </c>
      <c r="U229" s="1">
        <f>IFERROR(__xludf.DUMMYFUNCTION("""COMPUTED_VALUE"""),12.0)</f>
        <v>12</v>
      </c>
      <c r="V229" s="1" t="str">
        <f>IFERROR(__xludf.DUMMYFUNCTION("""COMPUTED_VALUE"""),"P0501 Con Titulo Profesional")</f>
        <v>P0501 Con Titulo Profesional</v>
      </c>
      <c r="W229" s="1">
        <f>IFERROR(__xludf.DUMMYFUNCTION("""COMPUTED_VALUE"""),25655.0)</f>
        <v>25655</v>
      </c>
      <c r="X229" s="1" t="str">
        <f>IFERROR(__xludf.DUMMYFUNCTION("""COMPUTED_VALUE"""),"Universidad De Chile")</f>
        <v>Universidad De Chile</v>
      </c>
      <c r="Y229" s="1" t="str">
        <f>IFERROR(__xludf.DUMMYFUNCTION("""COMPUTED_VALUE"""),"CHILE")</f>
        <v>CHILE</v>
      </c>
      <c r="Z229" s="1"/>
    </row>
    <row r="230" hidden="1">
      <c r="A230" s="1" t="str">
        <f>IFERROR(__xludf.DUMMYFUNCTION("""COMPUTED_VALUE"""),"12090801 Departamento de Sociología")</f>
        <v>12090801 Departamento de Sociología</v>
      </c>
      <c r="B230" s="1" t="str">
        <f>IFERROR(__xludf.DUMMYFUNCTION("""COMPUTED_VALUE"""),"A3A001 Académico Prof. Asistente")</f>
        <v>A3A001 Académico Prof. Asistente</v>
      </c>
      <c r="C230" s="1" t="str">
        <f>IFERROR(__xludf.DUMMYFUNCTION("""COMPUTED_VALUE"""),"Prof. Asistente - Categ. Academica Ord.")</f>
        <v>Prof. Asistente - Categ. Academica Ord.</v>
      </c>
      <c r="D230" s="1" t="str">
        <f>IFERROR(__xludf.DUMMYFUNCTION("""COMPUTED_VALUE"""),"A3A Prof. Asistente - Categ. Academica Ord.")</f>
        <v>A3A Prof. Asistente - Categ. Academica Ord.</v>
      </c>
      <c r="E230" s="1" t="str">
        <f>IFERROR(__xludf.DUMMYFUNCTION("""COMPUTED_VALUE"""),"Femenino")</f>
        <v>Femenino</v>
      </c>
      <c r="F230" s="1" t="str">
        <f>IFERROR(__xludf.DUMMYFUNCTION("""COMPUTED_VALUE"""),"Osorio")</f>
        <v>Osorio</v>
      </c>
      <c r="G230" s="1" t="str">
        <f>IFERROR(__xludf.DUMMYFUNCTION("""COMPUTED_VALUE"""),"Lagreze")</f>
        <v>Lagreze</v>
      </c>
      <c r="H230" s="1" t="str">
        <f>IFERROR(__xludf.DUMMYFUNCTION("""COMPUTED_VALUE"""),"María Cristina")</f>
        <v>María Cristina</v>
      </c>
      <c r="I230" s="1" t="str">
        <f>IFERROR(__xludf.DUMMYFUNCTION("""COMPUTED_VALUE"""),"Osorio Lagreze María Cristina")</f>
        <v>Osorio Lagreze María Cristina</v>
      </c>
      <c r="J230" s="10">
        <f>IFERROR(__xludf.DUMMYFUNCTION("""COMPUTED_VALUE"""),26115.0)</f>
        <v>26115</v>
      </c>
      <c r="K230" s="10">
        <f>IFERROR(__xludf.DUMMYFUNCTION("""COMPUTED_VALUE"""),13237.0)</f>
        <v>13237</v>
      </c>
      <c r="L230" s="1">
        <f>IFERROR(__xludf.DUMMYFUNCTION("""COMPUTED_VALUE"""),87.0)</f>
        <v>87</v>
      </c>
      <c r="M230" s="1" t="str">
        <f>IFERROR(__xludf.DUMMYFUNCTION("""COMPUTED_VALUE"""),"0001 Casado")</f>
        <v>0001 Casado</v>
      </c>
      <c r="N230" s="1"/>
      <c r="O230" s="10">
        <f>IFERROR(__xludf.DUMMYFUNCTION("""COMPUTED_VALUE"""),34640.0)</f>
        <v>34640</v>
      </c>
      <c r="P230" s="10">
        <f>IFERROR(__xludf.DUMMYFUNCTION("""COMPUTED_VALUE"""),34699.0)</f>
        <v>34699</v>
      </c>
      <c r="Q230" s="1" t="str">
        <f>IFERROR(__xludf.DUMMYFUNCTION("""COMPUTED_VALUE"""),"C Contrata")</f>
        <v>C Contrata</v>
      </c>
      <c r="R230" s="1" t="str">
        <f>IFERROR(__xludf.DUMMYFUNCTION("""COMPUTED_VALUE"""),"A Académico")</f>
        <v>A Académico</v>
      </c>
      <c r="S230" s="9" t="str">
        <f>IFERROR(__xludf.DUMMYFUNCTION("""COMPUTED_VALUE"""),"34212406")</f>
        <v>34212406</v>
      </c>
      <c r="T230" s="1" t="str">
        <f>IFERROR(__xludf.DUMMYFUNCTION("""COMPUTED_VALUE"""),"0034212406")</f>
        <v>0034212406</v>
      </c>
      <c r="U230" s="1">
        <f>IFERROR(__xludf.DUMMYFUNCTION("""COMPUTED_VALUE"""),22.0)</f>
        <v>22</v>
      </c>
      <c r="V230" s="1" t="str">
        <f>IFERROR(__xludf.DUMMYFUNCTION("""COMPUTED_VALUE"""),"P0850 Magister")</f>
        <v>P0850 Magister</v>
      </c>
      <c r="W230" s="1">
        <f>IFERROR(__xludf.DUMMYFUNCTION("""COMPUTED_VALUE"""),1.0)</f>
        <v>1</v>
      </c>
      <c r="X230" s="1" t="str">
        <f>IFERROR(__xludf.DUMMYFUNCTION("""COMPUTED_VALUE"""),"Sin Información")</f>
        <v>Sin Información</v>
      </c>
      <c r="Y230" s="1" t="str">
        <f>IFERROR(__xludf.DUMMYFUNCTION("""COMPUTED_VALUE"""),"CHILE")</f>
        <v>CHILE</v>
      </c>
      <c r="Z230" s="1"/>
    </row>
    <row r="231">
      <c r="A231" s="1" t="str">
        <f>IFERROR(__xludf.DUMMYFUNCTION("""COMPUTED_VALUE"""),"12090501 Departamento de Investigaciónes Mediáticas y de la Comunicación")</f>
        <v>12090501 Departamento de Investigaciónes Mediáticas y de la Comunicación</v>
      </c>
      <c r="B231" s="1" t="str">
        <f>IFERROR(__xludf.DUMMYFUNCTION("""COMPUTED_VALUE"""),"A7A001 ACADEMICO PROF. ADJUNTO")</f>
        <v>A7A001 ACADEMICO PROF. ADJUNTO</v>
      </c>
      <c r="C231" s="1" t="str">
        <f>IFERROR(__xludf.DUMMYFUNCTION("""COMPUTED_VALUE"""),"Prof. Adjunto")</f>
        <v>Prof. Adjunto</v>
      </c>
      <c r="D231" s="1" t="str">
        <f>IFERROR(__xludf.DUMMYFUNCTION("""COMPUTED_VALUE"""),"A7A Prof. Adjunto")</f>
        <v>A7A Prof. Adjunto</v>
      </c>
      <c r="E231" s="1" t="str">
        <f>IFERROR(__xludf.DUMMYFUNCTION("""COMPUTED_VALUE"""),"Masculino")</f>
        <v>Masculino</v>
      </c>
      <c r="F231" s="1" t="str">
        <f>IFERROR(__xludf.DUMMYFUNCTION("""COMPUTED_VALUE"""),"Ossa")</f>
        <v>Ossa</v>
      </c>
      <c r="G231" s="1" t="str">
        <f>IFERROR(__xludf.DUMMYFUNCTION("""COMPUTED_VALUE"""),"Swears")</f>
        <v>Swears</v>
      </c>
      <c r="H231" s="1" t="str">
        <f>IFERROR(__xludf.DUMMYFUNCTION("""COMPUTED_VALUE"""),"Carlos Joaquín")</f>
        <v>Carlos Joaquín</v>
      </c>
      <c r="I231" s="1" t="str">
        <f>IFERROR(__xludf.DUMMYFUNCTION("""COMPUTED_VALUE"""),"Ossa Swears Carlos Joaquín")</f>
        <v>Ossa Swears Carlos Joaquín</v>
      </c>
      <c r="J231" s="10">
        <f>IFERROR(__xludf.DUMMYFUNCTION("""COMPUTED_VALUE"""),36770.0)</f>
        <v>36770</v>
      </c>
      <c r="K231" s="10">
        <f>IFERROR(__xludf.DUMMYFUNCTION("""COMPUTED_VALUE"""),22982.0)</f>
        <v>22982</v>
      </c>
      <c r="L231" s="1">
        <f>IFERROR(__xludf.DUMMYFUNCTION("""COMPUTED_VALUE"""),61.0)</f>
        <v>61</v>
      </c>
      <c r="M231" s="1" t="str">
        <f>IFERROR(__xludf.DUMMYFUNCTION("""COMPUTED_VALUE"""),"0001 Casado")</f>
        <v>0001 Casado</v>
      </c>
      <c r="N231" s="1" t="str">
        <f>IFERROR(__xludf.DUMMYFUNCTION("""COMPUTED_VALUE"""),"N0040 Profesional Superior")</f>
        <v>N0040 Profesional Superior</v>
      </c>
      <c r="O231" s="10">
        <f>IFERROR(__xludf.DUMMYFUNCTION("""COMPUTED_VALUE"""),37803.0)</f>
        <v>37803</v>
      </c>
      <c r="P231" s="10">
        <f>IFERROR(__xludf.DUMMYFUNCTION("""COMPUTED_VALUE"""),37833.0)</f>
        <v>37833</v>
      </c>
      <c r="Q231" s="1" t="str">
        <f>IFERROR(__xludf.DUMMYFUNCTION("""COMPUTED_VALUE"""),"C Contrata")</f>
        <v>C Contrata</v>
      </c>
      <c r="R231" s="1" t="str">
        <f>IFERROR(__xludf.DUMMYFUNCTION("""COMPUTED_VALUE"""),"A Académico")</f>
        <v>A Académico</v>
      </c>
      <c r="S231" s="9" t="str">
        <f>IFERROR(__xludf.DUMMYFUNCTION("""COMPUTED_VALUE"""),"79309559")</f>
        <v>79309559</v>
      </c>
      <c r="T231" s="1" t="str">
        <f>IFERROR(__xludf.DUMMYFUNCTION("""COMPUTED_VALUE"""),"0079309559")</f>
        <v>0079309559</v>
      </c>
      <c r="U231" s="1">
        <f>IFERROR(__xludf.DUMMYFUNCTION("""COMPUTED_VALUE"""),21.0)</f>
        <v>21</v>
      </c>
      <c r="V231" s="1" t="str">
        <f>IFERROR(__xludf.DUMMYFUNCTION("""COMPUTED_VALUE"""),"P0850 Magister")</f>
        <v>P0850 Magister</v>
      </c>
      <c r="W231" s="1">
        <f>IFERROR(__xludf.DUMMYFUNCTION("""COMPUTED_VALUE"""),1.0)</f>
        <v>1</v>
      </c>
      <c r="X231" s="1" t="str">
        <f>IFERROR(__xludf.DUMMYFUNCTION("""COMPUTED_VALUE"""),"Universidad Arcis")</f>
        <v>Universidad Arcis</v>
      </c>
      <c r="Y231" s="1" t="str">
        <f>IFERROR(__xludf.DUMMYFUNCTION("""COMPUTED_VALUE"""),"CHILE")</f>
        <v>CHILE</v>
      </c>
      <c r="Z231" s="1" t="str">
        <f>IFERROR(__xludf.DUMMYFUNCTION("""COMPUTED_VALUE"""),"T5231 Licenciado En Teoria E Hist.Arte")</f>
        <v>T5231 Licenciado En Teoria E Hist.Arte</v>
      </c>
    </row>
    <row r="232" hidden="1">
      <c r="A232" s="1" t="str">
        <f>IFERROR(__xludf.DUMMYFUNCTION("""COMPUTED_VALUE"""),"12090501 Departamento de Investigaciónes Mediáticas y de la Comunicación")</f>
        <v>12090501 Departamento de Investigaciónes Mediáticas y de la Comunicación</v>
      </c>
      <c r="B232" s="1" t="str">
        <f>IFERROR(__xludf.DUMMYFUNCTION("""COMPUTED_VALUE"""),"A2A001 Académico Prof. Asociado")</f>
        <v>A2A001 Académico Prof. Asociado</v>
      </c>
      <c r="C232" s="1" t="str">
        <f>IFERROR(__xludf.DUMMYFUNCTION("""COMPUTED_VALUE"""),"Prof. Asociado - Categ. Academica Ord.")</f>
        <v>Prof. Asociado - Categ. Academica Ord.</v>
      </c>
      <c r="D232" s="1" t="str">
        <f>IFERROR(__xludf.DUMMYFUNCTION("""COMPUTED_VALUE"""),"A2A Prof. Asociado - Categ. Academica Ord.")</f>
        <v>A2A Prof. Asociado - Categ. Academica Ord.</v>
      </c>
      <c r="E232" s="1" t="str">
        <f>IFERROR(__xludf.DUMMYFUNCTION("""COMPUTED_VALUE"""),"Masculino")</f>
        <v>Masculino</v>
      </c>
      <c r="F232" s="1" t="str">
        <f>IFERROR(__xludf.DUMMYFUNCTION("""COMPUTED_VALUE"""),"Ossandón")</f>
        <v>Ossandón</v>
      </c>
      <c r="G232" s="1" t="str">
        <f>IFERROR(__xludf.DUMMYFUNCTION("""COMPUTED_VALUE"""),"Buljevic")</f>
        <v>Buljevic</v>
      </c>
      <c r="H232" s="1" t="str">
        <f>IFERROR(__xludf.DUMMYFUNCTION("""COMPUTED_VALUE"""),"Carlos Andrés")</f>
        <v>Carlos Andrés</v>
      </c>
      <c r="I232" s="1" t="str">
        <f>IFERROR(__xludf.DUMMYFUNCTION("""COMPUTED_VALUE"""),"Ossandón Buljevic Carlos Andrés")</f>
        <v>Ossandón Buljevic Carlos Andrés</v>
      </c>
      <c r="J232" s="10">
        <f>IFERROR(__xludf.DUMMYFUNCTION("""COMPUTED_VALUE"""),35034.0)</f>
        <v>35034</v>
      </c>
      <c r="K232" s="10">
        <f>IFERROR(__xludf.DUMMYFUNCTION("""COMPUTED_VALUE"""),17875.0)</f>
        <v>17875</v>
      </c>
      <c r="L232" s="1">
        <f>IFERROR(__xludf.DUMMYFUNCTION("""COMPUTED_VALUE"""),75.0)</f>
        <v>75</v>
      </c>
      <c r="M232" s="1" t="str">
        <f>IFERROR(__xludf.DUMMYFUNCTION("""COMPUTED_VALUE"""),"0001 Casado")</f>
        <v>0001 Casado</v>
      </c>
      <c r="N232" s="1"/>
      <c r="O232" s="10">
        <f>IFERROR(__xludf.DUMMYFUNCTION("""COMPUTED_VALUE"""),36831.0)</f>
        <v>36831</v>
      </c>
      <c r="P232" s="10">
        <f>IFERROR(__xludf.DUMMYFUNCTION("""COMPUTED_VALUE"""),37833.0)</f>
        <v>37833</v>
      </c>
      <c r="Q232" s="1" t="str">
        <f>IFERROR(__xludf.DUMMYFUNCTION("""COMPUTED_VALUE"""),"P Propiedad")</f>
        <v>P Propiedad</v>
      </c>
      <c r="R232" s="1" t="str">
        <f>IFERROR(__xludf.DUMMYFUNCTION("""COMPUTED_VALUE"""),"A Académico")</f>
        <v>A Académico</v>
      </c>
      <c r="S232" s="9" t="str">
        <f>IFERROR(__xludf.DUMMYFUNCTION("""COMPUTED_VALUE"""),"60455252")</f>
        <v>60455252</v>
      </c>
      <c r="T232" s="1" t="str">
        <f>IFERROR(__xludf.DUMMYFUNCTION("""COMPUTED_VALUE"""),"0060455252")</f>
        <v>0060455252</v>
      </c>
      <c r="U232" s="1">
        <f>IFERROR(__xludf.DUMMYFUNCTION("""COMPUTED_VALUE"""),22.0)</f>
        <v>22</v>
      </c>
      <c r="V232" s="1" t="str">
        <f>IFERROR(__xludf.DUMMYFUNCTION("""COMPUTED_VALUE"""),"P0928 Doctor En Filosofía")</f>
        <v>P0928 Doctor En Filosofía</v>
      </c>
      <c r="W232" s="1">
        <f>IFERROR(__xludf.DUMMYFUNCTION("""COMPUTED_VALUE"""),28490.0)</f>
        <v>28490</v>
      </c>
      <c r="X232" s="1" t="str">
        <f>IFERROR(__xludf.DUMMYFUNCTION("""COMPUTED_VALUE"""),"Universidad De Gante")</f>
        <v>Universidad De Gante</v>
      </c>
      <c r="Y232" s="1" t="str">
        <f>IFERROR(__xludf.DUMMYFUNCTION("""COMPUTED_VALUE"""),"BÉLGICA")</f>
        <v>BÉLGICA</v>
      </c>
      <c r="Z232" s="1" t="str">
        <f>IFERROR(__xludf.DUMMYFUNCTION("""COMPUTED_VALUE"""),"T5099 Profesor De Filosofia")</f>
        <v>T5099 Profesor De Filosofia</v>
      </c>
    </row>
    <row r="233" hidden="1">
      <c r="A233" s="1" t="str">
        <f>IFERROR(__xludf.DUMMYFUNCTION("""COMPUTED_VALUE"""),"12090501 Departamento de Investigaciónes Mediáticas y de la Comunicación")</f>
        <v>12090501 Departamento de Investigaciónes Mediáticas y de la Comunicación</v>
      </c>
      <c r="B233" s="1" t="str">
        <f>IFERROR(__xludf.DUMMYFUNCTION("""COMPUTED_VALUE"""),"A3A001 Académico Prof. Asistente")</f>
        <v>A3A001 Académico Prof. Asistente</v>
      </c>
      <c r="C233" s="1" t="str">
        <f>IFERROR(__xludf.DUMMYFUNCTION("""COMPUTED_VALUE"""),"Prof. Asistente - Categ. Academica Ord.")</f>
        <v>Prof. Asistente - Categ. Academica Ord.</v>
      </c>
      <c r="D233" s="1" t="str">
        <f>IFERROR(__xludf.DUMMYFUNCTION("""COMPUTED_VALUE"""),"A3A Prof. Asistente - Categ. Academica Ord.")</f>
        <v>A3A Prof. Asistente - Categ. Academica Ord.</v>
      </c>
      <c r="E233" s="1" t="str">
        <f>IFERROR(__xludf.DUMMYFUNCTION("""COMPUTED_VALUE"""),"Masculino")</f>
        <v>Masculino</v>
      </c>
      <c r="F233" s="1" t="str">
        <f>IFERROR(__xludf.DUMMYFUNCTION("""COMPUTED_VALUE"""),"Otano")</f>
        <v>Otano</v>
      </c>
      <c r="G233" s="1" t="str">
        <f>IFERROR(__xludf.DUMMYFUNCTION("""COMPUTED_VALUE"""),"Garde")</f>
        <v>Garde</v>
      </c>
      <c r="H233" s="1" t="str">
        <f>IFERROR(__xludf.DUMMYFUNCTION("""COMPUTED_VALUE"""),"Rafael")</f>
        <v>Rafael</v>
      </c>
      <c r="I233" s="1" t="str">
        <f>IFERROR(__xludf.DUMMYFUNCTION("""COMPUTED_VALUE"""),"Otano Garde Rafael")</f>
        <v>Otano Garde Rafael</v>
      </c>
      <c r="J233" s="10">
        <f>IFERROR(__xludf.DUMMYFUNCTION("""COMPUTED_VALUE"""),36008.0)</f>
        <v>36008</v>
      </c>
      <c r="K233" s="10">
        <f>IFERROR(__xludf.DUMMYFUNCTION("""COMPUTED_VALUE"""),14594.0)</f>
        <v>14594</v>
      </c>
      <c r="L233" s="1">
        <f>IFERROR(__xludf.DUMMYFUNCTION("""COMPUTED_VALUE"""),84.0)</f>
        <v>84</v>
      </c>
      <c r="M233" s="1" t="str">
        <f>IFERROR(__xludf.DUMMYFUNCTION("""COMPUTED_VALUE"""),"0005 Divorciado")</f>
        <v>0005 Divorciado</v>
      </c>
      <c r="N233" s="1"/>
      <c r="O233" s="10">
        <f>IFERROR(__xludf.DUMMYFUNCTION("""COMPUTED_VALUE"""),37803.0)</f>
        <v>37803</v>
      </c>
      <c r="P233" s="10">
        <f>IFERROR(__xludf.DUMMYFUNCTION("""COMPUTED_VALUE"""),37833.0)</f>
        <v>37833</v>
      </c>
      <c r="Q233" s="1" t="str">
        <f>IFERROR(__xludf.DUMMYFUNCTION("""COMPUTED_VALUE"""),"C Contrata")</f>
        <v>C Contrata</v>
      </c>
      <c r="R233" s="1" t="str">
        <f>IFERROR(__xludf.DUMMYFUNCTION("""COMPUTED_VALUE"""),"A Académico")</f>
        <v>A Académico</v>
      </c>
      <c r="S233" s="9" t="str">
        <f>IFERROR(__xludf.DUMMYFUNCTION("""COMPUTED_VALUE"""),"65571455")</f>
        <v>65571455</v>
      </c>
      <c r="T233" s="1" t="str">
        <f>IFERROR(__xludf.DUMMYFUNCTION("""COMPUTED_VALUE"""),"0065571455")</f>
        <v>0065571455</v>
      </c>
      <c r="U233" s="1">
        <f>IFERROR(__xludf.DUMMYFUNCTION("""COMPUTED_VALUE"""),22.0)</f>
        <v>22</v>
      </c>
      <c r="V233" s="1" t="str">
        <f>IFERROR(__xludf.DUMMYFUNCTION("""COMPUTED_VALUE"""),"P0850 Magister")</f>
        <v>P0850 Magister</v>
      </c>
      <c r="W233" s="1">
        <f>IFERROR(__xludf.DUMMYFUNCTION("""COMPUTED_VALUE"""),1.0)</f>
        <v>1</v>
      </c>
      <c r="X233" s="1" t="str">
        <f>IFERROR(__xludf.DUMMYFUNCTION("""COMPUTED_VALUE"""),"Sin Información")</f>
        <v>Sin Información</v>
      </c>
      <c r="Y233" s="1" t="str">
        <f>IFERROR(__xludf.DUMMYFUNCTION("""COMPUTED_VALUE"""),"CHILE")</f>
        <v>CHILE</v>
      </c>
      <c r="Z233" s="1" t="str">
        <f>IFERROR(__xludf.DUMMYFUNCTION("""COMPUTED_VALUE"""),"T5074 Periodista")</f>
        <v>T5074 Periodista</v>
      </c>
    </row>
    <row r="234" hidden="1">
      <c r="A234" s="1" t="str">
        <f>IFERROR(__xludf.DUMMYFUNCTION("""COMPUTED_VALUE"""),"12090601 Departamento de Educación")</f>
        <v>12090601 Departamento de Educación</v>
      </c>
      <c r="B234" s="1" t="str">
        <f>IFERROR(__xludf.DUMMYFUNCTION("""COMPUTED_VALUE"""),"A1A001 Académico Prof. Titular")</f>
        <v>A1A001 Académico Prof. Titular</v>
      </c>
      <c r="C234" s="1" t="str">
        <f>IFERROR(__xludf.DUMMYFUNCTION("""COMPUTED_VALUE"""),"Prof.Titular - Categ. Academica Ord.")</f>
        <v>Prof.Titular - Categ. Academica Ord.</v>
      </c>
      <c r="D234" s="1" t="str">
        <f>IFERROR(__xludf.DUMMYFUNCTION("""COMPUTED_VALUE"""),"A1A Prof.Titular - Categ. Academica Ord.")</f>
        <v>A1A Prof.Titular - Categ. Academica Ord.</v>
      </c>
      <c r="E234" s="1" t="str">
        <f>IFERROR(__xludf.DUMMYFUNCTION("""COMPUTED_VALUE"""),"Masculino")</f>
        <v>Masculino</v>
      </c>
      <c r="F234" s="1" t="str">
        <f>IFERROR(__xludf.DUMMYFUNCTION("""COMPUTED_VALUE"""),"Otero")</f>
        <v>Otero</v>
      </c>
      <c r="G234" s="1" t="str">
        <f>IFERROR(__xludf.DUMMYFUNCTION("""COMPUTED_VALUE"""),"Bello")</f>
        <v>Bello</v>
      </c>
      <c r="H234" s="1" t="str">
        <f>IFERROR(__xludf.DUMMYFUNCTION("""COMPUTED_VALUE"""),"Edison Hermes")</f>
        <v>Edison Hermes</v>
      </c>
      <c r="I234" s="1" t="str">
        <f>IFERROR(__xludf.DUMMYFUNCTION("""COMPUTED_VALUE"""),"Otero Bello Edison Hermes")</f>
        <v>Otero Bello Edison Hermes</v>
      </c>
      <c r="J234" s="10">
        <f>IFERROR(__xludf.DUMMYFUNCTION("""COMPUTED_VALUE"""),25020.0)</f>
        <v>25020</v>
      </c>
      <c r="K234" s="10">
        <f>IFERROR(__xludf.DUMMYFUNCTION("""COMPUTED_VALUE"""),16731.0)</f>
        <v>16731</v>
      </c>
      <c r="L234" s="1">
        <f>IFERROR(__xludf.DUMMYFUNCTION("""COMPUTED_VALUE"""),78.0)</f>
        <v>78</v>
      </c>
      <c r="M234" s="1" t="str">
        <f>IFERROR(__xludf.DUMMYFUNCTION("""COMPUTED_VALUE"""),"0001 Casado")</f>
        <v>0001 Casado</v>
      </c>
      <c r="N234" s="1"/>
      <c r="O234" s="10">
        <f>IFERROR(__xludf.DUMMYFUNCTION("""COMPUTED_VALUE"""),35955.0)</f>
        <v>35955</v>
      </c>
      <c r="P234" s="10">
        <f>IFERROR(__xludf.DUMMYFUNCTION("""COMPUTED_VALUE"""),36604.0)</f>
        <v>36604</v>
      </c>
      <c r="Q234" s="1" t="str">
        <f>IFERROR(__xludf.DUMMYFUNCTION("""COMPUTED_VALUE"""),"P Propiedad")</f>
        <v>P Propiedad</v>
      </c>
      <c r="R234" s="1" t="str">
        <f>IFERROR(__xludf.DUMMYFUNCTION("""COMPUTED_VALUE"""),"A Académico")</f>
        <v>A Académico</v>
      </c>
      <c r="S234" s="9" t="str">
        <f>IFERROR(__xludf.DUMMYFUNCTION("""COMPUTED_VALUE"""),"47489253")</f>
        <v>47489253</v>
      </c>
      <c r="T234" s="1" t="str">
        <f>IFERROR(__xludf.DUMMYFUNCTION("""COMPUTED_VALUE"""),"0047489253")</f>
        <v>0047489253</v>
      </c>
      <c r="U234" s="1">
        <f>IFERROR(__xludf.DUMMYFUNCTION("""COMPUTED_VALUE"""),44.0)</f>
        <v>44</v>
      </c>
      <c r="V234" s="1" t="str">
        <f>IFERROR(__xludf.DUMMYFUNCTION("""COMPUTED_VALUE"""),"P0501 Con Titulo Profesional")</f>
        <v>P0501 Con Titulo Profesional</v>
      </c>
      <c r="W234" s="1">
        <f>IFERROR(__xludf.DUMMYFUNCTION("""COMPUTED_VALUE"""),1.0)</f>
        <v>1</v>
      </c>
      <c r="X234" s="1" t="str">
        <f>IFERROR(__xludf.DUMMYFUNCTION("""COMPUTED_VALUE"""),"Sin Información")</f>
        <v>Sin Información</v>
      </c>
      <c r="Y234" s="1" t="str">
        <f>IFERROR(__xludf.DUMMYFUNCTION("""COMPUTED_VALUE"""),"CHILE")</f>
        <v>CHILE</v>
      </c>
      <c r="Z234" s="1"/>
    </row>
    <row r="235">
      <c r="A235" s="1" t="str">
        <f>IFERROR(__xludf.DUMMYFUNCTION("""COMPUTED_VALUE"""),"12090801 Departamento de Sociología")</f>
        <v>12090801 Departamento de Sociología</v>
      </c>
      <c r="B235" s="1" t="str">
        <f>IFERROR(__xludf.DUMMYFUNCTION("""COMPUTED_VALUE"""),"A4A001 ACADEMICO  INSTRUCTOR")</f>
        <v>A4A001 ACADEMICO  INSTRUCTOR</v>
      </c>
      <c r="C235" s="1" t="str">
        <f>IFERROR(__xludf.DUMMYFUNCTION("""COMPUTED_VALUE"""),"Instructor")</f>
        <v>Instructor</v>
      </c>
      <c r="D235" s="1" t="str">
        <f>IFERROR(__xludf.DUMMYFUNCTION("""COMPUTED_VALUE"""),"A4A Instructor")</f>
        <v>A4A Instructor</v>
      </c>
      <c r="E235" s="1" t="str">
        <f>IFERROR(__xludf.DUMMYFUNCTION("""COMPUTED_VALUE"""),"Femenino")</f>
        <v>Femenino</v>
      </c>
      <c r="F235" s="1" t="str">
        <f>IFERROR(__xludf.DUMMYFUNCTION("""COMPUTED_VALUE"""),"Oxman")</f>
        <v>Oxman</v>
      </c>
      <c r="G235" s="1" t="str">
        <f>IFERROR(__xludf.DUMMYFUNCTION("""COMPUTED_VALUE"""),"Vega")</f>
        <v>Vega</v>
      </c>
      <c r="H235" s="1" t="str">
        <f>IFERROR(__xludf.DUMMYFUNCTION("""COMPUTED_VALUE"""),"Verónica Patricia")</f>
        <v>Verónica Patricia</v>
      </c>
      <c r="I235" s="1" t="str">
        <f>IFERROR(__xludf.DUMMYFUNCTION("""COMPUTED_VALUE"""),"Oxman Vega Verónica Patricia")</f>
        <v>Oxman Vega Verónica Patricia</v>
      </c>
      <c r="J235" s="10">
        <f>IFERROR(__xludf.DUMMYFUNCTION("""COMPUTED_VALUE"""),35096.0)</f>
        <v>35096</v>
      </c>
      <c r="K235" s="10">
        <f>IFERROR(__xludf.DUMMYFUNCTION("""COMPUTED_VALUE"""),21182.0)</f>
        <v>21182</v>
      </c>
      <c r="L235" s="1">
        <f>IFERROR(__xludf.DUMMYFUNCTION("""COMPUTED_VALUE"""),66.0)</f>
        <v>66</v>
      </c>
      <c r="M235" s="1" t="str">
        <f>IFERROR(__xludf.DUMMYFUNCTION("""COMPUTED_VALUE"""),"0002 Soltero")</f>
        <v>0002 Soltero</v>
      </c>
      <c r="N235" s="1"/>
      <c r="O235" s="10">
        <f>IFERROR(__xludf.DUMMYFUNCTION("""COMPUTED_VALUE"""),35096.0)</f>
        <v>35096</v>
      </c>
      <c r="P235" s="10">
        <f>IFERROR(__xludf.DUMMYFUNCTION("""COMPUTED_VALUE"""),37955.0)</f>
        <v>37955</v>
      </c>
      <c r="Q235" s="1" t="str">
        <f>IFERROR(__xludf.DUMMYFUNCTION("""COMPUTED_VALUE"""),"A Ad Honorem Propiedad")</f>
        <v>A Ad Honorem Propiedad</v>
      </c>
      <c r="R235" s="1" t="str">
        <f>IFERROR(__xludf.DUMMYFUNCTION("""COMPUTED_VALUE"""),"A Académico")</f>
        <v>A Académico</v>
      </c>
      <c r="S235" s="9" t="str">
        <f>IFERROR(__xludf.DUMMYFUNCTION("""COMPUTED_VALUE"""),"77458026")</f>
        <v>77458026</v>
      </c>
      <c r="T235" s="1" t="str">
        <f>IFERROR(__xludf.DUMMYFUNCTION("""COMPUTED_VALUE"""),"0077458026")</f>
        <v>0077458026</v>
      </c>
      <c r="U235" s="1">
        <f>IFERROR(__xludf.DUMMYFUNCTION("""COMPUTED_VALUE"""),6.0)</f>
        <v>6</v>
      </c>
      <c r="V235" s="1" t="str">
        <f>IFERROR(__xludf.DUMMYFUNCTION("""COMPUTED_VALUE"""),"P0850 Magister")</f>
        <v>P0850 Magister</v>
      </c>
      <c r="W235" s="1">
        <f>IFERROR(__xludf.DUMMYFUNCTION("""COMPUTED_VALUE"""),34334.0)</f>
        <v>34334</v>
      </c>
      <c r="X235" s="1" t="str">
        <f>IFERROR(__xludf.DUMMYFUNCTION("""COMPUTED_VALUE"""),"Universidad Of New South Wales")</f>
        <v>Universidad Of New South Wales</v>
      </c>
      <c r="Y235" s="1" t="str">
        <f>IFERROR(__xludf.DUMMYFUNCTION("""COMPUTED_VALUE"""),"AUSTRALIA")</f>
        <v>AUSTRALIA</v>
      </c>
      <c r="Z235" s="1"/>
    </row>
    <row r="236" hidden="1">
      <c r="A236" s="1" t="str">
        <f>IFERROR(__xludf.DUMMYFUNCTION("""COMPUTED_VALUE"""),"12090501 Departamento de Investigaciónes Mediáticas y de la Comunicación")</f>
        <v>12090501 Departamento de Investigaciónes Mediáticas y de la Comunicación</v>
      </c>
      <c r="B236" s="1" t="str">
        <f>IFERROR(__xludf.DUMMYFUNCTION("""COMPUTED_VALUE"""),"A4A001 ACADEMICO  INSTRUCTOR")</f>
        <v>A4A001 ACADEMICO  INSTRUCTOR</v>
      </c>
      <c r="C236" s="1" t="str">
        <f>IFERROR(__xludf.DUMMYFUNCTION("""COMPUTED_VALUE"""),"Instructor")</f>
        <v>Instructor</v>
      </c>
      <c r="D236" s="1" t="str">
        <f>IFERROR(__xludf.DUMMYFUNCTION("""COMPUTED_VALUE"""),"A4A Instructor")</f>
        <v>A4A Instructor</v>
      </c>
      <c r="E236" s="1" t="str">
        <f>IFERROR(__xludf.DUMMYFUNCTION("""COMPUTED_VALUE"""),"Masculino")</f>
        <v>Masculino</v>
      </c>
      <c r="F236" s="1" t="str">
        <f>IFERROR(__xludf.DUMMYFUNCTION("""COMPUTED_VALUE"""),"Padopulos")</f>
        <v>Padopulos</v>
      </c>
      <c r="G236" s="1" t="str">
        <f>IFERROR(__xludf.DUMMYFUNCTION("""COMPUTED_VALUE"""),"Cameratti")</f>
        <v>Cameratti</v>
      </c>
      <c r="H236" s="1" t="str">
        <f>IFERROR(__xludf.DUMMYFUNCTION("""COMPUTED_VALUE"""),"Fernando")</f>
        <v>Fernando</v>
      </c>
      <c r="I236" s="1" t="str">
        <f>IFERROR(__xludf.DUMMYFUNCTION("""COMPUTED_VALUE"""),"Padopulos Cameratti Fernando")</f>
        <v>Padopulos Cameratti Fernando</v>
      </c>
      <c r="J236" s="10">
        <f>IFERROR(__xludf.DUMMYFUNCTION("""COMPUTED_VALUE"""),33298.0)</f>
        <v>33298</v>
      </c>
      <c r="K236" s="10">
        <f>IFERROR(__xludf.DUMMYFUNCTION("""COMPUTED_VALUE"""),18100.0)</f>
        <v>18100</v>
      </c>
      <c r="L236" s="1">
        <f>IFERROR(__xludf.DUMMYFUNCTION("""COMPUTED_VALUE"""),74.0)</f>
        <v>74</v>
      </c>
      <c r="M236" s="1" t="str">
        <f>IFERROR(__xludf.DUMMYFUNCTION("""COMPUTED_VALUE"""),"0001 Casado")</f>
        <v>0001 Casado</v>
      </c>
      <c r="N236" s="1"/>
      <c r="O236" s="10">
        <f>IFERROR(__xludf.DUMMYFUNCTION("""COMPUTED_VALUE"""),33298.0)</f>
        <v>33298</v>
      </c>
      <c r="P236" s="10">
        <f>IFERROR(__xludf.DUMMYFUNCTION("""COMPUTED_VALUE"""),35885.0)</f>
        <v>35885</v>
      </c>
      <c r="Q236" s="1" t="str">
        <f>IFERROR(__xludf.DUMMYFUNCTION("""COMPUTED_VALUE"""),"P Propiedad")</f>
        <v>P Propiedad</v>
      </c>
      <c r="R236" s="1" t="str">
        <f>IFERROR(__xludf.DUMMYFUNCTION("""COMPUTED_VALUE"""),"A Académico")</f>
        <v>A Académico</v>
      </c>
      <c r="S236" s="9" t="str">
        <f>IFERROR(__xludf.DUMMYFUNCTION("""COMPUTED_VALUE"""),"54353405")</f>
        <v>54353405</v>
      </c>
      <c r="T236" s="1" t="str">
        <f>IFERROR(__xludf.DUMMYFUNCTION("""COMPUTED_VALUE"""),"0054353405")</f>
        <v>0054353405</v>
      </c>
      <c r="U236" s="1">
        <f>IFERROR(__xludf.DUMMYFUNCTION("""COMPUTED_VALUE"""),6.0)</f>
        <v>6</v>
      </c>
      <c r="V236" s="1"/>
      <c r="W236" s="1"/>
      <c r="X236" s="1"/>
      <c r="Y236" s="1"/>
      <c r="Z236" s="1"/>
    </row>
    <row r="237" hidden="1">
      <c r="A237" s="1" t="str">
        <f>IFERROR(__xludf.DUMMYFUNCTION("""COMPUTED_VALUE"""),"12090601 Departamento de Educación")</f>
        <v>12090601 Departamento de Educación</v>
      </c>
      <c r="B237" s="1" t="str">
        <f>IFERROR(__xludf.DUMMYFUNCTION("""COMPUTED_VALUE"""),"A7A001 ACADEMICO PROF. ADJUNTO")</f>
        <v>A7A001 ACADEMICO PROF. ADJUNTO</v>
      </c>
      <c r="C237" s="1" t="str">
        <f>IFERROR(__xludf.DUMMYFUNCTION("""COMPUTED_VALUE"""),"Prof. Adjunto")</f>
        <v>Prof. Adjunto</v>
      </c>
      <c r="D237" s="1" t="str">
        <f>IFERROR(__xludf.DUMMYFUNCTION("""COMPUTED_VALUE"""),"A7A Prof. Adjunto")</f>
        <v>A7A Prof. Adjunto</v>
      </c>
      <c r="E237" s="1" t="str">
        <f>IFERROR(__xludf.DUMMYFUNCTION("""COMPUTED_VALUE"""),"Femenino")</f>
        <v>Femenino</v>
      </c>
      <c r="F237" s="1" t="str">
        <f>IFERROR(__xludf.DUMMYFUNCTION("""COMPUTED_VALUE"""),"Palavicino")</f>
        <v>Palavicino</v>
      </c>
      <c r="G237" s="1" t="str">
        <f>IFERROR(__xludf.DUMMYFUNCTION("""COMPUTED_VALUE"""),"Vatcky")</f>
        <v>Vatcky</v>
      </c>
      <c r="H237" s="1" t="str">
        <f>IFERROR(__xludf.DUMMYFUNCTION("""COMPUTED_VALUE"""),"María Angélica")</f>
        <v>María Angélica</v>
      </c>
      <c r="I237" s="1" t="str">
        <f>IFERROR(__xludf.DUMMYFUNCTION("""COMPUTED_VALUE"""),"Palavicino Vatcky María Angélica")</f>
        <v>Palavicino Vatcky María Angélica</v>
      </c>
      <c r="J237" s="10">
        <f>IFERROR(__xludf.DUMMYFUNCTION("""COMPUTED_VALUE"""),38292.0)</f>
        <v>38292</v>
      </c>
      <c r="K237" s="10">
        <f>IFERROR(__xludf.DUMMYFUNCTION("""COMPUTED_VALUE"""),15319.0)</f>
        <v>15319</v>
      </c>
      <c r="L237" s="1">
        <f>IFERROR(__xludf.DUMMYFUNCTION("""COMPUTED_VALUE"""),82.0)</f>
        <v>82</v>
      </c>
      <c r="M237" s="1" t="str">
        <f>IFERROR(__xludf.DUMMYFUNCTION("""COMPUTED_VALUE"""),"0002 Soltero")</f>
        <v>0002 Soltero</v>
      </c>
      <c r="N237" s="1" t="str">
        <f>IFERROR(__xludf.DUMMYFUNCTION("""COMPUTED_VALUE"""),"N0040 Profesional Superior")</f>
        <v>N0040 Profesional Superior</v>
      </c>
      <c r="O237" s="10">
        <f>IFERROR(__xludf.DUMMYFUNCTION("""COMPUTED_VALUE"""),39448.0)</f>
        <v>39448</v>
      </c>
      <c r="P237" s="10">
        <f>IFERROR(__xludf.DUMMYFUNCTION("""COMPUTED_VALUE"""),39568.0)</f>
        <v>39568</v>
      </c>
      <c r="Q237" s="1" t="str">
        <f>IFERROR(__xludf.DUMMYFUNCTION("""COMPUTED_VALUE"""),"C Contrata")</f>
        <v>C Contrata</v>
      </c>
      <c r="R237" s="1" t="str">
        <f>IFERROR(__xludf.DUMMYFUNCTION("""COMPUTED_VALUE"""),"A Académico")</f>
        <v>A Académico</v>
      </c>
      <c r="S237" s="9" t="str">
        <f>IFERROR(__xludf.DUMMYFUNCTION("""COMPUTED_VALUE"""),"004469784K")</f>
        <v>004469784K</v>
      </c>
      <c r="T237" s="1" t="str">
        <f>IFERROR(__xludf.DUMMYFUNCTION("""COMPUTED_VALUE"""),"004469784K")</f>
        <v>004469784K</v>
      </c>
      <c r="U237" s="1">
        <f>IFERROR(__xludf.DUMMYFUNCTION("""COMPUTED_VALUE"""),9.0)</f>
        <v>9</v>
      </c>
      <c r="V237" s="1"/>
      <c r="W237" s="1"/>
      <c r="X237" s="1"/>
      <c r="Y237" s="1"/>
      <c r="Z237" s="1" t="str">
        <f>IFERROR(__xludf.DUMMYFUNCTION("""COMPUTED_VALUE"""),"T5104 Profesor De Ingles")</f>
        <v>T5104 Profesor De Ingles</v>
      </c>
    </row>
    <row r="238" hidden="1">
      <c r="A238" s="1" t="str">
        <f>IFERROR(__xludf.DUMMYFUNCTION("""COMPUTED_VALUE"""),"12090601 Departamento de Educación")</f>
        <v>12090601 Departamento de Educación</v>
      </c>
      <c r="B238" s="1" t="str">
        <f>IFERROR(__xludf.DUMMYFUNCTION("""COMPUTED_VALUE"""),"A7A001 ACADEMICO PROF. ADJUNTO")</f>
        <v>A7A001 ACADEMICO PROF. ADJUNTO</v>
      </c>
      <c r="C238" s="1" t="str">
        <f>IFERROR(__xludf.DUMMYFUNCTION("""COMPUTED_VALUE"""),"Prof. Adjunto")</f>
        <v>Prof. Adjunto</v>
      </c>
      <c r="D238" s="1" t="str">
        <f>IFERROR(__xludf.DUMMYFUNCTION("""COMPUTED_VALUE"""),"A7A Prof. Adjunto")</f>
        <v>A7A Prof. Adjunto</v>
      </c>
      <c r="E238" s="1" t="str">
        <f>IFERROR(__xludf.DUMMYFUNCTION("""COMPUTED_VALUE"""),"Femenino")</f>
        <v>Femenino</v>
      </c>
      <c r="F238" s="1" t="str">
        <f>IFERROR(__xludf.DUMMYFUNCTION("""COMPUTED_VALUE"""),"Palavicino")</f>
        <v>Palavicino</v>
      </c>
      <c r="G238" s="1" t="str">
        <f>IFERROR(__xludf.DUMMYFUNCTION("""COMPUTED_VALUE"""),"Vatcky")</f>
        <v>Vatcky</v>
      </c>
      <c r="H238" s="1" t="str">
        <f>IFERROR(__xludf.DUMMYFUNCTION("""COMPUTED_VALUE"""),"María Angélica")</f>
        <v>María Angélica</v>
      </c>
      <c r="I238" s="1" t="str">
        <f>IFERROR(__xludf.DUMMYFUNCTION("""COMPUTED_VALUE"""),"Palavicino Vatcky María Angélica")</f>
        <v>Palavicino Vatcky María Angélica</v>
      </c>
      <c r="J238" s="10">
        <f>IFERROR(__xludf.DUMMYFUNCTION("""COMPUTED_VALUE"""),38292.0)</f>
        <v>38292</v>
      </c>
      <c r="K238" s="10">
        <f>IFERROR(__xludf.DUMMYFUNCTION("""COMPUTED_VALUE"""),15319.0)</f>
        <v>15319</v>
      </c>
      <c r="L238" s="1">
        <f>IFERROR(__xludf.DUMMYFUNCTION("""COMPUTED_VALUE"""),82.0)</f>
        <v>82</v>
      </c>
      <c r="M238" s="1" t="str">
        <f>IFERROR(__xludf.DUMMYFUNCTION("""COMPUTED_VALUE"""),"0002 Soltero")</f>
        <v>0002 Soltero</v>
      </c>
      <c r="N238" s="1" t="str">
        <f>IFERROR(__xludf.DUMMYFUNCTION("""COMPUTED_VALUE"""),"N0040 Profesional Superior")</f>
        <v>N0040 Profesional Superior</v>
      </c>
      <c r="O238" s="10">
        <f>IFERROR(__xludf.DUMMYFUNCTION("""COMPUTED_VALUE"""),39448.0)</f>
        <v>39448</v>
      </c>
      <c r="P238" s="10">
        <f>IFERROR(__xludf.DUMMYFUNCTION("""COMPUTED_VALUE"""),39568.0)</f>
        <v>39568</v>
      </c>
      <c r="Q238" s="1" t="str">
        <f>IFERROR(__xludf.DUMMYFUNCTION("""COMPUTED_VALUE"""),"C Contrata")</f>
        <v>C Contrata</v>
      </c>
      <c r="R238" s="1" t="str">
        <f>IFERROR(__xludf.DUMMYFUNCTION("""COMPUTED_VALUE"""),"A Académico")</f>
        <v>A Académico</v>
      </c>
      <c r="S238" s="9" t="str">
        <f>IFERROR(__xludf.DUMMYFUNCTION("""COMPUTED_VALUE"""),"004469784K")</f>
        <v>004469784K</v>
      </c>
      <c r="T238" s="1" t="str">
        <f>IFERROR(__xludf.DUMMYFUNCTION("""COMPUTED_VALUE"""),"004469784K")</f>
        <v>004469784K</v>
      </c>
      <c r="U238" s="1">
        <f>IFERROR(__xludf.DUMMYFUNCTION("""COMPUTED_VALUE"""),10.0)</f>
        <v>10</v>
      </c>
      <c r="V238" s="1"/>
      <c r="W238" s="1"/>
      <c r="X238" s="1"/>
      <c r="Y238" s="1"/>
      <c r="Z238" s="1" t="str">
        <f>IFERROR(__xludf.DUMMYFUNCTION("""COMPUTED_VALUE"""),"T5104 Profesor De Ingles")</f>
        <v>T5104 Profesor De Ingles</v>
      </c>
    </row>
    <row r="239">
      <c r="A239" s="1" t="str">
        <f>IFERROR(__xludf.DUMMYFUNCTION("""COMPUTED_VALUE"""),"12090701 Departamento de Psicología")</f>
        <v>12090701 Departamento de Psicología</v>
      </c>
      <c r="B239" s="1" t="str">
        <f>IFERROR(__xludf.DUMMYFUNCTION("""COMPUTED_VALUE"""),"A4A001 ACADEMICO  INSTRUCTOR")</f>
        <v>A4A001 ACADEMICO  INSTRUCTOR</v>
      </c>
      <c r="C239" s="1" t="str">
        <f>IFERROR(__xludf.DUMMYFUNCTION("""COMPUTED_VALUE"""),"Instructor")</f>
        <v>Instructor</v>
      </c>
      <c r="D239" s="1" t="str">
        <f>IFERROR(__xludf.DUMMYFUNCTION("""COMPUTED_VALUE"""),"A4A Instructor")</f>
        <v>A4A Instructor</v>
      </c>
      <c r="E239" s="1" t="str">
        <f>IFERROR(__xludf.DUMMYFUNCTION("""COMPUTED_VALUE"""),"Femenino")</f>
        <v>Femenino</v>
      </c>
      <c r="F239" s="1" t="str">
        <f>IFERROR(__xludf.DUMMYFUNCTION("""COMPUTED_VALUE"""),"Palma")</f>
        <v>Palma</v>
      </c>
      <c r="G239" s="1" t="str">
        <f>IFERROR(__xludf.DUMMYFUNCTION("""COMPUTED_VALUE"""),"Flores")</f>
        <v>Flores</v>
      </c>
      <c r="H239" s="1" t="str">
        <f>IFERROR(__xludf.DUMMYFUNCTION("""COMPUTED_VALUE"""),"Evelyn Geraldine")</f>
        <v>Evelyn Geraldine</v>
      </c>
      <c r="I239" s="1" t="str">
        <f>IFERROR(__xludf.DUMMYFUNCTION("""COMPUTED_VALUE"""),"Palma Flores Evelyn Geraldine")</f>
        <v>Palma Flores Evelyn Geraldine</v>
      </c>
      <c r="J239" s="10">
        <f>IFERROR(__xludf.DUMMYFUNCTION("""COMPUTED_VALUE"""),43040.0)</f>
        <v>43040</v>
      </c>
      <c r="K239" s="10">
        <f>IFERROR(__xludf.DUMMYFUNCTION("""COMPUTED_VALUE"""),28502.0)</f>
        <v>28502</v>
      </c>
      <c r="L239" s="1">
        <f>IFERROR(__xludf.DUMMYFUNCTION("""COMPUTED_VALUE"""),45.0)</f>
        <v>45</v>
      </c>
      <c r="M239" s="1" t="str">
        <f>IFERROR(__xludf.DUMMYFUNCTION("""COMPUTED_VALUE"""),"0005 Divorciado")</f>
        <v>0005 Divorciado</v>
      </c>
      <c r="N239" s="1" t="str">
        <f>IFERROR(__xludf.DUMMYFUNCTION("""COMPUTED_VALUE"""),"N0040 Profesional Superior")</f>
        <v>N0040 Profesional Superior</v>
      </c>
      <c r="O239" s="10">
        <f>IFERROR(__xludf.DUMMYFUNCTION("""COMPUTED_VALUE"""),42005.0)</f>
        <v>42005</v>
      </c>
      <c r="P239" s="10">
        <f>IFERROR(__xludf.DUMMYFUNCTION("""COMPUTED_VALUE"""),42369.0)</f>
        <v>42369</v>
      </c>
      <c r="Q239" s="1" t="str">
        <f>IFERROR(__xludf.DUMMYFUNCTION("""COMPUTED_VALUE"""),"C Contrata")</f>
        <v>C Contrata</v>
      </c>
      <c r="R239" s="1" t="str">
        <f>IFERROR(__xludf.DUMMYFUNCTION("""COMPUTED_VALUE"""),"A Académico")</f>
        <v>A Académico</v>
      </c>
      <c r="S239" s="9" t="str">
        <f>IFERROR(__xludf.DUMMYFUNCTION("""COMPUTED_VALUE"""),"134368861")</f>
        <v>134368861</v>
      </c>
      <c r="T239" s="1" t="str">
        <f>IFERROR(__xludf.DUMMYFUNCTION("""COMPUTED_VALUE"""),"0134368861")</f>
        <v>0134368861</v>
      </c>
      <c r="U239" s="1">
        <f>IFERROR(__xludf.DUMMYFUNCTION("""COMPUTED_VALUE"""),2.0)</f>
        <v>2</v>
      </c>
      <c r="V239" s="1" t="str">
        <f>IFERROR(__xludf.DUMMYFUNCTION("""COMPUTED_VALUE"""),"P0401 Licenciado")</f>
        <v>P0401 Licenciado</v>
      </c>
      <c r="W239" s="1">
        <f>IFERROR(__xludf.DUMMYFUNCTION("""COMPUTED_VALUE"""),37622.0)</f>
        <v>37622</v>
      </c>
      <c r="X239" s="1" t="str">
        <f>IFERROR(__xludf.DUMMYFUNCTION("""COMPUTED_VALUE"""),"Universidad De Chile")</f>
        <v>Universidad De Chile</v>
      </c>
      <c r="Y239" s="1" t="str">
        <f>IFERROR(__xludf.DUMMYFUNCTION("""COMPUTED_VALUE"""),"CHILE")</f>
        <v>CHILE</v>
      </c>
      <c r="Z239" s="1" t="str">
        <f>IFERROR(__xludf.DUMMYFUNCTION("""COMPUTED_VALUE"""),"T5124 Psicologo")</f>
        <v>T5124 Psicologo</v>
      </c>
    </row>
    <row r="240" hidden="1">
      <c r="A240" s="1" t="str">
        <f>IFERROR(__xludf.DUMMYFUNCTION("""COMPUTED_VALUE"""),"12090701 Departamento de Psicología")</f>
        <v>12090701 Departamento de Psicología</v>
      </c>
      <c r="B240" s="1" t="str">
        <f>IFERROR(__xludf.DUMMYFUNCTION("""COMPUTED_VALUE"""),"A3A001 Académico Prof. Asistente")</f>
        <v>A3A001 Académico Prof. Asistente</v>
      </c>
      <c r="C240" s="1" t="str">
        <f>IFERROR(__xludf.DUMMYFUNCTION("""COMPUTED_VALUE"""),"Prof. Asistente - Categ. Academica Ord.")</f>
        <v>Prof. Asistente - Categ. Academica Ord.</v>
      </c>
      <c r="D240" s="1" t="str">
        <f>IFERROR(__xludf.DUMMYFUNCTION("""COMPUTED_VALUE"""),"A3A Prof. Asistente - Categ. Academica Ord.")</f>
        <v>A3A Prof. Asistente - Categ. Academica Ord.</v>
      </c>
      <c r="E240" s="1" t="str">
        <f>IFERROR(__xludf.DUMMYFUNCTION("""COMPUTED_VALUE"""),"Femenino")</f>
        <v>Femenino</v>
      </c>
      <c r="F240" s="1" t="str">
        <f>IFERROR(__xludf.DUMMYFUNCTION("""COMPUTED_VALUE"""),"Parada")</f>
        <v>Parada</v>
      </c>
      <c r="G240" s="1" t="str">
        <f>IFERROR(__xludf.DUMMYFUNCTION("""COMPUTED_VALUE"""),"Ahumada")</f>
        <v>Ahumada</v>
      </c>
      <c r="H240" s="1" t="str">
        <f>IFERROR(__xludf.DUMMYFUNCTION("""COMPUTED_VALUE"""),"Silvia")</f>
        <v>Silvia</v>
      </c>
      <c r="I240" s="1" t="str">
        <f>IFERROR(__xludf.DUMMYFUNCTION("""COMPUTED_VALUE"""),"Parada Ahumada Silvia")</f>
        <v>Parada Ahumada Silvia</v>
      </c>
      <c r="J240" s="10">
        <f>IFERROR(__xludf.DUMMYFUNCTION("""COMPUTED_VALUE"""),19725.0)</f>
        <v>19725</v>
      </c>
      <c r="K240" s="10">
        <f>IFERROR(__xludf.DUMMYFUNCTION("""COMPUTED_VALUE"""),10961.0)</f>
        <v>10961</v>
      </c>
      <c r="L240" s="1">
        <f>IFERROR(__xludf.DUMMYFUNCTION("""COMPUTED_VALUE"""),94.0)</f>
        <v>94</v>
      </c>
      <c r="M240" s="1" t="str">
        <f>IFERROR(__xludf.DUMMYFUNCTION("""COMPUTED_VALUE"""),"0001 Casado")</f>
        <v>0001 Casado</v>
      </c>
      <c r="N240" s="1"/>
      <c r="O240" s="10">
        <f>IFERROR(__xludf.DUMMYFUNCTION("""COMPUTED_VALUE"""),27699.0)</f>
        <v>27699</v>
      </c>
      <c r="P240" s="10">
        <f>IFERROR(__xludf.DUMMYFUNCTION("""COMPUTED_VALUE"""),38664.0)</f>
        <v>38664</v>
      </c>
      <c r="Q240" s="1" t="str">
        <f>IFERROR(__xludf.DUMMYFUNCTION("""COMPUTED_VALUE"""),"P Propiedad")</f>
        <v>P Propiedad</v>
      </c>
      <c r="R240" s="1" t="str">
        <f>IFERROR(__xludf.DUMMYFUNCTION("""COMPUTED_VALUE"""),"A Académico")</f>
        <v>A Académico</v>
      </c>
      <c r="S240" s="9" t="str">
        <f>IFERROR(__xludf.DUMMYFUNCTION("""COMPUTED_VALUE"""),"26385741")</f>
        <v>26385741</v>
      </c>
      <c r="T240" s="1" t="str">
        <f>IFERROR(__xludf.DUMMYFUNCTION("""COMPUTED_VALUE"""),"0026385741")</f>
        <v>0026385741</v>
      </c>
      <c r="U240" s="1">
        <f>IFERROR(__xludf.DUMMYFUNCTION("""COMPUTED_VALUE"""),6.0)</f>
        <v>6</v>
      </c>
      <c r="V240" s="1" t="str">
        <f>IFERROR(__xludf.DUMMYFUNCTION("""COMPUTED_VALUE"""),"P0501 Con Titulo Profesional")</f>
        <v>P0501 Con Titulo Profesional</v>
      </c>
      <c r="W240" s="1">
        <f>IFERROR(__xludf.DUMMYFUNCTION("""COMPUTED_VALUE"""),19673.0)</f>
        <v>19673</v>
      </c>
      <c r="X240" s="1" t="str">
        <f>IFERROR(__xludf.DUMMYFUNCTION("""COMPUTED_VALUE"""),"Universidad De Chile")</f>
        <v>Universidad De Chile</v>
      </c>
      <c r="Y240" s="1" t="str">
        <f>IFERROR(__xludf.DUMMYFUNCTION("""COMPUTED_VALUE"""),"CHILE")</f>
        <v>CHILE</v>
      </c>
      <c r="Z240" s="1"/>
    </row>
    <row r="241" hidden="1">
      <c r="A241" s="1" t="str">
        <f>IFERROR(__xludf.DUMMYFUNCTION("""COMPUTED_VALUE"""),"12090701 Departamento de Psicología")</f>
        <v>12090701 Departamento de Psicología</v>
      </c>
      <c r="B241" s="1" t="str">
        <f>IFERROR(__xludf.DUMMYFUNCTION("""COMPUTED_VALUE"""),"A1A001 Académico Prof. Titular")</f>
        <v>A1A001 Académico Prof. Titular</v>
      </c>
      <c r="C241" s="1" t="str">
        <f>IFERROR(__xludf.DUMMYFUNCTION("""COMPUTED_VALUE"""),"Prof.Titular - Categ. Academica Ord.")</f>
        <v>Prof.Titular - Categ. Academica Ord.</v>
      </c>
      <c r="D241" s="1" t="str">
        <f>IFERROR(__xludf.DUMMYFUNCTION("""COMPUTED_VALUE"""),"A1A Prof.Titular - Categ. Academica Ord.")</f>
        <v>A1A Prof.Titular - Categ. Academica Ord.</v>
      </c>
      <c r="E241" s="1" t="str">
        <f>IFERROR(__xludf.DUMMYFUNCTION("""COMPUTED_VALUE"""),"Masculino")</f>
        <v>Masculino</v>
      </c>
      <c r="F241" s="1" t="str">
        <f>IFERROR(__xludf.DUMMYFUNCTION("""COMPUTED_VALUE"""),"Parada")</f>
        <v>Parada</v>
      </c>
      <c r="G241" s="1" t="str">
        <f>IFERROR(__xludf.DUMMYFUNCTION("""COMPUTED_VALUE"""),"Allende")</f>
        <v>Allende</v>
      </c>
      <c r="H241" s="1" t="str">
        <f>IFERROR(__xludf.DUMMYFUNCTION("""COMPUTED_VALUE"""),"Enrique Rafael")</f>
        <v>Enrique Rafael</v>
      </c>
      <c r="I241" s="1" t="str">
        <f>IFERROR(__xludf.DUMMYFUNCTION("""COMPUTED_VALUE"""),"Parada Allende Enrique Rafael")</f>
        <v>Parada Allende Enrique Rafael</v>
      </c>
      <c r="J241" s="10">
        <f>IFERROR(__xludf.DUMMYFUNCTION("""COMPUTED_VALUE"""),22737.0)</f>
        <v>22737</v>
      </c>
      <c r="K241" s="10">
        <f>IFERROR(__xludf.DUMMYFUNCTION("""COMPUTED_VALUE"""),13335.0)</f>
        <v>13335</v>
      </c>
      <c r="L241" s="1">
        <f>IFERROR(__xludf.DUMMYFUNCTION("""COMPUTED_VALUE"""),87.0)</f>
        <v>87</v>
      </c>
      <c r="M241" s="1" t="str">
        <f>IFERROR(__xludf.DUMMYFUNCTION("""COMPUTED_VALUE"""),"0001 Casado")</f>
        <v>0001 Casado</v>
      </c>
      <c r="N241" s="1" t="str">
        <f>IFERROR(__xludf.DUMMYFUNCTION("""COMPUTED_VALUE"""),"N0040 Profesional Superior")</f>
        <v>N0040 Profesional Superior</v>
      </c>
      <c r="O241" s="10">
        <f>IFERROR(__xludf.DUMMYFUNCTION("""COMPUTED_VALUE"""),33909.0)</f>
        <v>33909</v>
      </c>
      <c r="P241" s="10">
        <f>IFERROR(__xludf.DUMMYFUNCTION("""COMPUTED_VALUE"""),37772.0)</f>
        <v>37772</v>
      </c>
      <c r="Q241" s="1" t="str">
        <f>IFERROR(__xludf.DUMMYFUNCTION("""COMPUTED_VALUE"""),"P Propiedad")</f>
        <v>P Propiedad</v>
      </c>
      <c r="R241" s="1" t="str">
        <f>IFERROR(__xludf.DUMMYFUNCTION("""COMPUTED_VALUE"""),"A Académico")</f>
        <v>A Académico</v>
      </c>
      <c r="S241" s="9" t="str">
        <f>IFERROR(__xludf.DUMMYFUNCTION("""COMPUTED_VALUE"""),"27737765")</f>
        <v>27737765</v>
      </c>
      <c r="T241" s="1" t="str">
        <f>IFERROR(__xludf.DUMMYFUNCTION("""COMPUTED_VALUE"""),"0027737765")</f>
        <v>0027737765</v>
      </c>
      <c r="U241" s="1">
        <f>IFERROR(__xludf.DUMMYFUNCTION("""COMPUTED_VALUE"""),6.0)</f>
        <v>6</v>
      </c>
      <c r="V241" s="1" t="str">
        <f>IFERROR(__xludf.DUMMYFUNCTION("""COMPUTED_VALUE"""),"P0501 Con Titulo Profesional")</f>
        <v>P0501 Con Titulo Profesional</v>
      </c>
      <c r="W241" s="1">
        <f>IFERROR(__xludf.DUMMYFUNCTION("""COMPUTED_VALUE"""),22404.0)</f>
        <v>22404</v>
      </c>
      <c r="X241" s="1" t="str">
        <f>IFERROR(__xludf.DUMMYFUNCTION("""COMPUTED_VALUE"""),"Universidad De Chile")</f>
        <v>Universidad De Chile</v>
      </c>
      <c r="Y241" s="1" t="str">
        <f>IFERROR(__xludf.DUMMYFUNCTION("""COMPUTED_VALUE"""),"CHILE")</f>
        <v>CHILE</v>
      </c>
      <c r="Z241" s="1" t="str">
        <f>IFERROR(__xludf.DUMMYFUNCTION("""COMPUTED_VALUE"""),"T5070 Medico-Cirujano")</f>
        <v>T5070 Medico-Cirujano</v>
      </c>
    </row>
    <row r="242" hidden="1">
      <c r="A242" s="1" t="str">
        <f>IFERROR(__xludf.DUMMYFUNCTION("""COMPUTED_VALUE"""),"12090117 Dpto. Educación (funcionamiento)")</f>
        <v>12090117 Dpto. Educación (funcionamiento)</v>
      </c>
      <c r="B242" s="1" t="str">
        <f>IFERROR(__xludf.DUMMYFUNCTION("""COMPUTED_VALUE"""),"A8A001 ACADEMICO INSTRUCTOR ADJUNTO")</f>
        <v>A8A001 ACADEMICO INSTRUCTOR ADJUNTO</v>
      </c>
      <c r="C242" s="1" t="str">
        <f>IFERROR(__xludf.DUMMYFUNCTION("""COMPUTED_VALUE"""),"Inst. Adjunto")</f>
        <v>Inst. Adjunto</v>
      </c>
      <c r="D242" s="1" t="str">
        <f>IFERROR(__xludf.DUMMYFUNCTION("""COMPUTED_VALUE"""),"A8A Inst. Adjunto")</f>
        <v>A8A Inst. Adjunto</v>
      </c>
      <c r="E242" s="1" t="str">
        <f>IFERROR(__xludf.DUMMYFUNCTION("""COMPUTED_VALUE"""),"Femenino")</f>
        <v>Femenino</v>
      </c>
      <c r="F242" s="1" t="str">
        <f>IFERROR(__xludf.DUMMYFUNCTION("""COMPUTED_VALUE"""),"Pardo")</f>
        <v>Pardo</v>
      </c>
      <c r="G242" s="1" t="str">
        <f>IFERROR(__xludf.DUMMYFUNCTION("""COMPUTED_VALUE"""),"Navarro")</f>
        <v>Navarro</v>
      </c>
      <c r="H242" s="1" t="str">
        <f>IFERROR(__xludf.DUMMYFUNCTION("""COMPUTED_VALUE"""),"Selma del Tránsito")</f>
        <v>Selma del Tránsito</v>
      </c>
      <c r="I242" s="1" t="str">
        <f>IFERROR(__xludf.DUMMYFUNCTION("""COMPUTED_VALUE"""),"Pardo Navarro Selma del Tránsito")</f>
        <v>Pardo Navarro Selma del Tránsito</v>
      </c>
      <c r="J242" s="10">
        <f>IFERROR(__xludf.DUMMYFUNCTION("""COMPUTED_VALUE"""),37257.0)</f>
        <v>37257</v>
      </c>
      <c r="K242" s="10">
        <f>IFERROR(__xludf.DUMMYFUNCTION("""COMPUTED_VALUE"""),19221.0)</f>
        <v>19221</v>
      </c>
      <c r="L242" s="1">
        <f>IFERROR(__xludf.DUMMYFUNCTION("""COMPUTED_VALUE"""),71.0)</f>
        <v>71</v>
      </c>
      <c r="M242" s="1" t="str">
        <f>IFERROR(__xludf.DUMMYFUNCTION("""COMPUTED_VALUE"""),"0003 Viudo")</f>
        <v>0003 Viudo</v>
      </c>
      <c r="N242" s="1" t="str">
        <f>IFERROR(__xludf.DUMMYFUNCTION("""COMPUTED_VALUE"""),"N0040 Profesional Superior")</f>
        <v>N0040 Profesional Superior</v>
      </c>
      <c r="O242" s="10">
        <f>IFERROR(__xludf.DUMMYFUNCTION("""COMPUTED_VALUE"""),43678.0)</f>
        <v>43678</v>
      </c>
      <c r="P242" s="10">
        <f>IFERROR(__xludf.DUMMYFUNCTION("""COMPUTED_VALUE"""),43708.0)</f>
        <v>43708</v>
      </c>
      <c r="Q242" s="1" t="str">
        <f>IFERROR(__xludf.DUMMYFUNCTION("""COMPUTED_VALUE"""),"C Contrata")</f>
        <v>C Contrata</v>
      </c>
      <c r="R242" s="1" t="str">
        <f>IFERROR(__xludf.DUMMYFUNCTION("""COMPUTED_VALUE"""),"A Académico")</f>
        <v>A Académico</v>
      </c>
      <c r="S242" s="9" t="str">
        <f>IFERROR(__xludf.DUMMYFUNCTION("""COMPUTED_VALUE"""),"70119323")</f>
        <v>70119323</v>
      </c>
      <c r="T242" s="1" t="str">
        <f>IFERROR(__xludf.DUMMYFUNCTION("""COMPUTED_VALUE"""),"0070119323")</f>
        <v>0070119323</v>
      </c>
      <c r="U242" s="1">
        <f>IFERROR(__xludf.DUMMYFUNCTION("""COMPUTED_VALUE"""),12.0)</f>
        <v>12</v>
      </c>
      <c r="V242" s="1" t="str">
        <f>IFERROR(__xludf.DUMMYFUNCTION("""COMPUTED_VALUE"""),"P0855 Magister En Educacion")</f>
        <v>P0855 Magister En Educacion</v>
      </c>
      <c r="W242" s="1">
        <f>IFERROR(__xludf.DUMMYFUNCTION("""COMPUTED_VALUE"""),39581.0)</f>
        <v>39581</v>
      </c>
      <c r="X242" s="1" t="str">
        <f>IFERROR(__xludf.DUMMYFUNCTION("""COMPUTED_VALUE"""),"Universidad De Chile")</f>
        <v>Universidad De Chile</v>
      </c>
      <c r="Y242" s="1" t="str">
        <f>IFERROR(__xludf.DUMMYFUNCTION("""COMPUTED_VALUE"""),"CHILE")</f>
        <v>CHILE</v>
      </c>
      <c r="Z242" s="1" t="str">
        <f>IFERROR(__xludf.DUMMYFUNCTION("""COMPUTED_VALUE"""),"T5210 Administrador Publico")</f>
        <v>T5210 Administrador Publico</v>
      </c>
    </row>
    <row r="243" hidden="1">
      <c r="A243" s="1" t="str">
        <f>IFERROR(__xludf.DUMMYFUNCTION("""COMPUTED_VALUE"""),"12090301 Departamento de Antropología")</f>
        <v>12090301 Departamento de Antropología</v>
      </c>
      <c r="B243" s="1" t="str">
        <f>IFERROR(__xludf.DUMMYFUNCTION("""COMPUTED_VALUE"""),"A3A001 Académico Prof. Asistente")</f>
        <v>A3A001 Académico Prof. Asistente</v>
      </c>
      <c r="C243" s="1" t="str">
        <f>IFERROR(__xludf.DUMMYFUNCTION("""COMPUTED_VALUE"""),"Prof. Asistente - Categ. Academica Ord.")</f>
        <v>Prof. Asistente - Categ. Academica Ord.</v>
      </c>
      <c r="D243" s="1" t="str">
        <f>IFERROR(__xludf.DUMMYFUNCTION("""COMPUTED_VALUE"""),"A3A Prof. Asistente - Categ. Academica Ord.")</f>
        <v>A3A Prof. Asistente - Categ. Academica Ord.</v>
      </c>
      <c r="E243" s="1" t="str">
        <f>IFERROR(__xludf.DUMMYFUNCTION("""COMPUTED_VALUE"""),"Masculino")</f>
        <v>Masculino</v>
      </c>
      <c r="F243" s="1" t="str">
        <f>IFERROR(__xludf.DUMMYFUNCTION("""COMPUTED_VALUE"""),"Paredes")</f>
        <v>Paredes</v>
      </c>
      <c r="G243" s="1" t="str">
        <f>IFERROR(__xludf.DUMMYFUNCTION("""COMPUTED_VALUE"""),"Díaz")</f>
        <v>Díaz</v>
      </c>
      <c r="H243" s="1" t="str">
        <f>IFERROR(__xludf.DUMMYFUNCTION("""COMPUTED_VALUE"""),"Claudio Alejandro")</f>
        <v>Claudio Alejandro</v>
      </c>
      <c r="I243" s="1" t="str">
        <f>IFERROR(__xludf.DUMMYFUNCTION("""COMPUTED_VALUE"""),"Paredes Díaz Claudio Alejandro")</f>
        <v>Paredes Díaz Claudio Alejandro</v>
      </c>
      <c r="J243" s="10">
        <f>IFERROR(__xludf.DUMMYFUNCTION("""COMPUTED_VALUE"""),30164.0)</f>
        <v>30164</v>
      </c>
      <c r="K243" s="10">
        <f>IFERROR(__xludf.DUMMYFUNCTION("""COMPUTED_VALUE"""),18920.0)</f>
        <v>18920</v>
      </c>
      <c r="L243" s="1">
        <f>IFERROR(__xludf.DUMMYFUNCTION("""COMPUTED_VALUE"""),72.0)</f>
        <v>72</v>
      </c>
      <c r="M243" s="1" t="str">
        <f>IFERROR(__xludf.DUMMYFUNCTION("""COMPUTED_VALUE"""),"0001 Casado")</f>
        <v>0001 Casado</v>
      </c>
      <c r="N243" s="1"/>
      <c r="O243" s="10">
        <f>IFERROR(__xludf.DUMMYFUNCTION("""COMPUTED_VALUE"""),38718.0)</f>
        <v>38718</v>
      </c>
      <c r="P243" s="10">
        <f>IFERROR(__xludf.DUMMYFUNCTION("""COMPUTED_VALUE"""),39082.0)</f>
        <v>39082</v>
      </c>
      <c r="Q243" s="1" t="str">
        <f>IFERROR(__xludf.DUMMYFUNCTION("""COMPUTED_VALUE"""),"C Contrata")</f>
        <v>C Contrata</v>
      </c>
      <c r="R243" s="1" t="str">
        <f>IFERROR(__xludf.DUMMYFUNCTION("""COMPUTED_VALUE"""),"A Académico")</f>
        <v>A Académico</v>
      </c>
      <c r="S243" s="9" t="str">
        <f>IFERROR(__xludf.DUMMYFUNCTION("""COMPUTED_VALUE"""),"63677205")</f>
        <v>63677205</v>
      </c>
      <c r="T243" s="1" t="str">
        <f>IFERROR(__xludf.DUMMYFUNCTION("""COMPUTED_VALUE"""),"0063677205")</f>
        <v>0063677205</v>
      </c>
      <c r="U243" s="1">
        <f>IFERROR(__xludf.DUMMYFUNCTION("""COMPUTED_VALUE"""),12.0)</f>
        <v>12</v>
      </c>
      <c r="V243" s="1" t="str">
        <f>IFERROR(__xludf.DUMMYFUNCTION("""COMPUTED_VALUE"""),"P0900 Doctor")</f>
        <v>P0900 Doctor</v>
      </c>
      <c r="W243" s="1">
        <f>IFERROR(__xludf.DUMMYFUNCTION("""COMPUTED_VALUE"""),1.0)</f>
        <v>1</v>
      </c>
      <c r="X243" s="1" t="str">
        <f>IFERROR(__xludf.DUMMYFUNCTION("""COMPUTED_VALUE"""),"Sin Información")</f>
        <v>Sin Información</v>
      </c>
      <c r="Y243" s="1" t="str">
        <f>IFERROR(__xludf.DUMMYFUNCTION("""COMPUTED_VALUE"""),"CHILE")</f>
        <v>CHILE</v>
      </c>
      <c r="Z243" s="1" t="str">
        <f>IFERROR(__xludf.DUMMYFUNCTION("""COMPUTED_VALUE"""),"T5078 Profesor De Biologia")</f>
        <v>T5078 Profesor De Biologia</v>
      </c>
    </row>
    <row r="244" hidden="1">
      <c r="A244" s="1" t="str">
        <f>IFERROR(__xludf.DUMMYFUNCTION("""COMPUTED_VALUE"""),"12090301 Departamento de Antropología")</f>
        <v>12090301 Departamento de Antropología</v>
      </c>
      <c r="B244" s="1" t="str">
        <f>IFERROR(__xludf.DUMMYFUNCTION("""COMPUTED_VALUE"""),"A3A001 Académico Prof. Asistente")</f>
        <v>A3A001 Académico Prof. Asistente</v>
      </c>
      <c r="C244" s="1" t="str">
        <f>IFERROR(__xludf.DUMMYFUNCTION("""COMPUTED_VALUE"""),"Prof. Asistente - Categ. Academica Ord.")</f>
        <v>Prof. Asistente - Categ. Academica Ord.</v>
      </c>
      <c r="D244" s="1" t="str">
        <f>IFERROR(__xludf.DUMMYFUNCTION("""COMPUTED_VALUE"""),"A3A Prof. Asistente - Categ. Academica Ord.")</f>
        <v>A3A Prof. Asistente - Categ. Academica Ord.</v>
      </c>
      <c r="E244" s="1" t="str">
        <f>IFERROR(__xludf.DUMMYFUNCTION("""COMPUTED_VALUE"""),"Masculino")</f>
        <v>Masculino</v>
      </c>
      <c r="F244" s="1" t="str">
        <f>IFERROR(__xludf.DUMMYFUNCTION("""COMPUTED_VALUE"""),"Paredes")</f>
        <v>Paredes</v>
      </c>
      <c r="G244" s="1" t="str">
        <f>IFERROR(__xludf.DUMMYFUNCTION("""COMPUTED_VALUE"""),"Díaz")</f>
        <v>Díaz</v>
      </c>
      <c r="H244" s="1" t="str">
        <f>IFERROR(__xludf.DUMMYFUNCTION("""COMPUTED_VALUE"""),"Claudio Alejandro")</f>
        <v>Claudio Alejandro</v>
      </c>
      <c r="I244" s="1" t="str">
        <f>IFERROR(__xludf.DUMMYFUNCTION("""COMPUTED_VALUE"""),"Paredes Díaz Claudio Alejandro")</f>
        <v>Paredes Díaz Claudio Alejandro</v>
      </c>
      <c r="J244" s="10">
        <f>IFERROR(__xludf.DUMMYFUNCTION("""COMPUTED_VALUE"""),30164.0)</f>
        <v>30164</v>
      </c>
      <c r="K244" s="10">
        <f>IFERROR(__xludf.DUMMYFUNCTION("""COMPUTED_VALUE"""),18920.0)</f>
        <v>18920</v>
      </c>
      <c r="L244" s="1">
        <f>IFERROR(__xludf.DUMMYFUNCTION("""COMPUTED_VALUE"""),72.0)</f>
        <v>72</v>
      </c>
      <c r="M244" s="1" t="str">
        <f>IFERROR(__xludf.DUMMYFUNCTION("""COMPUTED_VALUE"""),"0001 Casado")</f>
        <v>0001 Casado</v>
      </c>
      <c r="N244" s="1"/>
      <c r="O244" s="10">
        <f>IFERROR(__xludf.DUMMYFUNCTION("""COMPUTED_VALUE"""),38808.0)</f>
        <v>38808</v>
      </c>
      <c r="P244" s="10">
        <f>IFERROR(__xludf.DUMMYFUNCTION("""COMPUTED_VALUE"""),39082.0)</f>
        <v>39082</v>
      </c>
      <c r="Q244" s="1" t="str">
        <f>IFERROR(__xludf.DUMMYFUNCTION("""COMPUTED_VALUE"""),"C Contrata")</f>
        <v>C Contrata</v>
      </c>
      <c r="R244" s="1" t="str">
        <f>IFERROR(__xludf.DUMMYFUNCTION("""COMPUTED_VALUE"""),"A Académico")</f>
        <v>A Académico</v>
      </c>
      <c r="S244" s="9" t="str">
        <f>IFERROR(__xludf.DUMMYFUNCTION("""COMPUTED_VALUE"""),"63677205")</f>
        <v>63677205</v>
      </c>
      <c r="T244" s="1" t="str">
        <f>IFERROR(__xludf.DUMMYFUNCTION("""COMPUTED_VALUE"""),"0063677205")</f>
        <v>0063677205</v>
      </c>
      <c r="U244" s="1">
        <f>IFERROR(__xludf.DUMMYFUNCTION("""COMPUTED_VALUE"""),12.0)</f>
        <v>12</v>
      </c>
      <c r="V244" s="1" t="str">
        <f>IFERROR(__xludf.DUMMYFUNCTION("""COMPUTED_VALUE"""),"P0900 Doctor")</f>
        <v>P0900 Doctor</v>
      </c>
      <c r="W244" s="1">
        <f>IFERROR(__xludf.DUMMYFUNCTION("""COMPUTED_VALUE"""),1.0)</f>
        <v>1</v>
      </c>
      <c r="X244" s="1" t="str">
        <f>IFERROR(__xludf.DUMMYFUNCTION("""COMPUTED_VALUE"""),"Sin Información")</f>
        <v>Sin Información</v>
      </c>
      <c r="Y244" s="1" t="str">
        <f>IFERROR(__xludf.DUMMYFUNCTION("""COMPUTED_VALUE"""),"CHILE")</f>
        <v>CHILE</v>
      </c>
      <c r="Z244" s="1" t="str">
        <f>IFERROR(__xludf.DUMMYFUNCTION("""COMPUTED_VALUE"""),"T5078 Profesor De Biologia")</f>
        <v>T5078 Profesor De Biologia</v>
      </c>
    </row>
    <row r="245" hidden="1">
      <c r="A245" s="1" t="str">
        <f>IFERROR(__xludf.DUMMYFUNCTION("""COMPUTED_VALUE"""),"12090701 Departamento de Psicología")</f>
        <v>12090701 Departamento de Psicología</v>
      </c>
      <c r="B245" s="1" t="str">
        <f>IFERROR(__xludf.DUMMYFUNCTION("""COMPUTED_VALUE"""),"A3A001 Académico Prof. Asistente")</f>
        <v>A3A001 Académico Prof. Asistente</v>
      </c>
      <c r="C245" s="1" t="str">
        <f>IFERROR(__xludf.DUMMYFUNCTION("""COMPUTED_VALUE"""),"Prof. Asistente - Categ. Academica Ord.")</f>
        <v>Prof. Asistente - Categ. Academica Ord.</v>
      </c>
      <c r="D245" s="1" t="str">
        <f>IFERROR(__xludf.DUMMYFUNCTION("""COMPUTED_VALUE"""),"A3A Prof. Asistente - Categ. Academica Ord.")</f>
        <v>A3A Prof. Asistente - Categ. Academica Ord.</v>
      </c>
      <c r="E245" s="1" t="str">
        <f>IFERROR(__xludf.DUMMYFUNCTION("""COMPUTED_VALUE"""),"Femenino")</f>
        <v>Femenino</v>
      </c>
      <c r="F245" s="1" t="str">
        <f>IFERROR(__xludf.DUMMYFUNCTION("""COMPUTED_VALUE"""),"Paredes")</f>
        <v>Paredes</v>
      </c>
      <c r="G245" s="1" t="str">
        <f>IFERROR(__xludf.DUMMYFUNCTION("""COMPUTED_VALUE"""),"Merino")</f>
        <v>Merino</v>
      </c>
      <c r="H245" s="1" t="str">
        <f>IFERROR(__xludf.DUMMYFUNCTION("""COMPUTED_VALUE"""),"Rosa Angélica")</f>
        <v>Rosa Angélica</v>
      </c>
      <c r="I245" s="1" t="str">
        <f>IFERROR(__xludf.DUMMYFUNCTION("""COMPUTED_VALUE"""),"Paredes Merino Rosa Angélica")</f>
        <v>Paredes Merino Rosa Angélica</v>
      </c>
      <c r="J245" s="10">
        <f>IFERROR(__xludf.DUMMYFUNCTION("""COMPUTED_VALUE"""),27851.0)</f>
        <v>27851</v>
      </c>
      <c r="K245" s="10">
        <f>IFERROR(__xludf.DUMMYFUNCTION("""COMPUTED_VALUE"""),14152.0)</f>
        <v>14152</v>
      </c>
      <c r="L245" s="1">
        <f>IFERROR(__xludf.DUMMYFUNCTION("""COMPUTED_VALUE"""),85.0)</f>
        <v>85</v>
      </c>
      <c r="M245" s="1" t="str">
        <f>IFERROR(__xludf.DUMMYFUNCTION("""COMPUTED_VALUE"""),"0002 Soltero")</f>
        <v>0002 Soltero</v>
      </c>
      <c r="N245" s="1"/>
      <c r="O245" s="10">
        <f>IFERROR(__xludf.DUMMYFUNCTION("""COMPUTED_VALUE"""),33878.0)</f>
        <v>33878</v>
      </c>
      <c r="P245" s="10">
        <f>IFERROR(__xludf.DUMMYFUNCTION("""COMPUTED_VALUE"""),35124.0)</f>
        <v>35124</v>
      </c>
      <c r="Q245" s="1" t="str">
        <f>IFERROR(__xludf.DUMMYFUNCTION("""COMPUTED_VALUE"""),"P Propiedad")</f>
        <v>P Propiedad</v>
      </c>
      <c r="R245" s="1" t="str">
        <f>IFERROR(__xludf.DUMMYFUNCTION("""COMPUTED_VALUE"""),"A Académico")</f>
        <v>A Académico</v>
      </c>
      <c r="S245" s="9" t="str">
        <f>IFERROR(__xludf.DUMMYFUNCTION("""COMPUTED_VALUE"""),"34657807")</f>
        <v>34657807</v>
      </c>
      <c r="T245" s="1" t="str">
        <f>IFERROR(__xludf.DUMMYFUNCTION("""COMPUTED_VALUE"""),"0034657807")</f>
        <v>0034657807</v>
      </c>
      <c r="U245" s="1">
        <f>IFERROR(__xludf.DUMMYFUNCTION("""COMPUTED_VALUE"""),6.0)</f>
        <v>6</v>
      </c>
      <c r="V245" s="1"/>
      <c r="W245" s="1"/>
      <c r="X245" s="1"/>
      <c r="Y245" s="1"/>
      <c r="Z245" s="1"/>
    </row>
    <row r="246" hidden="1">
      <c r="A246" s="1" t="str">
        <f>IFERROR(__xludf.DUMMYFUNCTION("""COMPUTED_VALUE"""),"12090601 Departamento de Educación")</f>
        <v>12090601 Departamento de Educación</v>
      </c>
      <c r="B246" s="1" t="str">
        <f>IFERROR(__xludf.DUMMYFUNCTION("""COMPUTED_VALUE"""),"A3A001 Académico Prof. Asistente")</f>
        <v>A3A001 Académico Prof. Asistente</v>
      </c>
      <c r="C246" s="1" t="str">
        <f>IFERROR(__xludf.DUMMYFUNCTION("""COMPUTED_VALUE"""),"Prof. Asistente - Categ. Academica Ord.")</f>
        <v>Prof. Asistente - Categ. Academica Ord.</v>
      </c>
      <c r="D246" s="1" t="str">
        <f>IFERROR(__xludf.DUMMYFUNCTION("""COMPUTED_VALUE"""),"A3A Prof. Asistente - Categ. Academica Ord.")</f>
        <v>A3A Prof. Asistente - Categ. Academica Ord.</v>
      </c>
      <c r="E246" s="1" t="str">
        <f>IFERROR(__xludf.DUMMYFUNCTION("""COMPUTED_VALUE"""),"Femenino")</f>
        <v>Femenino</v>
      </c>
      <c r="F246" s="1" t="str">
        <f>IFERROR(__xludf.DUMMYFUNCTION("""COMPUTED_VALUE"""),"Parra")</f>
        <v>Parra</v>
      </c>
      <c r="G246" s="1" t="str">
        <f>IFERROR(__xludf.DUMMYFUNCTION("""COMPUTED_VALUE"""),"Sabaj")</f>
        <v>Sabaj</v>
      </c>
      <c r="H246" s="1" t="str">
        <f>IFERROR(__xludf.DUMMYFUNCTION("""COMPUTED_VALUE"""),"María Eugenia")</f>
        <v>María Eugenia</v>
      </c>
      <c r="I246" s="1" t="str">
        <f>IFERROR(__xludf.DUMMYFUNCTION("""COMPUTED_VALUE"""),"Parra Sabaj María Eugenia")</f>
        <v>Parra Sabaj María Eugenia</v>
      </c>
      <c r="J246" s="10">
        <f>IFERROR(__xludf.DUMMYFUNCTION("""COMPUTED_VALUE"""),38869.0)</f>
        <v>38869</v>
      </c>
      <c r="K246" s="10">
        <f>IFERROR(__xludf.DUMMYFUNCTION("""COMPUTED_VALUE"""),17165.0)</f>
        <v>17165</v>
      </c>
      <c r="L246" s="1">
        <f>IFERROR(__xludf.DUMMYFUNCTION("""COMPUTED_VALUE"""),77.0)</f>
        <v>77</v>
      </c>
      <c r="M246" s="1" t="str">
        <f>IFERROR(__xludf.DUMMYFUNCTION("""COMPUTED_VALUE"""),"0005 Divorciado")</f>
        <v>0005 Divorciado</v>
      </c>
      <c r="N246" s="1"/>
      <c r="O246" s="10">
        <f>IFERROR(__xludf.DUMMYFUNCTION("""COMPUTED_VALUE"""),40725.0)</f>
        <v>40725</v>
      </c>
      <c r="P246" s="10">
        <f>IFERROR(__xludf.DUMMYFUNCTION("""COMPUTED_VALUE"""),40751.0)</f>
        <v>40751</v>
      </c>
      <c r="Q246" s="1" t="str">
        <f>IFERROR(__xludf.DUMMYFUNCTION("""COMPUTED_VALUE"""),"C Contrata")</f>
        <v>C Contrata</v>
      </c>
      <c r="R246" s="1" t="str">
        <f>IFERROR(__xludf.DUMMYFUNCTION("""COMPUTED_VALUE"""),"A Académico")</f>
        <v>A Académico</v>
      </c>
      <c r="S246" s="9" t="str">
        <f>IFERROR(__xludf.DUMMYFUNCTION("""COMPUTED_VALUE"""),"48454151")</f>
        <v>48454151</v>
      </c>
      <c r="T246" s="1" t="str">
        <f>IFERROR(__xludf.DUMMYFUNCTION("""COMPUTED_VALUE"""),"0048454151")</f>
        <v>0048454151</v>
      </c>
      <c r="U246" s="1">
        <f>IFERROR(__xludf.DUMMYFUNCTION("""COMPUTED_VALUE"""),22.0)</f>
        <v>22</v>
      </c>
      <c r="V246" s="1" t="str">
        <f>IFERROR(__xludf.DUMMYFUNCTION("""COMPUTED_VALUE"""),"P0900 Doctor")</f>
        <v>P0900 Doctor</v>
      </c>
      <c r="W246" s="1">
        <f>IFERROR(__xludf.DUMMYFUNCTION("""COMPUTED_VALUE"""),38720.0)</f>
        <v>38720</v>
      </c>
      <c r="X246" s="1" t="str">
        <f>IFERROR(__xludf.DUMMYFUNCTION("""COMPUTED_VALUE"""),"Universidad De Chile")</f>
        <v>Universidad De Chile</v>
      </c>
      <c r="Y246" s="1" t="str">
        <f>IFERROR(__xludf.DUMMYFUNCTION("""COMPUTED_VALUE"""),"CHILE")</f>
        <v>CHILE</v>
      </c>
      <c r="Z246" s="1" t="str">
        <f>IFERROR(__xludf.DUMMYFUNCTION("""COMPUTED_VALUE"""),"T5005 Asistente Social")</f>
        <v>T5005 Asistente Social</v>
      </c>
    </row>
    <row r="247">
      <c r="A247" s="1" t="str">
        <f>IFERROR(__xludf.DUMMYFUNCTION("""COMPUTED_VALUE"""),"12090116 Dpto. de Antropología (funcionamiento)")</f>
        <v>12090116 Dpto. de Antropología (funcionamiento)</v>
      </c>
      <c r="B247" s="1" t="str">
        <f>IFERROR(__xludf.DUMMYFUNCTION("""COMPUTED_VALUE"""),"A3A001 Académico Prof. Asistente")</f>
        <v>A3A001 Académico Prof. Asistente</v>
      </c>
      <c r="C247" s="1" t="str">
        <f>IFERROR(__xludf.DUMMYFUNCTION("""COMPUTED_VALUE"""),"Prof. Asistente - Categ. Academica Ord.")</f>
        <v>Prof. Asistente - Categ. Academica Ord.</v>
      </c>
      <c r="D247" s="1" t="str">
        <f>IFERROR(__xludf.DUMMYFUNCTION("""COMPUTED_VALUE"""),"A3A Prof. Asistente - Categ. Academica Ord.")</f>
        <v>A3A Prof. Asistente - Categ. Academica Ord.</v>
      </c>
      <c r="E247" s="1" t="str">
        <f>IFERROR(__xludf.DUMMYFUNCTION("""COMPUTED_VALUE"""),"Masculino")</f>
        <v>Masculino</v>
      </c>
      <c r="F247" s="1" t="str">
        <f>IFERROR(__xludf.DUMMYFUNCTION("""COMPUTED_VALUE"""),"Pavlovic")</f>
        <v>Pavlovic</v>
      </c>
      <c r="G247" s="1" t="str">
        <f>IFERROR(__xludf.DUMMYFUNCTION("""COMPUTED_VALUE"""),"Barbaric")</f>
        <v>Barbaric</v>
      </c>
      <c r="H247" s="1" t="str">
        <f>IFERROR(__xludf.DUMMYFUNCTION("""COMPUTED_VALUE"""),"Daniel Andrés")</f>
        <v>Daniel Andrés</v>
      </c>
      <c r="I247" s="1" t="str">
        <f>IFERROR(__xludf.DUMMYFUNCTION("""COMPUTED_VALUE"""),"Pavlovic Barbaric Daniel Andrés")</f>
        <v>Pavlovic Barbaric Daniel Andrés</v>
      </c>
      <c r="J247" s="10">
        <f>IFERROR(__xludf.DUMMYFUNCTION("""COMPUTED_VALUE"""),41030.0)</f>
        <v>41030</v>
      </c>
      <c r="K247" s="10">
        <f>IFERROR(__xludf.DUMMYFUNCTION("""COMPUTED_VALUE"""),26750.0)</f>
        <v>26750</v>
      </c>
      <c r="L247" s="1">
        <f>IFERROR(__xludf.DUMMYFUNCTION("""COMPUTED_VALUE"""),50.0)</f>
        <v>50</v>
      </c>
      <c r="M247" s="1" t="str">
        <f>IFERROR(__xludf.DUMMYFUNCTION("""COMPUTED_VALUE"""),"0001 Casado")</f>
        <v>0001 Casado</v>
      </c>
      <c r="N247" s="1"/>
      <c r="O247" s="10">
        <f>IFERROR(__xludf.DUMMYFUNCTION("""COMPUTED_VALUE"""),44197.0)</f>
        <v>44197</v>
      </c>
      <c r="P247" s="10">
        <f>IFERROR(__xludf.DUMMYFUNCTION("""COMPUTED_VALUE"""),44198.0)</f>
        <v>44198</v>
      </c>
      <c r="Q247" s="1" t="str">
        <f>IFERROR(__xludf.DUMMYFUNCTION("""COMPUTED_VALUE"""),"C Contrata")</f>
        <v>C Contrata</v>
      </c>
      <c r="R247" s="1" t="str">
        <f>IFERROR(__xludf.DUMMYFUNCTION("""COMPUTED_VALUE"""),"A Académico")</f>
        <v>A Académico</v>
      </c>
      <c r="S247" s="9" t="str">
        <f>IFERROR(__xludf.DUMMYFUNCTION("""COMPUTED_VALUE"""),"124870984")</f>
        <v>124870984</v>
      </c>
      <c r="T247" s="1" t="str">
        <f>IFERROR(__xludf.DUMMYFUNCTION("""COMPUTED_VALUE"""),"0124870984")</f>
        <v>0124870984</v>
      </c>
      <c r="U247" s="1">
        <f>IFERROR(__xludf.DUMMYFUNCTION("""COMPUTED_VALUE"""),6.0)</f>
        <v>6</v>
      </c>
      <c r="V247" s="1" t="str">
        <f>IFERROR(__xludf.DUMMYFUNCTION("""COMPUTED_VALUE"""),"P0401 Licenciado")</f>
        <v>P0401 Licenciado</v>
      </c>
      <c r="W247" s="1">
        <f>IFERROR(__xludf.DUMMYFUNCTION("""COMPUTED_VALUE"""),36795.0)</f>
        <v>36795</v>
      </c>
      <c r="X247" s="1" t="str">
        <f>IFERROR(__xludf.DUMMYFUNCTION("""COMPUTED_VALUE"""),"Universidad De Chile")</f>
        <v>Universidad De Chile</v>
      </c>
      <c r="Y247" s="1" t="str">
        <f>IFERROR(__xludf.DUMMYFUNCTION("""COMPUTED_VALUE"""),"CHILE")</f>
        <v>CHILE</v>
      </c>
      <c r="Z247" s="1" t="str">
        <f>IFERROR(__xludf.DUMMYFUNCTION("""COMPUTED_VALUE"""),"T5373 Arqueólogo")</f>
        <v>T5373 Arqueólogo</v>
      </c>
    </row>
    <row r="248">
      <c r="A248" s="1" t="str">
        <f>IFERROR(__xludf.DUMMYFUNCTION("""COMPUTED_VALUE"""),"12090301 Departamento de Antropología")</f>
        <v>12090301 Departamento de Antropología</v>
      </c>
      <c r="B248" s="1" t="str">
        <f>IFERROR(__xludf.DUMMYFUNCTION("""COMPUTED_VALUE"""),"A4A001 ACADEMICO  INSTRUCTOR")</f>
        <v>A4A001 ACADEMICO  INSTRUCTOR</v>
      </c>
      <c r="C248" s="1" t="str">
        <f>IFERROR(__xludf.DUMMYFUNCTION("""COMPUTED_VALUE"""),"Instructor")</f>
        <v>Instructor</v>
      </c>
      <c r="D248" s="1" t="str">
        <f>IFERROR(__xludf.DUMMYFUNCTION("""COMPUTED_VALUE"""),"A4A Instructor")</f>
        <v>A4A Instructor</v>
      </c>
      <c r="E248" s="1" t="str">
        <f>IFERROR(__xludf.DUMMYFUNCTION("""COMPUTED_VALUE"""),"Femenino")</f>
        <v>Femenino</v>
      </c>
      <c r="F248" s="1" t="str">
        <f>IFERROR(__xludf.DUMMYFUNCTION("""COMPUTED_VALUE"""),"Pemjean")</f>
        <v>Pemjean</v>
      </c>
      <c r="G248" s="1" t="str">
        <f>IFERROR(__xludf.DUMMYFUNCTION("""COMPUTED_VALUE"""),"Contreras")</f>
        <v>Contreras</v>
      </c>
      <c r="H248" s="1" t="str">
        <f>IFERROR(__xludf.DUMMYFUNCTION("""COMPUTED_VALUE"""),"Isabel Alejandra")</f>
        <v>Isabel Alejandra</v>
      </c>
      <c r="I248" s="1" t="str">
        <f>IFERROR(__xludf.DUMMYFUNCTION("""COMPUTED_VALUE"""),"Pemjean Contreras Isabel Alejandra")</f>
        <v>Pemjean Contreras Isabel Alejandra</v>
      </c>
      <c r="J248" s="10">
        <f>IFERROR(__xludf.DUMMYFUNCTION("""COMPUTED_VALUE"""),39934.0)</f>
        <v>39934</v>
      </c>
      <c r="K248" s="10">
        <f>IFERROR(__xludf.DUMMYFUNCTION("""COMPUTED_VALUE"""),30086.0)</f>
        <v>30086</v>
      </c>
      <c r="L248" s="1">
        <f>IFERROR(__xludf.DUMMYFUNCTION("""COMPUTED_VALUE"""),41.0)</f>
        <v>41</v>
      </c>
      <c r="M248" s="1" t="str">
        <f>IFERROR(__xludf.DUMMYFUNCTION("""COMPUTED_VALUE"""),"0002 Soltero")</f>
        <v>0002 Soltero</v>
      </c>
      <c r="N248" s="1"/>
      <c r="O248" s="10">
        <f>IFERROR(__xludf.DUMMYFUNCTION("""COMPUTED_VALUE"""),40909.0)</f>
        <v>40909</v>
      </c>
      <c r="P248" s="10">
        <f>IFERROR(__xludf.DUMMYFUNCTION("""COMPUTED_VALUE"""),40999.0)</f>
        <v>40999</v>
      </c>
      <c r="Q248" s="1" t="str">
        <f>IFERROR(__xludf.DUMMYFUNCTION("""COMPUTED_VALUE"""),"C Contrata")</f>
        <v>C Contrata</v>
      </c>
      <c r="R248" s="1" t="str">
        <f>IFERROR(__xludf.DUMMYFUNCTION("""COMPUTED_VALUE"""),"A Académico")</f>
        <v>A Académico</v>
      </c>
      <c r="S248" s="9" t="str">
        <f>IFERROR(__xludf.DUMMYFUNCTION("""COMPUTED_VALUE"""),"153789061")</f>
        <v>153789061</v>
      </c>
      <c r="T248" s="1" t="str">
        <f>IFERROR(__xludf.DUMMYFUNCTION("""COMPUTED_VALUE"""),"0153789061")</f>
        <v>0153789061</v>
      </c>
      <c r="U248" s="1">
        <f>IFERROR(__xludf.DUMMYFUNCTION("""COMPUTED_VALUE"""),6.0)</f>
        <v>6</v>
      </c>
      <c r="V248" s="1"/>
      <c r="W248" s="1"/>
      <c r="X248" s="1"/>
      <c r="Y248" s="1"/>
      <c r="Z248" s="1" t="str">
        <f>IFERROR(__xludf.DUMMYFUNCTION("""COMPUTED_VALUE"""),"T5003 Antropologo")</f>
        <v>T5003 Antropologo</v>
      </c>
    </row>
    <row r="249">
      <c r="A249" s="1" t="str">
        <f>IFERROR(__xludf.DUMMYFUNCTION("""COMPUTED_VALUE"""),"12090116 Dpto. de Antropología (funcionamiento)")</f>
        <v>12090116 Dpto. de Antropología (funcionamiento)</v>
      </c>
      <c r="B249" s="1" t="str">
        <f>IFERROR(__xludf.DUMMYFUNCTION("""COMPUTED_VALUE"""),"A3A001 Académico Prof. Asistente")</f>
        <v>A3A001 Académico Prof. Asistente</v>
      </c>
      <c r="C249" s="1" t="str">
        <f>IFERROR(__xludf.DUMMYFUNCTION("""COMPUTED_VALUE"""),"Prof. Asistente - Categ. Academica Ord.")</f>
        <v>Prof. Asistente - Categ. Academica Ord.</v>
      </c>
      <c r="D249" s="1" t="str">
        <f>IFERROR(__xludf.DUMMYFUNCTION("""COMPUTED_VALUE"""),"A3A Prof. Asistente - Categ. Academica Ord.")</f>
        <v>A3A Prof. Asistente - Categ. Academica Ord.</v>
      </c>
      <c r="E249" s="1" t="str">
        <f>IFERROR(__xludf.DUMMYFUNCTION("""COMPUTED_VALUE"""),"Femenino")</f>
        <v>Femenino</v>
      </c>
      <c r="F249" s="1" t="str">
        <f>IFERROR(__xludf.DUMMYFUNCTION("""COMPUTED_VALUE"""),"Perez")</f>
        <v>Perez</v>
      </c>
      <c r="G249" s="1" t="str">
        <f>IFERROR(__xludf.DUMMYFUNCTION("""COMPUTED_VALUE"""),"de los Rios")</f>
        <v>de los Rios</v>
      </c>
      <c r="H249" s="1" t="str">
        <f>IFERROR(__xludf.DUMMYFUNCTION("""COMPUTED_VALUE"""),"Miriam")</f>
        <v>Miriam</v>
      </c>
      <c r="I249" s="1" t="str">
        <f>IFERROR(__xludf.DUMMYFUNCTION("""COMPUTED_VALUE"""),"Perez de los Rios Miriam")</f>
        <v>Perez de los Rios Miriam</v>
      </c>
      <c r="J249" s="10">
        <f>IFERROR(__xludf.DUMMYFUNCTION("""COMPUTED_VALUE"""),42644.0)</f>
        <v>42644</v>
      </c>
      <c r="K249" s="10">
        <f>IFERROR(__xludf.DUMMYFUNCTION("""COMPUTED_VALUE"""),31552.0)</f>
        <v>31552</v>
      </c>
      <c r="L249" s="1">
        <f>IFERROR(__xludf.DUMMYFUNCTION("""COMPUTED_VALUE"""),37.0)</f>
        <v>37</v>
      </c>
      <c r="M249" s="1" t="str">
        <f>IFERROR(__xludf.DUMMYFUNCTION("""COMPUTED_VALUE"""),"0004 Otro")</f>
        <v>0004 Otro</v>
      </c>
      <c r="N249" s="1"/>
      <c r="O249" s="10">
        <f>IFERROR(__xludf.DUMMYFUNCTION("""COMPUTED_VALUE"""),44562.0)</f>
        <v>44562</v>
      </c>
      <c r="P249" s="10">
        <f>IFERROR(__xludf.DUMMYFUNCTION("""COMPUTED_VALUE"""),44804.0)</f>
        <v>44804</v>
      </c>
      <c r="Q249" s="1" t="str">
        <f>IFERROR(__xludf.DUMMYFUNCTION("""COMPUTED_VALUE"""),"C Contrata")</f>
        <v>C Contrata</v>
      </c>
      <c r="R249" s="1" t="str">
        <f>IFERROR(__xludf.DUMMYFUNCTION("""COMPUTED_VALUE"""),"A Académico")</f>
        <v>A Académico</v>
      </c>
      <c r="S249" s="9" t="str">
        <f>IFERROR(__xludf.DUMMYFUNCTION("""COMPUTED_VALUE"""),"254191191")</f>
        <v>254191191</v>
      </c>
      <c r="T249" s="1" t="str">
        <f>IFERROR(__xludf.DUMMYFUNCTION("""COMPUTED_VALUE"""),"0254191191")</f>
        <v>0254191191</v>
      </c>
      <c r="U249" s="1">
        <f>IFERROR(__xludf.DUMMYFUNCTION("""COMPUTED_VALUE"""),44.0)</f>
        <v>44</v>
      </c>
      <c r="V249" s="1" t="str">
        <f>IFERROR(__xludf.DUMMYFUNCTION("""COMPUTED_VALUE"""),"P0900 Doctor")</f>
        <v>P0900 Doctor</v>
      </c>
      <c r="W249" s="1">
        <f>IFERROR(__xludf.DUMMYFUNCTION("""COMPUTED_VALUE"""),42622.0)</f>
        <v>42622</v>
      </c>
      <c r="X249" s="1" t="str">
        <f>IFERROR(__xludf.DUMMYFUNCTION("""COMPUTED_VALUE"""),"UNIV AUTONOMA BARCELONA")</f>
        <v>UNIV AUTONOMA BARCELONA</v>
      </c>
      <c r="Y249" s="1" t="str">
        <f>IFERROR(__xludf.DUMMYFUNCTION("""COMPUTED_VALUE"""),"ESPAÑA")</f>
        <v>ESPAÑA</v>
      </c>
      <c r="Z249" s="1"/>
    </row>
    <row r="250" hidden="1">
      <c r="A250" s="1" t="str">
        <f>IFERROR(__xludf.DUMMYFUNCTION("""COMPUTED_VALUE"""),"12090601 Departamento de Educación")</f>
        <v>12090601 Departamento de Educación</v>
      </c>
      <c r="B250" s="1" t="str">
        <f>IFERROR(__xludf.DUMMYFUNCTION("""COMPUTED_VALUE"""),"000285 ACADEMICO MEDIA JORNADA")</f>
        <v>000285 ACADEMICO MEDIA JORNADA</v>
      </c>
      <c r="C250" s="1" t="str">
        <f>IFERROR(__xludf.DUMMYFUNCTION("""COMPUTED_VALUE"""),"Prof. Asociado - Categ. Academica Ord.")</f>
        <v>Prof. Asociado - Categ. Academica Ord.</v>
      </c>
      <c r="D250" s="1" t="str">
        <f>IFERROR(__xludf.DUMMYFUNCTION("""COMPUTED_VALUE"""),"A2A Prof. Asociado - Categ. Academica Ord.")</f>
        <v>A2A Prof. Asociado - Categ. Academica Ord.</v>
      </c>
      <c r="E250" s="1" t="str">
        <f>IFERROR(__xludf.DUMMYFUNCTION("""COMPUTED_VALUE"""),"Masculino")</f>
        <v>Masculino</v>
      </c>
      <c r="F250" s="1" t="str">
        <f>IFERROR(__xludf.DUMMYFUNCTION("""COMPUTED_VALUE"""),"Pérez")</f>
        <v>Pérez</v>
      </c>
      <c r="G250" s="1" t="str">
        <f>IFERROR(__xludf.DUMMYFUNCTION("""COMPUTED_VALUE"""),"Fuentes")</f>
        <v>Fuentes</v>
      </c>
      <c r="H250" s="1" t="str">
        <f>IFERROR(__xludf.DUMMYFUNCTION("""COMPUTED_VALUE"""),"Fernando Ramón")</f>
        <v>Fernando Ramón</v>
      </c>
      <c r="I250" s="1" t="str">
        <f>IFERROR(__xludf.DUMMYFUNCTION("""COMPUTED_VALUE"""),"Pérez Fuentes Fernando Ramón")</f>
        <v>Pérez Fuentes Fernando Ramón</v>
      </c>
      <c r="J250" s="10">
        <f>IFERROR(__xludf.DUMMYFUNCTION("""COMPUTED_VALUE"""),23012.0)</f>
        <v>23012</v>
      </c>
      <c r="K250" s="10">
        <f>IFERROR(__xludf.DUMMYFUNCTION("""COMPUTED_VALUE"""),13796.0)</f>
        <v>13796</v>
      </c>
      <c r="L250" s="1">
        <f>IFERROR(__xludf.DUMMYFUNCTION("""COMPUTED_VALUE"""),86.0)</f>
        <v>86</v>
      </c>
      <c r="M250" s="1" t="str">
        <f>IFERROR(__xludf.DUMMYFUNCTION("""COMPUTED_VALUE"""),"0001 Casado")</f>
        <v>0001 Casado</v>
      </c>
      <c r="N250" s="1"/>
      <c r="O250" s="10">
        <f>IFERROR(__xludf.DUMMYFUNCTION("""COMPUTED_VALUE"""),39083.0)</f>
        <v>39083</v>
      </c>
      <c r="P250" s="10">
        <f>IFERROR(__xludf.DUMMYFUNCTION("""COMPUTED_VALUE"""),39141.0)</f>
        <v>39141</v>
      </c>
      <c r="Q250" s="1" t="str">
        <f>IFERROR(__xludf.DUMMYFUNCTION("""COMPUTED_VALUE"""),"C Contrata")</f>
        <v>C Contrata</v>
      </c>
      <c r="R250" s="1" t="str">
        <f>IFERROR(__xludf.DUMMYFUNCTION("""COMPUTED_VALUE"""),"A Académico")</f>
        <v>A Académico</v>
      </c>
      <c r="S250" s="9" t="str">
        <f>IFERROR(__xludf.DUMMYFUNCTION("""COMPUTED_VALUE"""),"004141040K")</f>
        <v>004141040K</v>
      </c>
      <c r="T250" s="1" t="str">
        <f>IFERROR(__xludf.DUMMYFUNCTION("""COMPUTED_VALUE"""),"004141040K")</f>
        <v>004141040K</v>
      </c>
      <c r="U250" s="1">
        <f>IFERROR(__xludf.DUMMYFUNCTION("""COMPUTED_VALUE"""),22.0)</f>
        <v>22</v>
      </c>
      <c r="V250" s="1" t="str">
        <f>IFERROR(__xludf.DUMMYFUNCTION("""COMPUTED_VALUE"""),"P0850 Magister")</f>
        <v>P0850 Magister</v>
      </c>
      <c r="W250" s="1">
        <f>IFERROR(__xludf.DUMMYFUNCTION("""COMPUTED_VALUE"""),29586.0)</f>
        <v>29586</v>
      </c>
      <c r="X250" s="1" t="str">
        <f>IFERROR(__xludf.DUMMYFUNCTION("""COMPUTED_VALUE"""),"Pontificia Universidad Catolica De Chile")</f>
        <v>Pontificia Universidad Catolica De Chile</v>
      </c>
      <c r="Y250" s="1" t="str">
        <f>IFERROR(__xludf.DUMMYFUNCTION("""COMPUTED_VALUE"""),"CHILE")</f>
        <v>CHILE</v>
      </c>
      <c r="Z250" s="1" t="str">
        <f>IFERROR(__xludf.DUMMYFUNCTION("""COMPUTED_VALUE"""),"T5191 Profesor De Castellano")</f>
        <v>T5191 Profesor De Castellano</v>
      </c>
    </row>
    <row r="251">
      <c r="A251" s="1" t="str">
        <f>IFERROR(__xludf.DUMMYFUNCTION("""COMPUTED_VALUE"""),"12090701 Departamento de Psicología")</f>
        <v>12090701 Departamento de Psicología</v>
      </c>
      <c r="B251" s="1" t="str">
        <f>IFERROR(__xludf.DUMMYFUNCTION("""COMPUTED_VALUE"""),"A9A001 ACADEMICO NO EVALUADO")</f>
        <v>A9A001 ACADEMICO NO EVALUADO</v>
      </c>
      <c r="C251" s="1" t="str">
        <f>IFERROR(__xludf.DUMMYFUNCTION("""COMPUTED_VALUE"""),"No Evaluado")</f>
        <v>No Evaluado</v>
      </c>
      <c r="D251" s="1" t="str">
        <f>IFERROR(__xludf.DUMMYFUNCTION("""COMPUTED_VALUE"""),"A9A No Evaluado")</f>
        <v>A9A No Evaluado</v>
      </c>
      <c r="E251" s="1" t="str">
        <f>IFERROR(__xludf.DUMMYFUNCTION("""COMPUTED_VALUE"""),"Masculino")</f>
        <v>Masculino</v>
      </c>
      <c r="F251" s="1" t="str">
        <f>IFERROR(__xludf.DUMMYFUNCTION("""COMPUTED_VALUE"""),"Pérez")</f>
        <v>Pérez</v>
      </c>
      <c r="G251" s="1" t="str">
        <f>IFERROR(__xludf.DUMMYFUNCTION("""COMPUTED_VALUE"""),"Soto")</f>
        <v>Soto</v>
      </c>
      <c r="H251" s="1" t="str">
        <f>IFERROR(__xludf.DUMMYFUNCTION("""COMPUTED_VALUE"""),"Carlos Aurelio")</f>
        <v>Carlos Aurelio</v>
      </c>
      <c r="I251" s="1" t="str">
        <f>IFERROR(__xludf.DUMMYFUNCTION("""COMPUTED_VALUE"""),"Pérez Soto Carlos Aurelio")</f>
        <v>Pérez Soto Carlos Aurelio</v>
      </c>
      <c r="J251" s="10">
        <f>IFERROR(__xludf.DUMMYFUNCTION("""COMPUTED_VALUE"""),37653.0)</f>
        <v>37653</v>
      </c>
      <c r="K251" s="10">
        <f>IFERROR(__xludf.DUMMYFUNCTION("""COMPUTED_VALUE"""),20003.0)</f>
        <v>20003</v>
      </c>
      <c r="L251" s="1">
        <f>IFERROR(__xludf.DUMMYFUNCTION("""COMPUTED_VALUE"""),69.0)</f>
        <v>69</v>
      </c>
      <c r="M251" s="1" t="str">
        <f>IFERROR(__xludf.DUMMYFUNCTION("""COMPUTED_VALUE"""),"0002 Soltero")</f>
        <v>0002 Soltero</v>
      </c>
      <c r="N251" s="1" t="str">
        <f>IFERROR(__xludf.DUMMYFUNCTION("""COMPUTED_VALUE"""),"N0040 Profesional Superior")</f>
        <v>N0040 Profesional Superior</v>
      </c>
      <c r="O251" s="10">
        <f>IFERROR(__xludf.DUMMYFUNCTION("""COMPUTED_VALUE"""),34304.0)</f>
        <v>34304</v>
      </c>
      <c r="P251" s="10">
        <f>IFERROR(__xludf.DUMMYFUNCTION("""COMPUTED_VALUE"""),35489.0)</f>
        <v>35489</v>
      </c>
      <c r="Q251" s="1" t="str">
        <f>IFERROR(__xludf.DUMMYFUNCTION("""COMPUTED_VALUE"""),"A Ad Honorem Propiedad")</f>
        <v>A Ad Honorem Propiedad</v>
      </c>
      <c r="R251" s="1" t="str">
        <f>IFERROR(__xludf.DUMMYFUNCTION("""COMPUTED_VALUE"""),"A Académico")</f>
        <v>A Académico</v>
      </c>
      <c r="S251" s="9" t="str">
        <f>IFERROR(__xludf.DUMMYFUNCTION("""COMPUTED_VALUE"""),"68770254")</f>
        <v>68770254</v>
      </c>
      <c r="T251" s="1" t="str">
        <f>IFERROR(__xludf.DUMMYFUNCTION("""COMPUTED_VALUE"""),"0068770254")</f>
        <v>0068770254</v>
      </c>
      <c r="U251" s="1">
        <f>IFERROR(__xludf.DUMMYFUNCTION("""COMPUTED_VALUE"""),6.0)</f>
        <v>6</v>
      </c>
      <c r="V251" s="1" t="str">
        <f>IFERROR(__xludf.DUMMYFUNCTION("""COMPUTED_VALUE"""),"P0928 Doctor En Filosofía")</f>
        <v>P0928 Doctor En Filosofía</v>
      </c>
      <c r="W251" s="1">
        <f>IFERROR(__xludf.DUMMYFUNCTION("""COMPUTED_VALUE"""),28986.0)</f>
        <v>28986</v>
      </c>
      <c r="X251" s="1" t="str">
        <f>IFERROR(__xludf.DUMMYFUNCTION("""COMPUTED_VALUE"""),"Universidad De Chile")</f>
        <v>Universidad De Chile</v>
      </c>
      <c r="Y251" s="1" t="str">
        <f>IFERROR(__xludf.DUMMYFUNCTION("""COMPUTED_VALUE"""),"CHILE")</f>
        <v>CHILE</v>
      </c>
      <c r="Z251" s="1" t="str">
        <f>IFERROR(__xludf.DUMMYFUNCTION("""COMPUTED_VALUE"""),"T5100 Profesor De Fisica")</f>
        <v>T5100 Profesor De Fisica</v>
      </c>
    </row>
    <row r="252">
      <c r="A252" s="1" t="str">
        <f>IFERROR(__xludf.DUMMYFUNCTION("""COMPUTED_VALUE"""),"12090701 Departamento de Psicología")</f>
        <v>12090701 Departamento de Psicología</v>
      </c>
      <c r="B252" s="1" t="str">
        <f>IFERROR(__xludf.DUMMYFUNCTION("""COMPUTED_VALUE"""),"A4A001 ACADEMICO  INSTRUCTOR")</f>
        <v>A4A001 ACADEMICO  INSTRUCTOR</v>
      </c>
      <c r="C252" s="1" t="str">
        <f>IFERROR(__xludf.DUMMYFUNCTION("""COMPUTED_VALUE"""),"Instructor")</f>
        <v>Instructor</v>
      </c>
      <c r="D252" s="1" t="str">
        <f>IFERROR(__xludf.DUMMYFUNCTION("""COMPUTED_VALUE"""),"A4A Instructor")</f>
        <v>A4A Instructor</v>
      </c>
      <c r="E252" s="1" t="str">
        <f>IFERROR(__xludf.DUMMYFUNCTION("""COMPUTED_VALUE"""),"Masculino")</f>
        <v>Masculino</v>
      </c>
      <c r="F252" s="1" t="str">
        <f>IFERROR(__xludf.DUMMYFUNCTION("""COMPUTED_VALUE"""),"Pérez")</f>
        <v>Pérez</v>
      </c>
      <c r="G252" s="1" t="str">
        <f>IFERROR(__xludf.DUMMYFUNCTION("""COMPUTED_VALUE"""),"Soto")</f>
        <v>Soto</v>
      </c>
      <c r="H252" s="1" t="str">
        <f>IFERROR(__xludf.DUMMYFUNCTION("""COMPUTED_VALUE"""),"Carlos Aurelio")</f>
        <v>Carlos Aurelio</v>
      </c>
      <c r="I252" s="1" t="str">
        <f>IFERROR(__xludf.DUMMYFUNCTION("""COMPUTED_VALUE"""),"Pérez Soto Carlos Aurelio")</f>
        <v>Pérez Soto Carlos Aurelio</v>
      </c>
      <c r="J252" s="10">
        <f>IFERROR(__xludf.DUMMYFUNCTION("""COMPUTED_VALUE"""),37653.0)</f>
        <v>37653</v>
      </c>
      <c r="K252" s="10">
        <f>IFERROR(__xludf.DUMMYFUNCTION("""COMPUTED_VALUE"""),20003.0)</f>
        <v>20003</v>
      </c>
      <c r="L252" s="1">
        <f>IFERROR(__xludf.DUMMYFUNCTION("""COMPUTED_VALUE"""),69.0)</f>
        <v>69</v>
      </c>
      <c r="M252" s="1" t="str">
        <f>IFERROR(__xludf.DUMMYFUNCTION("""COMPUTED_VALUE"""),"0002 Soltero")</f>
        <v>0002 Soltero</v>
      </c>
      <c r="N252" s="1" t="str">
        <f>IFERROR(__xludf.DUMMYFUNCTION("""COMPUTED_VALUE"""),"N0040 Profesional Superior")</f>
        <v>N0040 Profesional Superior</v>
      </c>
      <c r="O252" s="10">
        <f>IFERROR(__xludf.DUMMYFUNCTION("""COMPUTED_VALUE"""),35431.0)</f>
        <v>35431</v>
      </c>
      <c r="P252" s="10">
        <f>IFERROR(__xludf.DUMMYFUNCTION("""COMPUTED_VALUE"""),35489.0)</f>
        <v>35489</v>
      </c>
      <c r="Q252" s="1" t="str">
        <f>IFERROR(__xludf.DUMMYFUNCTION("""COMPUTED_VALUE"""),"C Contrata")</f>
        <v>C Contrata</v>
      </c>
      <c r="R252" s="1" t="str">
        <f>IFERROR(__xludf.DUMMYFUNCTION("""COMPUTED_VALUE"""),"A Académico")</f>
        <v>A Académico</v>
      </c>
      <c r="S252" s="9" t="str">
        <f>IFERROR(__xludf.DUMMYFUNCTION("""COMPUTED_VALUE"""),"68770254")</f>
        <v>68770254</v>
      </c>
      <c r="T252" s="1" t="str">
        <f>IFERROR(__xludf.DUMMYFUNCTION("""COMPUTED_VALUE"""),"0068770254")</f>
        <v>0068770254</v>
      </c>
      <c r="U252" s="1">
        <f>IFERROR(__xludf.DUMMYFUNCTION("""COMPUTED_VALUE"""),6.0)</f>
        <v>6</v>
      </c>
      <c r="V252" s="1" t="str">
        <f>IFERROR(__xludf.DUMMYFUNCTION("""COMPUTED_VALUE"""),"P0928 Doctor En Filosofía")</f>
        <v>P0928 Doctor En Filosofía</v>
      </c>
      <c r="W252" s="1">
        <f>IFERROR(__xludf.DUMMYFUNCTION("""COMPUTED_VALUE"""),28986.0)</f>
        <v>28986</v>
      </c>
      <c r="X252" s="1" t="str">
        <f>IFERROR(__xludf.DUMMYFUNCTION("""COMPUTED_VALUE"""),"Universidad De Chile")</f>
        <v>Universidad De Chile</v>
      </c>
      <c r="Y252" s="1" t="str">
        <f>IFERROR(__xludf.DUMMYFUNCTION("""COMPUTED_VALUE"""),"CHILE")</f>
        <v>CHILE</v>
      </c>
      <c r="Z252" s="1" t="str">
        <f>IFERROR(__xludf.DUMMYFUNCTION("""COMPUTED_VALUE"""),"T5100 Profesor De Fisica")</f>
        <v>T5100 Profesor De Fisica</v>
      </c>
    </row>
    <row r="253" hidden="1">
      <c r="A253" s="1" t="str">
        <f>IFERROR(__xludf.DUMMYFUNCTION("""COMPUTED_VALUE"""),"12090701 Departamento de Psicología")</f>
        <v>12090701 Departamento de Psicología</v>
      </c>
      <c r="B253" s="1" t="str">
        <f>IFERROR(__xludf.DUMMYFUNCTION("""COMPUTED_VALUE"""),"A2A001 Académico Prof. Asociado")</f>
        <v>A2A001 Académico Prof. Asociado</v>
      </c>
      <c r="C253" s="1" t="str">
        <f>IFERROR(__xludf.DUMMYFUNCTION("""COMPUTED_VALUE"""),"Prof. Asociado - Categ. Academica Ord.")</f>
        <v>Prof. Asociado - Categ. Academica Ord.</v>
      </c>
      <c r="D253" s="1" t="str">
        <f>IFERROR(__xludf.DUMMYFUNCTION("""COMPUTED_VALUE"""),"A2A Prof. Asociado - Categ. Academica Ord.")</f>
        <v>A2A Prof. Asociado - Categ. Academica Ord.</v>
      </c>
      <c r="E253" s="1" t="str">
        <f>IFERROR(__xludf.DUMMYFUNCTION("""COMPUTED_VALUE"""),"Femenino")</f>
        <v>Femenino</v>
      </c>
      <c r="F253" s="1" t="str">
        <f>IFERROR(__xludf.DUMMYFUNCTION("""COMPUTED_VALUE"""),"Pinto")</f>
        <v>Pinto</v>
      </c>
      <c r="G253" s="1" t="str">
        <f>IFERROR(__xludf.DUMMYFUNCTION("""COMPUTED_VALUE"""),"Lavín")</f>
        <v>Lavín</v>
      </c>
      <c r="H253" s="1" t="str">
        <f>IFERROR(__xludf.DUMMYFUNCTION("""COMPUTED_VALUE"""),"Luz María Gloria")</f>
        <v>Luz María Gloria</v>
      </c>
      <c r="I253" s="1" t="str">
        <f>IFERROR(__xludf.DUMMYFUNCTION("""COMPUTED_VALUE"""),"Pinto Lavín Luz María Gloria")</f>
        <v>Pinto Lavín Luz María Gloria</v>
      </c>
      <c r="J253" s="10">
        <f>IFERROR(__xludf.DUMMYFUNCTION("""COMPUTED_VALUE"""),38047.0)</f>
        <v>38047</v>
      </c>
      <c r="K253" s="10">
        <f>IFERROR(__xludf.DUMMYFUNCTION("""COMPUTED_VALUE"""),14670.0)</f>
        <v>14670</v>
      </c>
      <c r="L253" s="1">
        <f>IFERROR(__xludf.DUMMYFUNCTION("""COMPUTED_VALUE"""),83.0)</f>
        <v>83</v>
      </c>
      <c r="M253" s="1" t="str">
        <f>IFERROR(__xludf.DUMMYFUNCTION("""COMPUTED_VALUE"""),"0003 Viudo")</f>
        <v>0003 Viudo</v>
      </c>
      <c r="N253" s="1"/>
      <c r="O253" s="10">
        <f>IFERROR(__xludf.DUMMYFUNCTION("""COMPUTED_VALUE"""),38565.0)</f>
        <v>38565</v>
      </c>
      <c r="P253" s="10">
        <f>IFERROR(__xludf.DUMMYFUNCTION("""COMPUTED_VALUE"""),38717.0)</f>
        <v>38717</v>
      </c>
      <c r="Q253" s="1" t="str">
        <f>IFERROR(__xludf.DUMMYFUNCTION("""COMPUTED_VALUE"""),"C Contrata")</f>
        <v>C Contrata</v>
      </c>
      <c r="R253" s="1" t="str">
        <f>IFERROR(__xludf.DUMMYFUNCTION("""COMPUTED_VALUE"""),"A Académico")</f>
        <v>A Académico</v>
      </c>
      <c r="S253" s="9" t="str">
        <f>IFERROR(__xludf.DUMMYFUNCTION("""COMPUTED_VALUE"""),"42850535")</f>
        <v>42850535</v>
      </c>
      <c r="T253" s="1" t="str">
        <f>IFERROR(__xludf.DUMMYFUNCTION("""COMPUTED_VALUE"""),"0042850535")</f>
        <v>0042850535</v>
      </c>
      <c r="U253" s="1">
        <f>IFERROR(__xludf.DUMMYFUNCTION("""COMPUTED_VALUE"""),6.0)</f>
        <v>6</v>
      </c>
      <c r="V253" s="1"/>
      <c r="W253" s="1"/>
      <c r="X253" s="1"/>
      <c r="Y253" s="1"/>
      <c r="Z253" s="1" t="str">
        <f>IFERROR(__xludf.DUMMYFUNCTION("""COMPUTED_VALUE"""),"T5124 Psicologo")</f>
        <v>T5124 Psicologo</v>
      </c>
    </row>
    <row r="254" hidden="1">
      <c r="A254" s="1" t="str">
        <f>IFERROR(__xludf.DUMMYFUNCTION("""COMPUTED_VALUE"""),"12090701 Departamento de Psicología")</f>
        <v>12090701 Departamento de Psicología</v>
      </c>
      <c r="B254" s="1" t="str">
        <f>IFERROR(__xludf.DUMMYFUNCTION("""COMPUTED_VALUE"""),"A1A001 Académico Prof. Titular")</f>
        <v>A1A001 Académico Prof. Titular</v>
      </c>
      <c r="C254" s="1" t="str">
        <f>IFERROR(__xludf.DUMMYFUNCTION("""COMPUTED_VALUE"""),"Prof.Titular - Categ. Academica Ord.")</f>
        <v>Prof.Titular - Categ. Academica Ord.</v>
      </c>
      <c r="D254" s="1" t="str">
        <f>IFERROR(__xludf.DUMMYFUNCTION("""COMPUTED_VALUE"""),"A1A Prof.Titular - Categ. Academica Ord.")</f>
        <v>A1A Prof.Titular - Categ. Academica Ord.</v>
      </c>
      <c r="E254" s="1" t="str">
        <f>IFERROR(__xludf.DUMMYFUNCTION("""COMPUTED_VALUE"""),"Femenino")</f>
        <v>Femenino</v>
      </c>
      <c r="F254" s="1" t="str">
        <f>IFERROR(__xludf.DUMMYFUNCTION("""COMPUTED_VALUE"""),"Pinto")</f>
        <v>Pinto</v>
      </c>
      <c r="G254" s="1" t="str">
        <f>IFERROR(__xludf.DUMMYFUNCTION("""COMPUTED_VALUE"""),"Santa-Cruz")</f>
        <v>Santa-Cruz</v>
      </c>
      <c r="H254" s="1" t="str">
        <f>IFERROR(__xludf.DUMMYFUNCTION("""COMPUTED_VALUE"""),"Teresa Vicenta")</f>
        <v>Teresa Vicenta</v>
      </c>
      <c r="I254" s="1" t="str">
        <f>IFERROR(__xludf.DUMMYFUNCTION("""COMPUTED_VALUE"""),"Pinto Santa-Cruz Teresa Vicenta")</f>
        <v>Pinto Santa-Cruz Teresa Vicenta</v>
      </c>
      <c r="J254" s="10">
        <f>IFERROR(__xludf.DUMMYFUNCTION("""COMPUTED_VALUE"""),18780.0)</f>
        <v>18780</v>
      </c>
      <c r="K254" s="10">
        <f>IFERROR(__xludf.DUMMYFUNCTION("""COMPUTED_VALUE"""),7766.0)</f>
        <v>7766</v>
      </c>
      <c r="L254" s="1">
        <f>IFERROR(__xludf.DUMMYFUNCTION("""COMPUTED_VALUE"""),102.0)</f>
        <v>102</v>
      </c>
      <c r="M254" s="1" t="str">
        <f>IFERROR(__xludf.DUMMYFUNCTION("""COMPUTED_VALUE"""),"0002 Soltero")</f>
        <v>0002 Soltero</v>
      </c>
      <c r="N254" s="1"/>
      <c r="O254" s="10">
        <f>IFERROR(__xludf.DUMMYFUNCTION("""COMPUTED_VALUE"""),33725.0)</f>
        <v>33725</v>
      </c>
      <c r="P254" s="10">
        <f>IFERROR(__xludf.DUMMYFUNCTION("""COMPUTED_VALUE"""),38107.0)</f>
        <v>38107</v>
      </c>
      <c r="Q254" s="1" t="str">
        <f>IFERROR(__xludf.DUMMYFUNCTION("""COMPUTED_VALUE"""),"P Propiedad")</f>
        <v>P Propiedad</v>
      </c>
      <c r="R254" s="1" t="str">
        <f>IFERROR(__xludf.DUMMYFUNCTION("""COMPUTED_VALUE"""),"A Académico")</f>
        <v>A Académico</v>
      </c>
      <c r="S254" s="9" t="str">
        <f>IFERROR(__xludf.DUMMYFUNCTION("""COMPUTED_VALUE"""),"12663986")</f>
        <v>12663986</v>
      </c>
      <c r="T254" s="1" t="str">
        <f>IFERROR(__xludf.DUMMYFUNCTION("""COMPUTED_VALUE"""),"0012663986")</f>
        <v>0012663986</v>
      </c>
      <c r="U254" s="1">
        <f>IFERROR(__xludf.DUMMYFUNCTION("""COMPUTED_VALUE"""),6.0)</f>
        <v>6</v>
      </c>
      <c r="V254" s="1" t="str">
        <f>IFERROR(__xludf.DUMMYFUNCTION("""COMPUTED_VALUE"""),"P0501 Con Titulo Profesional")</f>
        <v>P0501 Con Titulo Profesional</v>
      </c>
      <c r="W254" s="1">
        <f>IFERROR(__xludf.DUMMYFUNCTION("""COMPUTED_VALUE"""),27394.0)</f>
        <v>27394</v>
      </c>
      <c r="X254" s="1" t="str">
        <f>IFERROR(__xludf.DUMMYFUNCTION("""COMPUTED_VALUE"""),"Universidad De Chile")</f>
        <v>Universidad De Chile</v>
      </c>
      <c r="Y254" s="1" t="str">
        <f>IFERROR(__xludf.DUMMYFUNCTION("""COMPUTED_VALUE"""),"CHILE")</f>
        <v>CHILE</v>
      </c>
      <c r="Z254" s="1"/>
    </row>
    <row r="255">
      <c r="A255" s="1" t="str">
        <f>IFERROR(__xludf.DUMMYFUNCTION("""COMPUTED_VALUE"""),"12090117 Dpto. Educación (funcionamiento)")</f>
        <v>12090117 Dpto. Educación (funcionamiento)</v>
      </c>
      <c r="B255" s="1" t="str">
        <f>IFERROR(__xludf.DUMMYFUNCTION("""COMPUTED_VALUE"""),"A3B001 Académico Prof. Asistente")</f>
        <v>A3B001 Académico Prof. Asistente</v>
      </c>
      <c r="C255" s="1" t="str">
        <f>IFERROR(__xludf.DUMMYFUNCTION("""COMPUTED_VALUE"""),"Prof. Asistente - Categ. Academica Doc.")</f>
        <v>Prof. Asistente - Categ. Academica Doc.</v>
      </c>
      <c r="D255" s="1" t="str">
        <f>IFERROR(__xludf.DUMMYFUNCTION("""COMPUTED_VALUE"""),"A3B Prof. Asistente - Categ. Academica Doc.")</f>
        <v>A3B Prof. Asistente - Categ. Academica Doc.</v>
      </c>
      <c r="E255" s="1" t="str">
        <f>IFERROR(__xludf.DUMMYFUNCTION("""COMPUTED_VALUE"""),"Femenino")</f>
        <v>Femenino</v>
      </c>
      <c r="F255" s="1" t="str">
        <f>IFERROR(__xludf.DUMMYFUNCTION("""COMPUTED_VALUE"""),"Pizarro")</f>
        <v>Pizarro</v>
      </c>
      <c r="G255" s="1" t="str">
        <f>IFERROR(__xludf.DUMMYFUNCTION("""COMPUTED_VALUE"""),"Laborda")</f>
        <v>Laborda</v>
      </c>
      <c r="H255" s="1" t="str">
        <f>IFERROR(__xludf.DUMMYFUNCTION("""COMPUTED_VALUE"""),"Paulina Alejandra")</f>
        <v>Paulina Alejandra</v>
      </c>
      <c r="I255" s="1" t="str">
        <f>IFERROR(__xludf.DUMMYFUNCTION("""COMPUTED_VALUE"""),"Pizarro Laborda Paulina Alejandra")</f>
        <v>Pizarro Laborda Paulina Alejandra</v>
      </c>
      <c r="J255" s="10">
        <f>IFERROR(__xludf.DUMMYFUNCTION("""COMPUTED_VALUE"""),43374.0)</f>
        <v>43374</v>
      </c>
      <c r="K255" s="10">
        <f>IFERROR(__xludf.DUMMYFUNCTION("""COMPUTED_VALUE"""),29401.0)</f>
        <v>29401</v>
      </c>
      <c r="L255" s="1">
        <f>IFERROR(__xludf.DUMMYFUNCTION("""COMPUTED_VALUE"""),43.0)</f>
        <v>43</v>
      </c>
      <c r="M255" s="1" t="str">
        <f>IFERROR(__xludf.DUMMYFUNCTION("""COMPUTED_VALUE"""),"0001 Casado")</f>
        <v>0001 Casado</v>
      </c>
      <c r="N255" s="1"/>
      <c r="O255" s="10">
        <f>IFERROR(__xludf.DUMMYFUNCTION("""COMPUTED_VALUE"""),43466.0)</f>
        <v>43466</v>
      </c>
      <c r="P255" s="10">
        <f>IFERROR(__xludf.DUMMYFUNCTION("""COMPUTED_VALUE"""),43585.0)</f>
        <v>43585</v>
      </c>
      <c r="Q255" s="1" t="str">
        <f>IFERROR(__xludf.DUMMYFUNCTION("""COMPUTED_VALUE"""),"C Contrata")</f>
        <v>C Contrata</v>
      </c>
      <c r="R255" s="1" t="str">
        <f>IFERROR(__xludf.DUMMYFUNCTION("""COMPUTED_VALUE"""),"A Académico")</f>
        <v>A Académico</v>
      </c>
      <c r="S255" s="9" t="str">
        <f>IFERROR(__xludf.DUMMYFUNCTION("""COMPUTED_VALUE"""),"139230523")</f>
        <v>139230523</v>
      </c>
      <c r="T255" s="1" t="str">
        <f>IFERROR(__xludf.DUMMYFUNCTION("""COMPUTED_VALUE"""),"0139230523")</f>
        <v>0139230523</v>
      </c>
      <c r="U255" s="1">
        <f>IFERROR(__xludf.DUMMYFUNCTION("""COMPUTED_VALUE"""),44.0)</f>
        <v>44</v>
      </c>
      <c r="V255" s="1" t="str">
        <f>IFERROR(__xludf.DUMMYFUNCTION("""COMPUTED_VALUE"""),"P0900 Doctor")</f>
        <v>P0900 Doctor</v>
      </c>
      <c r="W255" s="1">
        <f>IFERROR(__xludf.DUMMYFUNCTION("""COMPUTED_VALUE"""),43070.0)</f>
        <v>43070</v>
      </c>
      <c r="X255" s="1" t="str">
        <f>IFERROR(__xludf.DUMMYFUNCTION("""COMPUTED_VALUE"""),"Pontificia Universidad Catolica De Chile")</f>
        <v>Pontificia Universidad Catolica De Chile</v>
      </c>
      <c r="Y255" s="1" t="str">
        <f>IFERROR(__xludf.DUMMYFUNCTION("""COMPUTED_VALUE"""),"CHILE")</f>
        <v>CHILE</v>
      </c>
      <c r="Z255" s="1" t="str">
        <f>IFERROR(__xludf.DUMMYFUNCTION("""COMPUTED_VALUE"""),"T5020 Educadora De Parvulos")</f>
        <v>T5020 Educadora De Parvulos</v>
      </c>
    </row>
    <row r="256" hidden="1">
      <c r="A256" s="1" t="str">
        <f>IFERROR(__xludf.DUMMYFUNCTION("""COMPUTED_VALUE"""),"12090601 Departamento de Educación")</f>
        <v>12090601 Departamento de Educación</v>
      </c>
      <c r="B256" s="1" t="str">
        <f>IFERROR(__xludf.DUMMYFUNCTION("""COMPUTED_VALUE"""),"A1A001 Académico Prof. Titular")</f>
        <v>A1A001 Académico Prof. Titular</v>
      </c>
      <c r="C256" s="1" t="str">
        <f>IFERROR(__xludf.DUMMYFUNCTION("""COMPUTED_VALUE"""),"Prof.Titular - Categ. Academica Ord.")</f>
        <v>Prof.Titular - Categ. Academica Ord.</v>
      </c>
      <c r="D256" s="1" t="str">
        <f>IFERROR(__xludf.DUMMYFUNCTION("""COMPUTED_VALUE"""),"A1A Prof.Titular - Categ. Academica Ord.")</f>
        <v>A1A Prof.Titular - Categ. Academica Ord.</v>
      </c>
      <c r="E256" s="1" t="str">
        <f>IFERROR(__xludf.DUMMYFUNCTION("""COMPUTED_VALUE"""),"Masculino")</f>
        <v>Masculino</v>
      </c>
      <c r="F256" s="1" t="str">
        <f>IFERROR(__xludf.DUMMYFUNCTION("""COMPUTED_VALUE"""),"Pizarro")</f>
        <v>Pizarro</v>
      </c>
      <c r="G256" s="1" t="str">
        <f>IFERROR(__xludf.DUMMYFUNCTION("""COMPUTED_VALUE"""),"Pizarro")</f>
        <v>Pizarro</v>
      </c>
      <c r="H256" s="1" t="str">
        <f>IFERROR(__xludf.DUMMYFUNCTION("""COMPUTED_VALUE"""),"Marino Aliro")</f>
        <v>Marino Aliro</v>
      </c>
      <c r="I256" s="1" t="str">
        <f>IFERROR(__xludf.DUMMYFUNCTION("""COMPUTED_VALUE"""),"Pizarro Pizarro Marino Aliro")</f>
        <v>Pizarro Pizarro Marino Aliro</v>
      </c>
      <c r="J256" s="10">
        <f>IFERROR(__xludf.DUMMYFUNCTION("""COMPUTED_VALUE"""),17258.0)</f>
        <v>17258</v>
      </c>
      <c r="K256" s="10">
        <f>IFERROR(__xludf.DUMMYFUNCTION("""COMPUTED_VALUE"""),8215.0)</f>
        <v>8215</v>
      </c>
      <c r="L256" s="1">
        <f>IFERROR(__xludf.DUMMYFUNCTION("""COMPUTED_VALUE"""),101.0)</f>
        <v>101</v>
      </c>
      <c r="M256" s="1" t="str">
        <f>IFERROR(__xludf.DUMMYFUNCTION("""COMPUTED_VALUE"""),"0001 Casado")</f>
        <v>0001 Casado</v>
      </c>
      <c r="N256" s="1"/>
      <c r="O256" s="10">
        <f>IFERROR(__xludf.DUMMYFUNCTION("""COMPUTED_VALUE"""),36892.0)</f>
        <v>36892</v>
      </c>
      <c r="P256" s="10">
        <f>IFERROR(__xludf.DUMMYFUNCTION("""COMPUTED_VALUE"""),41891.0)</f>
        <v>41891</v>
      </c>
      <c r="Q256" s="1" t="str">
        <f>IFERROR(__xludf.DUMMYFUNCTION("""COMPUTED_VALUE"""),"A Ad Honorem Propiedad")</f>
        <v>A Ad Honorem Propiedad</v>
      </c>
      <c r="R256" s="1" t="str">
        <f>IFERROR(__xludf.DUMMYFUNCTION("""COMPUTED_VALUE"""),"A Académico")</f>
        <v>A Académico</v>
      </c>
      <c r="S256" s="9" t="str">
        <f>IFERROR(__xludf.DUMMYFUNCTION("""COMPUTED_VALUE"""),"18680491")</f>
        <v>18680491</v>
      </c>
      <c r="T256" s="1" t="str">
        <f>IFERROR(__xludf.DUMMYFUNCTION("""COMPUTED_VALUE"""),"0018680491")</f>
        <v>0018680491</v>
      </c>
      <c r="U256" s="1">
        <f>IFERROR(__xludf.DUMMYFUNCTION("""COMPUTED_VALUE"""),6.0)</f>
        <v>6</v>
      </c>
      <c r="V256" s="1" t="str">
        <f>IFERROR(__xludf.DUMMYFUNCTION("""COMPUTED_VALUE"""),"P0900 Doctor")</f>
        <v>P0900 Doctor</v>
      </c>
      <c r="W256" s="1">
        <f>IFERROR(__xludf.DUMMYFUNCTION("""COMPUTED_VALUE"""),18994.0)</f>
        <v>18994</v>
      </c>
      <c r="X256" s="1" t="str">
        <f>IFERROR(__xludf.DUMMYFUNCTION("""COMPUTED_VALUE"""),"Universidad De Chile")</f>
        <v>Universidad De Chile</v>
      </c>
      <c r="Y256" s="1" t="str">
        <f>IFERROR(__xludf.DUMMYFUNCTION("""COMPUTED_VALUE"""),"CHILE")</f>
        <v>CHILE</v>
      </c>
      <c r="Z256" s="1" t="str">
        <f>IFERROR(__xludf.DUMMYFUNCTION("""COMPUTED_VALUE"""),"T5084 Profesor De Estado")</f>
        <v>T5084 Profesor De Estado</v>
      </c>
    </row>
    <row r="257" hidden="1">
      <c r="A257" s="1" t="str">
        <f>IFERROR(__xludf.DUMMYFUNCTION("""COMPUTED_VALUE"""),"12090701 Departamento de Psicología")</f>
        <v>12090701 Departamento de Psicología</v>
      </c>
      <c r="B257" s="1" t="str">
        <f>IFERROR(__xludf.DUMMYFUNCTION("""COMPUTED_VALUE"""),"A2A001 Académico Prof. Asociado")</f>
        <v>A2A001 Académico Prof. Asociado</v>
      </c>
      <c r="C257" s="1" t="str">
        <f>IFERROR(__xludf.DUMMYFUNCTION("""COMPUTED_VALUE"""),"Prof. Asociado - Categ. Academica Ord.")</f>
        <v>Prof. Asociado - Categ. Academica Ord.</v>
      </c>
      <c r="D257" s="1" t="str">
        <f>IFERROR(__xludf.DUMMYFUNCTION("""COMPUTED_VALUE"""),"A2A Prof. Asociado - Categ. Academica Ord.")</f>
        <v>A2A Prof. Asociado - Categ. Academica Ord.</v>
      </c>
      <c r="E257" s="1" t="str">
        <f>IFERROR(__xludf.DUMMYFUNCTION("""COMPUTED_VALUE"""),"Masculino")</f>
        <v>Masculino</v>
      </c>
      <c r="F257" s="1" t="str">
        <f>IFERROR(__xludf.DUMMYFUNCTION("""COMPUTED_VALUE"""),"Pizarro")</f>
        <v>Pizarro</v>
      </c>
      <c r="G257" s="1" t="str">
        <f>IFERROR(__xludf.DUMMYFUNCTION("""COMPUTED_VALUE"""),"Sánchez")</f>
        <v>Sánchez</v>
      </c>
      <c r="H257" s="1" t="str">
        <f>IFERROR(__xludf.DUMMYFUNCTION("""COMPUTED_VALUE"""),"Raúl Jesús Enrique")</f>
        <v>Raúl Jesús Enrique</v>
      </c>
      <c r="I257" s="1" t="str">
        <f>IFERROR(__xludf.DUMMYFUNCTION("""COMPUTED_VALUE"""),"Pizarro Sánchez Raúl Jesús Enrique")</f>
        <v>Pizarro Sánchez Raúl Jesús Enrique</v>
      </c>
      <c r="J257" s="10">
        <f>IFERROR(__xludf.DUMMYFUNCTION("""COMPUTED_VALUE"""),35278.0)</f>
        <v>35278</v>
      </c>
      <c r="K257" s="10">
        <f>IFERROR(__xludf.DUMMYFUNCTION("""COMPUTED_VALUE"""),18751.0)</f>
        <v>18751</v>
      </c>
      <c r="L257" s="1">
        <f>IFERROR(__xludf.DUMMYFUNCTION("""COMPUTED_VALUE"""),72.0)</f>
        <v>72</v>
      </c>
      <c r="M257" s="1" t="str">
        <f>IFERROR(__xludf.DUMMYFUNCTION("""COMPUTED_VALUE"""),"0001 Casado")</f>
        <v>0001 Casado</v>
      </c>
      <c r="N257" s="1"/>
      <c r="O257" s="10">
        <f>IFERROR(__xludf.DUMMYFUNCTION("""COMPUTED_VALUE"""),35278.0)</f>
        <v>35278</v>
      </c>
      <c r="P257" s="10">
        <f>IFERROR(__xludf.DUMMYFUNCTION("""COMPUTED_VALUE"""),38672.0)</f>
        <v>38672</v>
      </c>
      <c r="Q257" s="1" t="str">
        <f>IFERROR(__xludf.DUMMYFUNCTION("""COMPUTED_VALUE"""),"P Propiedad")</f>
        <v>P Propiedad</v>
      </c>
      <c r="R257" s="1" t="str">
        <f>IFERROR(__xludf.DUMMYFUNCTION("""COMPUTED_VALUE"""),"A Académico")</f>
        <v>A Académico</v>
      </c>
      <c r="S257" s="9" t="str">
        <f>IFERROR(__xludf.DUMMYFUNCTION("""COMPUTED_VALUE"""),"61012281")</f>
        <v>61012281</v>
      </c>
      <c r="T257" s="1" t="str">
        <f>IFERROR(__xludf.DUMMYFUNCTION("""COMPUTED_VALUE"""),"0061012281")</f>
        <v>0061012281</v>
      </c>
      <c r="U257" s="1">
        <f>IFERROR(__xludf.DUMMYFUNCTION("""COMPUTED_VALUE"""),12.0)</f>
        <v>12</v>
      </c>
      <c r="V257" s="1" t="str">
        <f>IFERROR(__xludf.DUMMYFUNCTION("""COMPUTED_VALUE"""),"P0900 Doctor")</f>
        <v>P0900 Doctor</v>
      </c>
      <c r="W257" s="1">
        <f>IFERROR(__xludf.DUMMYFUNCTION("""COMPUTED_VALUE"""),33603.0)</f>
        <v>33603</v>
      </c>
      <c r="X257" s="1" t="str">
        <f>IFERROR(__xludf.DUMMYFUNCTION("""COMPUTED_VALUE"""),"Universidad De Chicago")</f>
        <v>Universidad De Chicago</v>
      </c>
      <c r="Y257" s="1" t="str">
        <f>IFERROR(__xludf.DUMMYFUNCTION("""COMPUTED_VALUE"""),"ESTADOS UNIDOS")</f>
        <v>ESTADOS UNIDOS</v>
      </c>
      <c r="Z257" s="1"/>
    </row>
    <row r="258" hidden="1">
      <c r="A258" s="1" t="str">
        <f>IFERROR(__xludf.DUMMYFUNCTION("""COMPUTED_VALUE"""),"12090501 Departamento de Investigaciónes Mediáticas y de la Comunicación")</f>
        <v>12090501 Departamento de Investigaciónes Mediáticas y de la Comunicación</v>
      </c>
      <c r="B258" s="1" t="str">
        <f>IFERROR(__xludf.DUMMYFUNCTION("""COMPUTED_VALUE"""),"A3A001 Académico Prof. Asistente")</f>
        <v>A3A001 Académico Prof. Asistente</v>
      </c>
      <c r="C258" s="1" t="str">
        <f>IFERROR(__xludf.DUMMYFUNCTION("""COMPUTED_VALUE"""),"Prof. Asistente - Categ. Academica Ord.")</f>
        <v>Prof. Asistente - Categ. Academica Ord.</v>
      </c>
      <c r="D258" s="1" t="str">
        <f>IFERROR(__xludf.DUMMYFUNCTION("""COMPUTED_VALUE"""),"A3A Prof. Asistente - Categ. Academica Ord.")</f>
        <v>A3A Prof. Asistente - Categ. Academica Ord.</v>
      </c>
      <c r="E258" s="1" t="str">
        <f>IFERROR(__xludf.DUMMYFUNCTION("""COMPUTED_VALUE"""),"Masculino")</f>
        <v>Masculino</v>
      </c>
      <c r="F258" s="1" t="str">
        <f>IFERROR(__xludf.DUMMYFUNCTION("""COMPUTED_VALUE"""),"Poblete")</f>
        <v>Poblete</v>
      </c>
      <c r="G258" s="1" t="str">
        <f>IFERROR(__xludf.DUMMYFUNCTION("""COMPUTED_VALUE"""),"Zúñiga")</f>
        <v>Zúñiga</v>
      </c>
      <c r="H258" s="1" t="str">
        <f>IFERROR(__xludf.DUMMYFUNCTION("""COMPUTED_VALUE"""),"Patricio Fernando")</f>
        <v>Patricio Fernando</v>
      </c>
      <c r="I258" s="1" t="str">
        <f>IFERROR(__xludf.DUMMYFUNCTION("""COMPUTED_VALUE"""),"Poblete Zúñiga Patricio Fernando")</f>
        <v>Poblete Zúñiga Patricio Fernando</v>
      </c>
      <c r="J258" s="10">
        <f>IFERROR(__xludf.DUMMYFUNCTION("""COMPUTED_VALUE"""),26390.0)</f>
        <v>26390</v>
      </c>
      <c r="K258" s="10">
        <f>IFERROR(__xludf.DUMMYFUNCTION("""COMPUTED_VALUE"""),17886.0)</f>
        <v>17886</v>
      </c>
      <c r="L258" s="1">
        <f>IFERROR(__xludf.DUMMYFUNCTION("""COMPUTED_VALUE"""),75.0)</f>
        <v>75</v>
      </c>
      <c r="M258" s="1" t="str">
        <f>IFERROR(__xludf.DUMMYFUNCTION("""COMPUTED_VALUE"""),"0001 Casado")</f>
        <v>0001 Casado</v>
      </c>
      <c r="N258" s="1"/>
      <c r="O258" s="10">
        <f>IFERROR(__xludf.DUMMYFUNCTION("""COMPUTED_VALUE"""),34335.0)</f>
        <v>34335</v>
      </c>
      <c r="P258" s="10">
        <f>IFERROR(__xludf.DUMMYFUNCTION("""COMPUTED_VALUE"""),34699.0)</f>
        <v>34699</v>
      </c>
      <c r="Q258" s="1" t="str">
        <f>IFERROR(__xludf.DUMMYFUNCTION("""COMPUTED_VALUE"""),"C Contrata")</f>
        <v>C Contrata</v>
      </c>
      <c r="R258" s="1" t="str">
        <f>IFERROR(__xludf.DUMMYFUNCTION("""COMPUTED_VALUE"""),"A Académico")</f>
        <v>A Académico</v>
      </c>
      <c r="S258" s="9" t="str">
        <f>IFERROR(__xludf.DUMMYFUNCTION("""COMPUTED_VALUE"""),"48962475")</f>
        <v>48962475</v>
      </c>
      <c r="T258" s="1" t="str">
        <f>IFERROR(__xludf.DUMMYFUNCTION("""COMPUTED_VALUE"""),"0048962475")</f>
        <v>0048962475</v>
      </c>
      <c r="U258" s="1">
        <f>IFERROR(__xludf.DUMMYFUNCTION("""COMPUTED_VALUE"""),4.0)</f>
        <v>4</v>
      </c>
      <c r="V258" s="1"/>
      <c r="W258" s="1"/>
      <c r="X258" s="1"/>
      <c r="Y258" s="1"/>
      <c r="Z258" s="1"/>
    </row>
    <row r="259" hidden="1">
      <c r="A259" s="1" t="str">
        <f>IFERROR(__xludf.DUMMYFUNCTION("""COMPUTED_VALUE"""),"12090501 Departamento de Investigaciónes Mediáticas y de la Comunicación")</f>
        <v>12090501 Departamento de Investigaciónes Mediáticas y de la Comunicación</v>
      </c>
      <c r="B259" s="1" t="str">
        <f>IFERROR(__xludf.DUMMYFUNCTION("""COMPUTED_VALUE"""),"A7A001 ACADEMICO PROF. ADJUNTO")</f>
        <v>A7A001 ACADEMICO PROF. ADJUNTO</v>
      </c>
      <c r="C259" s="1" t="str">
        <f>IFERROR(__xludf.DUMMYFUNCTION("""COMPUTED_VALUE"""),"Prof. Adjunto")</f>
        <v>Prof. Adjunto</v>
      </c>
      <c r="D259" s="1" t="str">
        <f>IFERROR(__xludf.DUMMYFUNCTION("""COMPUTED_VALUE"""),"A7A Prof. Adjunto")</f>
        <v>A7A Prof. Adjunto</v>
      </c>
      <c r="E259" s="1" t="str">
        <f>IFERROR(__xludf.DUMMYFUNCTION("""COMPUTED_VALUE"""),"Femenino")</f>
        <v>Femenino</v>
      </c>
      <c r="F259" s="1" t="str">
        <f>IFERROR(__xludf.DUMMYFUNCTION("""COMPUTED_VALUE"""),"Politzer")</f>
        <v>Politzer</v>
      </c>
      <c r="G259" s="1" t="str">
        <f>IFERROR(__xludf.DUMMYFUNCTION("""COMPUTED_VALUE"""),"Kerekes")</f>
        <v>Kerekes</v>
      </c>
      <c r="H259" s="1" t="str">
        <f>IFERROR(__xludf.DUMMYFUNCTION("""COMPUTED_VALUE"""),"Patricia Rosa")</f>
        <v>Patricia Rosa</v>
      </c>
      <c r="I259" s="1" t="str">
        <f>IFERROR(__xludf.DUMMYFUNCTION("""COMPUTED_VALUE"""),"Politzer Kerekes Patricia Rosa")</f>
        <v>Politzer Kerekes Patricia Rosa</v>
      </c>
      <c r="J259" s="10">
        <f>IFERROR(__xludf.DUMMYFUNCTION("""COMPUTED_VALUE"""),36039.0)</f>
        <v>36039</v>
      </c>
      <c r="K259" s="10">
        <f>IFERROR(__xludf.DUMMYFUNCTION("""COMPUTED_VALUE"""),19052.0)</f>
        <v>19052</v>
      </c>
      <c r="L259" s="1">
        <f>IFERROR(__xludf.DUMMYFUNCTION("""COMPUTED_VALUE"""),71.0)</f>
        <v>71</v>
      </c>
      <c r="M259" s="1" t="str">
        <f>IFERROR(__xludf.DUMMYFUNCTION("""COMPUTED_VALUE"""),"0001 Casado")</f>
        <v>0001 Casado</v>
      </c>
      <c r="N259" s="1" t="str">
        <f>IFERROR(__xludf.DUMMYFUNCTION("""COMPUTED_VALUE"""),"N0040 Profesional Superior")</f>
        <v>N0040 Profesional Superior</v>
      </c>
      <c r="O259" s="10">
        <f>IFERROR(__xludf.DUMMYFUNCTION("""COMPUTED_VALUE"""),36526.0)</f>
        <v>36526</v>
      </c>
      <c r="P259" s="10">
        <f>IFERROR(__xludf.DUMMYFUNCTION("""COMPUTED_VALUE"""),36584.0)</f>
        <v>36584</v>
      </c>
      <c r="Q259" s="1" t="str">
        <f>IFERROR(__xludf.DUMMYFUNCTION("""COMPUTED_VALUE"""),"C Contrata")</f>
        <v>C Contrata</v>
      </c>
      <c r="R259" s="1" t="str">
        <f>IFERROR(__xludf.DUMMYFUNCTION("""COMPUTED_VALUE"""),"A Académico")</f>
        <v>A Académico</v>
      </c>
      <c r="S259" s="9" t="str">
        <f>IFERROR(__xludf.DUMMYFUNCTION("""COMPUTED_VALUE"""),"60684952")</f>
        <v>60684952</v>
      </c>
      <c r="T259" s="1" t="str">
        <f>IFERROR(__xludf.DUMMYFUNCTION("""COMPUTED_VALUE"""),"0060684952")</f>
        <v>0060684952</v>
      </c>
      <c r="U259" s="1">
        <f>IFERROR(__xludf.DUMMYFUNCTION("""COMPUTED_VALUE"""),12.0)</f>
        <v>12</v>
      </c>
      <c r="V259" s="1"/>
      <c r="W259" s="1"/>
      <c r="X259" s="1"/>
      <c r="Y259" s="1"/>
      <c r="Z259" s="1" t="str">
        <f>IFERROR(__xludf.DUMMYFUNCTION("""COMPUTED_VALUE"""),"T5074 Periodista")</f>
        <v>T5074 Periodista</v>
      </c>
    </row>
    <row r="260">
      <c r="A260" s="1" t="str">
        <f>IFERROR(__xludf.DUMMYFUNCTION("""COMPUTED_VALUE"""),"12090118 Dpto. de  Psicología (funcionamiento)")</f>
        <v>12090118 Dpto. de  Psicología (funcionamiento)</v>
      </c>
      <c r="B260" s="1" t="str">
        <f>IFERROR(__xludf.DUMMYFUNCTION("""COMPUTED_VALUE"""),"A3B001 Académico Prof. Asistente")</f>
        <v>A3B001 Académico Prof. Asistente</v>
      </c>
      <c r="C260" s="1" t="str">
        <f>IFERROR(__xludf.DUMMYFUNCTION("""COMPUTED_VALUE"""),"Prof. Asistente - Categ. Academica Doc.")</f>
        <v>Prof. Asistente - Categ. Academica Doc.</v>
      </c>
      <c r="D260" s="1" t="str">
        <f>IFERROR(__xludf.DUMMYFUNCTION("""COMPUTED_VALUE"""),"A3B Prof. Asistente - Categ. Academica Doc.")</f>
        <v>A3B Prof. Asistente - Categ. Academica Doc.</v>
      </c>
      <c r="E260" s="1" t="str">
        <f>IFERROR(__xludf.DUMMYFUNCTION("""COMPUTED_VALUE"""),"Femenino")</f>
        <v>Femenino</v>
      </c>
      <c r="F260" s="1" t="str">
        <f>IFERROR(__xludf.DUMMYFUNCTION("""COMPUTED_VALUE"""),"Porre")</f>
        <v>Porre</v>
      </c>
      <c r="G260" s="1" t="str">
        <f>IFERROR(__xludf.DUMMYFUNCTION("""COMPUTED_VALUE"""),"Ibacache")</f>
        <v>Ibacache</v>
      </c>
      <c r="H260" s="1" t="str">
        <f>IFERROR(__xludf.DUMMYFUNCTION("""COMPUTED_VALUE"""),"Madeleine Marie")</f>
        <v>Madeleine Marie</v>
      </c>
      <c r="I260" s="1" t="str">
        <f>IFERROR(__xludf.DUMMYFUNCTION("""COMPUTED_VALUE"""),"Porre Ibacache Madeleine Marie")</f>
        <v>Porre Ibacache Madeleine Marie</v>
      </c>
      <c r="J260" s="10">
        <f>IFERROR(__xludf.DUMMYFUNCTION("""COMPUTED_VALUE"""),39919.0)</f>
        <v>39919</v>
      </c>
      <c r="K260" s="10">
        <f>IFERROR(__xludf.DUMMYFUNCTION("""COMPUTED_VALUE"""),30058.0)</f>
        <v>30058</v>
      </c>
      <c r="L260" s="1">
        <f>IFERROR(__xludf.DUMMYFUNCTION("""COMPUTED_VALUE"""),41.0)</f>
        <v>41</v>
      </c>
      <c r="M260" s="1" t="str">
        <f>IFERROR(__xludf.DUMMYFUNCTION("""COMPUTED_VALUE"""),"0005 Divorciado")</f>
        <v>0005 Divorciado</v>
      </c>
      <c r="N260" s="1"/>
      <c r="O260" s="10">
        <f>IFERROR(__xludf.DUMMYFUNCTION("""COMPUTED_VALUE"""),43466.0)</f>
        <v>43466</v>
      </c>
      <c r="P260" s="10">
        <f>IFERROR(__xludf.DUMMYFUNCTION("""COMPUTED_VALUE"""),43524.0)</f>
        <v>43524</v>
      </c>
      <c r="Q260" s="1" t="str">
        <f>IFERROR(__xludf.DUMMYFUNCTION("""COMPUTED_VALUE"""),"C Contrata")</f>
        <v>C Contrata</v>
      </c>
      <c r="R260" s="1" t="str">
        <f>IFERROR(__xludf.DUMMYFUNCTION("""COMPUTED_VALUE"""),"A Académico")</f>
        <v>A Académico</v>
      </c>
      <c r="S260" s="9" t="str">
        <f>IFERROR(__xludf.DUMMYFUNCTION("""COMPUTED_VALUE"""),"153364575")</f>
        <v>153364575</v>
      </c>
      <c r="T260" s="1" t="str">
        <f>IFERROR(__xludf.DUMMYFUNCTION("""COMPUTED_VALUE"""),"0153364575")</f>
        <v>0153364575</v>
      </c>
      <c r="U260" s="1">
        <f>IFERROR(__xludf.DUMMYFUNCTION("""COMPUTED_VALUE"""),18.0)</f>
        <v>18</v>
      </c>
      <c r="V260" s="1" t="str">
        <f>IFERROR(__xludf.DUMMYFUNCTION("""COMPUTED_VALUE"""),"P0800 Magíster")</f>
        <v>P0800 Magíster</v>
      </c>
      <c r="W260" s="1">
        <f>IFERROR(__xludf.DUMMYFUNCTION("""COMPUTED_VALUE"""),41108.0)</f>
        <v>41108</v>
      </c>
      <c r="X260" s="1" t="str">
        <f>IFERROR(__xludf.DUMMYFUNCTION("""COMPUTED_VALUE"""),"Universidad Adolfo Ibañez")</f>
        <v>Universidad Adolfo Ibañez</v>
      </c>
      <c r="Y260" s="1" t="str">
        <f>IFERROR(__xludf.DUMMYFUNCTION("""COMPUTED_VALUE"""),"CHILE")</f>
        <v>CHILE</v>
      </c>
      <c r="Z260" s="1" t="str">
        <f>IFERROR(__xludf.DUMMYFUNCTION("""COMPUTED_VALUE"""),"T5124 Psicologo")</f>
        <v>T5124 Psicologo</v>
      </c>
    </row>
    <row r="261">
      <c r="A261" s="1" t="str">
        <f>IFERROR(__xludf.DUMMYFUNCTION("""COMPUTED_VALUE"""),"12090116 Dpto. de Antropología (funcionamiento)")</f>
        <v>12090116 Dpto. de Antropología (funcionamiento)</v>
      </c>
      <c r="B261" s="1" t="str">
        <f>IFERROR(__xludf.DUMMYFUNCTION("""COMPUTED_VALUE"""),"A3B001 Académico Prof. Asistente")</f>
        <v>A3B001 Académico Prof. Asistente</v>
      </c>
      <c r="C261" s="1" t="str">
        <f>IFERROR(__xludf.DUMMYFUNCTION("""COMPUTED_VALUE"""),"Prof. Asistente - Categ. Academica Doc.")</f>
        <v>Prof. Asistente - Categ. Academica Doc.</v>
      </c>
      <c r="D261" s="1" t="str">
        <f>IFERROR(__xludf.DUMMYFUNCTION("""COMPUTED_VALUE"""),"A3B Prof. Asistente - Categ. Academica Doc.")</f>
        <v>A3B Prof. Asistente - Categ. Academica Doc.</v>
      </c>
      <c r="E261" s="1" t="str">
        <f>IFERROR(__xludf.DUMMYFUNCTION("""COMPUTED_VALUE"""),"Masculino")</f>
        <v>Masculino</v>
      </c>
      <c r="F261" s="1" t="str">
        <f>IFERROR(__xludf.DUMMYFUNCTION("""COMPUTED_VALUE"""),"Prado")</f>
        <v>Prado</v>
      </c>
      <c r="G261" s="1" t="str">
        <f>IFERROR(__xludf.DUMMYFUNCTION("""COMPUTED_VALUE"""),"Ballester")</f>
        <v>Ballester</v>
      </c>
      <c r="H261" s="1" t="str">
        <f>IFERROR(__xludf.DUMMYFUNCTION("""COMPUTED_VALUE"""),"Cristian Orlando")</f>
        <v>Cristian Orlando</v>
      </c>
      <c r="I261" s="1" t="str">
        <f>IFERROR(__xludf.DUMMYFUNCTION("""COMPUTED_VALUE"""),"Prado Ballester Cristian Orlando")</f>
        <v>Prado Ballester Cristian Orlando</v>
      </c>
      <c r="J261" s="10">
        <f>IFERROR(__xludf.DUMMYFUNCTION("""COMPUTED_VALUE"""),39521.0)</f>
        <v>39521</v>
      </c>
      <c r="K261" s="10">
        <f>IFERROR(__xludf.DUMMYFUNCTION("""COMPUTED_VALUE"""),28543.0)</f>
        <v>28543</v>
      </c>
      <c r="L261" s="1">
        <f>IFERROR(__xludf.DUMMYFUNCTION("""COMPUTED_VALUE"""),45.0)</f>
        <v>45</v>
      </c>
      <c r="M261" s="1" t="str">
        <f>IFERROR(__xludf.DUMMYFUNCTION("""COMPUTED_VALUE"""),"0002 Soltero")</f>
        <v>0002 Soltero</v>
      </c>
      <c r="N261" s="1"/>
      <c r="O261" s="10">
        <f>IFERROR(__xludf.DUMMYFUNCTION("""COMPUTED_VALUE"""),44562.0)</f>
        <v>44562</v>
      </c>
      <c r="P261" s="10">
        <f>IFERROR(__xludf.DUMMYFUNCTION("""COMPUTED_VALUE"""),44773.0)</f>
        <v>44773</v>
      </c>
      <c r="Q261" s="1" t="str">
        <f>IFERROR(__xludf.DUMMYFUNCTION("""COMPUTED_VALUE"""),"C Contrata")</f>
        <v>C Contrata</v>
      </c>
      <c r="R261" s="1" t="str">
        <f>IFERROR(__xludf.DUMMYFUNCTION("""COMPUTED_VALUE"""),"A Académico")</f>
        <v>A Académico</v>
      </c>
      <c r="S261" s="9" t="str">
        <f>IFERROR(__xludf.DUMMYFUNCTION("""COMPUTED_VALUE"""),"103153999")</f>
        <v>103153999</v>
      </c>
      <c r="T261" s="1" t="str">
        <f>IFERROR(__xludf.DUMMYFUNCTION("""COMPUTED_VALUE"""),"0103153999")</f>
        <v>0103153999</v>
      </c>
      <c r="U261" s="1">
        <f>IFERROR(__xludf.DUMMYFUNCTION("""COMPUTED_VALUE"""),12.0)</f>
        <v>12</v>
      </c>
      <c r="V261" s="1" t="str">
        <f>IFERROR(__xludf.DUMMYFUNCTION("""COMPUTED_VALUE"""),"P0401 Licenciado")</f>
        <v>P0401 Licenciado</v>
      </c>
      <c r="W261" s="1">
        <f>IFERROR(__xludf.DUMMYFUNCTION("""COMPUTED_VALUE"""),39003.0)</f>
        <v>39003</v>
      </c>
      <c r="X261" s="1" t="str">
        <f>IFERROR(__xludf.DUMMYFUNCTION("""COMPUTED_VALUE"""),"Universidad De Chile")</f>
        <v>Universidad De Chile</v>
      </c>
      <c r="Y261" s="1" t="str">
        <f>IFERROR(__xludf.DUMMYFUNCTION("""COMPUTED_VALUE"""),"CHILE")</f>
        <v>CHILE</v>
      </c>
      <c r="Z261" s="1" t="str">
        <f>IFERROR(__xludf.DUMMYFUNCTION("""COMPUTED_VALUE"""),"T5003 Antropologo")</f>
        <v>T5003 Antropologo</v>
      </c>
    </row>
    <row r="262" hidden="1">
      <c r="A262" s="1" t="str">
        <f>IFERROR(__xludf.DUMMYFUNCTION("""COMPUTED_VALUE"""),"12090501 Departamento de Investigaciónes Mediáticas y de la Comunicación")</f>
        <v>12090501 Departamento de Investigaciónes Mediáticas y de la Comunicación</v>
      </c>
      <c r="B262" s="1" t="str">
        <f>IFERROR(__xludf.DUMMYFUNCTION("""COMPUTED_VALUE"""),"A2A001 Académico Prof. Asociado")</f>
        <v>A2A001 Académico Prof. Asociado</v>
      </c>
      <c r="C262" s="1" t="str">
        <f>IFERROR(__xludf.DUMMYFUNCTION("""COMPUTED_VALUE"""),"Prof. Asociado - Categ. Academica Ord.")</f>
        <v>Prof. Asociado - Categ. Academica Ord.</v>
      </c>
      <c r="D262" s="1" t="str">
        <f>IFERROR(__xludf.DUMMYFUNCTION("""COMPUTED_VALUE"""),"A2A Prof. Asociado - Categ. Academica Ord.")</f>
        <v>A2A Prof. Asociado - Categ. Academica Ord.</v>
      </c>
      <c r="E262" s="1" t="str">
        <f>IFERROR(__xludf.DUMMYFUNCTION("""COMPUTED_VALUE"""),"Masculino")</f>
        <v>Masculino</v>
      </c>
      <c r="F262" s="1" t="str">
        <f>IFERROR(__xludf.DUMMYFUNCTION("""COMPUTED_VALUE"""),"Prenafeta")</f>
        <v>Prenafeta</v>
      </c>
      <c r="G262" s="1" t="str">
        <f>IFERROR(__xludf.DUMMYFUNCTION("""COMPUTED_VALUE"""),"Jenkin")</f>
        <v>Jenkin</v>
      </c>
      <c r="H262" s="1" t="str">
        <f>IFERROR(__xludf.DUMMYFUNCTION("""COMPUTED_VALUE"""),"Sergio Arturo")</f>
        <v>Sergio Arturo</v>
      </c>
      <c r="I262" s="1" t="str">
        <f>IFERROR(__xludf.DUMMYFUNCTION("""COMPUTED_VALUE"""),"Prenafeta Jenkin Sergio Arturo")</f>
        <v>Prenafeta Jenkin Sergio Arturo</v>
      </c>
      <c r="J262" s="10">
        <f>IFERROR(__xludf.DUMMYFUNCTION("""COMPUTED_VALUE"""),33117.0)</f>
        <v>33117</v>
      </c>
      <c r="K262" s="10">
        <f>IFERROR(__xludf.DUMMYFUNCTION("""COMPUTED_VALUE"""),14566.0)</f>
        <v>14566</v>
      </c>
      <c r="L262" s="1">
        <f>IFERROR(__xludf.DUMMYFUNCTION("""COMPUTED_VALUE"""),84.0)</f>
        <v>84</v>
      </c>
      <c r="M262" s="1" t="str">
        <f>IFERROR(__xludf.DUMMYFUNCTION("""COMPUTED_VALUE"""),"0001 Casado")</f>
        <v>0001 Casado</v>
      </c>
      <c r="N262" s="1" t="str">
        <f>IFERROR(__xludf.DUMMYFUNCTION("""COMPUTED_VALUE"""),"N0040 Profesional Superior")</f>
        <v>N0040 Profesional Superior</v>
      </c>
      <c r="O262" s="10">
        <f>IFERROR(__xludf.DUMMYFUNCTION("""COMPUTED_VALUE"""),34578.0)</f>
        <v>34578</v>
      </c>
      <c r="P262" s="10">
        <f>IFERROR(__xludf.DUMMYFUNCTION("""COMPUTED_VALUE"""),34758.0)</f>
        <v>34758</v>
      </c>
      <c r="Q262" s="1" t="str">
        <f>IFERROR(__xludf.DUMMYFUNCTION("""COMPUTED_VALUE"""),"P Propiedad")</f>
        <v>P Propiedad</v>
      </c>
      <c r="R262" s="1" t="str">
        <f>IFERROR(__xludf.DUMMYFUNCTION("""COMPUTED_VALUE"""),"A Académico")</f>
        <v>A Académico</v>
      </c>
      <c r="S262" s="9" t="str">
        <f>IFERROR(__xludf.DUMMYFUNCTION("""COMPUTED_VALUE"""),"34845573")</f>
        <v>34845573</v>
      </c>
      <c r="T262" s="1" t="str">
        <f>IFERROR(__xludf.DUMMYFUNCTION("""COMPUTED_VALUE"""),"0034845573")</f>
        <v>0034845573</v>
      </c>
      <c r="U262" s="1">
        <f>IFERROR(__xludf.DUMMYFUNCTION("""COMPUTED_VALUE"""),12.0)</f>
        <v>12</v>
      </c>
      <c r="V262" s="1"/>
      <c r="W262" s="1"/>
      <c r="X262" s="1"/>
      <c r="Y262" s="1"/>
      <c r="Z262" s="1" t="str">
        <f>IFERROR(__xludf.DUMMYFUNCTION("""COMPUTED_VALUE"""),"T5080 Profesor Biologia Y Quimica")</f>
        <v>T5080 Profesor Biologia Y Quimica</v>
      </c>
    </row>
    <row r="263" hidden="1">
      <c r="A263" s="1" t="str">
        <f>IFERROR(__xludf.DUMMYFUNCTION("""COMPUTED_VALUE"""),"12090601 Departamento de Educación")</f>
        <v>12090601 Departamento de Educación</v>
      </c>
      <c r="B263" s="1" t="str">
        <f>IFERROR(__xludf.DUMMYFUNCTION("""COMPUTED_VALUE"""),"A7A001 ACADEMICO PROF. ADJUNTO")</f>
        <v>A7A001 ACADEMICO PROF. ADJUNTO</v>
      </c>
      <c r="C263" s="1" t="str">
        <f>IFERROR(__xludf.DUMMYFUNCTION("""COMPUTED_VALUE"""),"Prof. Adjunto")</f>
        <v>Prof. Adjunto</v>
      </c>
      <c r="D263" s="1" t="str">
        <f>IFERROR(__xludf.DUMMYFUNCTION("""COMPUTED_VALUE"""),"A7A Prof. Adjunto")</f>
        <v>A7A Prof. Adjunto</v>
      </c>
      <c r="E263" s="1" t="str">
        <f>IFERROR(__xludf.DUMMYFUNCTION("""COMPUTED_VALUE"""),"Femenino")</f>
        <v>Femenino</v>
      </c>
      <c r="F263" s="1" t="str">
        <f>IFERROR(__xludf.DUMMYFUNCTION("""COMPUTED_VALUE"""),"Quaas")</f>
        <v>Quaas</v>
      </c>
      <c r="G263" s="1" t="str">
        <f>IFERROR(__xludf.DUMMYFUNCTION("""COMPUTED_VALUE"""),"Fermandois")</f>
        <v>Fermandois</v>
      </c>
      <c r="H263" s="1" t="str">
        <f>IFERROR(__xludf.DUMMYFUNCTION("""COMPUTED_VALUE"""),"Cecilia Guacolda")</f>
        <v>Cecilia Guacolda</v>
      </c>
      <c r="I263" s="1" t="str">
        <f>IFERROR(__xludf.DUMMYFUNCTION("""COMPUTED_VALUE"""),"Quaas Fermandois Cecilia Guacolda")</f>
        <v>Quaas Fermandois Cecilia Guacolda</v>
      </c>
      <c r="J263" s="10">
        <f>IFERROR(__xludf.DUMMYFUNCTION("""COMPUTED_VALUE"""),35309.0)</f>
        <v>35309</v>
      </c>
      <c r="K263" s="10">
        <f>IFERROR(__xludf.DUMMYFUNCTION("""COMPUTED_VALUE"""),18407.0)</f>
        <v>18407</v>
      </c>
      <c r="L263" s="1">
        <f>IFERROR(__xludf.DUMMYFUNCTION("""COMPUTED_VALUE"""),73.0)</f>
        <v>73</v>
      </c>
      <c r="M263" s="1" t="str">
        <f>IFERROR(__xludf.DUMMYFUNCTION("""COMPUTED_VALUE"""),"0001 Casado")</f>
        <v>0001 Casado</v>
      </c>
      <c r="N263" s="1"/>
      <c r="O263" s="10">
        <f>IFERROR(__xludf.DUMMYFUNCTION("""COMPUTED_VALUE"""),37987.0)</f>
        <v>37987</v>
      </c>
      <c r="P263" s="10">
        <f>IFERROR(__xludf.DUMMYFUNCTION("""COMPUTED_VALUE"""),38046.0)</f>
        <v>38046</v>
      </c>
      <c r="Q263" s="1" t="str">
        <f>IFERROR(__xludf.DUMMYFUNCTION("""COMPUTED_VALUE"""),"C Contrata")</f>
        <v>C Contrata</v>
      </c>
      <c r="R263" s="1" t="str">
        <f>IFERROR(__xludf.DUMMYFUNCTION("""COMPUTED_VALUE"""),"A Académico")</f>
        <v>A Académico</v>
      </c>
      <c r="S263" s="9" t="str">
        <f>IFERROR(__xludf.DUMMYFUNCTION("""COMPUTED_VALUE"""),"55998299")</f>
        <v>55998299</v>
      </c>
      <c r="T263" s="1" t="str">
        <f>IFERROR(__xludf.DUMMYFUNCTION("""COMPUTED_VALUE"""),"0055998299")</f>
        <v>0055998299</v>
      </c>
      <c r="U263" s="1">
        <f>IFERROR(__xludf.DUMMYFUNCTION("""COMPUTED_VALUE"""),12.0)</f>
        <v>12</v>
      </c>
      <c r="V263" s="1" t="str">
        <f>IFERROR(__xludf.DUMMYFUNCTION("""COMPUTED_VALUE"""),"P0900 Doctor")</f>
        <v>P0900 Doctor</v>
      </c>
      <c r="W263" s="1">
        <f>IFERROR(__xludf.DUMMYFUNCTION("""COMPUTED_VALUE"""),30316.0)</f>
        <v>30316</v>
      </c>
      <c r="X263" s="1" t="str">
        <f>IFERROR(__xludf.DUMMYFUNCTION("""COMPUTED_VALUE"""),"Universidad Rene Descartes")</f>
        <v>Universidad Rene Descartes</v>
      </c>
      <c r="Y263" s="1" t="str">
        <f>IFERROR(__xludf.DUMMYFUNCTION("""COMPUTED_VALUE"""),"FRANCIA")</f>
        <v>FRANCIA</v>
      </c>
      <c r="Z263" s="1"/>
    </row>
    <row r="264">
      <c r="A264" s="1" t="str">
        <f>IFERROR(__xludf.DUMMYFUNCTION("""COMPUTED_VALUE"""),"12090501 Departamento de Investigaciónes Mediáticas y de la Comunicación")</f>
        <v>12090501 Departamento de Investigaciónes Mediáticas y de la Comunicación</v>
      </c>
      <c r="B264" s="1" t="str">
        <f>IFERROR(__xludf.DUMMYFUNCTION("""COMPUTED_VALUE"""),"A8A001 ACADEMICO INSTRUCTOR ADJUNTO")</f>
        <v>A8A001 ACADEMICO INSTRUCTOR ADJUNTO</v>
      </c>
      <c r="C264" s="1" t="str">
        <f>IFERROR(__xludf.DUMMYFUNCTION("""COMPUTED_VALUE"""),"Inst. Adjunto")</f>
        <v>Inst. Adjunto</v>
      </c>
      <c r="D264" s="1" t="str">
        <f>IFERROR(__xludf.DUMMYFUNCTION("""COMPUTED_VALUE"""),"A8A Inst. Adjunto")</f>
        <v>A8A Inst. Adjunto</v>
      </c>
      <c r="E264" s="1" t="str">
        <f>IFERROR(__xludf.DUMMYFUNCTION("""COMPUTED_VALUE"""),"Masculino")</f>
        <v>Masculino</v>
      </c>
      <c r="F264" s="1" t="str">
        <f>IFERROR(__xludf.DUMMYFUNCTION("""COMPUTED_VALUE"""),"Quesille")</f>
        <v>Quesille</v>
      </c>
      <c r="G264" s="1" t="str">
        <f>IFERROR(__xludf.DUMMYFUNCTION("""COMPUTED_VALUE"""),"Sánchez")</f>
        <v>Sánchez</v>
      </c>
      <c r="H264" s="1" t="str">
        <f>IFERROR(__xludf.DUMMYFUNCTION("""COMPUTED_VALUE"""),"Nicolás Fuad")</f>
        <v>Nicolás Fuad</v>
      </c>
      <c r="I264" s="1" t="str">
        <f>IFERROR(__xludf.DUMMYFUNCTION("""COMPUTED_VALUE"""),"Quesille Sánchez Nicolás Fuad")</f>
        <v>Quesille Sánchez Nicolás Fuad</v>
      </c>
      <c r="J264" s="10">
        <f>IFERROR(__xludf.DUMMYFUNCTION("""COMPUTED_VALUE"""),34121.0)</f>
        <v>34121</v>
      </c>
      <c r="K264" s="10">
        <f>IFERROR(__xludf.DUMMYFUNCTION("""COMPUTED_VALUE"""),25033.0)</f>
        <v>25033</v>
      </c>
      <c r="L264" s="1">
        <f>IFERROR(__xludf.DUMMYFUNCTION("""COMPUTED_VALUE"""),55.0)</f>
        <v>55</v>
      </c>
      <c r="M264" s="1" t="str">
        <f>IFERROR(__xludf.DUMMYFUNCTION("""COMPUTED_VALUE"""),"0005 Divorciado")</f>
        <v>0005 Divorciado</v>
      </c>
      <c r="N264" s="1"/>
      <c r="O264" s="10">
        <f>IFERROR(__xludf.DUMMYFUNCTION("""COMPUTED_VALUE"""),35735.0)</f>
        <v>35735</v>
      </c>
      <c r="P264" s="10">
        <f>IFERROR(__xludf.DUMMYFUNCTION("""COMPUTED_VALUE"""),37833.0)</f>
        <v>37833</v>
      </c>
      <c r="Q264" s="1" t="str">
        <f>IFERROR(__xludf.DUMMYFUNCTION("""COMPUTED_VALUE"""),"P Propiedad")</f>
        <v>P Propiedad</v>
      </c>
      <c r="R264" s="1" t="str">
        <f>IFERROR(__xludf.DUMMYFUNCTION("""COMPUTED_VALUE"""),"A Académico")</f>
        <v>A Académico</v>
      </c>
      <c r="S264" s="9" t="str">
        <f>IFERROR(__xludf.DUMMYFUNCTION("""COMPUTED_VALUE"""),"010176754K")</f>
        <v>010176754K</v>
      </c>
      <c r="T264" s="1" t="str">
        <f>IFERROR(__xludf.DUMMYFUNCTION("""COMPUTED_VALUE"""),"010176754K")</f>
        <v>010176754K</v>
      </c>
      <c r="U264" s="1">
        <f>IFERROR(__xludf.DUMMYFUNCTION("""COMPUTED_VALUE"""),12.0)</f>
        <v>12</v>
      </c>
      <c r="V264" s="1" t="str">
        <f>IFERROR(__xludf.DUMMYFUNCTION("""COMPUTED_VALUE"""),"P0850 Magister")</f>
        <v>P0850 Magister</v>
      </c>
      <c r="W264" s="1">
        <f>IFERROR(__xludf.DUMMYFUNCTION("""COMPUTED_VALUE"""),1.0)</f>
        <v>1</v>
      </c>
      <c r="X264" s="1" t="str">
        <f>IFERROR(__xludf.DUMMYFUNCTION("""COMPUTED_VALUE"""),"CARLOS III DE MADRID")</f>
        <v>CARLOS III DE MADRID</v>
      </c>
      <c r="Y264" s="1" t="str">
        <f>IFERROR(__xludf.DUMMYFUNCTION("""COMPUTED_VALUE"""),"ESPAÑA")</f>
        <v>ESPAÑA</v>
      </c>
      <c r="Z264" s="1" t="str">
        <f>IFERROR(__xludf.DUMMYFUNCTION("""COMPUTED_VALUE"""),"T5074 Periodista")</f>
        <v>T5074 Periodista</v>
      </c>
    </row>
    <row r="265" hidden="1">
      <c r="A265" s="1" t="str">
        <f>IFERROR(__xludf.DUMMYFUNCTION("""COMPUTED_VALUE"""),"12090501 Departamento de Investigaciónes Mediáticas y de la Comunicación")</f>
        <v>12090501 Departamento de Investigaciónes Mediáticas y de la Comunicación</v>
      </c>
      <c r="B265" s="1" t="str">
        <f>IFERROR(__xludf.DUMMYFUNCTION("""COMPUTED_VALUE"""),"A3A001 Académico Prof. Asistente")</f>
        <v>A3A001 Académico Prof. Asistente</v>
      </c>
      <c r="C265" s="1" t="str">
        <f>IFERROR(__xludf.DUMMYFUNCTION("""COMPUTED_VALUE"""),"Prof. Asistente - Categ. Academica Ord.")</f>
        <v>Prof. Asistente - Categ. Academica Ord.</v>
      </c>
      <c r="D265" s="1" t="str">
        <f>IFERROR(__xludf.DUMMYFUNCTION("""COMPUTED_VALUE"""),"A3A Prof. Asistente - Categ. Academica Ord.")</f>
        <v>A3A Prof. Asistente - Categ. Academica Ord.</v>
      </c>
      <c r="E265" s="1" t="str">
        <f>IFERROR(__xludf.DUMMYFUNCTION("""COMPUTED_VALUE"""),"Femenino")</f>
        <v>Femenino</v>
      </c>
      <c r="F265" s="1" t="str">
        <f>IFERROR(__xludf.DUMMYFUNCTION("""COMPUTED_VALUE"""),"Quezada")</f>
        <v>Quezada</v>
      </c>
      <c r="G265" s="1" t="str">
        <f>IFERROR(__xludf.DUMMYFUNCTION("""COMPUTED_VALUE"""),"Martínez")</f>
        <v>Martínez</v>
      </c>
      <c r="H265" s="1" t="str">
        <f>IFERROR(__xludf.DUMMYFUNCTION("""COMPUTED_VALUE"""),"María Isabel Mercedes")</f>
        <v>María Isabel Mercedes</v>
      </c>
      <c r="I265" s="1" t="str">
        <f>IFERROR(__xludf.DUMMYFUNCTION("""COMPUTED_VALUE"""),"Quezada Martínez María Isabel Mercedes")</f>
        <v>Quezada Martínez María Isabel Mercedes</v>
      </c>
      <c r="J265" s="10">
        <f>IFERROR(__xludf.DUMMYFUNCTION("""COMPUTED_VALUE"""),27120.0)</f>
        <v>27120</v>
      </c>
      <c r="K265" s="10">
        <f>IFERROR(__xludf.DUMMYFUNCTION("""COMPUTED_VALUE"""),13197.0)</f>
        <v>13197</v>
      </c>
      <c r="L265" s="1">
        <f>IFERROR(__xludf.DUMMYFUNCTION("""COMPUTED_VALUE"""),87.0)</f>
        <v>87</v>
      </c>
      <c r="M265" s="1" t="str">
        <f>IFERROR(__xludf.DUMMYFUNCTION("""COMPUTED_VALUE"""),"0001 Casado")</f>
        <v>0001 Casado</v>
      </c>
      <c r="N265" s="1"/>
      <c r="O265" s="10">
        <f>IFERROR(__xludf.DUMMYFUNCTION("""COMPUTED_VALUE"""),33909.0)</f>
        <v>33909</v>
      </c>
      <c r="P265" s="10">
        <f>IFERROR(__xludf.DUMMYFUNCTION("""COMPUTED_VALUE"""),34789.0)</f>
        <v>34789</v>
      </c>
      <c r="Q265" s="1" t="str">
        <f>IFERROR(__xludf.DUMMYFUNCTION("""COMPUTED_VALUE"""),"P Propiedad")</f>
        <v>P Propiedad</v>
      </c>
      <c r="R265" s="1" t="str">
        <f>IFERROR(__xludf.DUMMYFUNCTION("""COMPUTED_VALUE"""),"A Académico")</f>
        <v>A Académico</v>
      </c>
      <c r="S265" s="9" t="str">
        <f>IFERROR(__xludf.DUMMYFUNCTION("""COMPUTED_VALUE"""),"38719033")</f>
        <v>38719033</v>
      </c>
      <c r="T265" s="1" t="str">
        <f>IFERROR(__xludf.DUMMYFUNCTION("""COMPUTED_VALUE"""),"0038719033")</f>
        <v>0038719033</v>
      </c>
      <c r="U265" s="1">
        <f>IFERROR(__xludf.DUMMYFUNCTION("""COMPUTED_VALUE"""),16.0)</f>
        <v>16</v>
      </c>
      <c r="V265" s="1"/>
      <c r="W265" s="1"/>
      <c r="X265" s="1"/>
      <c r="Y265" s="1"/>
      <c r="Z265" s="1"/>
    </row>
    <row r="266">
      <c r="A266" s="1" t="str">
        <f>IFERROR(__xludf.DUMMYFUNCTION("""COMPUTED_VALUE"""),"12090116 Dpto. de Antropología (funcionamiento)")</f>
        <v>12090116 Dpto. de Antropología (funcionamiento)</v>
      </c>
      <c r="B266" s="1" t="str">
        <f>IFERROR(__xludf.DUMMYFUNCTION("""COMPUTED_VALUE"""),"A3A001 Académico Prof. Asistente")</f>
        <v>A3A001 Académico Prof. Asistente</v>
      </c>
      <c r="C266" s="1" t="str">
        <f>IFERROR(__xludf.DUMMYFUNCTION("""COMPUTED_VALUE"""),"Prof. Asistente - Categ. Academica Ord.")</f>
        <v>Prof. Asistente - Categ. Academica Ord.</v>
      </c>
      <c r="D266" s="1" t="str">
        <f>IFERROR(__xludf.DUMMYFUNCTION("""COMPUTED_VALUE"""),"A3A Prof. Asistente - Categ. Academica Ord.")</f>
        <v>A3A Prof. Asistente - Categ. Academica Ord.</v>
      </c>
      <c r="E266" s="1" t="str">
        <f>IFERROR(__xludf.DUMMYFUNCTION("""COMPUTED_VALUE"""),"Masculino")</f>
        <v>Masculino</v>
      </c>
      <c r="F266" s="1" t="str">
        <f>IFERROR(__xludf.DUMMYFUNCTION("""COMPUTED_VALUE"""),"Quiñones")</f>
        <v>Quiñones</v>
      </c>
      <c r="G266" s="1" t="str">
        <f>IFERROR(__xludf.DUMMYFUNCTION("""COMPUTED_VALUE"""),"Reyes")</f>
        <v>Reyes</v>
      </c>
      <c r="H266" s="1" t="str">
        <f>IFERROR(__xludf.DUMMYFUNCTION("""COMPUTED_VALUE"""),"Edixon")</f>
        <v>Edixon</v>
      </c>
      <c r="I266" s="1" t="str">
        <f>IFERROR(__xludf.DUMMYFUNCTION("""COMPUTED_VALUE"""),"Quiñones Reyes Edixon")</f>
        <v>Quiñones Reyes Edixon</v>
      </c>
      <c r="J266" s="10">
        <f>IFERROR(__xludf.DUMMYFUNCTION("""COMPUTED_VALUE"""),41736.0)</f>
        <v>41736</v>
      </c>
      <c r="K266" s="10">
        <f>IFERROR(__xludf.DUMMYFUNCTION("""COMPUTED_VALUE"""),26578.0)</f>
        <v>26578</v>
      </c>
      <c r="L266" s="1">
        <f>IFERROR(__xludf.DUMMYFUNCTION("""COMPUTED_VALUE"""),51.0)</f>
        <v>51</v>
      </c>
      <c r="M266" s="1" t="str">
        <f>IFERROR(__xludf.DUMMYFUNCTION("""COMPUTED_VALUE"""),"0002 Soltero")</f>
        <v>0002 Soltero</v>
      </c>
      <c r="N266" s="1"/>
      <c r="O266" s="10">
        <f>IFERROR(__xludf.DUMMYFUNCTION("""COMPUTED_VALUE"""),42186.0)</f>
        <v>42186</v>
      </c>
      <c r="P266" s="10">
        <f>IFERROR(__xludf.DUMMYFUNCTION("""COMPUTED_VALUE"""),42352.0)</f>
        <v>42352</v>
      </c>
      <c r="Q266" s="1" t="str">
        <f>IFERROR(__xludf.DUMMYFUNCTION("""COMPUTED_VALUE"""),"C Contrata")</f>
        <v>C Contrata</v>
      </c>
      <c r="R266" s="1" t="str">
        <f>IFERROR(__xludf.DUMMYFUNCTION("""COMPUTED_VALUE"""),"A Académico")</f>
        <v>A Académico</v>
      </c>
      <c r="S266" s="9" t="str">
        <f>IFERROR(__xludf.DUMMYFUNCTION("""COMPUTED_VALUE"""),"244846114")</f>
        <v>244846114</v>
      </c>
      <c r="T266" s="1" t="str">
        <f>IFERROR(__xludf.DUMMYFUNCTION("""COMPUTED_VALUE"""),"0244846114")</f>
        <v>0244846114</v>
      </c>
      <c r="U266" s="1">
        <f>IFERROR(__xludf.DUMMYFUNCTION("""COMPUTED_VALUE"""),44.0)</f>
        <v>44</v>
      </c>
      <c r="V266" s="1" t="str">
        <f>IFERROR(__xludf.DUMMYFUNCTION("""COMPUTED_VALUE"""),"P0900 Doctor")</f>
        <v>P0900 Doctor</v>
      </c>
      <c r="W266" s="1">
        <f>IFERROR(__xludf.DUMMYFUNCTION("""COMPUTED_VALUE"""),39897.0)</f>
        <v>39897</v>
      </c>
      <c r="X266" s="1" t="str">
        <f>IFERROR(__xludf.DUMMYFUNCTION("""COMPUTED_VALUE"""),"Universidad de Granada")</f>
        <v>Universidad de Granada</v>
      </c>
      <c r="Y266" s="1" t="str">
        <f>IFERROR(__xludf.DUMMYFUNCTION("""COMPUTED_VALUE"""),"ESPAÑA")</f>
        <v>ESPAÑA</v>
      </c>
      <c r="Z266" s="1" t="str">
        <f>IFERROR(__xludf.DUMMYFUNCTION("""COMPUTED_VALUE"""),"T5003 Antropologo")</f>
        <v>T5003 Antropologo</v>
      </c>
    </row>
    <row r="267">
      <c r="A267" s="1" t="str">
        <f>IFERROR(__xludf.DUMMYFUNCTION("""COMPUTED_VALUE"""),"12090601 Departamento de Educación")</f>
        <v>12090601 Departamento de Educación</v>
      </c>
      <c r="B267" s="1" t="str">
        <f>IFERROR(__xludf.DUMMYFUNCTION("""COMPUTED_VALUE"""),"A3A001 Académico Prof. Asistente")</f>
        <v>A3A001 Académico Prof. Asistente</v>
      </c>
      <c r="C267" s="1" t="str">
        <f>IFERROR(__xludf.DUMMYFUNCTION("""COMPUTED_VALUE"""),"Prof. Asistente - Categ. Academica Ord.")</f>
        <v>Prof. Asistente - Categ. Academica Ord.</v>
      </c>
      <c r="D267" s="1" t="str">
        <f>IFERROR(__xludf.DUMMYFUNCTION("""COMPUTED_VALUE"""),"A3A Prof. Asistente - Categ. Academica Ord.")</f>
        <v>A3A Prof. Asistente - Categ. Academica Ord.</v>
      </c>
      <c r="E267" s="1" t="str">
        <f>IFERROR(__xludf.DUMMYFUNCTION("""COMPUTED_VALUE"""),"Femenino")</f>
        <v>Femenino</v>
      </c>
      <c r="F267" s="1" t="str">
        <f>IFERROR(__xludf.DUMMYFUNCTION("""COMPUTED_VALUE"""),"Quiroz")</f>
        <v>Quiroz</v>
      </c>
      <c r="G267" s="1" t="str">
        <f>IFERROR(__xludf.DUMMYFUNCTION("""COMPUTED_VALUE"""),"Quiroz")</f>
        <v>Quiroz</v>
      </c>
      <c r="H267" s="1" t="str">
        <f>IFERROR(__xludf.DUMMYFUNCTION("""COMPUTED_VALUE"""),"Valeria Carmen")</f>
        <v>Valeria Carmen</v>
      </c>
      <c r="I267" s="1" t="str">
        <f>IFERROR(__xludf.DUMMYFUNCTION("""COMPUTED_VALUE"""),"Quiroz Quiroz Valeria Carmen")</f>
        <v>Quiroz Quiroz Valeria Carmen</v>
      </c>
      <c r="J267" s="10">
        <f>IFERROR(__xludf.DUMMYFUNCTION("""COMPUTED_VALUE"""),38899.0)</f>
        <v>38899</v>
      </c>
      <c r="K267" s="10">
        <f>IFERROR(__xludf.DUMMYFUNCTION("""COMPUTED_VALUE"""),25742.0)</f>
        <v>25742</v>
      </c>
      <c r="L267" s="1">
        <f>IFERROR(__xludf.DUMMYFUNCTION("""COMPUTED_VALUE"""),53.0)</f>
        <v>53</v>
      </c>
      <c r="M267" s="1" t="str">
        <f>IFERROR(__xludf.DUMMYFUNCTION("""COMPUTED_VALUE"""),"0001 Casado")</f>
        <v>0001 Casado</v>
      </c>
      <c r="N267" s="1"/>
      <c r="O267" s="10">
        <f>IFERROR(__xludf.DUMMYFUNCTION("""COMPUTED_VALUE"""),41091.0)</f>
        <v>41091</v>
      </c>
      <c r="P267" s="10">
        <f>IFERROR(__xludf.DUMMYFUNCTION("""COMPUTED_VALUE"""),41121.0)</f>
        <v>41121</v>
      </c>
      <c r="Q267" s="1" t="str">
        <f>IFERROR(__xludf.DUMMYFUNCTION("""COMPUTED_VALUE"""),"C Contrata")</f>
        <v>C Contrata</v>
      </c>
      <c r="R267" s="1" t="str">
        <f>IFERROR(__xludf.DUMMYFUNCTION("""COMPUTED_VALUE"""),"A Académico")</f>
        <v>A Académico</v>
      </c>
      <c r="S267" s="9" t="str">
        <f>IFERROR(__xludf.DUMMYFUNCTION("""COMPUTED_VALUE"""),"86169835")</f>
        <v>86169835</v>
      </c>
      <c r="T267" s="1" t="str">
        <f>IFERROR(__xludf.DUMMYFUNCTION("""COMPUTED_VALUE"""),"0086169835")</f>
        <v>0086169835</v>
      </c>
      <c r="U267" s="1">
        <f>IFERROR(__xludf.DUMMYFUNCTION("""COMPUTED_VALUE"""),12.0)</f>
        <v>12</v>
      </c>
      <c r="V267" s="1" t="str">
        <f>IFERROR(__xludf.DUMMYFUNCTION("""COMPUTED_VALUE"""),"P0855 Magister En Educacion")</f>
        <v>P0855 Magister En Educacion</v>
      </c>
      <c r="W267" s="1">
        <f>IFERROR(__xludf.DUMMYFUNCTION("""COMPUTED_VALUE"""),37957.0)</f>
        <v>37957</v>
      </c>
      <c r="X267" s="1" t="str">
        <f>IFERROR(__xludf.DUMMYFUNCTION("""COMPUTED_VALUE"""),"Universidad De Chile")</f>
        <v>Universidad De Chile</v>
      </c>
      <c r="Y267" s="1" t="str">
        <f>IFERROR(__xludf.DUMMYFUNCTION("""COMPUTED_VALUE"""),"CHILE")</f>
        <v>CHILE</v>
      </c>
      <c r="Z267" s="1" t="str">
        <f>IFERROR(__xludf.DUMMYFUNCTION("""COMPUTED_VALUE"""),"T5191 Profesor De Castellano")</f>
        <v>T5191 Profesor De Castellano</v>
      </c>
    </row>
    <row r="268">
      <c r="A268" s="1" t="str">
        <f>IFERROR(__xludf.DUMMYFUNCTION("""COMPUTED_VALUE"""),"12090118 Dpto. de  Psicología (funcionamiento)")</f>
        <v>12090118 Dpto. de  Psicología (funcionamiento)</v>
      </c>
      <c r="B268" s="1" t="str">
        <f>IFERROR(__xludf.DUMMYFUNCTION("""COMPUTED_VALUE"""),"A4A001 ACADEMICO  INSTRUCTOR")</f>
        <v>A4A001 ACADEMICO  INSTRUCTOR</v>
      </c>
      <c r="C268" s="1" t="str">
        <f>IFERROR(__xludf.DUMMYFUNCTION("""COMPUTED_VALUE"""),"Instructor")</f>
        <v>Instructor</v>
      </c>
      <c r="D268" s="1" t="str">
        <f>IFERROR(__xludf.DUMMYFUNCTION("""COMPUTED_VALUE"""),"A4A Instructor")</f>
        <v>A4A Instructor</v>
      </c>
      <c r="E268" s="1" t="str">
        <f>IFERROR(__xludf.DUMMYFUNCTION("""COMPUTED_VALUE"""),"Masculino")</f>
        <v>Masculino</v>
      </c>
      <c r="F268" s="1" t="str">
        <f>IFERROR(__xludf.DUMMYFUNCTION("""COMPUTED_VALUE"""),"Quiroz")</f>
        <v>Quiroz</v>
      </c>
      <c r="G268" s="1" t="str">
        <f>IFERROR(__xludf.DUMMYFUNCTION("""COMPUTED_VALUE"""),"Saavedra")</f>
        <v>Saavedra</v>
      </c>
      <c r="H268" s="1" t="str">
        <f>IFERROR(__xludf.DUMMYFUNCTION("""COMPUTED_VALUE"""),"Rodrigo Antonio")</f>
        <v>Rodrigo Antonio</v>
      </c>
      <c r="I268" s="1" t="str">
        <f>IFERROR(__xludf.DUMMYFUNCTION("""COMPUTED_VALUE"""),"Quiroz Saavedra Rodrigo Antonio")</f>
        <v>Quiroz Saavedra Rodrigo Antonio</v>
      </c>
      <c r="J268" s="10">
        <f>IFERROR(__xludf.DUMMYFUNCTION("""COMPUTED_VALUE"""),39417.0)</f>
        <v>39417</v>
      </c>
      <c r="K268" s="10">
        <f>IFERROR(__xludf.DUMMYFUNCTION("""COMPUTED_VALUE"""),27852.0)</f>
        <v>27852</v>
      </c>
      <c r="L268" s="1">
        <f>IFERROR(__xludf.DUMMYFUNCTION("""COMPUTED_VALUE"""),47.0)</f>
        <v>47</v>
      </c>
      <c r="M268" s="1" t="str">
        <f>IFERROR(__xludf.DUMMYFUNCTION("""COMPUTED_VALUE"""),"0001 Casado")</f>
        <v>0001 Casado</v>
      </c>
      <c r="N268" s="1"/>
      <c r="O268" s="10">
        <f>IFERROR(__xludf.DUMMYFUNCTION("""COMPUTED_VALUE"""),42736.0)</f>
        <v>42736</v>
      </c>
      <c r="P268" s="10">
        <f>IFERROR(__xludf.DUMMYFUNCTION("""COMPUTED_VALUE"""),42855.0)</f>
        <v>42855</v>
      </c>
      <c r="Q268" s="1" t="str">
        <f>IFERROR(__xludf.DUMMYFUNCTION("""COMPUTED_VALUE"""),"C Contrata")</f>
        <v>C Contrata</v>
      </c>
      <c r="R268" s="1" t="str">
        <f>IFERROR(__xludf.DUMMYFUNCTION("""COMPUTED_VALUE"""),"A Académico")</f>
        <v>A Académico</v>
      </c>
      <c r="S268" s="9" t="str">
        <f>IFERROR(__xludf.DUMMYFUNCTION("""COMPUTED_VALUE"""),"130473598")</f>
        <v>130473598</v>
      </c>
      <c r="T268" s="1" t="str">
        <f>IFERROR(__xludf.DUMMYFUNCTION("""COMPUTED_VALUE"""),"0130473598")</f>
        <v>0130473598</v>
      </c>
      <c r="U268" s="1">
        <f>IFERROR(__xludf.DUMMYFUNCTION("""COMPUTED_VALUE"""),2.0)</f>
        <v>2</v>
      </c>
      <c r="V268" s="1" t="str">
        <f>IFERROR(__xludf.DUMMYFUNCTION("""COMPUTED_VALUE"""),"P0850 Magister")</f>
        <v>P0850 Magister</v>
      </c>
      <c r="W268" s="1">
        <f>IFERROR(__xludf.DUMMYFUNCTION("""COMPUTED_VALUE"""),39150.0)</f>
        <v>39150</v>
      </c>
      <c r="X268" s="1" t="str">
        <f>IFERROR(__xludf.DUMMYFUNCTION("""COMPUTED_VALUE"""),"Universidad De Chile")</f>
        <v>Universidad De Chile</v>
      </c>
      <c r="Y268" s="1" t="str">
        <f>IFERROR(__xludf.DUMMYFUNCTION("""COMPUTED_VALUE"""),"CHILE")</f>
        <v>CHILE</v>
      </c>
      <c r="Z268" s="1" t="str">
        <f>IFERROR(__xludf.DUMMYFUNCTION("""COMPUTED_VALUE"""),"T5124 Psicologo")</f>
        <v>T5124 Psicologo</v>
      </c>
    </row>
    <row r="269">
      <c r="A269" s="1" t="str">
        <f>IFERROR(__xludf.DUMMYFUNCTION("""COMPUTED_VALUE"""),"12090301 Departamento de Antropología")</f>
        <v>12090301 Departamento de Antropología</v>
      </c>
      <c r="B269" s="1" t="str">
        <f>IFERROR(__xludf.DUMMYFUNCTION("""COMPUTED_VALUE"""),"A3A001 Académico Prof. Asistente")</f>
        <v>A3A001 Académico Prof. Asistente</v>
      </c>
      <c r="C269" s="1" t="str">
        <f>IFERROR(__xludf.DUMMYFUNCTION("""COMPUTED_VALUE"""),"Prof. Asistente - Categ. Academica Ord.")</f>
        <v>Prof. Asistente - Categ. Academica Ord.</v>
      </c>
      <c r="D269" s="1" t="str">
        <f>IFERROR(__xludf.DUMMYFUNCTION("""COMPUTED_VALUE"""),"A3A Prof. Asistente - Categ. Academica Ord.")</f>
        <v>A3A Prof. Asistente - Categ. Academica Ord.</v>
      </c>
      <c r="E269" s="1" t="str">
        <f>IFERROR(__xludf.DUMMYFUNCTION("""COMPUTED_VALUE"""),"Masculino")</f>
        <v>Masculino</v>
      </c>
      <c r="F269" s="1" t="str">
        <f>IFERROR(__xludf.DUMMYFUNCTION("""COMPUTED_VALUE"""),"Radrigán")</f>
        <v>Radrigán</v>
      </c>
      <c r="G269" s="1" t="str">
        <f>IFERROR(__xludf.DUMMYFUNCTION("""COMPUTED_VALUE"""),"Rubio")</f>
        <v>Rubio</v>
      </c>
      <c r="H269" s="1" t="str">
        <f>IFERROR(__xludf.DUMMYFUNCTION("""COMPUTED_VALUE"""),"Mario Hernán")</f>
        <v>Mario Hernán</v>
      </c>
      <c r="I269" s="1" t="str">
        <f>IFERROR(__xludf.DUMMYFUNCTION("""COMPUTED_VALUE"""),"Radrigán Rubio Mario Hernán")</f>
        <v>Radrigán Rubio Mario Hernán</v>
      </c>
      <c r="J269" s="10">
        <f>IFERROR(__xludf.DUMMYFUNCTION("""COMPUTED_VALUE"""),33543.0)</f>
        <v>33543</v>
      </c>
      <c r="K269" s="10">
        <f>IFERROR(__xludf.DUMMYFUNCTION("""COMPUTED_VALUE"""),22441.0)</f>
        <v>22441</v>
      </c>
      <c r="L269" s="1">
        <f>IFERROR(__xludf.DUMMYFUNCTION("""COMPUTED_VALUE"""),62.0)</f>
        <v>62</v>
      </c>
      <c r="M269" s="1" t="str">
        <f>IFERROR(__xludf.DUMMYFUNCTION("""COMPUTED_VALUE"""),"0001 Casado")</f>
        <v>0001 Casado</v>
      </c>
      <c r="N269" s="1"/>
      <c r="O269" s="10">
        <f>IFERROR(__xludf.DUMMYFUNCTION("""COMPUTED_VALUE"""),41640.0)</f>
        <v>41640</v>
      </c>
      <c r="P269" s="10">
        <f>IFERROR(__xludf.DUMMYFUNCTION("""COMPUTED_VALUE"""),41912.0)</f>
        <v>41912</v>
      </c>
      <c r="Q269" s="1" t="str">
        <f>IFERROR(__xludf.DUMMYFUNCTION("""COMPUTED_VALUE"""),"C Contrata")</f>
        <v>C Contrata</v>
      </c>
      <c r="R269" s="1" t="str">
        <f>IFERROR(__xludf.DUMMYFUNCTION("""COMPUTED_VALUE"""),"A Académico")</f>
        <v>A Académico</v>
      </c>
      <c r="S269" s="9" t="str">
        <f>IFERROR(__xludf.DUMMYFUNCTION("""COMPUTED_VALUE"""),"74225926")</f>
        <v>74225926</v>
      </c>
      <c r="T269" s="1" t="str">
        <f>IFERROR(__xludf.DUMMYFUNCTION("""COMPUTED_VALUE"""),"0074225926")</f>
        <v>0074225926</v>
      </c>
      <c r="U269" s="1">
        <f>IFERROR(__xludf.DUMMYFUNCTION("""COMPUTED_VALUE"""),12.0)</f>
        <v>12</v>
      </c>
      <c r="V269" s="1" t="str">
        <f>IFERROR(__xludf.DUMMYFUNCTION("""COMPUTED_VALUE"""),"P0850 Magister")</f>
        <v>P0850 Magister</v>
      </c>
      <c r="W269" s="1">
        <f>IFERROR(__xludf.DUMMYFUNCTION("""COMPUTED_VALUE"""),36646.0)</f>
        <v>36646</v>
      </c>
      <c r="X269" s="1" t="str">
        <f>IFERROR(__xludf.DUMMYFUNCTION("""COMPUTED_VALUE"""),"Universidad De Santiago")</f>
        <v>Universidad De Santiago</v>
      </c>
      <c r="Y269" s="1" t="str">
        <f>IFERROR(__xludf.DUMMYFUNCTION("""COMPUTED_VALUE"""),"CHILE")</f>
        <v>CHILE</v>
      </c>
      <c r="Z269" s="1" t="str">
        <f>IFERROR(__xludf.DUMMYFUNCTION("""COMPUTED_VALUE"""),"T5003 Antropologo")</f>
        <v>T5003 Antropologo</v>
      </c>
    </row>
    <row r="270" hidden="1">
      <c r="A270" s="1" t="str">
        <f>IFERROR(__xludf.DUMMYFUNCTION("""COMPUTED_VALUE"""),"12090501 Departamento de Investigaciónes Mediáticas y de la Comunicación")</f>
        <v>12090501 Departamento de Investigaciónes Mediáticas y de la Comunicación</v>
      </c>
      <c r="B270" s="1" t="str">
        <f>IFERROR(__xludf.DUMMYFUNCTION("""COMPUTED_VALUE"""),"A3A001 Académico Prof. Asistente")</f>
        <v>A3A001 Académico Prof. Asistente</v>
      </c>
      <c r="C270" s="1" t="str">
        <f>IFERROR(__xludf.DUMMYFUNCTION("""COMPUTED_VALUE"""),"Prof. Asistente - Categ. Academica Ord.")</f>
        <v>Prof. Asistente - Categ. Academica Ord.</v>
      </c>
      <c r="D270" s="1" t="str">
        <f>IFERROR(__xludf.DUMMYFUNCTION("""COMPUTED_VALUE"""),"A3A Prof. Asistente - Categ. Academica Ord.")</f>
        <v>A3A Prof. Asistente - Categ. Academica Ord.</v>
      </c>
      <c r="E270" s="1" t="str">
        <f>IFERROR(__xludf.DUMMYFUNCTION("""COMPUTED_VALUE"""),"Femenino")</f>
        <v>Femenino</v>
      </c>
      <c r="F270" s="1" t="str">
        <f>IFERROR(__xludf.DUMMYFUNCTION("""COMPUTED_VALUE"""),"Rebolledo")</f>
        <v>Rebolledo</v>
      </c>
      <c r="G270" s="1" t="str">
        <f>IFERROR(__xludf.DUMMYFUNCTION("""COMPUTED_VALUE"""),"González")</f>
        <v>González</v>
      </c>
      <c r="H270" s="1" t="str">
        <f>IFERROR(__xludf.DUMMYFUNCTION("""COMPUTED_VALUE"""),"María Loreto")</f>
        <v>María Loreto</v>
      </c>
      <c r="I270" s="1" t="str">
        <f>IFERROR(__xludf.DUMMYFUNCTION("""COMPUTED_VALUE"""),"Rebolledo González María Loreto")</f>
        <v>Rebolledo González María Loreto</v>
      </c>
      <c r="J270" s="10">
        <f>IFERROR(__xludf.DUMMYFUNCTION("""COMPUTED_VALUE"""),35265.0)</f>
        <v>35265</v>
      </c>
      <c r="K270" s="10">
        <f>IFERROR(__xludf.DUMMYFUNCTION("""COMPUTED_VALUE"""),18478.0)</f>
        <v>18478</v>
      </c>
      <c r="L270" s="1">
        <f>IFERROR(__xludf.DUMMYFUNCTION("""COMPUTED_VALUE"""),73.0)</f>
        <v>73</v>
      </c>
      <c r="M270" s="1" t="str">
        <f>IFERROR(__xludf.DUMMYFUNCTION("""COMPUTED_VALUE"""),"0002 Soltero")</f>
        <v>0002 Soltero</v>
      </c>
      <c r="N270" s="1" t="str">
        <f>IFERROR(__xludf.DUMMYFUNCTION("""COMPUTED_VALUE"""),"N0040 Profesional Superior")</f>
        <v>N0040 Profesional Superior</v>
      </c>
      <c r="O270" s="10">
        <f>IFERROR(__xludf.DUMMYFUNCTION("""COMPUTED_VALUE"""),35977.0)</f>
        <v>35977</v>
      </c>
      <c r="P270" s="10">
        <f>IFERROR(__xludf.DUMMYFUNCTION("""COMPUTED_VALUE"""),37833.0)</f>
        <v>37833</v>
      </c>
      <c r="Q270" s="1" t="str">
        <f>IFERROR(__xludf.DUMMYFUNCTION("""COMPUTED_VALUE"""),"P Propiedad")</f>
        <v>P Propiedad</v>
      </c>
      <c r="R270" s="1" t="str">
        <f>IFERROR(__xludf.DUMMYFUNCTION("""COMPUTED_VALUE"""),"A Académico")</f>
        <v>A Académico</v>
      </c>
      <c r="S270" s="9" t="str">
        <f>IFERROR(__xludf.DUMMYFUNCTION("""COMPUTED_VALUE"""),"62713208")</f>
        <v>62713208</v>
      </c>
      <c r="T270" s="1" t="str">
        <f>IFERROR(__xludf.DUMMYFUNCTION("""COMPUTED_VALUE"""),"0062713208")</f>
        <v>0062713208</v>
      </c>
      <c r="U270" s="1">
        <f>IFERROR(__xludf.DUMMYFUNCTION("""COMPUTED_VALUE"""),44.0)</f>
        <v>44</v>
      </c>
      <c r="V270" s="1" t="str">
        <f>IFERROR(__xludf.DUMMYFUNCTION("""COMPUTED_VALUE"""),"P0913 Doctor En Historia")</f>
        <v>P0913 Doctor En Historia</v>
      </c>
      <c r="W270" s="1">
        <f>IFERROR(__xludf.DUMMYFUNCTION("""COMPUTED_VALUE"""),38173.0)</f>
        <v>38173</v>
      </c>
      <c r="X270" s="1" t="str">
        <f>IFERROR(__xludf.DUMMYFUNCTION("""COMPUTED_VALUE"""),"UNIVERSIDAD DE BARCELONA")</f>
        <v>UNIVERSIDAD DE BARCELONA</v>
      </c>
      <c r="Y270" s="1" t="str">
        <f>IFERROR(__xludf.DUMMYFUNCTION("""COMPUTED_VALUE"""),"ESPAÑA")</f>
        <v>ESPAÑA</v>
      </c>
      <c r="Z270" s="1" t="str">
        <f>IFERROR(__xludf.DUMMYFUNCTION("""COMPUTED_VALUE"""),"T5074 Periodista")</f>
        <v>T5074 Periodista</v>
      </c>
    </row>
    <row r="271" hidden="1">
      <c r="A271" s="1" t="str">
        <f>IFERROR(__xludf.DUMMYFUNCTION("""COMPUTED_VALUE"""),"12090301 Departamento de Antropología")</f>
        <v>12090301 Departamento de Antropología</v>
      </c>
      <c r="B271" s="1" t="str">
        <f>IFERROR(__xludf.DUMMYFUNCTION("""COMPUTED_VALUE"""),"A2A001 Académico Prof. Asociado")</f>
        <v>A2A001 Académico Prof. Asociado</v>
      </c>
      <c r="C271" s="1" t="str">
        <f>IFERROR(__xludf.DUMMYFUNCTION("""COMPUTED_VALUE"""),"Prof. Asociado - Categ. Academica Ord.")</f>
        <v>Prof. Asociado - Categ. Academica Ord.</v>
      </c>
      <c r="D271" s="1" t="str">
        <f>IFERROR(__xludf.DUMMYFUNCTION("""COMPUTED_VALUE"""),"A2A Prof. Asociado - Categ. Academica Ord.")</f>
        <v>A2A Prof. Asociado - Categ. Academica Ord.</v>
      </c>
      <c r="E271" s="1" t="str">
        <f>IFERROR(__xludf.DUMMYFUNCTION("""COMPUTED_VALUE"""),"Masculino")</f>
        <v>Masculino</v>
      </c>
      <c r="F271" s="1" t="str">
        <f>IFERROR(__xludf.DUMMYFUNCTION("""COMPUTED_VALUE"""),"Recasens")</f>
        <v>Recasens</v>
      </c>
      <c r="G271" s="1" t="str">
        <f>IFERROR(__xludf.DUMMYFUNCTION("""COMPUTED_VALUE"""),"Salvo")</f>
        <v>Salvo</v>
      </c>
      <c r="H271" s="1" t="str">
        <f>IFERROR(__xludf.DUMMYFUNCTION("""COMPUTED_VALUE"""),"Andrés Gaspar")</f>
        <v>Andrés Gaspar</v>
      </c>
      <c r="I271" s="1" t="str">
        <f>IFERROR(__xludf.DUMMYFUNCTION("""COMPUTED_VALUE"""),"Recasens Salvo Andrés Gaspar")</f>
        <v>Recasens Salvo Andrés Gaspar</v>
      </c>
      <c r="J271" s="10">
        <f>IFERROR(__xludf.DUMMYFUNCTION("""COMPUTED_VALUE"""),26390.0)</f>
        <v>26390</v>
      </c>
      <c r="K271" s="10">
        <f>IFERROR(__xludf.DUMMYFUNCTION("""COMPUTED_VALUE"""),11681.0)</f>
        <v>11681</v>
      </c>
      <c r="L271" s="1">
        <f>IFERROR(__xludf.DUMMYFUNCTION("""COMPUTED_VALUE"""),92.0)</f>
        <v>92</v>
      </c>
      <c r="M271" s="1" t="str">
        <f>IFERROR(__xludf.DUMMYFUNCTION("""COMPUTED_VALUE"""),"0002 Soltero")</f>
        <v>0002 Soltero</v>
      </c>
      <c r="N271" s="1"/>
      <c r="O271" s="10">
        <f>IFERROR(__xludf.DUMMYFUNCTION("""COMPUTED_VALUE"""),39083.0)</f>
        <v>39083</v>
      </c>
      <c r="P271" s="10">
        <f>IFERROR(__xludf.DUMMYFUNCTION("""COMPUTED_VALUE"""),39141.0)</f>
        <v>39141</v>
      </c>
      <c r="Q271" s="1" t="str">
        <f>IFERROR(__xludf.DUMMYFUNCTION("""COMPUTED_VALUE"""),"C Contrata")</f>
        <v>C Contrata</v>
      </c>
      <c r="R271" s="1" t="str">
        <f>IFERROR(__xludf.DUMMYFUNCTION("""COMPUTED_VALUE"""),"A Académico")</f>
        <v>A Académico</v>
      </c>
      <c r="S271" s="9" t="str">
        <f>IFERROR(__xludf.DUMMYFUNCTION("""COMPUTED_VALUE"""),"34420467")</f>
        <v>34420467</v>
      </c>
      <c r="T271" s="1" t="str">
        <f>IFERROR(__xludf.DUMMYFUNCTION("""COMPUTED_VALUE"""),"0034420467")</f>
        <v>0034420467</v>
      </c>
      <c r="U271" s="1">
        <f>IFERROR(__xludf.DUMMYFUNCTION("""COMPUTED_VALUE"""),22.0)</f>
        <v>22</v>
      </c>
      <c r="V271" s="1" t="str">
        <f>IFERROR(__xludf.DUMMYFUNCTION("""COMPUTED_VALUE"""),"P0401 Licenciado")</f>
        <v>P0401 Licenciado</v>
      </c>
      <c r="W271" s="1">
        <f>IFERROR(__xludf.DUMMYFUNCTION("""COMPUTED_VALUE"""),29049.0)</f>
        <v>29049</v>
      </c>
      <c r="X271" s="1" t="str">
        <f>IFERROR(__xludf.DUMMYFUNCTION("""COMPUTED_VALUE"""),"Universidad De Chile")</f>
        <v>Universidad De Chile</v>
      </c>
      <c r="Y271" s="1" t="str">
        <f>IFERROR(__xludf.DUMMYFUNCTION("""COMPUTED_VALUE"""),"CHILE")</f>
        <v>CHILE</v>
      </c>
      <c r="Z271" s="1" t="str">
        <f>IFERROR(__xludf.DUMMYFUNCTION("""COMPUTED_VALUE"""),"T5054 Licenciado en Antropologia")</f>
        <v>T5054 Licenciado en Antropologia</v>
      </c>
    </row>
    <row r="272" hidden="1">
      <c r="A272" s="1" t="str">
        <f>IFERROR(__xludf.DUMMYFUNCTION("""COMPUTED_VALUE"""),"12090701 Departamento de Psicología")</f>
        <v>12090701 Departamento de Psicología</v>
      </c>
      <c r="B272" s="1" t="str">
        <f>IFERROR(__xludf.DUMMYFUNCTION("""COMPUTED_VALUE"""),"A3A001 Académico Prof. Asistente")</f>
        <v>A3A001 Académico Prof. Asistente</v>
      </c>
      <c r="C272" s="1" t="str">
        <f>IFERROR(__xludf.DUMMYFUNCTION("""COMPUTED_VALUE"""),"Prof. Asistente - Categ. Academica Ord.")</f>
        <v>Prof. Asistente - Categ. Academica Ord.</v>
      </c>
      <c r="D272" s="1" t="str">
        <f>IFERROR(__xludf.DUMMYFUNCTION("""COMPUTED_VALUE"""),"A3A Prof. Asistente - Categ. Academica Ord.")</f>
        <v>A3A Prof. Asistente - Categ. Academica Ord.</v>
      </c>
      <c r="E272" s="1" t="str">
        <f>IFERROR(__xludf.DUMMYFUNCTION("""COMPUTED_VALUE"""),"Masculino")</f>
        <v>Masculino</v>
      </c>
      <c r="F272" s="1" t="str">
        <f>IFERROR(__xludf.DUMMYFUNCTION("""COMPUTED_VALUE"""),"Reyes")</f>
        <v>Reyes</v>
      </c>
      <c r="G272" s="1" t="str">
        <f>IFERROR(__xludf.DUMMYFUNCTION("""COMPUTED_VALUE"""),"Figueroa")</f>
        <v>Figueroa</v>
      </c>
      <c r="H272" s="1" t="str">
        <f>IFERROR(__xludf.DUMMYFUNCTION("""COMPUTED_VALUE"""),"Carlos Gabriel")</f>
        <v>Carlos Gabriel</v>
      </c>
      <c r="I272" s="1" t="str">
        <f>IFERROR(__xludf.DUMMYFUNCTION("""COMPUTED_VALUE"""),"Reyes Figueroa Carlos Gabriel")</f>
        <v>Reyes Figueroa Carlos Gabriel</v>
      </c>
      <c r="J272" s="10">
        <f>IFERROR(__xludf.DUMMYFUNCTION("""COMPUTED_VALUE"""),26299.0)</f>
        <v>26299</v>
      </c>
      <c r="K272" s="10">
        <f>IFERROR(__xludf.DUMMYFUNCTION("""COMPUTED_VALUE"""),17056.0)</f>
        <v>17056</v>
      </c>
      <c r="L272" s="1">
        <f>IFERROR(__xludf.DUMMYFUNCTION("""COMPUTED_VALUE"""),77.0)</f>
        <v>77</v>
      </c>
      <c r="M272" s="1" t="str">
        <f>IFERROR(__xludf.DUMMYFUNCTION("""COMPUTED_VALUE"""),"0001 Casado")</f>
        <v>0001 Casado</v>
      </c>
      <c r="N272" s="1"/>
      <c r="O272" s="10">
        <f>IFERROR(__xludf.DUMMYFUNCTION("""COMPUTED_VALUE"""),32690.0)</f>
        <v>32690</v>
      </c>
      <c r="P272" s="10">
        <f>IFERROR(__xludf.DUMMYFUNCTION("""COMPUTED_VALUE"""),34789.0)</f>
        <v>34789</v>
      </c>
      <c r="Q272" s="1" t="str">
        <f>IFERROR(__xludf.DUMMYFUNCTION("""COMPUTED_VALUE"""),"P Propiedad")</f>
        <v>P Propiedad</v>
      </c>
      <c r="R272" s="1" t="str">
        <f>IFERROR(__xludf.DUMMYFUNCTION("""COMPUTED_VALUE"""),"A Académico")</f>
        <v>A Académico</v>
      </c>
      <c r="S272" s="9" t="str">
        <f>IFERROR(__xludf.DUMMYFUNCTION("""COMPUTED_VALUE"""),"52588529")</f>
        <v>52588529</v>
      </c>
      <c r="T272" s="1" t="str">
        <f>IFERROR(__xludf.DUMMYFUNCTION("""COMPUTED_VALUE"""),"0052588529")</f>
        <v>0052588529</v>
      </c>
      <c r="U272" s="1">
        <f>IFERROR(__xludf.DUMMYFUNCTION("""COMPUTED_VALUE"""),44.0)</f>
        <v>44</v>
      </c>
      <c r="V272" s="1"/>
      <c r="W272" s="1"/>
      <c r="X272" s="1"/>
      <c r="Y272" s="1"/>
      <c r="Z272" s="1"/>
    </row>
    <row r="273">
      <c r="A273" s="1" t="str">
        <f>IFERROR(__xludf.DUMMYFUNCTION("""COMPUTED_VALUE"""),"12090501 Departamento de Investigaciónes Mediáticas y de la Comunicación")</f>
        <v>12090501 Departamento de Investigaciónes Mediáticas y de la Comunicación</v>
      </c>
      <c r="B273" s="1" t="str">
        <f>IFERROR(__xludf.DUMMYFUNCTION("""COMPUTED_VALUE"""),"A4A001 ACADEMICO  INSTRUCTOR")</f>
        <v>A4A001 ACADEMICO  INSTRUCTOR</v>
      </c>
      <c r="C273" s="1" t="str">
        <f>IFERROR(__xludf.DUMMYFUNCTION("""COMPUTED_VALUE"""),"Instructor")</f>
        <v>Instructor</v>
      </c>
      <c r="D273" s="1" t="str">
        <f>IFERROR(__xludf.DUMMYFUNCTION("""COMPUTED_VALUE"""),"A4A Instructor")</f>
        <v>A4A Instructor</v>
      </c>
      <c r="E273" s="1" t="str">
        <f>IFERROR(__xludf.DUMMYFUNCTION("""COMPUTED_VALUE"""),"Masculino")</f>
        <v>Masculino</v>
      </c>
      <c r="F273" s="1" t="str">
        <f>IFERROR(__xludf.DUMMYFUNCTION("""COMPUTED_VALUE"""),"Reyes")</f>
        <v>Reyes</v>
      </c>
      <c r="G273" s="1" t="str">
        <f>IFERROR(__xludf.DUMMYFUNCTION("""COMPUTED_VALUE"""),"Peña")</f>
        <v>Peña</v>
      </c>
      <c r="H273" s="1" t="str">
        <f>IFERROR(__xludf.DUMMYFUNCTION("""COMPUTED_VALUE"""),"Oscar Alfredo")</f>
        <v>Oscar Alfredo</v>
      </c>
      <c r="I273" s="1" t="str">
        <f>IFERROR(__xludf.DUMMYFUNCTION("""COMPUTED_VALUE"""),"Reyes Peña Oscar Alfredo")</f>
        <v>Reyes Peña Oscar Alfredo</v>
      </c>
      <c r="J273" s="10">
        <f>IFERROR(__xludf.DUMMYFUNCTION("""COMPUTED_VALUE"""),33756.0)</f>
        <v>33756</v>
      </c>
      <c r="K273" s="10">
        <f>IFERROR(__xludf.DUMMYFUNCTION("""COMPUTED_VALUE"""),19774.0)</f>
        <v>19774</v>
      </c>
      <c r="L273" s="1">
        <f>IFERROR(__xludf.DUMMYFUNCTION("""COMPUTED_VALUE"""),69.0)</f>
        <v>69</v>
      </c>
      <c r="M273" s="1" t="str">
        <f>IFERROR(__xludf.DUMMYFUNCTION("""COMPUTED_VALUE"""),"0001 Casado")</f>
        <v>0001 Casado</v>
      </c>
      <c r="N273" s="1"/>
      <c r="O273" s="10">
        <f>IFERROR(__xludf.DUMMYFUNCTION("""COMPUTED_VALUE"""),34213.0)</f>
        <v>34213</v>
      </c>
      <c r="P273" s="10">
        <f>IFERROR(__xludf.DUMMYFUNCTION("""COMPUTED_VALUE"""),34789.0)</f>
        <v>34789</v>
      </c>
      <c r="Q273" s="1" t="str">
        <f>IFERROR(__xludf.DUMMYFUNCTION("""COMPUTED_VALUE"""),"P Propiedad")</f>
        <v>P Propiedad</v>
      </c>
      <c r="R273" s="1" t="str">
        <f>IFERROR(__xludf.DUMMYFUNCTION("""COMPUTED_VALUE"""),"A Académico")</f>
        <v>A Académico</v>
      </c>
      <c r="S273" s="9" t="str">
        <f>IFERROR(__xludf.DUMMYFUNCTION("""COMPUTED_VALUE"""),"72662237")</f>
        <v>72662237</v>
      </c>
      <c r="T273" s="1" t="str">
        <f>IFERROR(__xludf.DUMMYFUNCTION("""COMPUTED_VALUE"""),"0072662237")</f>
        <v>0072662237</v>
      </c>
      <c r="U273" s="1">
        <f>IFERROR(__xludf.DUMMYFUNCTION("""COMPUTED_VALUE"""),12.0)</f>
        <v>12</v>
      </c>
      <c r="V273" s="1"/>
      <c r="W273" s="1"/>
      <c r="X273" s="1"/>
      <c r="Y273" s="1"/>
      <c r="Z273" s="1"/>
    </row>
    <row r="274" hidden="1">
      <c r="A274" s="1" t="str">
        <f>IFERROR(__xludf.DUMMYFUNCTION("""COMPUTED_VALUE"""),"12090801 Departamento de Sociología")</f>
        <v>12090801 Departamento de Sociología</v>
      </c>
      <c r="B274" s="1" t="str">
        <f>IFERROR(__xludf.DUMMYFUNCTION("""COMPUTED_VALUE"""),"A3A001 Académico Prof. Asistente")</f>
        <v>A3A001 Académico Prof. Asistente</v>
      </c>
      <c r="C274" s="1" t="str">
        <f>IFERROR(__xludf.DUMMYFUNCTION("""COMPUTED_VALUE"""),"Prof. Asistente - Categ. Academica Ord.")</f>
        <v>Prof. Asistente - Categ. Academica Ord.</v>
      </c>
      <c r="D274" s="1" t="str">
        <f>IFERROR(__xludf.DUMMYFUNCTION("""COMPUTED_VALUE"""),"A3A Prof. Asistente - Categ. Academica Ord.")</f>
        <v>A3A Prof. Asistente - Categ. Academica Ord.</v>
      </c>
      <c r="E274" s="1" t="str">
        <f>IFERROR(__xludf.DUMMYFUNCTION("""COMPUTED_VALUE"""),"Masculino")</f>
        <v>Masculino</v>
      </c>
      <c r="F274" s="1" t="str">
        <f>IFERROR(__xludf.DUMMYFUNCTION("""COMPUTED_VALUE"""),"Ríos")</f>
        <v>Ríos</v>
      </c>
      <c r="G274" s="1" t="str">
        <f>IFERROR(__xludf.DUMMYFUNCTION("""COMPUTED_VALUE"""),"Castro")</f>
        <v>Castro</v>
      </c>
      <c r="H274" s="1" t="str">
        <f>IFERROR(__xludf.DUMMYFUNCTION("""COMPUTED_VALUE"""),"Tulio Rodrigo")</f>
        <v>Tulio Rodrigo</v>
      </c>
      <c r="I274" s="1" t="str">
        <f>IFERROR(__xludf.DUMMYFUNCTION("""COMPUTED_VALUE"""),"Ríos Castro Tulio Rodrigo")</f>
        <v>Ríos Castro Tulio Rodrigo</v>
      </c>
      <c r="J274" s="10">
        <f>IFERROR(__xludf.DUMMYFUNCTION("""COMPUTED_VALUE"""),26146.0)</f>
        <v>26146</v>
      </c>
      <c r="K274" s="10">
        <f>IFERROR(__xludf.DUMMYFUNCTION("""COMPUTED_VALUE"""),17299.0)</f>
        <v>17299</v>
      </c>
      <c r="L274" s="1">
        <f>IFERROR(__xludf.DUMMYFUNCTION("""COMPUTED_VALUE"""),76.0)</f>
        <v>76</v>
      </c>
      <c r="M274" s="1" t="str">
        <f>IFERROR(__xludf.DUMMYFUNCTION("""COMPUTED_VALUE"""),"0003 Viudo")</f>
        <v>0003 Viudo</v>
      </c>
      <c r="N274" s="1"/>
      <c r="O274" s="10">
        <f>IFERROR(__xludf.DUMMYFUNCTION("""COMPUTED_VALUE"""),33390.0)</f>
        <v>33390</v>
      </c>
      <c r="P274" s="10">
        <f>IFERROR(__xludf.DUMMYFUNCTION("""COMPUTED_VALUE"""),34789.0)</f>
        <v>34789</v>
      </c>
      <c r="Q274" s="1" t="str">
        <f>IFERROR(__xludf.DUMMYFUNCTION("""COMPUTED_VALUE"""),"P Propiedad")</f>
        <v>P Propiedad</v>
      </c>
      <c r="R274" s="1" t="str">
        <f>IFERROR(__xludf.DUMMYFUNCTION("""COMPUTED_VALUE"""),"A Académico")</f>
        <v>A Académico</v>
      </c>
      <c r="S274" s="9" t="str">
        <f>IFERROR(__xludf.DUMMYFUNCTION("""COMPUTED_VALUE"""),"56716424")</f>
        <v>56716424</v>
      </c>
      <c r="T274" s="1" t="str">
        <f>IFERROR(__xludf.DUMMYFUNCTION("""COMPUTED_VALUE"""),"0056716424")</f>
        <v>0056716424</v>
      </c>
      <c r="U274" s="1">
        <f>IFERROR(__xludf.DUMMYFUNCTION("""COMPUTED_VALUE"""),4.0)</f>
        <v>4</v>
      </c>
      <c r="V274" s="1"/>
      <c r="W274" s="1"/>
      <c r="X274" s="1"/>
      <c r="Y274" s="1"/>
      <c r="Z274" s="1"/>
    </row>
    <row r="275" hidden="1">
      <c r="A275" s="1" t="str">
        <f>IFERROR(__xludf.DUMMYFUNCTION("""COMPUTED_VALUE"""),"12090801 Departamento de Sociología")</f>
        <v>12090801 Departamento de Sociología</v>
      </c>
      <c r="B275" s="1" t="str">
        <f>IFERROR(__xludf.DUMMYFUNCTION("""COMPUTED_VALUE"""),"A3A001 Académico Prof. Asistente")</f>
        <v>A3A001 Académico Prof. Asistente</v>
      </c>
      <c r="C275" s="1" t="str">
        <f>IFERROR(__xludf.DUMMYFUNCTION("""COMPUTED_VALUE"""),"Prof. Asistente - Categ. Academica Ord.")</f>
        <v>Prof. Asistente - Categ. Academica Ord.</v>
      </c>
      <c r="D275" s="1" t="str">
        <f>IFERROR(__xludf.DUMMYFUNCTION("""COMPUTED_VALUE"""),"A3A Prof. Asistente - Categ. Academica Ord.")</f>
        <v>A3A Prof. Asistente - Categ. Academica Ord.</v>
      </c>
      <c r="E275" s="1" t="str">
        <f>IFERROR(__xludf.DUMMYFUNCTION("""COMPUTED_VALUE"""),"Masculino")</f>
        <v>Masculino</v>
      </c>
      <c r="F275" s="1" t="str">
        <f>IFERROR(__xludf.DUMMYFUNCTION("""COMPUTED_VALUE"""),"Ríos")</f>
        <v>Ríos</v>
      </c>
      <c r="G275" s="1" t="str">
        <f>IFERROR(__xludf.DUMMYFUNCTION("""COMPUTED_VALUE"""),"Castro")</f>
        <v>Castro</v>
      </c>
      <c r="H275" s="1" t="str">
        <f>IFERROR(__xludf.DUMMYFUNCTION("""COMPUTED_VALUE"""),"Tulio Rodrigo")</f>
        <v>Tulio Rodrigo</v>
      </c>
      <c r="I275" s="1" t="str">
        <f>IFERROR(__xludf.DUMMYFUNCTION("""COMPUTED_VALUE"""),"Ríos Castro Tulio Rodrigo")</f>
        <v>Ríos Castro Tulio Rodrigo</v>
      </c>
      <c r="J275" s="10">
        <f>IFERROR(__xludf.DUMMYFUNCTION("""COMPUTED_VALUE"""),26146.0)</f>
        <v>26146</v>
      </c>
      <c r="K275" s="10">
        <f>IFERROR(__xludf.DUMMYFUNCTION("""COMPUTED_VALUE"""),17299.0)</f>
        <v>17299</v>
      </c>
      <c r="L275" s="1">
        <f>IFERROR(__xludf.DUMMYFUNCTION("""COMPUTED_VALUE"""),76.0)</f>
        <v>76</v>
      </c>
      <c r="M275" s="1" t="str">
        <f>IFERROR(__xludf.DUMMYFUNCTION("""COMPUTED_VALUE"""),"0003 Viudo")</f>
        <v>0003 Viudo</v>
      </c>
      <c r="N275" s="1"/>
      <c r="O275" s="10">
        <f>IFERROR(__xludf.DUMMYFUNCTION("""COMPUTED_VALUE"""),33451.0)</f>
        <v>33451</v>
      </c>
      <c r="P275" s="10">
        <f>IFERROR(__xludf.DUMMYFUNCTION("""COMPUTED_VALUE"""),34789.0)</f>
        <v>34789</v>
      </c>
      <c r="Q275" s="1" t="str">
        <f>IFERROR(__xludf.DUMMYFUNCTION("""COMPUTED_VALUE"""),"P Propiedad")</f>
        <v>P Propiedad</v>
      </c>
      <c r="R275" s="1" t="str">
        <f>IFERROR(__xludf.DUMMYFUNCTION("""COMPUTED_VALUE"""),"A Académico")</f>
        <v>A Académico</v>
      </c>
      <c r="S275" s="9" t="str">
        <f>IFERROR(__xludf.DUMMYFUNCTION("""COMPUTED_VALUE"""),"56716424")</f>
        <v>56716424</v>
      </c>
      <c r="T275" s="1" t="str">
        <f>IFERROR(__xludf.DUMMYFUNCTION("""COMPUTED_VALUE"""),"0056716424")</f>
        <v>0056716424</v>
      </c>
      <c r="U275" s="1">
        <f>IFERROR(__xludf.DUMMYFUNCTION("""COMPUTED_VALUE"""),4.0)</f>
        <v>4</v>
      </c>
      <c r="V275" s="1"/>
      <c r="W275" s="1"/>
      <c r="X275" s="1"/>
      <c r="Y275" s="1"/>
      <c r="Z275" s="1"/>
    </row>
    <row r="276">
      <c r="A276" s="1" t="str">
        <f>IFERROR(__xludf.DUMMYFUNCTION("""COMPUTED_VALUE"""),"12090701 Departamento de Psicología")</f>
        <v>12090701 Departamento de Psicología</v>
      </c>
      <c r="B276" s="1" t="str">
        <f>IFERROR(__xludf.DUMMYFUNCTION("""COMPUTED_VALUE"""),"A5A001 ACADEMICO AYUDANTE")</f>
        <v>A5A001 ACADEMICO AYUDANTE</v>
      </c>
      <c r="C276" s="1" t="str">
        <f>IFERROR(__xludf.DUMMYFUNCTION("""COMPUTED_VALUE"""),"Ayudante")</f>
        <v>Ayudante</v>
      </c>
      <c r="D276" s="1" t="str">
        <f>IFERROR(__xludf.DUMMYFUNCTION("""COMPUTED_VALUE"""),"A5A Ayudante")</f>
        <v>A5A Ayudante</v>
      </c>
      <c r="E276" s="1" t="str">
        <f>IFERROR(__xludf.DUMMYFUNCTION("""COMPUTED_VALUE"""),"Femenino")</f>
        <v>Femenino</v>
      </c>
      <c r="F276" s="1" t="str">
        <f>IFERROR(__xludf.DUMMYFUNCTION("""COMPUTED_VALUE"""),"Ríos")</f>
        <v>Ríos</v>
      </c>
      <c r="G276" s="1" t="str">
        <f>IFERROR(__xludf.DUMMYFUNCTION("""COMPUTED_VALUE"""),"Palma")</f>
        <v>Palma</v>
      </c>
      <c r="H276" s="1" t="str">
        <f>IFERROR(__xludf.DUMMYFUNCTION("""COMPUTED_VALUE"""),"Paula")</f>
        <v>Paula</v>
      </c>
      <c r="I276" s="1" t="str">
        <f>IFERROR(__xludf.DUMMYFUNCTION("""COMPUTED_VALUE"""),"Ríos Palma Paula")</f>
        <v>Ríos Palma Paula</v>
      </c>
      <c r="J276" s="10">
        <f>IFERROR(__xludf.DUMMYFUNCTION("""COMPUTED_VALUE"""),35400.0)</f>
        <v>35400</v>
      </c>
      <c r="K276" s="10">
        <f>IFERROR(__xludf.DUMMYFUNCTION("""COMPUTED_VALUE"""),24538.0)</f>
        <v>24538</v>
      </c>
      <c r="L276" s="1">
        <f>IFERROR(__xludf.DUMMYFUNCTION("""COMPUTED_VALUE"""),56.0)</f>
        <v>56</v>
      </c>
      <c r="M276" s="1" t="str">
        <f>IFERROR(__xludf.DUMMYFUNCTION("""COMPUTED_VALUE"""),"0001 Casado")</f>
        <v>0001 Casado</v>
      </c>
      <c r="N276" s="1"/>
      <c r="O276" s="10">
        <f>IFERROR(__xludf.DUMMYFUNCTION("""COMPUTED_VALUE"""),36526.0)</f>
        <v>36526</v>
      </c>
      <c r="P276" s="10">
        <f>IFERROR(__xludf.DUMMYFUNCTION("""COMPUTED_VALUE"""),36769.0)</f>
        <v>36769</v>
      </c>
      <c r="Q276" s="1" t="str">
        <f>IFERROR(__xludf.DUMMYFUNCTION("""COMPUTED_VALUE"""),"C Contrata")</f>
        <v>C Contrata</v>
      </c>
      <c r="R276" s="1" t="str">
        <f>IFERROR(__xludf.DUMMYFUNCTION("""COMPUTED_VALUE"""),"A Académico")</f>
        <v>A Académico</v>
      </c>
      <c r="S276" s="9" t="str">
        <f>IFERROR(__xludf.DUMMYFUNCTION("""COMPUTED_VALUE"""),"104891594")</f>
        <v>104891594</v>
      </c>
      <c r="T276" s="1" t="str">
        <f>IFERROR(__xludf.DUMMYFUNCTION("""COMPUTED_VALUE"""),"0104891594")</f>
        <v>0104891594</v>
      </c>
      <c r="U276" s="1">
        <f>IFERROR(__xludf.DUMMYFUNCTION("""COMPUTED_VALUE"""),6.0)</f>
        <v>6</v>
      </c>
      <c r="V276" s="1"/>
      <c r="W276" s="1"/>
      <c r="X276" s="1"/>
      <c r="Y276" s="1"/>
      <c r="Z276" s="1"/>
    </row>
    <row r="277" hidden="1">
      <c r="A277" s="1" t="str">
        <f>IFERROR(__xludf.DUMMYFUNCTION("""COMPUTED_VALUE"""),"12090601 Departamento de Educación")</f>
        <v>12090601 Departamento de Educación</v>
      </c>
      <c r="B277" s="1" t="str">
        <f>IFERROR(__xludf.DUMMYFUNCTION("""COMPUTED_VALUE"""),"A3B001 Académico Prof. Asistente")</f>
        <v>A3B001 Académico Prof. Asistente</v>
      </c>
      <c r="C277" s="1" t="str">
        <f>IFERROR(__xludf.DUMMYFUNCTION("""COMPUTED_VALUE"""),"Prof. Asistente - Categ. Academica Doc.")</f>
        <v>Prof. Asistente - Categ. Academica Doc.</v>
      </c>
      <c r="D277" s="1" t="str">
        <f>IFERROR(__xludf.DUMMYFUNCTION("""COMPUTED_VALUE"""),"A3B Prof. Asistente - Categ. Academica Doc.")</f>
        <v>A3B Prof. Asistente - Categ. Academica Doc.</v>
      </c>
      <c r="E277" s="1" t="str">
        <f>IFERROR(__xludf.DUMMYFUNCTION("""COMPUTED_VALUE"""),"Femenino")</f>
        <v>Femenino</v>
      </c>
      <c r="F277" s="1" t="str">
        <f>IFERROR(__xludf.DUMMYFUNCTION("""COMPUTED_VALUE"""),"Ríos")</f>
        <v>Ríos</v>
      </c>
      <c r="G277" s="1" t="str">
        <f>IFERROR(__xludf.DUMMYFUNCTION("""COMPUTED_VALUE"""),"Saavedra")</f>
        <v>Saavedra</v>
      </c>
      <c r="H277" s="1" t="str">
        <f>IFERROR(__xludf.DUMMYFUNCTION("""COMPUTED_VALUE"""),"Teresa Gertrudis")</f>
        <v>Teresa Gertrudis</v>
      </c>
      <c r="I277" s="1" t="str">
        <f>IFERROR(__xludf.DUMMYFUNCTION("""COMPUTED_VALUE"""),"Ríos Saavedra Teresa Gertrudis")</f>
        <v>Ríos Saavedra Teresa Gertrudis</v>
      </c>
      <c r="J277" s="10">
        <f>IFERROR(__xludf.DUMMYFUNCTION("""COMPUTED_VALUE"""),38869.0)</f>
        <v>38869</v>
      </c>
      <c r="K277" s="10">
        <f>IFERROR(__xludf.DUMMYFUNCTION("""COMPUTED_VALUE"""),19019.0)</f>
        <v>19019</v>
      </c>
      <c r="L277" s="1">
        <f>IFERROR(__xludf.DUMMYFUNCTION("""COMPUTED_VALUE"""),71.0)</f>
        <v>71</v>
      </c>
      <c r="M277" s="1" t="str">
        <f>IFERROR(__xludf.DUMMYFUNCTION("""COMPUTED_VALUE"""),"0001 Casado")</f>
        <v>0001 Casado</v>
      </c>
      <c r="N277" s="1"/>
      <c r="O277" s="10">
        <f>IFERROR(__xludf.DUMMYFUNCTION("""COMPUTED_VALUE"""),39083.0)</f>
        <v>39083</v>
      </c>
      <c r="P277" s="10">
        <f>IFERROR(__xludf.DUMMYFUNCTION("""COMPUTED_VALUE"""),39294.0)</f>
        <v>39294</v>
      </c>
      <c r="Q277" s="1" t="str">
        <f>IFERROR(__xludf.DUMMYFUNCTION("""COMPUTED_VALUE"""),"C Contrata")</f>
        <v>C Contrata</v>
      </c>
      <c r="R277" s="1" t="str">
        <f>IFERROR(__xludf.DUMMYFUNCTION("""COMPUTED_VALUE"""),"A Académico")</f>
        <v>A Académico</v>
      </c>
      <c r="S277" s="9" t="str">
        <f>IFERROR(__xludf.DUMMYFUNCTION("""COMPUTED_VALUE"""),"69206484")</f>
        <v>69206484</v>
      </c>
      <c r="T277" s="1" t="str">
        <f>IFERROR(__xludf.DUMMYFUNCTION("""COMPUTED_VALUE"""),"0069206484")</f>
        <v>0069206484</v>
      </c>
      <c r="U277" s="1">
        <f>IFERROR(__xludf.DUMMYFUNCTION("""COMPUTED_VALUE"""),12.0)</f>
        <v>12</v>
      </c>
      <c r="V277" s="1"/>
      <c r="W277" s="1"/>
      <c r="X277" s="1"/>
      <c r="Y277" s="1"/>
      <c r="Z277" s="1" t="str">
        <f>IFERROR(__xludf.DUMMYFUNCTION("""COMPUTED_VALUE"""),"T5121 Profesor Normalista")</f>
        <v>T5121 Profesor Normalista</v>
      </c>
    </row>
    <row r="278">
      <c r="A278" s="1" t="str">
        <f>IFERROR(__xludf.DUMMYFUNCTION("""COMPUTED_VALUE"""),"12090117 Dpto. Educación (funcionamiento)")</f>
        <v>12090117 Dpto. Educación (funcionamiento)</v>
      </c>
      <c r="B278" s="1" t="str">
        <f>IFERROR(__xludf.DUMMYFUNCTION("""COMPUTED_VALUE"""),"A3B001 Académico Prof. Asistente")</f>
        <v>A3B001 Académico Prof. Asistente</v>
      </c>
      <c r="C278" s="1" t="str">
        <f>IFERROR(__xludf.DUMMYFUNCTION("""COMPUTED_VALUE"""),"Prof. Asistente - Categ. Academica Doc.")</f>
        <v>Prof. Asistente - Categ. Academica Doc.</v>
      </c>
      <c r="D278" s="1" t="str">
        <f>IFERROR(__xludf.DUMMYFUNCTION("""COMPUTED_VALUE"""),"A3B Prof. Asistente - Categ. Academica Doc.")</f>
        <v>A3B Prof. Asistente - Categ. Academica Doc.</v>
      </c>
      <c r="E278" s="1" t="str">
        <f>IFERROR(__xludf.DUMMYFUNCTION("""COMPUTED_VALUE"""),"Femenino")</f>
        <v>Femenino</v>
      </c>
      <c r="F278" s="1" t="str">
        <f>IFERROR(__xludf.DUMMYFUNCTION("""COMPUTED_VALUE"""),"Riquelme")</f>
        <v>Riquelme</v>
      </c>
      <c r="G278" s="1" t="str">
        <f>IFERROR(__xludf.DUMMYFUNCTION("""COMPUTED_VALUE"""),"Arredondo")</f>
        <v>Arredondo</v>
      </c>
      <c r="H278" s="1" t="str">
        <f>IFERROR(__xludf.DUMMYFUNCTION("""COMPUTED_VALUE"""),"Angélica Alejandra")</f>
        <v>Angélica Alejandra</v>
      </c>
      <c r="I278" s="1" t="str">
        <f>IFERROR(__xludf.DUMMYFUNCTION("""COMPUTED_VALUE"""),"Riquelme Arredondo Angélica Alejandra")</f>
        <v>Riquelme Arredondo Angélica Alejandra</v>
      </c>
      <c r="J278" s="10">
        <f>IFERROR(__xludf.DUMMYFUNCTION("""COMPUTED_VALUE"""),38899.0)</f>
        <v>38899</v>
      </c>
      <c r="K278" s="10">
        <f>IFERROR(__xludf.DUMMYFUNCTION("""COMPUTED_VALUE"""),26787.0)</f>
        <v>26787</v>
      </c>
      <c r="L278" s="1">
        <f>IFERROR(__xludf.DUMMYFUNCTION("""COMPUTED_VALUE"""),50.0)</f>
        <v>50</v>
      </c>
      <c r="M278" s="1" t="str">
        <f>IFERROR(__xludf.DUMMYFUNCTION("""COMPUTED_VALUE"""),"0002 Soltero")</f>
        <v>0002 Soltero</v>
      </c>
      <c r="N278" s="1"/>
      <c r="O278" s="10">
        <f>IFERROR(__xludf.DUMMYFUNCTION("""COMPUTED_VALUE"""),42736.0)</f>
        <v>42736</v>
      </c>
      <c r="P278" s="10">
        <f>IFERROR(__xludf.DUMMYFUNCTION("""COMPUTED_VALUE"""),43100.0)</f>
        <v>43100</v>
      </c>
      <c r="Q278" s="1" t="str">
        <f>IFERROR(__xludf.DUMMYFUNCTION("""COMPUTED_VALUE"""),"C Contrata")</f>
        <v>C Contrata</v>
      </c>
      <c r="R278" s="1" t="str">
        <f>IFERROR(__xludf.DUMMYFUNCTION("""COMPUTED_VALUE"""),"A Académico")</f>
        <v>A Académico</v>
      </c>
      <c r="S278" s="9" t="str">
        <f>IFERROR(__xludf.DUMMYFUNCTION("""COMPUTED_VALUE"""),"012436258K")</f>
        <v>012436258K</v>
      </c>
      <c r="T278" s="1" t="str">
        <f>IFERROR(__xludf.DUMMYFUNCTION("""COMPUTED_VALUE"""),"012436258K")</f>
        <v>012436258K</v>
      </c>
      <c r="U278" s="1">
        <f>IFERROR(__xludf.DUMMYFUNCTION("""COMPUTED_VALUE"""),44.0)</f>
        <v>44</v>
      </c>
      <c r="V278" s="1" t="str">
        <f>IFERROR(__xludf.DUMMYFUNCTION("""COMPUTED_VALUE"""),"P0855 Magister En Educacion")</f>
        <v>P0855 Magister En Educacion</v>
      </c>
      <c r="W278" s="1">
        <f>IFERROR(__xludf.DUMMYFUNCTION("""COMPUTED_VALUE"""),37987.0)</f>
        <v>37987</v>
      </c>
      <c r="X278" s="1" t="str">
        <f>IFERROR(__xludf.DUMMYFUNCTION("""COMPUTED_VALUE"""),"Universidad De Chile")</f>
        <v>Universidad De Chile</v>
      </c>
      <c r="Y278" s="1" t="str">
        <f>IFERROR(__xludf.DUMMYFUNCTION("""COMPUTED_VALUE"""),"CHILE")</f>
        <v>CHILE</v>
      </c>
      <c r="Z278" s="1" t="str">
        <f>IFERROR(__xludf.DUMMYFUNCTION("""COMPUTED_VALUE"""),"T5020 Educadora De Parvulos")</f>
        <v>T5020 Educadora De Parvulos</v>
      </c>
    </row>
    <row r="279" hidden="1">
      <c r="A279" s="1" t="str">
        <f>IFERROR(__xludf.DUMMYFUNCTION("""COMPUTED_VALUE"""),"12090701 Departamento de Psicología")</f>
        <v>12090701 Departamento de Psicología</v>
      </c>
      <c r="B279" s="1" t="str">
        <f>IFERROR(__xludf.DUMMYFUNCTION("""COMPUTED_VALUE"""),"A3A001 Académico Prof. Asistente")</f>
        <v>A3A001 Académico Prof. Asistente</v>
      </c>
      <c r="C279" s="1" t="str">
        <f>IFERROR(__xludf.DUMMYFUNCTION("""COMPUTED_VALUE"""),"Prof. Asistente - Categ. Academica Ord.")</f>
        <v>Prof. Asistente - Categ. Academica Ord.</v>
      </c>
      <c r="D279" s="1" t="str">
        <f>IFERROR(__xludf.DUMMYFUNCTION("""COMPUTED_VALUE"""),"A3A Prof. Asistente - Categ. Academica Ord.")</f>
        <v>A3A Prof. Asistente - Categ. Academica Ord.</v>
      </c>
      <c r="E279" s="1" t="str">
        <f>IFERROR(__xludf.DUMMYFUNCTION("""COMPUTED_VALUE"""),"Masculino")</f>
        <v>Masculino</v>
      </c>
      <c r="F279" s="1" t="str">
        <f>IFERROR(__xludf.DUMMYFUNCTION("""COMPUTED_VALUE"""),"Riquelme")</f>
        <v>Riquelme</v>
      </c>
      <c r="G279" s="1" t="str">
        <f>IFERROR(__xludf.DUMMYFUNCTION("""COMPUTED_VALUE"""),"Vásquez")</f>
        <v>Vásquez</v>
      </c>
      <c r="H279" s="1" t="str">
        <f>IFERROR(__xludf.DUMMYFUNCTION("""COMPUTED_VALUE"""),"René Rubén")</f>
        <v>René Rubén</v>
      </c>
      <c r="I279" s="1" t="str">
        <f>IFERROR(__xludf.DUMMYFUNCTION("""COMPUTED_VALUE"""),"Riquelme Vásquez René Rubén")</f>
        <v>Riquelme Vásquez René Rubén</v>
      </c>
      <c r="J279" s="10">
        <f>IFERROR(__xludf.DUMMYFUNCTION("""COMPUTED_VALUE"""),30225.0)</f>
        <v>30225</v>
      </c>
      <c r="K279" s="10">
        <f>IFERROR(__xludf.DUMMYFUNCTION("""COMPUTED_VALUE"""),18897.0)</f>
        <v>18897</v>
      </c>
      <c r="L279" s="1">
        <f>IFERROR(__xludf.DUMMYFUNCTION("""COMPUTED_VALUE"""),72.0)</f>
        <v>72</v>
      </c>
      <c r="M279" s="1" t="str">
        <f>IFERROR(__xludf.DUMMYFUNCTION("""COMPUTED_VALUE"""),"0001 Casado")</f>
        <v>0001 Casado</v>
      </c>
      <c r="N279" s="1"/>
      <c r="O279" s="10">
        <f>IFERROR(__xludf.DUMMYFUNCTION("""COMPUTED_VALUE"""),36617.0)</f>
        <v>36617</v>
      </c>
      <c r="P279" s="10">
        <f>IFERROR(__xludf.DUMMYFUNCTION("""COMPUTED_VALUE"""),41578.0)</f>
        <v>41578</v>
      </c>
      <c r="Q279" s="1" t="str">
        <f>IFERROR(__xludf.DUMMYFUNCTION("""COMPUTED_VALUE"""),"P Propiedad")</f>
        <v>P Propiedad</v>
      </c>
      <c r="R279" s="1" t="str">
        <f>IFERROR(__xludf.DUMMYFUNCTION("""COMPUTED_VALUE"""),"A Académico")</f>
        <v>A Académico</v>
      </c>
      <c r="S279" s="9" t="str">
        <f>IFERROR(__xludf.DUMMYFUNCTION("""COMPUTED_VALUE"""),"56041532")</f>
        <v>56041532</v>
      </c>
      <c r="T279" s="1" t="str">
        <f>IFERROR(__xludf.DUMMYFUNCTION("""COMPUTED_VALUE"""),"0056041532")</f>
        <v>0056041532</v>
      </c>
      <c r="U279" s="1">
        <f>IFERROR(__xludf.DUMMYFUNCTION("""COMPUTED_VALUE"""),6.0)</f>
        <v>6</v>
      </c>
      <c r="V279" s="1" t="str">
        <f>IFERROR(__xludf.DUMMYFUNCTION("""COMPUTED_VALUE"""),"P0850 Magister")</f>
        <v>P0850 Magister</v>
      </c>
      <c r="W279" s="1">
        <f>IFERROR(__xludf.DUMMYFUNCTION("""COMPUTED_VALUE"""),36160.0)</f>
        <v>36160</v>
      </c>
      <c r="X279" s="1" t="str">
        <f>IFERROR(__xludf.DUMMYFUNCTION("""COMPUTED_VALUE"""),"L'Academia di Psicoterapia della Famiglia")</f>
        <v>L'Academia di Psicoterapia della Famiglia</v>
      </c>
      <c r="Y279" s="1" t="str">
        <f>IFERROR(__xludf.DUMMYFUNCTION("""COMPUTED_VALUE"""),"ITALIA")</f>
        <v>ITALIA</v>
      </c>
      <c r="Z279" s="1" t="str">
        <f>IFERROR(__xludf.DUMMYFUNCTION("""COMPUTED_VALUE"""),"T5070 Medico-Cirujano")</f>
        <v>T5070 Medico-Cirujano</v>
      </c>
    </row>
    <row r="280">
      <c r="A280" s="1" t="str">
        <f>IFERROR(__xludf.DUMMYFUNCTION("""COMPUTED_VALUE"""),"12090118 Dpto. de  Psicología (funcionamiento)")</f>
        <v>12090118 Dpto. de  Psicología (funcionamiento)</v>
      </c>
      <c r="B280" s="1" t="str">
        <f>IFERROR(__xludf.DUMMYFUNCTION("""COMPUTED_VALUE"""),"A3B001 Académico Prof. Asistente")</f>
        <v>A3B001 Académico Prof. Asistente</v>
      </c>
      <c r="C280" s="1" t="str">
        <f>IFERROR(__xludf.DUMMYFUNCTION("""COMPUTED_VALUE"""),"Prof. Asistente - Categ. Academica Doc.")</f>
        <v>Prof. Asistente - Categ. Academica Doc.</v>
      </c>
      <c r="D280" s="1" t="str">
        <f>IFERROR(__xludf.DUMMYFUNCTION("""COMPUTED_VALUE"""),"A3B Prof. Asistente - Categ. Academica Doc.")</f>
        <v>A3B Prof. Asistente - Categ. Academica Doc.</v>
      </c>
      <c r="E280" s="1" t="str">
        <f>IFERROR(__xludf.DUMMYFUNCTION("""COMPUTED_VALUE"""),"Masculino")</f>
        <v>Masculino</v>
      </c>
      <c r="F280" s="1" t="str">
        <f>IFERROR(__xludf.DUMMYFUNCTION("""COMPUTED_VALUE"""),"Rivera")</f>
        <v>Rivera</v>
      </c>
      <c r="G280" s="1" t="str">
        <f>IFERROR(__xludf.DUMMYFUNCTION("""COMPUTED_VALUE"""),"Rosa")</f>
        <v>Rosa</v>
      </c>
      <c r="H280" s="1" t="str">
        <f>IFERROR(__xludf.DUMMYFUNCTION("""COMPUTED_VALUE"""),"Miguel Luis")</f>
        <v>Miguel Luis</v>
      </c>
      <c r="I280" s="1" t="str">
        <f>IFERROR(__xludf.DUMMYFUNCTION("""COMPUTED_VALUE"""),"Rivera Rosa Miguel Luis")</f>
        <v>Rivera Rosa Miguel Luis</v>
      </c>
      <c r="J280" s="10">
        <f>IFERROR(__xludf.DUMMYFUNCTION("""COMPUTED_VALUE"""),34973.0)</f>
        <v>34973</v>
      </c>
      <c r="K280" s="10">
        <f>IFERROR(__xludf.DUMMYFUNCTION("""COMPUTED_VALUE"""),20754.0)</f>
        <v>20754</v>
      </c>
      <c r="L280" s="1">
        <f>IFERROR(__xludf.DUMMYFUNCTION("""COMPUTED_VALUE"""),67.0)</f>
        <v>67</v>
      </c>
      <c r="M280" s="1" t="str">
        <f>IFERROR(__xludf.DUMMYFUNCTION("""COMPUTED_VALUE"""),"0001 Casado")</f>
        <v>0001 Casado</v>
      </c>
      <c r="N280" s="1"/>
      <c r="O280" s="10">
        <f>IFERROR(__xludf.DUMMYFUNCTION("""COMPUTED_VALUE"""),42186.0)</f>
        <v>42186</v>
      </c>
      <c r="P280" s="10">
        <f>IFERROR(__xludf.DUMMYFUNCTION("""COMPUTED_VALUE"""),43677.0)</f>
        <v>43677</v>
      </c>
      <c r="Q280" s="1" t="str">
        <f>IFERROR(__xludf.DUMMYFUNCTION("""COMPUTED_VALUE"""),"P Propiedad")</f>
        <v>P Propiedad</v>
      </c>
      <c r="R280" s="1" t="str">
        <f>IFERROR(__xludf.DUMMYFUNCTION("""COMPUTED_VALUE"""),"A Académico")</f>
        <v>A Académico</v>
      </c>
      <c r="S280" s="9" t="str">
        <f>IFERROR(__xludf.DUMMYFUNCTION("""COMPUTED_VALUE"""),"68724058")</f>
        <v>68724058</v>
      </c>
      <c r="T280" s="1" t="str">
        <f>IFERROR(__xludf.DUMMYFUNCTION("""COMPUTED_VALUE"""),"0068724058")</f>
        <v>0068724058</v>
      </c>
      <c r="U280" s="1">
        <f>IFERROR(__xludf.DUMMYFUNCTION("""COMPUTED_VALUE"""),12.0)</f>
        <v>12</v>
      </c>
      <c r="V280" s="1" t="str">
        <f>IFERROR(__xludf.DUMMYFUNCTION("""COMPUTED_VALUE"""),"P0800 Magíster")</f>
        <v>P0800 Magíster</v>
      </c>
      <c r="W280" s="1">
        <f>IFERROR(__xludf.DUMMYFUNCTION("""COMPUTED_VALUE"""),40508.0)</f>
        <v>40508</v>
      </c>
      <c r="X280" s="1" t="str">
        <f>IFERROR(__xludf.DUMMYFUNCTION("""COMPUTED_VALUE"""),"University Of Essex")</f>
        <v>University Of Essex</v>
      </c>
      <c r="Y280" s="1" t="str">
        <f>IFERROR(__xludf.DUMMYFUNCTION("""COMPUTED_VALUE"""),"REINO UNIDO")</f>
        <v>REINO UNIDO</v>
      </c>
      <c r="Z280" s="1" t="str">
        <f>IFERROR(__xludf.DUMMYFUNCTION("""COMPUTED_VALUE"""),"T5124 Psicologo")</f>
        <v>T5124 Psicologo</v>
      </c>
    </row>
    <row r="281" hidden="1">
      <c r="A281" s="1" t="str">
        <f>IFERROR(__xludf.DUMMYFUNCTION("""COMPUTED_VALUE"""),"12090601 Departamento de Educación")</f>
        <v>12090601 Departamento de Educación</v>
      </c>
      <c r="B281" s="1" t="str">
        <f>IFERROR(__xludf.DUMMYFUNCTION("""COMPUTED_VALUE"""),"A1A001 Académico Prof. Titular")</f>
        <v>A1A001 Académico Prof. Titular</v>
      </c>
      <c r="C281" s="1" t="str">
        <f>IFERROR(__xludf.DUMMYFUNCTION("""COMPUTED_VALUE"""),"Prof.Titular - Categ. Academica Ord.")</f>
        <v>Prof.Titular - Categ. Academica Ord.</v>
      </c>
      <c r="D281" s="1" t="str">
        <f>IFERROR(__xludf.DUMMYFUNCTION("""COMPUTED_VALUE"""),"A1A Prof.Titular - Categ. Academica Ord.")</f>
        <v>A1A Prof.Titular - Categ. Academica Ord.</v>
      </c>
      <c r="E281" s="1" t="str">
        <f>IFERROR(__xludf.DUMMYFUNCTION("""COMPUTED_VALUE"""),"Masculino")</f>
        <v>Masculino</v>
      </c>
      <c r="F281" s="1" t="str">
        <f>IFERROR(__xludf.DUMMYFUNCTION("""COMPUTED_VALUE"""),"Riveros")</f>
        <v>Riveros</v>
      </c>
      <c r="G281" s="1" t="str">
        <f>IFERROR(__xludf.DUMMYFUNCTION("""COMPUTED_VALUE"""),"Cornejo")</f>
        <v>Cornejo</v>
      </c>
      <c r="H281" s="1" t="str">
        <f>IFERROR(__xludf.DUMMYFUNCTION("""COMPUTED_VALUE"""),"Luis Alfredo")</f>
        <v>Luis Alfredo</v>
      </c>
      <c r="I281" s="1" t="str">
        <f>IFERROR(__xludf.DUMMYFUNCTION("""COMPUTED_VALUE"""),"Riveros Cornejo Luis Alfredo")</f>
        <v>Riveros Cornejo Luis Alfredo</v>
      </c>
      <c r="J281" s="10">
        <f>IFERROR(__xludf.DUMMYFUNCTION("""COMPUTED_VALUE"""),28430.0)</f>
        <v>28430</v>
      </c>
      <c r="K281" s="10">
        <f>IFERROR(__xludf.DUMMYFUNCTION("""COMPUTED_VALUE"""),17581.0)</f>
        <v>17581</v>
      </c>
      <c r="L281" s="1">
        <f>IFERROR(__xludf.DUMMYFUNCTION("""COMPUTED_VALUE"""),75.0)</f>
        <v>75</v>
      </c>
      <c r="M281" s="1" t="str">
        <f>IFERROR(__xludf.DUMMYFUNCTION("""COMPUTED_VALUE"""),"0001 Casado")</f>
        <v>0001 Casado</v>
      </c>
      <c r="N281" s="1"/>
      <c r="O281" s="10">
        <f>IFERROR(__xludf.DUMMYFUNCTION("""COMPUTED_VALUE"""),35217.0)</f>
        <v>35217</v>
      </c>
      <c r="P281" s="10">
        <f>IFERROR(__xludf.DUMMYFUNCTION("""COMPUTED_VALUE"""),41502.0)</f>
        <v>41502</v>
      </c>
      <c r="Q281" s="1" t="str">
        <f>IFERROR(__xludf.DUMMYFUNCTION("""COMPUTED_VALUE"""),"P Propiedad")</f>
        <v>P Propiedad</v>
      </c>
      <c r="R281" s="1" t="str">
        <f>IFERROR(__xludf.DUMMYFUNCTION("""COMPUTED_VALUE"""),"A Académico")</f>
        <v>A Académico</v>
      </c>
      <c r="S281" s="9" t="str">
        <f>IFERROR(__xludf.DUMMYFUNCTION("""COMPUTED_VALUE"""),"60253145")</f>
        <v>60253145</v>
      </c>
      <c r="T281" s="1" t="str">
        <f>IFERROR(__xludf.DUMMYFUNCTION("""COMPUTED_VALUE"""),"0060253145")</f>
        <v>0060253145</v>
      </c>
      <c r="U281" s="1">
        <f>IFERROR(__xludf.DUMMYFUNCTION("""COMPUTED_VALUE"""),2.0)</f>
        <v>2</v>
      </c>
      <c r="V281" s="1" t="str">
        <f>IFERROR(__xludf.DUMMYFUNCTION("""COMPUTED_VALUE"""),"P0900 Doctor")</f>
        <v>P0900 Doctor</v>
      </c>
      <c r="W281" s="1">
        <f>IFERROR(__xludf.DUMMYFUNCTION("""COMPUTED_VALUE"""),31777.0)</f>
        <v>31777</v>
      </c>
      <c r="X281" s="1" t="str">
        <f>IFERROR(__xludf.DUMMYFUNCTION("""COMPUTED_VALUE"""),"Universidad De California")</f>
        <v>Universidad De California</v>
      </c>
      <c r="Y281" s="1" t="str">
        <f>IFERROR(__xludf.DUMMYFUNCTION("""COMPUTED_VALUE"""),"ESTADOS UNIDOS")</f>
        <v>ESTADOS UNIDOS</v>
      </c>
      <c r="Z281" s="1" t="str">
        <f>IFERROR(__xludf.DUMMYFUNCTION("""COMPUTED_VALUE"""),"T5084 Profesor De Estado")</f>
        <v>T5084 Profesor De Estado</v>
      </c>
    </row>
    <row r="282" hidden="1">
      <c r="A282" s="1" t="str">
        <f>IFERROR(__xludf.DUMMYFUNCTION("""COMPUTED_VALUE"""),"12090601 Departamento de Educación")</f>
        <v>12090601 Departamento de Educación</v>
      </c>
      <c r="B282" s="1" t="str">
        <f>IFERROR(__xludf.DUMMYFUNCTION("""COMPUTED_VALUE"""),"A4A001 ACADEMICO  INSTRUCTOR")</f>
        <v>A4A001 ACADEMICO  INSTRUCTOR</v>
      </c>
      <c r="C282" s="1" t="str">
        <f>IFERROR(__xludf.DUMMYFUNCTION("""COMPUTED_VALUE"""),"Instructor")</f>
        <v>Instructor</v>
      </c>
      <c r="D282" s="1" t="str">
        <f>IFERROR(__xludf.DUMMYFUNCTION("""COMPUTED_VALUE"""),"A4A Instructor")</f>
        <v>A4A Instructor</v>
      </c>
      <c r="E282" s="1" t="str">
        <f>IFERROR(__xludf.DUMMYFUNCTION("""COMPUTED_VALUE"""),"Femenino")</f>
        <v>Femenino</v>
      </c>
      <c r="F282" s="1" t="str">
        <f>IFERROR(__xludf.DUMMYFUNCTION("""COMPUTED_VALUE"""),"Rodríguez")</f>
        <v>Rodríguez</v>
      </c>
      <c r="G282" s="1" t="str">
        <f>IFERROR(__xludf.DUMMYFUNCTION("""COMPUTED_VALUE"""),"Quezada")</f>
        <v>Quezada</v>
      </c>
      <c r="H282" s="1" t="str">
        <f>IFERROR(__xludf.DUMMYFUNCTION("""COMPUTED_VALUE"""),"María Verónica Josefina")</f>
        <v>María Verónica Josefina</v>
      </c>
      <c r="I282" s="1" t="str">
        <f>IFERROR(__xludf.DUMMYFUNCTION("""COMPUTED_VALUE"""),"Rodríguez Quezada María Verónica Josefina")</f>
        <v>Rodríguez Quezada María Verónica Josefina</v>
      </c>
      <c r="J282" s="10">
        <f>IFERROR(__xludf.DUMMYFUNCTION("""COMPUTED_VALUE"""),38899.0)</f>
        <v>38899</v>
      </c>
      <c r="K282" s="10">
        <f>IFERROR(__xludf.DUMMYFUNCTION("""COMPUTED_VALUE"""),18256.0)</f>
        <v>18256</v>
      </c>
      <c r="L282" s="1">
        <f>IFERROR(__xludf.DUMMYFUNCTION("""COMPUTED_VALUE"""),74.0)</f>
        <v>74</v>
      </c>
      <c r="M282" s="1" t="str">
        <f>IFERROR(__xludf.DUMMYFUNCTION("""COMPUTED_VALUE"""),"0001 Casado")</f>
        <v>0001 Casado</v>
      </c>
      <c r="N282" s="1"/>
      <c r="O282" s="10">
        <f>IFERROR(__xludf.DUMMYFUNCTION("""COMPUTED_VALUE"""),39661.0)</f>
        <v>39661</v>
      </c>
      <c r="P282" s="10">
        <f>IFERROR(__xludf.DUMMYFUNCTION("""COMPUTED_VALUE"""),39691.0)</f>
        <v>39691</v>
      </c>
      <c r="Q282" s="1" t="str">
        <f>IFERROR(__xludf.DUMMYFUNCTION("""COMPUTED_VALUE"""),"C Contrata")</f>
        <v>C Contrata</v>
      </c>
      <c r="R282" s="1" t="str">
        <f>IFERROR(__xludf.DUMMYFUNCTION("""COMPUTED_VALUE"""),"A Académico")</f>
        <v>A Académico</v>
      </c>
      <c r="S282" s="9" t="str">
        <f>IFERROR(__xludf.DUMMYFUNCTION("""COMPUTED_VALUE"""),"55702438")</f>
        <v>55702438</v>
      </c>
      <c r="T282" s="1" t="str">
        <f>IFERROR(__xludf.DUMMYFUNCTION("""COMPUTED_VALUE"""),"0055702438")</f>
        <v>0055702438</v>
      </c>
      <c r="U282" s="1">
        <f>IFERROR(__xludf.DUMMYFUNCTION("""COMPUTED_VALUE"""),6.0)</f>
        <v>6</v>
      </c>
      <c r="V282" s="1" t="str">
        <f>IFERROR(__xludf.DUMMYFUNCTION("""COMPUTED_VALUE"""),"P0855 Magister En Educacion")</f>
        <v>P0855 Magister En Educacion</v>
      </c>
      <c r="W282" s="1">
        <f>IFERROR(__xludf.DUMMYFUNCTION("""COMPUTED_VALUE"""),37106.0)</f>
        <v>37106</v>
      </c>
      <c r="X282" s="1" t="str">
        <f>IFERROR(__xludf.DUMMYFUNCTION("""COMPUTED_VALUE"""),"Universidad De Chile")</f>
        <v>Universidad De Chile</v>
      </c>
      <c r="Y282" s="1" t="str">
        <f>IFERROR(__xludf.DUMMYFUNCTION("""COMPUTED_VALUE"""),"CHILE")</f>
        <v>CHILE</v>
      </c>
      <c r="Z282" s="1" t="str">
        <f>IFERROR(__xludf.DUMMYFUNCTION("""COMPUTED_VALUE"""),"T5020 Educadora De Parvulos")</f>
        <v>T5020 Educadora De Parvulos</v>
      </c>
    </row>
    <row r="283" hidden="1">
      <c r="A283" s="1" t="str">
        <f>IFERROR(__xludf.DUMMYFUNCTION("""COMPUTED_VALUE"""),"12090801 Departamento de Sociología")</f>
        <v>12090801 Departamento de Sociología</v>
      </c>
      <c r="B283" s="1" t="str">
        <f>IFERROR(__xludf.DUMMYFUNCTION("""COMPUTED_VALUE"""),"A3A001 Académico Prof. Asistente")</f>
        <v>A3A001 Académico Prof. Asistente</v>
      </c>
      <c r="C283" s="1" t="str">
        <f>IFERROR(__xludf.DUMMYFUNCTION("""COMPUTED_VALUE"""),"Prof. Asistente - Categ. Academica Ord.")</f>
        <v>Prof. Asistente - Categ. Academica Ord.</v>
      </c>
      <c r="D283" s="1" t="str">
        <f>IFERROR(__xludf.DUMMYFUNCTION("""COMPUTED_VALUE"""),"A3A Prof. Asistente - Categ. Academica Ord.")</f>
        <v>A3A Prof. Asistente - Categ. Academica Ord.</v>
      </c>
      <c r="E283" s="1" t="str">
        <f>IFERROR(__xludf.DUMMYFUNCTION("""COMPUTED_VALUE"""),"Masculino")</f>
        <v>Masculino</v>
      </c>
      <c r="F283" s="1" t="str">
        <f>IFERROR(__xludf.DUMMYFUNCTION("""COMPUTED_VALUE"""),"Rodriguez-Cano")</f>
        <v>Rodriguez-Cano</v>
      </c>
      <c r="G283" s="1" t="str">
        <f>IFERROR(__xludf.DUMMYFUNCTION("""COMPUTED_VALUE"""),"Barja")</f>
        <v>Barja</v>
      </c>
      <c r="H283" s="1" t="str">
        <f>IFERROR(__xludf.DUMMYFUNCTION("""COMPUTED_VALUE"""),"Julián")</f>
        <v>Julián</v>
      </c>
      <c r="I283" s="1" t="str">
        <f>IFERROR(__xludf.DUMMYFUNCTION("""COMPUTED_VALUE"""),"Rodriguez-Cano Barja Julián")</f>
        <v>Rodriguez-Cano Barja Julián</v>
      </c>
      <c r="J283" s="10">
        <f>IFERROR(__xludf.DUMMYFUNCTION("""COMPUTED_VALUE"""),24654.0)</f>
        <v>24654</v>
      </c>
      <c r="K283" s="10">
        <f>IFERROR(__xludf.DUMMYFUNCTION("""COMPUTED_VALUE"""),15474.0)</f>
        <v>15474</v>
      </c>
      <c r="L283" s="1">
        <f>IFERROR(__xludf.DUMMYFUNCTION("""COMPUTED_VALUE"""),81.0)</f>
        <v>81</v>
      </c>
      <c r="M283" s="1" t="str">
        <f>IFERROR(__xludf.DUMMYFUNCTION("""COMPUTED_VALUE"""),"0002 Soltero")</f>
        <v>0002 Soltero</v>
      </c>
      <c r="N283" s="1"/>
      <c r="O283" s="10">
        <f>IFERROR(__xludf.DUMMYFUNCTION("""COMPUTED_VALUE"""),31472.0)</f>
        <v>31472</v>
      </c>
      <c r="P283" s="10">
        <f>IFERROR(__xludf.DUMMYFUNCTION("""COMPUTED_VALUE"""),38664.0)</f>
        <v>38664</v>
      </c>
      <c r="Q283" s="1" t="str">
        <f>IFERROR(__xludf.DUMMYFUNCTION("""COMPUTED_VALUE"""),"P Propiedad")</f>
        <v>P Propiedad</v>
      </c>
      <c r="R283" s="1" t="str">
        <f>IFERROR(__xludf.DUMMYFUNCTION("""COMPUTED_VALUE"""),"A Académico")</f>
        <v>A Académico</v>
      </c>
      <c r="S283" s="9" t="str">
        <f>IFERROR(__xludf.DUMMYFUNCTION("""COMPUTED_VALUE"""),"27431240")</f>
        <v>27431240</v>
      </c>
      <c r="T283" s="1" t="str">
        <f>IFERROR(__xludf.DUMMYFUNCTION("""COMPUTED_VALUE"""),"0027431240")</f>
        <v>0027431240</v>
      </c>
      <c r="U283" s="1">
        <f>IFERROR(__xludf.DUMMYFUNCTION("""COMPUTED_VALUE"""),44.0)</f>
        <v>44</v>
      </c>
      <c r="V283" s="1" t="str">
        <f>IFERROR(__xludf.DUMMYFUNCTION("""COMPUTED_VALUE"""),"P0900 Doctor")</f>
        <v>P0900 Doctor</v>
      </c>
      <c r="W283" s="1">
        <f>IFERROR(__xludf.DUMMYFUNCTION("""COMPUTED_VALUE"""),31413.0)</f>
        <v>31413</v>
      </c>
      <c r="X283" s="1" t="str">
        <f>IFERROR(__xludf.DUMMYFUNCTION("""COMPUTED_VALUE"""),"Universidad De York Toronto")</f>
        <v>Universidad De York Toronto</v>
      </c>
      <c r="Y283" s="1" t="str">
        <f>IFERROR(__xludf.DUMMYFUNCTION("""COMPUTED_VALUE"""),"CANADA")</f>
        <v>CANADA</v>
      </c>
      <c r="Z283" s="1"/>
    </row>
    <row r="284">
      <c r="A284" s="1" t="str">
        <f>IFERROR(__xludf.DUMMYFUNCTION("""COMPUTED_VALUE"""),"12090501 Departamento de Investigaciónes Mediáticas y de la Comunicación")</f>
        <v>12090501 Departamento de Investigaciónes Mediáticas y de la Comunicación</v>
      </c>
      <c r="B284" s="1" t="str">
        <f>IFERROR(__xludf.DUMMYFUNCTION("""COMPUTED_VALUE"""),"A4A001 ACADEMICO  INSTRUCTOR")</f>
        <v>A4A001 ACADEMICO  INSTRUCTOR</v>
      </c>
      <c r="C284" s="1" t="str">
        <f>IFERROR(__xludf.DUMMYFUNCTION("""COMPUTED_VALUE"""),"Instructor")</f>
        <v>Instructor</v>
      </c>
      <c r="D284" s="1" t="str">
        <f>IFERROR(__xludf.DUMMYFUNCTION("""COMPUTED_VALUE"""),"A4A Instructor")</f>
        <v>A4A Instructor</v>
      </c>
      <c r="E284" s="1" t="str">
        <f>IFERROR(__xludf.DUMMYFUNCTION("""COMPUTED_VALUE"""),"Femenino")</f>
        <v>Femenino</v>
      </c>
      <c r="F284" s="1" t="str">
        <f>IFERROR(__xludf.DUMMYFUNCTION("""COMPUTED_VALUE"""),"Rojas")</f>
        <v>Rojas</v>
      </c>
      <c r="G284" s="1" t="str">
        <f>IFERROR(__xludf.DUMMYFUNCTION("""COMPUTED_VALUE"""),"Cortez")</f>
        <v>Cortez</v>
      </c>
      <c r="H284" s="1" t="str">
        <f>IFERROR(__xludf.DUMMYFUNCTION("""COMPUTED_VALUE"""),"Viviana del Carmen")</f>
        <v>Viviana del Carmen</v>
      </c>
      <c r="I284" s="1" t="str">
        <f>IFERROR(__xludf.DUMMYFUNCTION("""COMPUTED_VALUE"""),"Rojas Cortez Viviana del Carmen")</f>
        <v>Rojas Cortez Viviana del Carmen</v>
      </c>
      <c r="J284" s="10">
        <f>IFERROR(__xludf.DUMMYFUNCTION("""COMPUTED_VALUE"""),32356.0)</f>
        <v>32356</v>
      </c>
      <c r="K284" s="10">
        <f>IFERROR(__xludf.DUMMYFUNCTION("""COMPUTED_VALUE"""),21179.0)</f>
        <v>21179</v>
      </c>
      <c r="L284" s="1">
        <f>IFERROR(__xludf.DUMMYFUNCTION("""COMPUTED_VALUE"""),66.0)</f>
        <v>66</v>
      </c>
      <c r="M284" s="1" t="str">
        <f>IFERROR(__xludf.DUMMYFUNCTION("""COMPUTED_VALUE"""),"0002 Soltero")</f>
        <v>0002 Soltero</v>
      </c>
      <c r="N284" s="1"/>
      <c r="O284" s="10">
        <f>IFERROR(__xludf.DUMMYFUNCTION("""COMPUTED_VALUE"""),33420.0)</f>
        <v>33420</v>
      </c>
      <c r="P284" s="10">
        <f>IFERROR(__xludf.DUMMYFUNCTION("""COMPUTED_VALUE"""),34758.0)</f>
        <v>34758</v>
      </c>
      <c r="Q284" s="1" t="str">
        <f>IFERROR(__xludf.DUMMYFUNCTION("""COMPUTED_VALUE"""),"P Propiedad")</f>
        <v>P Propiedad</v>
      </c>
      <c r="R284" s="1" t="str">
        <f>IFERROR(__xludf.DUMMYFUNCTION("""COMPUTED_VALUE"""),"A Académico")</f>
        <v>A Académico</v>
      </c>
      <c r="S284" s="9" t="str">
        <f>IFERROR(__xludf.DUMMYFUNCTION("""COMPUTED_VALUE"""),"65937956")</f>
        <v>65937956</v>
      </c>
      <c r="T284" s="1" t="str">
        <f>IFERROR(__xludf.DUMMYFUNCTION("""COMPUTED_VALUE"""),"0065937956")</f>
        <v>0065937956</v>
      </c>
      <c r="U284" s="1">
        <f>IFERROR(__xludf.DUMMYFUNCTION("""COMPUTED_VALUE"""),12.0)</f>
        <v>12</v>
      </c>
      <c r="V284" s="1"/>
      <c r="W284" s="1"/>
      <c r="X284" s="1"/>
      <c r="Y284" s="1"/>
      <c r="Z284" s="1"/>
    </row>
    <row r="285" hidden="1">
      <c r="A285" s="1" t="str">
        <f>IFERROR(__xludf.DUMMYFUNCTION("""COMPUTED_VALUE"""),"12090701 Departamento de Psicología")</f>
        <v>12090701 Departamento de Psicología</v>
      </c>
      <c r="B285" s="1" t="str">
        <f>IFERROR(__xludf.DUMMYFUNCTION("""COMPUTED_VALUE"""),"001845 Profesor Asistente")</f>
        <v>001845 Profesor Asistente</v>
      </c>
      <c r="C285" s="1" t="str">
        <f>IFERROR(__xludf.DUMMYFUNCTION("""COMPUTED_VALUE"""),"Prof. Asistente - Categ. Academica Ord.")</f>
        <v>Prof. Asistente - Categ. Academica Ord.</v>
      </c>
      <c r="D285" s="1" t="str">
        <f>IFERROR(__xludf.DUMMYFUNCTION("""COMPUTED_VALUE"""),"A3A Prof. Asistente - Categ. Academica Ord.")</f>
        <v>A3A Prof. Asistente - Categ. Academica Ord.</v>
      </c>
      <c r="E285" s="1" t="str">
        <f>IFERROR(__xludf.DUMMYFUNCTION("""COMPUTED_VALUE"""),"Femenino")</f>
        <v>Femenino</v>
      </c>
      <c r="F285" s="1" t="str">
        <f>IFERROR(__xludf.DUMMYFUNCTION("""COMPUTED_VALUE"""),"Rojas")</f>
        <v>Rojas</v>
      </c>
      <c r="G285" s="1" t="str">
        <f>IFERROR(__xludf.DUMMYFUNCTION("""COMPUTED_VALUE"""),"Gorigoitia")</f>
        <v>Gorigoitia</v>
      </c>
      <c r="H285" s="1" t="str">
        <f>IFERROR(__xludf.DUMMYFUNCTION("""COMPUTED_VALUE"""),"Monica de las Mercedes")</f>
        <v>Monica de las Mercedes</v>
      </c>
      <c r="I285" s="1" t="str">
        <f>IFERROR(__xludf.DUMMYFUNCTION("""COMPUTED_VALUE"""),"Rojas Gorigoitia Monica de las Mercedes")</f>
        <v>Rojas Gorigoitia Monica de las Mercedes</v>
      </c>
      <c r="J285" s="10">
        <f>IFERROR(__xludf.DUMMYFUNCTION("""COMPUTED_VALUE"""),26085.0)</f>
        <v>26085</v>
      </c>
      <c r="K285" s="10">
        <f>IFERROR(__xludf.DUMMYFUNCTION("""COMPUTED_VALUE"""),16924.0)</f>
        <v>16924</v>
      </c>
      <c r="L285" s="1">
        <f>IFERROR(__xludf.DUMMYFUNCTION("""COMPUTED_VALUE"""),77.0)</f>
        <v>77</v>
      </c>
      <c r="M285" s="1" t="str">
        <f>IFERROR(__xludf.DUMMYFUNCTION("""COMPUTED_VALUE"""),"0001 Casado")</f>
        <v>0001 Casado</v>
      </c>
      <c r="N285" s="1" t="str">
        <f>IFERROR(__xludf.DUMMYFUNCTION("""COMPUTED_VALUE"""),"N0040 Profesional Superior")</f>
        <v>N0040 Profesional Superior</v>
      </c>
      <c r="O285" s="10">
        <f>IFERROR(__xludf.DUMMYFUNCTION("""COMPUTED_VALUE"""),39661.0)</f>
        <v>39661</v>
      </c>
      <c r="P285" s="10">
        <f>IFERROR(__xludf.DUMMYFUNCTION("""COMPUTED_VALUE"""),39813.0)</f>
        <v>39813</v>
      </c>
      <c r="Q285" s="1" t="str">
        <f>IFERROR(__xludf.DUMMYFUNCTION("""COMPUTED_VALUE"""),"C Contrata")</f>
        <v>C Contrata</v>
      </c>
      <c r="R285" s="1" t="str">
        <f>IFERROR(__xludf.DUMMYFUNCTION("""COMPUTED_VALUE"""),"A Académico")</f>
        <v>A Académico</v>
      </c>
      <c r="S285" s="9" t="str">
        <f>IFERROR(__xludf.DUMMYFUNCTION("""COMPUTED_VALUE"""),"005522112K")</f>
        <v>005522112K</v>
      </c>
      <c r="T285" s="1" t="str">
        <f>IFERROR(__xludf.DUMMYFUNCTION("""COMPUTED_VALUE"""),"005522112K")</f>
        <v>005522112K</v>
      </c>
      <c r="U285" s="1">
        <f>IFERROR(__xludf.DUMMYFUNCTION("""COMPUTED_VALUE"""),6.0)</f>
        <v>6</v>
      </c>
      <c r="V285" s="1" t="str">
        <f>IFERROR(__xludf.DUMMYFUNCTION("""COMPUTED_VALUE"""),"P0501 Con Titulo Profesional")</f>
        <v>P0501 Con Titulo Profesional</v>
      </c>
      <c r="W285" s="1">
        <f>IFERROR(__xludf.DUMMYFUNCTION("""COMPUTED_VALUE"""),26296.0)</f>
        <v>26296</v>
      </c>
      <c r="X285" s="1" t="str">
        <f>IFERROR(__xludf.DUMMYFUNCTION("""COMPUTED_VALUE"""),"Universidad De Chile")</f>
        <v>Universidad De Chile</v>
      </c>
      <c r="Y285" s="1" t="str">
        <f>IFERROR(__xludf.DUMMYFUNCTION("""COMPUTED_VALUE"""),"CHILE")</f>
        <v>CHILE</v>
      </c>
      <c r="Z285" s="1" t="str">
        <f>IFERROR(__xludf.DUMMYFUNCTION("""COMPUTED_VALUE"""),"T5124 Psicologo")</f>
        <v>T5124 Psicologo</v>
      </c>
    </row>
    <row r="286" hidden="1">
      <c r="A286" s="1" t="str">
        <f>IFERROR(__xludf.DUMMYFUNCTION("""COMPUTED_VALUE"""),"12090118 Dpto. de  Psicología (funcionamiento)")</f>
        <v>12090118 Dpto. de  Psicología (funcionamiento)</v>
      </c>
      <c r="B286" s="1" t="str">
        <f>IFERROR(__xludf.DUMMYFUNCTION("""COMPUTED_VALUE"""),"A7A001 ACADEMICO PROF. ADJUNTO")</f>
        <v>A7A001 ACADEMICO PROF. ADJUNTO</v>
      </c>
      <c r="C286" s="1" t="str">
        <f>IFERROR(__xludf.DUMMYFUNCTION("""COMPUTED_VALUE"""),"Prof. Adjunto")</f>
        <v>Prof. Adjunto</v>
      </c>
      <c r="D286" s="1" t="str">
        <f>IFERROR(__xludf.DUMMYFUNCTION("""COMPUTED_VALUE"""),"A7A Prof. Adjunto")</f>
        <v>A7A Prof. Adjunto</v>
      </c>
      <c r="E286" s="1" t="str">
        <f>IFERROR(__xludf.DUMMYFUNCTION("""COMPUTED_VALUE"""),"Masculino")</f>
        <v>Masculino</v>
      </c>
      <c r="F286" s="1" t="str">
        <f>IFERROR(__xludf.DUMMYFUNCTION("""COMPUTED_VALUE"""),"Rojas")</f>
        <v>Rojas</v>
      </c>
      <c r="G286" s="1" t="str">
        <f>IFERROR(__xludf.DUMMYFUNCTION("""COMPUTED_VALUE"""),"Olea")</f>
        <v>Olea</v>
      </c>
      <c r="H286" s="1" t="str">
        <f>IFERROR(__xludf.DUMMYFUNCTION("""COMPUTED_VALUE"""),"Hugo Antonio")</f>
        <v>Hugo Antonio</v>
      </c>
      <c r="I286" s="1" t="str">
        <f>IFERROR(__xludf.DUMMYFUNCTION("""COMPUTED_VALUE"""),"Rojas Olea Hugo Antonio")</f>
        <v>Rojas Olea Hugo Antonio</v>
      </c>
      <c r="J286" s="10">
        <f>IFERROR(__xludf.DUMMYFUNCTION("""COMPUTED_VALUE"""),34943.0)</f>
        <v>34943</v>
      </c>
      <c r="K286" s="10">
        <f>IFERROR(__xludf.DUMMYFUNCTION("""COMPUTED_VALUE"""),19635.0)</f>
        <v>19635</v>
      </c>
      <c r="L286" s="1">
        <f>IFERROR(__xludf.DUMMYFUNCTION("""COMPUTED_VALUE"""),70.0)</f>
        <v>70</v>
      </c>
      <c r="M286" s="1" t="str">
        <f>IFERROR(__xludf.DUMMYFUNCTION("""COMPUTED_VALUE"""),"0001 Casado")</f>
        <v>0001 Casado</v>
      </c>
      <c r="N286" s="1"/>
      <c r="O286" s="10">
        <f>IFERROR(__xludf.DUMMYFUNCTION("""COMPUTED_VALUE"""),42186.0)</f>
        <v>42186</v>
      </c>
      <c r="P286" s="10">
        <f>IFERROR(__xludf.DUMMYFUNCTION("""COMPUTED_VALUE"""),42582.0)</f>
        <v>42582</v>
      </c>
      <c r="Q286" s="1" t="str">
        <f>IFERROR(__xludf.DUMMYFUNCTION("""COMPUTED_VALUE"""),"P Propiedad")</f>
        <v>P Propiedad</v>
      </c>
      <c r="R286" s="1" t="str">
        <f>IFERROR(__xludf.DUMMYFUNCTION("""COMPUTED_VALUE"""),"A Académico")</f>
        <v>A Académico</v>
      </c>
      <c r="S286" s="9" t="str">
        <f>IFERROR(__xludf.DUMMYFUNCTION("""COMPUTED_VALUE"""),"65505282")</f>
        <v>65505282</v>
      </c>
      <c r="T286" s="1" t="str">
        <f>IFERROR(__xludf.DUMMYFUNCTION("""COMPUTED_VALUE"""),"0065505282")</f>
        <v>0065505282</v>
      </c>
      <c r="U286" s="1">
        <f>IFERROR(__xludf.DUMMYFUNCTION("""COMPUTED_VALUE"""),12.0)</f>
        <v>12</v>
      </c>
      <c r="V286" s="1" t="str">
        <f>IFERROR(__xludf.DUMMYFUNCTION("""COMPUTED_VALUE"""),"P0401 Licenciado")</f>
        <v>P0401 Licenciado</v>
      </c>
      <c r="W286" s="1">
        <f>IFERROR(__xludf.DUMMYFUNCTION("""COMPUTED_VALUE"""),29536.0)</f>
        <v>29536</v>
      </c>
      <c r="X286" s="1" t="str">
        <f>IFERROR(__xludf.DUMMYFUNCTION("""COMPUTED_VALUE"""),"Universidad De Chile")</f>
        <v>Universidad De Chile</v>
      </c>
      <c r="Y286" s="1" t="str">
        <f>IFERROR(__xludf.DUMMYFUNCTION("""COMPUTED_VALUE"""),"CHILE")</f>
        <v>CHILE</v>
      </c>
      <c r="Z286" s="1" t="str">
        <f>IFERROR(__xludf.DUMMYFUNCTION("""COMPUTED_VALUE"""),"T5276 Psicologo")</f>
        <v>T5276 Psicologo</v>
      </c>
    </row>
    <row r="287">
      <c r="A287" s="1" t="str">
        <f>IFERROR(__xludf.DUMMYFUNCTION("""COMPUTED_VALUE"""),"12090701 Departamento de Psicología")</f>
        <v>12090701 Departamento de Psicología</v>
      </c>
      <c r="B287" s="1" t="str">
        <f>IFERROR(__xludf.DUMMYFUNCTION("""COMPUTED_VALUE"""),"A4A001 ACADEMICO  INSTRUCTOR")</f>
        <v>A4A001 ACADEMICO  INSTRUCTOR</v>
      </c>
      <c r="C287" s="1" t="str">
        <f>IFERROR(__xludf.DUMMYFUNCTION("""COMPUTED_VALUE"""),"Instructor")</f>
        <v>Instructor</v>
      </c>
      <c r="D287" s="1" t="str">
        <f>IFERROR(__xludf.DUMMYFUNCTION("""COMPUTED_VALUE"""),"A4A Instructor")</f>
        <v>A4A Instructor</v>
      </c>
      <c r="E287" s="1" t="str">
        <f>IFERROR(__xludf.DUMMYFUNCTION("""COMPUTED_VALUE"""),"Femenino")</f>
        <v>Femenino</v>
      </c>
      <c r="F287" s="1" t="str">
        <f>IFERROR(__xludf.DUMMYFUNCTION("""COMPUTED_VALUE"""),"Rojas")</f>
        <v>Rojas</v>
      </c>
      <c r="G287" s="1" t="str">
        <f>IFERROR(__xludf.DUMMYFUNCTION("""COMPUTED_VALUE"""),"Patuelli")</f>
        <v>Patuelli</v>
      </c>
      <c r="H287" s="1" t="str">
        <f>IFERROR(__xludf.DUMMYFUNCTION("""COMPUTED_VALUE"""),"Karina Hortensia")</f>
        <v>Karina Hortensia</v>
      </c>
      <c r="I287" s="1" t="str">
        <f>IFERROR(__xludf.DUMMYFUNCTION("""COMPUTED_VALUE"""),"Rojas Patuelli Karina Hortensia")</f>
        <v>Rojas Patuelli Karina Hortensia</v>
      </c>
      <c r="J287" s="10">
        <f>IFERROR(__xludf.DUMMYFUNCTION("""COMPUTED_VALUE"""),39326.0)</f>
        <v>39326</v>
      </c>
      <c r="K287" s="10">
        <f>IFERROR(__xludf.DUMMYFUNCTION("""COMPUTED_VALUE"""),27506.0)</f>
        <v>27506</v>
      </c>
      <c r="L287" s="1">
        <f>IFERROR(__xludf.DUMMYFUNCTION("""COMPUTED_VALUE"""),48.0)</f>
        <v>48</v>
      </c>
      <c r="M287" s="1" t="str">
        <f>IFERROR(__xludf.DUMMYFUNCTION("""COMPUTED_VALUE"""),"0005 Divorciado")</f>
        <v>0005 Divorciado</v>
      </c>
      <c r="N287" s="1"/>
      <c r="O287" s="10">
        <f>IFERROR(__xludf.DUMMYFUNCTION("""COMPUTED_VALUE"""),41275.0)</f>
        <v>41275</v>
      </c>
      <c r="P287" s="10">
        <f>IFERROR(__xludf.DUMMYFUNCTION("""COMPUTED_VALUE"""),41639.0)</f>
        <v>41639</v>
      </c>
      <c r="Q287" s="1" t="str">
        <f>IFERROR(__xludf.DUMMYFUNCTION("""COMPUTED_VALUE"""),"C Contrata")</f>
        <v>C Contrata</v>
      </c>
      <c r="R287" s="1" t="str">
        <f>IFERROR(__xludf.DUMMYFUNCTION("""COMPUTED_VALUE"""),"A Académico")</f>
        <v>A Académico</v>
      </c>
      <c r="S287" s="9" t="str">
        <f>IFERROR(__xludf.DUMMYFUNCTION("""COMPUTED_VALUE"""),"128578196")</f>
        <v>128578196</v>
      </c>
      <c r="T287" s="1" t="str">
        <f>IFERROR(__xludf.DUMMYFUNCTION("""COMPUTED_VALUE"""),"0128578196")</f>
        <v>0128578196</v>
      </c>
      <c r="U287" s="1">
        <f>IFERROR(__xludf.DUMMYFUNCTION("""COMPUTED_VALUE"""),2.0)</f>
        <v>2</v>
      </c>
      <c r="V287" s="1" t="str">
        <f>IFERROR(__xludf.DUMMYFUNCTION("""COMPUTED_VALUE"""),"P0401 Licenciado")</f>
        <v>P0401 Licenciado</v>
      </c>
      <c r="W287" s="1">
        <f>IFERROR(__xludf.DUMMYFUNCTION("""COMPUTED_VALUE"""),39083.0)</f>
        <v>39083</v>
      </c>
      <c r="X287" s="1" t="str">
        <f>IFERROR(__xludf.DUMMYFUNCTION("""COMPUTED_VALUE"""),"Universidad De Chile")</f>
        <v>Universidad De Chile</v>
      </c>
      <c r="Y287" s="1" t="str">
        <f>IFERROR(__xludf.DUMMYFUNCTION("""COMPUTED_VALUE"""),"CHILE")</f>
        <v>CHILE</v>
      </c>
      <c r="Z287" s="1" t="str">
        <f>IFERROR(__xludf.DUMMYFUNCTION("""COMPUTED_VALUE"""),"T5022 Estadistico")</f>
        <v>T5022 Estadistico</v>
      </c>
    </row>
    <row r="288" hidden="1">
      <c r="A288" s="1" t="str">
        <f>IFERROR(__xludf.DUMMYFUNCTION("""COMPUTED_VALUE"""),"12090601 Departamento de Educación")</f>
        <v>12090601 Departamento de Educación</v>
      </c>
      <c r="B288" s="1" t="str">
        <f>IFERROR(__xludf.DUMMYFUNCTION("""COMPUTED_VALUE"""),"A1A001 Académico Prof. Titular")</f>
        <v>A1A001 Académico Prof. Titular</v>
      </c>
      <c r="C288" s="1" t="str">
        <f>IFERROR(__xludf.DUMMYFUNCTION("""COMPUTED_VALUE"""),"Prof.Titular - Categ. Academica Ord.")</f>
        <v>Prof.Titular - Categ. Academica Ord.</v>
      </c>
      <c r="D288" s="1" t="str">
        <f>IFERROR(__xludf.DUMMYFUNCTION("""COMPUTED_VALUE"""),"A1A Prof.Titular - Categ. Academica Ord.")</f>
        <v>A1A Prof.Titular - Categ. Academica Ord.</v>
      </c>
      <c r="E288" s="1" t="str">
        <f>IFERROR(__xludf.DUMMYFUNCTION("""COMPUTED_VALUE"""),"Femenino")</f>
        <v>Femenino</v>
      </c>
      <c r="F288" s="1" t="str">
        <f>IFERROR(__xludf.DUMMYFUNCTION("""COMPUTED_VALUE"""),"Romeo")</f>
        <v>Romeo</v>
      </c>
      <c r="G288" s="1" t="str">
        <f>IFERROR(__xludf.DUMMYFUNCTION("""COMPUTED_VALUE"""),"Cardone")</f>
        <v>Cardone</v>
      </c>
      <c r="H288" s="1" t="str">
        <f>IFERROR(__xludf.DUMMYFUNCTION("""COMPUTED_VALUE"""),"Julia")</f>
        <v>Julia</v>
      </c>
      <c r="I288" s="1" t="str">
        <f>IFERROR(__xludf.DUMMYFUNCTION("""COMPUTED_VALUE"""),"Romeo Cardone Julia")</f>
        <v>Romeo Cardone Julia</v>
      </c>
      <c r="J288" s="10">
        <f>IFERROR(__xludf.DUMMYFUNCTION("""COMPUTED_VALUE"""),25689.0)</f>
        <v>25689</v>
      </c>
      <c r="K288" s="10">
        <f>IFERROR(__xludf.DUMMYFUNCTION("""COMPUTED_VALUE"""),14615.0)</f>
        <v>14615</v>
      </c>
      <c r="L288" s="1">
        <f>IFERROR(__xludf.DUMMYFUNCTION("""COMPUTED_VALUE"""),84.0)</f>
        <v>84</v>
      </c>
      <c r="M288" s="1" t="str">
        <f>IFERROR(__xludf.DUMMYFUNCTION("""COMPUTED_VALUE"""),"0003 Viudo")</f>
        <v>0003 Viudo</v>
      </c>
      <c r="N288" s="1"/>
      <c r="O288" s="10">
        <f>IFERROR(__xludf.DUMMYFUNCTION("""COMPUTED_VALUE"""),39083.0)</f>
        <v>39083</v>
      </c>
      <c r="P288" s="10">
        <f>IFERROR(__xludf.DUMMYFUNCTION("""COMPUTED_VALUE"""),39141.0)</f>
        <v>39141</v>
      </c>
      <c r="Q288" s="1" t="str">
        <f>IFERROR(__xludf.DUMMYFUNCTION("""COMPUTED_VALUE"""),"C Contrata")</f>
        <v>C Contrata</v>
      </c>
      <c r="R288" s="1" t="str">
        <f>IFERROR(__xludf.DUMMYFUNCTION("""COMPUTED_VALUE"""),"A Académico")</f>
        <v>A Académico</v>
      </c>
      <c r="S288" s="9" t="str">
        <f>IFERROR(__xludf.DUMMYFUNCTION("""COMPUTED_VALUE"""),"40458336")</f>
        <v>40458336</v>
      </c>
      <c r="T288" s="1" t="str">
        <f>IFERROR(__xludf.DUMMYFUNCTION("""COMPUTED_VALUE"""),"0040458336")</f>
        <v>0040458336</v>
      </c>
      <c r="U288" s="1">
        <f>IFERROR(__xludf.DUMMYFUNCTION("""COMPUTED_VALUE"""),22.0)</f>
        <v>22</v>
      </c>
      <c r="V288" s="1" t="str">
        <f>IFERROR(__xludf.DUMMYFUNCTION("""COMPUTED_VALUE"""),"P0850 Magister")</f>
        <v>P0850 Magister</v>
      </c>
      <c r="W288" s="1">
        <f>IFERROR(__xludf.DUMMYFUNCTION("""COMPUTED_VALUE"""),29220.0)</f>
        <v>29220</v>
      </c>
      <c r="X288" s="1" t="str">
        <f>IFERROR(__xludf.DUMMYFUNCTION("""COMPUTED_VALUE"""),"Pontificia Universidad Catolica De Chile")</f>
        <v>Pontificia Universidad Catolica De Chile</v>
      </c>
      <c r="Y288" s="1" t="str">
        <f>IFERROR(__xludf.DUMMYFUNCTION("""COMPUTED_VALUE"""),"CHILE")</f>
        <v>CHILE</v>
      </c>
      <c r="Z288" s="1" t="str">
        <f>IFERROR(__xludf.DUMMYFUNCTION("""COMPUTED_VALUE"""),"T5191 Profesor De Castellano")</f>
        <v>T5191 Profesor De Castellano</v>
      </c>
    </row>
    <row r="289" hidden="1">
      <c r="A289" s="1" t="str">
        <f>IFERROR(__xludf.DUMMYFUNCTION("""COMPUTED_VALUE"""),"12090301 Departamento de Antropología")</f>
        <v>12090301 Departamento de Antropología</v>
      </c>
      <c r="B289" s="1" t="str">
        <f>IFERROR(__xludf.DUMMYFUNCTION("""COMPUTED_VALUE"""),"A1A001 Académico Prof. Titular")</f>
        <v>A1A001 Académico Prof. Titular</v>
      </c>
      <c r="C289" s="1" t="str">
        <f>IFERROR(__xludf.DUMMYFUNCTION("""COMPUTED_VALUE"""),"Prof.Titular - Categ. Academica Ord.")</f>
        <v>Prof.Titular - Categ. Academica Ord.</v>
      </c>
      <c r="D289" s="1" t="str">
        <f>IFERROR(__xludf.DUMMYFUNCTION("""COMPUTED_VALUE"""),"A1A Prof.Titular - Categ. Academica Ord.")</f>
        <v>A1A Prof.Titular - Categ. Academica Ord.</v>
      </c>
      <c r="E289" s="1" t="str">
        <f>IFERROR(__xludf.DUMMYFUNCTION("""COMPUTED_VALUE"""),"Masculino")</f>
        <v>Masculino</v>
      </c>
      <c r="F289" s="1" t="str">
        <f>IFERROR(__xludf.DUMMYFUNCTION("""COMPUTED_VALUE"""),"Romieux")</f>
        <v>Romieux</v>
      </c>
      <c r="G289" s="1" t="str">
        <f>IFERROR(__xludf.DUMMYFUNCTION("""COMPUTED_VALUE"""),"Olarte")</f>
        <v>Olarte</v>
      </c>
      <c r="H289" s="1" t="str">
        <f>IFERROR(__xludf.DUMMYFUNCTION("""COMPUTED_VALUE"""),"Michel Auguste")</f>
        <v>Michel Auguste</v>
      </c>
      <c r="I289" s="1" t="str">
        <f>IFERROR(__xludf.DUMMYFUNCTION("""COMPUTED_VALUE"""),"Romieux Olarte Michel Auguste")</f>
        <v>Romieux Olarte Michel Auguste</v>
      </c>
      <c r="J289" s="10">
        <f>IFERROR(__xludf.DUMMYFUNCTION("""COMPUTED_VALUE"""),25385.0)</f>
        <v>25385</v>
      </c>
      <c r="K289" s="10">
        <f>IFERROR(__xludf.DUMMYFUNCTION("""COMPUTED_VALUE"""),10563.0)</f>
        <v>10563</v>
      </c>
      <c r="L289" s="1">
        <f>IFERROR(__xludf.DUMMYFUNCTION("""COMPUTED_VALUE"""),95.0)</f>
        <v>95</v>
      </c>
      <c r="M289" s="1" t="str">
        <f>IFERROR(__xludf.DUMMYFUNCTION("""COMPUTED_VALUE"""),"0001 Casado")</f>
        <v>0001 Casado</v>
      </c>
      <c r="N289" s="1"/>
      <c r="O289" s="10">
        <f>IFERROR(__xludf.DUMMYFUNCTION("""COMPUTED_VALUE"""),38808.0)</f>
        <v>38808</v>
      </c>
      <c r="P289" s="10">
        <f>IFERROR(__xludf.DUMMYFUNCTION("""COMPUTED_VALUE"""),38868.0)</f>
        <v>38868</v>
      </c>
      <c r="Q289" s="1" t="str">
        <f>IFERROR(__xludf.DUMMYFUNCTION("""COMPUTED_VALUE"""),"C Contrata")</f>
        <v>C Contrata</v>
      </c>
      <c r="R289" s="1" t="str">
        <f>IFERROR(__xludf.DUMMYFUNCTION("""COMPUTED_VALUE"""),"A Académico")</f>
        <v>A Académico</v>
      </c>
      <c r="S289" s="9" t="str">
        <f>IFERROR(__xludf.DUMMYFUNCTION("""COMPUTED_VALUE"""),"60887462")</f>
        <v>60887462</v>
      </c>
      <c r="T289" s="1" t="str">
        <f>IFERROR(__xludf.DUMMYFUNCTION("""COMPUTED_VALUE"""),"0060887462")</f>
        <v>0060887462</v>
      </c>
      <c r="U289" s="1">
        <f>IFERROR(__xludf.DUMMYFUNCTION("""COMPUTED_VALUE"""),44.0)</f>
        <v>44</v>
      </c>
      <c r="V289" s="1" t="str">
        <f>IFERROR(__xludf.DUMMYFUNCTION("""COMPUTED_VALUE"""),"P0401 Licenciado")</f>
        <v>P0401 Licenciado</v>
      </c>
      <c r="W289" s="1">
        <f>IFERROR(__xludf.DUMMYFUNCTION("""COMPUTED_VALUE"""),24213.0)</f>
        <v>24213</v>
      </c>
      <c r="X289" s="1" t="str">
        <f>IFERROR(__xludf.DUMMYFUNCTION("""COMPUTED_VALUE"""),"Universidad De Chile")</f>
        <v>Universidad De Chile</v>
      </c>
      <c r="Y289" s="1" t="str">
        <f>IFERROR(__xludf.DUMMYFUNCTION("""COMPUTED_VALUE"""),"CHILE")</f>
        <v>CHILE</v>
      </c>
      <c r="Z289" s="1" t="str">
        <f>IFERROR(__xludf.DUMMYFUNCTION("""COMPUTED_VALUE"""),"T5231 Licenciado En Teoria E Hist.Arte")</f>
        <v>T5231 Licenciado En Teoria E Hist.Arte</v>
      </c>
    </row>
    <row r="290">
      <c r="A290" s="1" t="str">
        <f>IFERROR(__xludf.DUMMYFUNCTION("""COMPUTED_VALUE"""),"12090301 Departamento de Antropología")</f>
        <v>12090301 Departamento de Antropología</v>
      </c>
      <c r="B290" s="1" t="str">
        <f>IFERROR(__xludf.DUMMYFUNCTION("""COMPUTED_VALUE"""),"A3A001 Académico Prof. Asistente")</f>
        <v>A3A001 Académico Prof. Asistente</v>
      </c>
      <c r="C290" s="1" t="str">
        <f>IFERROR(__xludf.DUMMYFUNCTION("""COMPUTED_VALUE"""),"Prof. Asistente - Categ. Academica Ord.")</f>
        <v>Prof. Asistente - Categ. Academica Ord.</v>
      </c>
      <c r="D290" s="1" t="str">
        <f>IFERROR(__xludf.DUMMYFUNCTION("""COMPUTED_VALUE"""),"A3A Prof. Asistente - Categ. Academica Ord.")</f>
        <v>A3A Prof. Asistente - Categ. Academica Ord.</v>
      </c>
      <c r="E290" s="1" t="str">
        <f>IFERROR(__xludf.DUMMYFUNCTION("""COMPUTED_VALUE"""),"Femenino")</f>
        <v>Femenino</v>
      </c>
      <c r="F290" s="1" t="str">
        <f>IFERROR(__xludf.DUMMYFUNCTION("""COMPUTED_VALUE"""),"Romo")</f>
        <v>Romo</v>
      </c>
      <c r="G290" s="1" t="str">
        <f>IFERROR(__xludf.DUMMYFUNCTION("""COMPUTED_VALUE"""),"Marty")</f>
        <v>Marty</v>
      </c>
      <c r="H290" s="1" t="str">
        <f>IFERROR(__xludf.DUMMYFUNCTION("""COMPUTED_VALUE"""),"Marcela Edith")</f>
        <v>Marcela Edith</v>
      </c>
      <c r="I290" s="1" t="str">
        <f>IFERROR(__xludf.DUMMYFUNCTION("""COMPUTED_VALUE"""),"Romo Marty Marcela Edith")</f>
        <v>Romo Marty Marcela Edith</v>
      </c>
      <c r="J290" s="10">
        <f>IFERROR(__xludf.DUMMYFUNCTION("""COMPUTED_VALUE"""),41091.0)</f>
        <v>41091</v>
      </c>
      <c r="K290" s="10">
        <f>IFERROR(__xludf.DUMMYFUNCTION("""COMPUTED_VALUE"""),26789.0)</f>
        <v>26789</v>
      </c>
      <c r="L290" s="1">
        <f>IFERROR(__xludf.DUMMYFUNCTION("""COMPUTED_VALUE"""),50.0)</f>
        <v>50</v>
      </c>
      <c r="M290" s="1" t="str">
        <f>IFERROR(__xludf.DUMMYFUNCTION("""COMPUTED_VALUE"""),"0003 Viudo")</f>
        <v>0003 Viudo</v>
      </c>
      <c r="N290" s="1" t="str">
        <f>IFERROR(__xludf.DUMMYFUNCTION("""COMPUTED_VALUE"""),"N0040 Profesional Superior")</f>
        <v>N0040 Profesional Superior</v>
      </c>
      <c r="O290" s="10">
        <f>IFERROR(__xludf.DUMMYFUNCTION("""COMPUTED_VALUE"""),38838.0)</f>
        <v>38838</v>
      </c>
      <c r="P290" s="10">
        <f>IFERROR(__xludf.DUMMYFUNCTION("""COMPUTED_VALUE"""),39141.0)</f>
        <v>39141</v>
      </c>
      <c r="Q290" s="1" t="str">
        <f>IFERROR(__xludf.DUMMYFUNCTION("""COMPUTED_VALUE"""),"P Propiedad")</f>
        <v>P Propiedad</v>
      </c>
      <c r="R290" s="1" t="str">
        <f>IFERROR(__xludf.DUMMYFUNCTION("""COMPUTED_VALUE"""),"A Académico")</f>
        <v>A Académico</v>
      </c>
      <c r="S290" s="9" t="str">
        <f>IFERROR(__xludf.DUMMYFUNCTION("""COMPUTED_VALUE"""),"120354019")</f>
        <v>120354019</v>
      </c>
      <c r="T290" s="1" t="str">
        <f>IFERROR(__xludf.DUMMYFUNCTION("""COMPUTED_VALUE"""),"0120354019")</f>
        <v>0120354019</v>
      </c>
      <c r="U290" s="1">
        <f>IFERROR(__xludf.DUMMYFUNCTION("""COMPUTED_VALUE"""),44.0)</f>
        <v>44</v>
      </c>
      <c r="V290" s="1"/>
      <c r="W290" s="1"/>
      <c r="X290" s="1"/>
      <c r="Y290" s="1"/>
      <c r="Z290" s="1" t="str">
        <f>IFERROR(__xludf.DUMMYFUNCTION("""COMPUTED_VALUE"""),"T5003 Antropologo")</f>
        <v>T5003 Antropologo</v>
      </c>
    </row>
    <row r="291">
      <c r="A291" s="1" t="str">
        <f>IFERROR(__xludf.DUMMYFUNCTION("""COMPUTED_VALUE"""),"12090701 Departamento de Psicología")</f>
        <v>12090701 Departamento de Psicología</v>
      </c>
      <c r="B291" s="1" t="str">
        <f>IFERROR(__xludf.DUMMYFUNCTION("""COMPUTED_VALUE"""),"A4A001 ACADEMICO  INSTRUCTOR")</f>
        <v>A4A001 ACADEMICO  INSTRUCTOR</v>
      </c>
      <c r="C291" s="1" t="str">
        <f>IFERROR(__xludf.DUMMYFUNCTION("""COMPUTED_VALUE"""),"Instructor")</f>
        <v>Instructor</v>
      </c>
      <c r="D291" s="1" t="str">
        <f>IFERROR(__xludf.DUMMYFUNCTION("""COMPUTED_VALUE"""),"A4A Instructor")</f>
        <v>A4A Instructor</v>
      </c>
      <c r="E291" s="1" t="str">
        <f>IFERROR(__xludf.DUMMYFUNCTION("""COMPUTED_VALUE"""),"Femenino")</f>
        <v>Femenino</v>
      </c>
      <c r="F291" s="1" t="str">
        <f>IFERROR(__xludf.DUMMYFUNCTION("""COMPUTED_VALUE"""),"Rossi")</f>
        <v>Rossi</v>
      </c>
      <c r="G291" s="1" t="str">
        <f>IFERROR(__xludf.DUMMYFUNCTION("""COMPUTED_VALUE"""),"Carvajal")</f>
        <v>Carvajal</v>
      </c>
      <c r="H291" s="1" t="str">
        <f>IFERROR(__xludf.DUMMYFUNCTION("""COMPUTED_VALUE"""),"Alejandra Rossana")</f>
        <v>Alejandra Rossana</v>
      </c>
      <c r="I291" s="1" t="str">
        <f>IFERROR(__xludf.DUMMYFUNCTION("""COMPUTED_VALUE"""),"Rossi Carvajal Alejandra Rossana")</f>
        <v>Rossi Carvajal Alejandra Rossana</v>
      </c>
      <c r="J291" s="10">
        <f>IFERROR(__xludf.DUMMYFUNCTION("""COMPUTED_VALUE"""),39295.0)</f>
        <v>39295</v>
      </c>
      <c r="K291" s="10">
        <f>IFERROR(__xludf.DUMMYFUNCTION("""COMPUTED_VALUE"""),29738.0)</f>
        <v>29738</v>
      </c>
      <c r="L291" s="1">
        <f>IFERROR(__xludf.DUMMYFUNCTION("""COMPUTED_VALUE"""),42.0)</f>
        <v>42</v>
      </c>
      <c r="M291" s="1" t="str">
        <f>IFERROR(__xludf.DUMMYFUNCTION("""COMPUTED_VALUE"""),"0002 Soltero")</f>
        <v>0002 Soltero</v>
      </c>
      <c r="N291" s="1"/>
      <c r="O291" s="10">
        <f>IFERROR(__xludf.DUMMYFUNCTION("""COMPUTED_VALUE"""),41275.0)</f>
        <v>41275</v>
      </c>
      <c r="P291" s="10">
        <f>IFERROR(__xludf.DUMMYFUNCTION("""COMPUTED_VALUE"""),41639.0)</f>
        <v>41639</v>
      </c>
      <c r="Q291" s="1" t="str">
        <f>IFERROR(__xludf.DUMMYFUNCTION("""COMPUTED_VALUE"""),"C Contrata")</f>
        <v>C Contrata</v>
      </c>
      <c r="R291" s="1" t="str">
        <f>IFERROR(__xludf.DUMMYFUNCTION("""COMPUTED_VALUE"""),"A Académico")</f>
        <v>A Académico</v>
      </c>
      <c r="S291" s="9" t="str">
        <f>IFERROR(__xludf.DUMMYFUNCTION("""COMPUTED_VALUE"""),"014103765K")</f>
        <v>014103765K</v>
      </c>
      <c r="T291" s="1" t="str">
        <f>IFERROR(__xludf.DUMMYFUNCTION("""COMPUTED_VALUE"""),"014103765K")</f>
        <v>014103765K</v>
      </c>
      <c r="U291" s="1">
        <f>IFERROR(__xludf.DUMMYFUNCTION("""COMPUTED_VALUE"""),2.0)</f>
        <v>2</v>
      </c>
      <c r="V291" s="1" t="str">
        <f>IFERROR(__xludf.DUMMYFUNCTION("""COMPUTED_VALUE"""),"P0401 Licenciado")</f>
        <v>P0401 Licenciado</v>
      </c>
      <c r="W291" s="1">
        <f>IFERROR(__xludf.DUMMYFUNCTION("""COMPUTED_VALUE"""),38353.0)</f>
        <v>38353</v>
      </c>
      <c r="X291" s="1" t="str">
        <f>IFERROR(__xludf.DUMMYFUNCTION("""COMPUTED_VALUE"""),"Universidad De Chile")</f>
        <v>Universidad De Chile</v>
      </c>
      <c r="Y291" s="1" t="str">
        <f>IFERROR(__xludf.DUMMYFUNCTION("""COMPUTED_VALUE"""),"CHILE")</f>
        <v>CHILE</v>
      </c>
      <c r="Z291" s="1" t="str">
        <f>IFERROR(__xludf.DUMMYFUNCTION("""COMPUTED_VALUE"""),"T5065 Licenciado en Psicologia")</f>
        <v>T5065 Licenciado en Psicologia</v>
      </c>
    </row>
    <row r="292" hidden="1">
      <c r="A292" s="1" t="str">
        <f>IFERROR(__xludf.DUMMYFUNCTION("""COMPUTED_VALUE"""),"12090601 Departamento de Educación")</f>
        <v>12090601 Departamento de Educación</v>
      </c>
      <c r="B292" s="1" t="str">
        <f>IFERROR(__xludf.DUMMYFUNCTION("""COMPUTED_VALUE"""),"A7A001 ACADEMICO PROF. ADJUNTO")</f>
        <v>A7A001 ACADEMICO PROF. ADJUNTO</v>
      </c>
      <c r="C292" s="1" t="str">
        <f>IFERROR(__xludf.DUMMYFUNCTION("""COMPUTED_VALUE"""),"Prof. Adjunto")</f>
        <v>Prof. Adjunto</v>
      </c>
      <c r="D292" s="1" t="str">
        <f>IFERROR(__xludf.DUMMYFUNCTION("""COMPUTED_VALUE"""),"A7A Prof. Adjunto")</f>
        <v>A7A Prof. Adjunto</v>
      </c>
      <c r="E292" s="1" t="str">
        <f>IFERROR(__xludf.DUMMYFUNCTION("""COMPUTED_VALUE"""),"Masculino")</f>
        <v>Masculino</v>
      </c>
      <c r="F292" s="1" t="str">
        <f>IFERROR(__xludf.DUMMYFUNCTION("""COMPUTED_VALUE"""),"Ruz")</f>
        <v>Ruz</v>
      </c>
      <c r="G292" s="1" t="str">
        <f>IFERROR(__xludf.DUMMYFUNCTION("""COMPUTED_VALUE"""),"Ruz")</f>
        <v>Ruz</v>
      </c>
      <c r="H292" s="1" t="str">
        <f>IFERROR(__xludf.DUMMYFUNCTION("""COMPUTED_VALUE"""),"Juan Damos")</f>
        <v>Juan Damos</v>
      </c>
      <c r="I292" s="1" t="str">
        <f>IFERROR(__xludf.DUMMYFUNCTION("""COMPUTED_VALUE"""),"Ruz Ruz Juan Damos")</f>
        <v>Ruz Ruz Juan Damos</v>
      </c>
      <c r="J292" s="10">
        <f>IFERROR(__xludf.DUMMYFUNCTION("""COMPUTED_VALUE"""),37530.0)</f>
        <v>37530</v>
      </c>
      <c r="K292" s="10">
        <f>IFERROR(__xludf.DUMMYFUNCTION("""COMPUTED_VALUE"""),15708.0)</f>
        <v>15708</v>
      </c>
      <c r="L292" s="1">
        <f>IFERROR(__xludf.DUMMYFUNCTION("""COMPUTED_VALUE"""),81.0)</f>
        <v>81</v>
      </c>
      <c r="M292" s="1" t="str">
        <f>IFERROR(__xludf.DUMMYFUNCTION("""COMPUTED_VALUE"""),"0001 Casado")</f>
        <v>0001 Casado</v>
      </c>
      <c r="N292" s="1" t="str">
        <f>IFERROR(__xludf.DUMMYFUNCTION("""COMPUTED_VALUE"""),"N0040 Profesional Superior")</f>
        <v>N0040 Profesional Superior</v>
      </c>
      <c r="O292" s="10">
        <f>IFERROR(__xludf.DUMMYFUNCTION("""COMPUTED_VALUE"""),37530.0)</f>
        <v>37530</v>
      </c>
      <c r="P292" s="10">
        <f>IFERROR(__xludf.DUMMYFUNCTION("""COMPUTED_VALUE"""),38664.0)</f>
        <v>38664</v>
      </c>
      <c r="Q292" s="1" t="str">
        <f>IFERROR(__xludf.DUMMYFUNCTION("""COMPUTED_VALUE"""),"P Propiedad")</f>
        <v>P Propiedad</v>
      </c>
      <c r="R292" s="1" t="str">
        <f>IFERROR(__xludf.DUMMYFUNCTION("""COMPUTED_VALUE"""),"A Académico")</f>
        <v>A Académico</v>
      </c>
      <c r="S292" s="9" t="str">
        <f>IFERROR(__xludf.DUMMYFUNCTION("""COMPUTED_VALUE"""),"43011693")</f>
        <v>43011693</v>
      </c>
      <c r="T292" s="1" t="str">
        <f>IFERROR(__xludf.DUMMYFUNCTION("""COMPUTED_VALUE"""),"0043011693")</f>
        <v>0043011693</v>
      </c>
      <c r="U292" s="1">
        <f>IFERROR(__xludf.DUMMYFUNCTION("""COMPUTED_VALUE"""),12.0)</f>
        <v>12</v>
      </c>
      <c r="V292" s="1" t="str">
        <f>IFERROR(__xludf.DUMMYFUNCTION("""COMPUTED_VALUE"""),"P0900 Doctor")</f>
        <v>P0900 Doctor</v>
      </c>
      <c r="W292" s="1">
        <f>IFERROR(__xludf.DUMMYFUNCTION("""COMPUTED_VALUE"""),30316.0)</f>
        <v>30316</v>
      </c>
      <c r="X292" s="1" t="str">
        <f>IFERROR(__xludf.DUMMYFUNCTION("""COMPUTED_VALUE"""),"Universidad De Lovaina")</f>
        <v>Universidad De Lovaina</v>
      </c>
      <c r="Y292" s="1" t="str">
        <f>IFERROR(__xludf.DUMMYFUNCTION("""COMPUTED_VALUE"""),"BÉLGICA")</f>
        <v>BÉLGICA</v>
      </c>
      <c r="Z292" s="1" t="str">
        <f>IFERROR(__xludf.DUMMYFUNCTION("""COMPUTED_VALUE"""),"T5101 Profesor De Frances")</f>
        <v>T5101 Profesor De Frances</v>
      </c>
    </row>
    <row r="293">
      <c r="A293" s="1" t="str">
        <f>IFERROR(__xludf.DUMMYFUNCTION("""COMPUTED_VALUE"""),"12090501 Departamento de Investigaciónes Mediáticas y de la Comunicación")</f>
        <v>12090501 Departamento de Investigaciónes Mediáticas y de la Comunicación</v>
      </c>
      <c r="B293" s="1" t="str">
        <f>IFERROR(__xludf.DUMMYFUNCTION("""COMPUTED_VALUE"""),"A3A001 Académico Prof. Asistente")</f>
        <v>A3A001 Académico Prof. Asistente</v>
      </c>
      <c r="C293" s="1" t="str">
        <f>IFERROR(__xludf.DUMMYFUNCTION("""COMPUTED_VALUE"""),"Prof. Asistente - Categ. Academica Ord.")</f>
        <v>Prof. Asistente - Categ. Academica Ord.</v>
      </c>
      <c r="D293" s="1" t="str">
        <f>IFERROR(__xludf.DUMMYFUNCTION("""COMPUTED_VALUE"""),"A3A Prof. Asistente - Categ. Academica Ord.")</f>
        <v>A3A Prof. Asistente - Categ. Academica Ord.</v>
      </c>
      <c r="E293" s="1" t="str">
        <f>IFERROR(__xludf.DUMMYFUNCTION("""COMPUTED_VALUE"""),"Masculino")</f>
        <v>Masculino</v>
      </c>
      <c r="F293" s="1" t="str">
        <f>IFERROR(__xludf.DUMMYFUNCTION("""COMPUTED_VALUE"""),"Saavedra")</f>
        <v>Saavedra</v>
      </c>
      <c r="G293" s="1" t="str">
        <f>IFERROR(__xludf.DUMMYFUNCTION("""COMPUTED_VALUE"""),"Cerda")</f>
        <v>Cerda</v>
      </c>
      <c r="H293" s="1" t="str">
        <f>IFERROR(__xludf.DUMMYFUNCTION("""COMPUTED_VALUE"""),"Carlos Alberto")</f>
        <v>Carlos Alberto</v>
      </c>
      <c r="I293" s="1" t="str">
        <f>IFERROR(__xludf.DUMMYFUNCTION("""COMPUTED_VALUE"""),"Saavedra Cerda Carlos Alberto")</f>
        <v>Saavedra Cerda Carlos Alberto</v>
      </c>
      <c r="J293" s="10">
        <f>IFERROR(__xludf.DUMMYFUNCTION("""COMPUTED_VALUE"""),37591.0)</f>
        <v>37591</v>
      </c>
      <c r="K293" s="10">
        <f>IFERROR(__xludf.DUMMYFUNCTION("""COMPUTED_VALUE"""),24895.0)</f>
        <v>24895</v>
      </c>
      <c r="L293" s="1">
        <f>IFERROR(__xludf.DUMMYFUNCTION("""COMPUTED_VALUE"""),55.0)</f>
        <v>55</v>
      </c>
      <c r="M293" s="1" t="str">
        <f>IFERROR(__xludf.DUMMYFUNCTION("""COMPUTED_VALUE"""),"0002 Soltero")</f>
        <v>0002 Soltero</v>
      </c>
      <c r="N293" s="1"/>
      <c r="O293" s="10">
        <f>IFERROR(__xludf.DUMMYFUNCTION("""COMPUTED_VALUE"""),37803.0)</f>
        <v>37803</v>
      </c>
      <c r="P293" s="10">
        <f>IFERROR(__xludf.DUMMYFUNCTION("""COMPUTED_VALUE"""),37833.0)</f>
        <v>37833</v>
      </c>
      <c r="Q293" s="1" t="str">
        <f>IFERROR(__xludf.DUMMYFUNCTION("""COMPUTED_VALUE"""),"C Contrata")</f>
        <v>C Contrata</v>
      </c>
      <c r="R293" s="1" t="str">
        <f>IFERROR(__xludf.DUMMYFUNCTION("""COMPUTED_VALUE"""),"A Académico")</f>
        <v>A Académico</v>
      </c>
      <c r="S293" s="9" t="str">
        <f>IFERROR(__xludf.DUMMYFUNCTION("""COMPUTED_VALUE"""),"107717846")</f>
        <v>107717846</v>
      </c>
      <c r="T293" s="1" t="str">
        <f>IFERROR(__xludf.DUMMYFUNCTION("""COMPUTED_VALUE"""),"0107717846")</f>
        <v>0107717846</v>
      </c>
      <c r="U293" s="1">
        <f>IFERROR(__xludf.DUMMYFUNCTION("""COMPUTED_VALUE"""),44.0)</f>
        <v>44</v>
      </c>
      <c r="V293" s="1" t="str">
        <f>IFERROR(__xludf.DUMMYFUNCTION("""COMPUTED_VALUE"""),"P0800 Magíster")</f>
        <v>P0800 Magíster</v>
      </c>
      <c r="W293" s="1">
        <f>IFERROR(__xludf.DUMMYFUNCTION("""COMPUTED_VALUE"""),41516.0)</f>
        <v>41516</v>
      </c>
      <c r="X293" s="1" t="str">
        <f>IFERROR(__xludf.DUMMYFUNCTION("""COMPUTED_VALUE"""),"Universidad De Chile")</f>
        <v>Universidad De Chile</v>
      </c>
      <c r="Y293" s="1" t="str">
        <f>IFERROR(__xludf.DUMMYFUNCTION("""COMPUTED_VALUE"""),"CHILE")</f>
        <v>CHILE</v>
      </c>
      <c r="Z293" s="1" t="str">
        <f>IFERROR(__xludf.DUMMYFUNCTION("""COMPUTED_VALUE"""),"T5074 Periodista")</f>
        <v>T5074 Periodista</v>
      </c>
    </row>
    <row r="294" hidden="1">
      <c r="A294" s="1" t="str">
        <f>IFERROR(__xludf.DUMMYFUNCTION("""COMPUTED_VALUE"""),"12090701 Departamento de Psicología")</f>
        <v>12090701 Departamento de Psicología</v>
      </c>
      <c r="B294" s="1" t="str">
        <f>IFERROR(__xludf.DUMMYFUNCTION("""COMPUTED_VALUE"""),"A1A001 Académico Prof. Titular")</f>
        <v>A1A001 Académico Prof. Titular</v>
      </c>
      <c r="C294" s="1" t="str">
        <f>IFERROR(__xludf.DUMMYFUNCTION("""COMPUTED_VALUE"""),"Prof.Titular - Categ. Academica Ord.")</f>
        <v>Prof.Titular - Categ. Academica Ord.</v>
      </c>
      <c r="D294" s="1" t="str">
        <f>IFERROR(__xludf.DUMMYFUNCTION("""COMPUTED_VALUE"""),"A1A Prof.Titular - Categ. Academica Ord.")</f>
        <v>A1A Prof.Titular - Categ. Academica Ord.</v>
      </c>
      <c r="E294" s="1" t="str">
        <f>IFERROR(__xludf.DUMMYFUNCTION("""COMPUTED_VALUE"""),"Femenino")</f>
        <v>Femenino</v>
      </c>
      <c r="F294" s="1" t="str">
        <f>IFERROR(__xludf.DUMMYFUNCTION("""COMPUTED_VALUE"""),"Saavedra")</f>
        <v>Saavedra</v>
      </c>
      <c r="G294" s="1" t="str">
        <f>IFERROR(__xludf.DUMMYFUNCTION("""COMPUTED_VALUE"""),"Livoni")</f>
        <v>Livoni</v>
      </c>
      <c r="H294" s="1" t="str">
        <f>IFERROR(__xludf.DUMMYFUNCTION("""COMPUTED_VALUE"""),"María de los Angeles")</f>
        <v>María de los Angeles</v>
      </c>
      <c r="I294" s="1" t="str">
        <f>IFERROR(__xludf.DUMMYFUNCTION("""COMPUTED_VALUE"""),"Saavedra Livoni María de los Angeles")</f>
        <v>Saavedra Livoni María de los Angeles</v>
      </c>
      <c r="J294" s="10">
        <f>IFERROR(__xludf.DUMMYFUNCTION("""COMPUTED_VALUE"""),21855.0)</f>
        <v>21855</v>
      </c>
      <c r="K294" s="10">
        <f>IFERROR(__xludf.DUMMYFUNCTION("""COMPUTED_VALUE"""),11498.0)</f>
        <v>11498</v>
      </c>
      <c r="L294" s="1">
        <f>IFERROR(__xludf.DUMMYFUNCTION("""COMPUTED_VALUE"""),92.0)</f>
        <v>92</v>
      </c>
      <c r="M294" s="1" t="str">
        <f>IFERROR(__xludf.DUMMYFUNCTION("""COMPUTED_VALUE"""),"0001 Casado")</f>
        <v>0001 Casado</v>
      </c>
      <c r="N294" s="1"/>
      <c r="O294" s="10">
        <f>IFERROR(__xludf.DUMMYFUNCTION("""COMPUTED_VALUE"""),39083.0)</f>
        <v>39083</v>
      </c>
      <c r="P294" s="10">
        <f>IFERROR(__xludf.DUMMYFUNCTION("""COMPUTED_VALUE"""),39141.0)</f>
        <v>39141</v>
      </c>
      <c r="Q294" s="1" t="str">
        <f>IFERROR(__xludf.DUMMYFUNCTION("""COMPUTED_VALUE"""),"C Contrata")</f>
        <v>C Contrata</v>
      </c>
      <c r="R294" s="1" t="str">
        <f>IFERROR(__xludf.DUMMYFUNCTION("""COMPUTED_VALUE"""),"A Académico")</f>
        <v>A Académico</v>
      </c>
      <c r="S294" s="9" t="str">
        <f>IFERROR(__xludf.DUMMYFUNCTION("""COMPUTED_VALUE"""),"003982888K")</f>
        <v>003982888K</v>
      </c>
      <c r="T294" s="1" t="str">
        <f>IFERROR(__xludf.DUMMYFUNCTION("""COMPUTED_VALUE"""),"003982888K")</f>
        <v>003982888K</v>
      </c>
      <c r="U294" s="1">
        <f>IFERROR(__xludf.DUMMYFUNCTION("""COMPUTED_VALUE"""),22.0)</f>
        <v>22</v>
      </c>
      <c r="V294" s="1" t="str">
        <f>IFERROR(__xludf.DUMMYFUNCTION("""COMPUTED_VALUE"""),"P0900 Doctor")</f>
        <v>P0900 Doctor</v>
      </c>
      <c r="W294" s="1">
        <f>IFERROR(__xludf.DUMMYFUNCTION("""COMPUTED_VALUE"""),26298.0)</f>
        <v>26298</v>
      </c>
      <c r="X294" s="1" t="str">
        <f>IFERROR(__xludf.DUMMYFUNCTION("""COMPUTED_VALUE"""),"Universidad De Tales")</f>
        <v>Universidad De Tales</v>
      </c>
      <c r="Y294" s="1" t="str">
        <f>IFERROR(__xludf.DUMMYFUNCTION("""COMPUTED_VALUE"""),"ESTADOS UNIDOS")</f>
        <v>ESTADOS UNIDOS</v>
      </c>
      <c r="Z294" s="1"/>
    </row>
    <row r="295">
      <c r="A295" s="1" t="str">
        <f>IFERROR(__xludf.DUMMYFUNCTION("""COMPUTED_VALUE"""),"12090116 Dpto. de Antropología (funcionamiento)")</f>
        <v>12090116 Dpto. de Antropología (funcionamiento)</v>
      </c>
      <c r="B295" s="1" t="str">
        <f>IFERROR(__xludf.DUMMYFUNCTION("""COMPUTED_VALUE"""),"A3A001 Académico Prof. Asistente")</f>
        <v>A3A001 Académico Prof. Asistente</v>
      </c>
      <c r="C295" s="1" t="str">
        <f>IFERROR(__xludf.DUMMYFUNCTION("""COMPUTED_VALUE"""),"Prof. Asistente - Categ. Academica Ord.")</f>
        <v>Prof. Asistente - Categ. Academica Ord.</v>
      </c>
      <c r="D295" s="1" t="str">
        <f>IFERROR(__xludf.DUMMYFUNCTION("""COMPUTED_VALUE"""),"A3A Prof. Asistente - Categ. Academica Ord.")</f>
        <v>A3A Prof. Asistente - Categ. Academica Ord.</v>
      </c>
      <c r="E295" s="1" t="str">
        <f>IFERROR(__xludf.DUMMYFUNCTION("""COMPUTED_VALUE"""),"Femenino")</f>
        <v>Femenino</v>
      </c>
      <c r="F295" s="1" t="str">
        <f>IFERROR(__xludf.DUMMYFUNCTION("""COMPUTED_VALUE"""),"Sadler")</f>
        <v>Sadler</v>
      </c>
      <c r="G295" s="1" t="str">
        <f>IFERROR(__xludf.DUMMYFUNCTION("""COMPUTED_VALUE"""),"Spencer")</f>
        <v>Spencer</v>
      </c>
      <c r="H295" s="1" t="str">
        <f>IFERROR(__xludf.DUMMYFUNCTION("""COMPUTED_VALUE"""),"María Michelle")</f>
        <v>María Michelle</v>
      </c>
      <c r="I295" s="1" t="str">
        <f>IFERROR(__xludf.DUMMYFUNCTION("""COMPUTED_VALUE"""),"Sadler Spencer María Michelle")</f>
        <v>Sadler Spencer María Michelle</v>
      </c>
      <c r="J295" s="10">
        <f>IFERROR(__xludf.DUMMYFUNCTION("""COMPUTED_VALUE"""),38838.0)</f>
        <v>38838</v>
      </c>
      <c r="K295" s="10">
        <f>IFERROR(__xludf.DUMMYFUNCTION("""COMPUTED_VALUE"""),27403.0)</f>
        <v>27403</v>
      </c>
      <c r="L295" s="1">
        <f>IFERROR(__xludf.DUMMYFUNCTION("""COMPUTED_VALUE"""),49.0)</f>
        <v>49</v>
      </c>
      <c r="M295" s="1" t="str">
        <f>IFERROR(__xludf.DUMMYFUNCTION("""COMPUTED_VALUE"""),"0001 Casado")</f>
        <v>0001 Casado</v>
      </c>
      <c r="N295" s="1" t="str">
        <f>IFERROR(__xludf.DUMMYFUNCTION("""COMPUTED_VALUE"""),"N0040 Profesional Superior")</f>
        <v>N0040 Profesional Superior</v>
      </c>
      <c r="O295" s="10">
        <f>IFERROR(__xludf.DUMMYFUNCTION("""COMPUTED_VALUE"""),42736.0)</f>
        <v>42736</v>
      </c>
      <c r="P295" s="10">
        <f>IFERROR(__xludf.DUMMYFUNCTION("""COMPUTED_VALUE"""),43100.0)</f>
        <v>43100</v>
      </c>
      <c r="Q295" s="1" t="str">
        <f>IFERROR(__xludf.DUMMYFUNCTION("""COMPUTED_VALUE"""),"C Contrata")</f>
        <v>C Contrata</v>
      </c>
      <c r="R295" s="1" t="str">
        <f>IFERROR(__xludf.DUMMYFUNCTION("""COMPUTED_VALUE"""),"A Académico")</f>
        <v>A Académico</v>
      </c>
      <c r="S295" s="9" t="str">
        <f>IFERROR(__xludf.DUMMYFUNCTION("""COMPUTED_VALUE"""),"86343258")</f>
        <v>86343258</v>
      </c>
      <c r="T295" s="1" t="str">
        <f>IFERROR(__xludf.DUMMYFUNCTION("""COMPUTED_VALUE"""),"0086343258")</f>
        <v>0086343258</v>
      </c>
      <c r="U295" s="1">
        <f>IFERROR(__xludf.DUMMYFUNCTION("""COMPUTED_VALUE"""),12.0)</f>
        <v>12</v>
      </c>
      <c r="V295" s="1" t="str">
        <f>IFERROR(__xludf.DUMMYFUNCTION("""COMPUTED_VALUE"""),"P0850 Magister")</f>
        <v>P0850 Magister</v>
      </c>
      <c r="W295" s="1">
        <f>IFERROR(__xludf.DUMMYFUNCTION("""COMPUTED_VALUE"""),38927.0)</f>
        <v>38927</v>
      </c>
      <c r="X295" s="1" t="str">
        <f>IFERROR(__xludf.DUMMYFUNCTION("""COMPUTED_VALUE"""),"University Of Oxford")</f>
        <v>University Of Oxford</v>
      </c>
      <c r="Y295" s="1" t="str">
        <f>IFERROR(__xludf.DUMMYFUNCTION("""COMPUTED_VALUE"""),"INGLATERRA")</f>
        <v>INGLATERRA</v>
      </c>
      <c r="Z295" s="1" t="str">
        <f>IFERROR(__xludf.DUMMYFUNCTION("""COMPUTED_VALUE"""),"T5003 Antropologo")</f>
        <v>T5003 Antropologo</v>
      </c>
    </row>
    <row r="296" hidden="1">
      <c r="A296" s="1" t="str">
        <f>IFERROR(__xludf.DUMMYFUNCTION("""COMPUTED_VALUE"""),"12090801 Departamento de Sociología")</f>
        <v>12090801 Departamento de Sociología</v>
      </c>
      <c r="B296" s="1" t="str">
        <f>IFERROR(__xludf.DUMMYFUNCTION("""COMPUTED_VALUE"""),"A3A001 Académico Prof. Asistente")</f>
        <v>A3A001 Académico Prof. Asistente</v>
      </c>
      <c r="C296" s="1" t="str">
        <f>IFERROR(__xludf.DUMMYFUNCTION("""COMPUTED_VALUE"""),"Prof. Asistente - Categ. Academica Ord.")</f>
        <v>Prof. Asistente - Categ. Academica Ord.</v>
      </c>
      <c r="D296" s="1" t="str">
        <f>IFERROR(__xludf.DUMMYFUNCTION("""COMPUTED_VALUE"""),"A3A Prof. Asistente - Categ. Academica Ord.")</f>
        <v>A3A Prof. Asistente - Categ. Academica Ord.</v>
      </c>
      <c r="E296" s="1" t="str">
        <f>IFERROR(__xludf.DUMMYFUNCTION("""COMPUTED_VALUE"""),"Masculino")</f>
        <v>Masculino</v>
      </c>
      <c r="F296" s="1" t="str">
        <f>IFERROR(__xludf.DUMMYFUNCTION("""COMPUTED_VALUE"""),"Salamanca")</f>
        <v>Salamanca</v>
      </c>
      <c r="G296" s="1" t="str">
        <f>IFERROR(__xludf.DUMMYFUNCTION("""COMPUTED_VALUE"""),"Osorio")</f>
        <v>Osorio</v>
      </c>
      <c r="H296" s="1" t="str">
        <f>IFERROR(__xludf.DUMMYFUNCTION("""COMPUTED_VALUE"""),"Jorge Fernando")</f>
        <v>Jorge Fernando</v>
      </c>
      <c r="I296" s="1" t="str">
        <f>IFERROR(__xludf.DUMMYFUNCTION("""COMPUTED_VALUE"""),"Salamanca Osorio Jorge Fernando")</f>
        <v>Salamanca Osorio Jorge Fernando</v>
      </c>
      <c r="J296" s="10">
        <f>IFERROR(__xludf.DUMMYFUNCTION("""COMPUTED_VALUE"""),27120.0)</f>
        <v>27120</v>
      </c>
      <c r="K296" s="10">
        <f>IFERROR(__xludf.DUMMYFUNCTION("""COMPUTED_VALUE"""),17152.0)</f>
        <v>17152</v>
      </c>
      <c r="L296" s="1">
        <f>IFERROR(__xludf.DUMMYFUNCTION("""COMPUTED_VALUE"""),77.0)</f>
        <v>77</v>
      </c>
      <c r="M296" s="1" t="str">
        <f>IFERROR(__xludf.DUMMYFUNCTION("""COMPUTED_VALUE"""),"0001 Casado")</f>
        <v>0001 Casado</v>
      </c>
      <c r="N296" s="1" t="str">
        <f>IFERROR(__xludf.DUMMYFUNCTION("""COMPUTED_VALUE"""),"N0040 Profesional Superior")</f>
        <v>N0040 Profesional Superior</v>
      </c>
      <c r="O296" s="10">
        <f>IFERROR(__xludf.DUMMYFUNCTION("""COMPUTED_VALUE"""),34820.0)</f>
        <v>34820</v>
      </c>
      <c r="P296" s="10">
        <f>IFERROR(__xludf.DUMMYFUNCTION("""COMPUTED_VALUE"""),36129.0)</f>
        <v>36129</v>
      </c>
      <c r="Q296" s="1" t="str">
        <f>IFERROR(__xludf.DUMMYFUNCTION("""COMPUTED_VALUE"""),"P Propiedad")</f>
        <v>P Propiedad</v>
      </c>
      <c r="R296" s="1" t="str">
        <f>IFERROR(__xludf.DUMMYFUNCTION("""COMPUTED_VALUE"""),"A Académico")</f>
        <v>A Académico</v>
      </c>
      <c r="S296" s="9" t="str">
        <f>IFERROR(__xludf.DUMMYFUNCTION("""COMPUTED_VALUE"""),"005734749K")</f>
        <v>005734749K</v>
      </c>
      <c r="T296" s="1" t="str">
        <f>IFERROR(__xludf.DUMMYFUNCTION("""COMPUTED_VALUE"""),"005734749K")</f>
        <v>005734749K</v>
      </c>
      <c r="U296" s="1">
        <f>IFERROR(__xludf.DUMMYFUNCTION("""COMPUTED_VALUE"""),3.0)</f>
        <v>3</v>
      </c>
      <c r="V296" s="1"/>
      <c r="W296" s="1"/>
      <c r="X296" s="1"/>
      <c r="Y296" s="1"/>
      <c r="Z296" s="1" t="str">
        <f>IFERROR(__xludf.DUMMYFUNCTION("""COMPUTED_VALUE"""),"T5063 Licenciado en Sociologia")</f>
        <v>T5063 Licenciado en Sociologia</v>
      </c>
    </row>
    <row r="297">
      <c r="A297" s="1" t="str">
        <f>IFERROR(__xludf.DUMMYFUNCTION("""COMPUTED_VALUE"""),"12090116 Dpto. de Antropología (funcionamiento)")</f>
        <v>12090116 Dpto. de Antropología (funcionamiento)</v>
      </c>
      <c r="B297" s="1" t="str">
        <f>IFERROR(__xludf.DUMMYFUNCTION("""COMPUTED_VALUE"""),"A3A001 Académico Prof. Asistente")</f>
        <v>A3A001 Académico Prof. Asistente</v>
      </c>
      <c r="C297" s="1" t="str">
        <f>IFERROR(__xludf.DUMMYFUNCTION("""COMPUTED_VALUE"""),"Prof. Asistente - Categ. Academica Ord.")</f>
        <v>Prof. Asistente - Categ. Academica Ord.</v>
      </c>
      <c r="D297" s="1" t="str">
        <f>IFERROR(__xludf.DUMMYFUNCTION("""COMPUTED_VALUE"""),"A3A Prof. Asistente - Categ. Academica Ord.")</f>
        <v>A3A Prof. Asistente - Categ. Academica Ord.</v>
      </c>
      <c r="E297" s="1" t="str">
        <f>IFERROR(__xludf.DUMMYFUNCTION("""COMPUTED_VALUE"""),"Masculino")</f>
        <v>Masculino</v>
      </c>
      <c r="F297" s="1" t="str">
        <f>IFERROR(__xludf.DUMMYFUNCTION("""COMPUTED_VALUE"""),"Salinas")</f>
        <v>Salinas</v>
      </c>
      <c r="G297" s="1" t="str">
        <f>IFERROR(__xludf.DUMMYFUNCTION("""COMPUTED_VALUE"""),"Castro")</f>
        <v>Castro</v>
      </c>
      <c r="H297" s="1" t="str">
        <f>IFERROR(__xludf.DUMMYFUNCTION("""COMPUTED_VALUE"""),"Juan Carlos")</f>
        <v>Juan Carlos</v>
      </c>
      <c r="I297" s="1" t="str">
        <f>IFERROR(__xludf.DUMMYFUNCTION("""COMPUTED_VALUE"""),"Salinas Castro Juan Carlos")</f>
        <v>Salinas Castro Juan Carlos</v>
      </c>
      <c r="J297" s="10">
        <f>IFERROR(__xludf.DUMMYFUNCTION("""COMPUTED_VALUE"""),36281.0)</f>
        <v>36281</v>
      </c>
      <c r="K297" s="10">
        <f>IFERROR(__xludf.DUMMYFUNCTION("""COMPUTED_VALUE"""),24766.0)</f>
        <v>24766</v>
      </c>
      <c r="L297" s="1">
        <f>IFERROR(__xludf.DUMMYFUNCTION("""COMPUTED_VALUE"""),56.0)</f>
        <v>56</v>
      </c>
      <c r="M297" s="1" t="str">
        <f>IFERROR(__xludf.DUMMYFUNCTION("""COMPUTED_VALUE"""),"0001 Casado")</f>
        <v>0001 Casado</v>
      </c>
      <c r="N297" s="1" t="str">
        <f>IFERROR(__xludf.DUMMYFUNCTION("""COMPUTED_VALUE"""),"N0040 Profesional Superior")</f>
        <v>N0040 Profesional Superior</v>
      </c>
      <c r="O297" s="10">
        <f>IFERROR(__xludf.DUMMYFUNCTION("""COMPUTED_VALUE"""),42736.0)</f>
        <v>42736</v>
      </c>
      <c r="P297" s="10">
        <f>IFERROR(__xludf.DUMMYFUNCTION("""COMPUTED_VALUE"""),42766.0)</f>
        <v>42766</v>
      </c>
      <c r="Q297" s="1" t="str">
        <f>IFERROR(__xludf.DUMMYFUNCTION("""COMPUTED_VALUE"""),"C Contrata")</f>
        <v>C Contrata</v>
      </c>
      <c r="R297" s="1" t="str">
        <f>IFERROR(__xludf.DUMMYFUNCTION("""COMPUTED_VALUE"""),"A Académico")</f>
        <v>A Académico</v>
      </c>
      <c r="S297" s="9" t="str">
        <f>IFERROR(__xludf.DUMMYFUNCTION("""COMPUTED_VALUE"""),"102203453")</f>
        <v>102203453</v>
      </c>
      <c r="T297" s="1" t="str">
        <f>IFERROR(__xludf.DUMMYFUNCTION("""COMPUTED_VALUE"""),"0102203453")</f>
        <v>0102203453</v>
      </c>
      <c r="U297" s="1">
        <f>IFERROR(__xludf.DUMMYFUNCTION("""COMPUTED_VALUE"""),12.0)</f>
        <v>12</v>
      </c>
      <c r="V297" s="1" t="str">
        <f>IFERROR(__xludf.DUMMYFUNCTION("""COMPUTED_VALUE"""),"P0800 Magíster")</f>
        <v>P0800 Magíster</v>
      </c>
      <c r="W297" s="1">
        <f>IFERROR(__xludf.DUMMYFUNCTION("""COMPUTED_VALUE"""),40388.0)</f>
        <v>40388</v>
      </c>
      <c r="X297" s="1" t="str">
        <f>IFERROR(__xludf.DUMMYFUNCTION("""COMPUTED_VALUE"""),"Universidad De Chile")</f>
        <v>Universidad De Chile</v>
      </c>
      <c r="Y297" s="1" t="str">
        <f>IFERROR(__xludf.DUMMYFUNCTION("""COMPUTED_VALUE"""),"CHILE")</f>
        <v>CHILE</v>
      </c>
      <c r="Z297" s="1" t="str">
        <f>IFERROR(__xludf.DUMMYFUNCTION("""COMPUTED_VALUE"""),"T5018 Dentista")</f>
        <v>T5018 Dentista</v>
      </c>
    </row>
    <row r="298" hidden="1">
      <c r="A298" s="1" t="str">
        <f>IFERROR(__xludf.DUMMYFUNCTION("""COMPUTED_VALUE"""),"12090701 Departamento de Psicología")</f>
        <v>12090701 Departamento de Psicología</v>
      </c>
      <c r="B298" s="1" t="str">
        <f>IFERROR(__xludf.DUMMYFUNCTION("""COMPUTED_VALUE"""),"A4A001 ACADEMICO  INSTRUCTOR")</f>
        <v>A4A001 ACADEMICO  INSTRUCTOR</v>
      </c>
      <c r="C298" s="1" t="str">
        <f>IFERROR(__xludf.DUMMYFUNCTION("""COMPUTED_VALUE"""),"Instructor")</f>
        <v>Instructor</v>
      </c>
      <c r="D298" s="1" t="str">
        <f>IFERROR(__xludf.DUMMYFUNCTION("""COMPUTED_VALUE"""),"A4A Instructor")</f>
        <v>A4A Instructor</v>
      </c>
      <c r="E298" s="1" t="str">
        <f>IFERROR(__xludf.DUMMYFUNCTION("""COMPUTED_VALUE"""),"Masculino")</f>
        <v>Masculino</v>
      </c>
      <c r="F298" s="1" t="str">
        <f>IFERROR(__xludf.DUMMYFUNCTION("""COMPUTED_VALUE"""),"San Martín")</f>
        <v>San Martín</v>
      </c>
      <c r="G298" s="1" t="str">
        <f>IFERROR(__xludf.DUMMYFUNCTION("""COMPUTED_VALUE"""),"Enríquez")</f>
        <v>Enríquez</v>
      </c>
      <c r="H298" s="1" t="str">
        <f>IFERROR(__xludf.DUMMYFUNCTION("""COMPUTED_VALUE"""),"Germán José")</f>
        <v>Germán José</v>
      </c>
      <c r="I298" s="1" t="str">
        <f>IFERROR(__xludf.DUMMYFUNCTION("""COMPUTED_VALUE"""),"San Martín Enríquez Germán José")</f>
        <v>San Martín Enríquez Germán José</v>
      </c>
      <c r="J298" s="10">
        <f>IFERROR(__xludf.DUMMYFUNCTION("""COMPUTED_VALUE"""),34243.0)</f>
        <v>34243</v>
      </c>
      <c r="K298" s="10">
        <f>IFERROR(__xludf.DUMMYFUNCTION("""COMPUTED_VALUE"""),18448.0)</f>
        <v>18448</v>
      </c>
      <c r="L298" s="1">
        <f>IFERROR(__xludf.DUMMYFUNCTION("""COMPUTED_VALUE"""),73.0)</f>
        <v>73</v>
      </c>
      <c r="M298" s="1" t="str">
        <f>IFERROR(__xludf.DUMMYFUNCTION("""COMPUTED_VALUE"""),"0001 Casado")</f>
        <v>0001 Casado</v>
      </c>
      <c r="N298" s="1"/>
      <c r="O298" s="10">
        <f>IFERROR(__xludf.DUMMYFUNCTION("""COMPUTED_VALUE"""),34700.0)</f>
        <v>34700</v>
      </c>
      <c r="P298" s="10">
        <f>IFERROR(__xludf.DUMMYFUNCTION("""COMPUTED_VALUE"""),34758.0)</f>
        <v>34758</v>
      </c>
      <c r="Q298" s="1" t="str">
        <f>IFERROR(__xludf.DUMMYFUNCTION("""COMPUTED_VALUE"""),"C Contrata")</f>
        <v>C Contrata</v>
      </c>
      <c r="R298" s="1" t="str">
        <f>IFERROR(__xludf.DUMMYFUNCTION("""COMPUTED_VALUE"""),"A Académico")</f>
        <v>A Académico</v>
      </c>
      <c r="S298" s="9" t="str">
        <f>IFERROR(__xludf.DUMMYFUNCTION("""COMPUTED_VALUE"""),"60256020")</f>
        <v>60256020</v>
      </c>
      <c r="T298" s="1" t="str">
        <f>IFERROR(__xludf.DUMMYFUNCTION("""COMPUTED_VALUE"""),"0060256020")</f>
        <v>0060256020</v>
      </c>
      <c r="U298" s="1">
        <f>IFERROR(__xludf.DUMMYFUNCTION("""COMPUTED_VALUE"""),12.0)</f>
        <v>12</v>
      </c>
      <c r="V298" s="1"/>
      <c r="W298" s="1"/>
      <c r="X298" s="1"/>
      <c r="Y298" s="1"/>
      <c r="Z298" s="1"/>
    </row>
    <row r="299" hidden="1">
      <c r="A299" s="1" t="str">
        <f>IFERROR(__xludf.DUMMYFUNCTION("""COMPUTED_VALUE"""),"12090601 Departamento de Educación")</f>
        <v>12090601 Departamento de Educación</v>
      </c>
      <c r="B299" s="1" t="str">
        <f>IFERROR(__xludf.DUMMYFUNCTION("""COMPUTED_VALUE"""),"A4A001 ACADEMICO  INSTRUCTOR")</f>
        <v>A4A001 ACADEMICO  INSTRUCTOR</v>
      </c>
      <c r="C299" s="1" t="str">
        <f>IFERROR(__xludf.DUMMYFUNCTION("""COMPUTED_VALUE"""),"Instructor")</f>
        <v>Instructor</v>
      </c>
      <c r="D299" s="1" t="str">
        <f>IFERROR(__xludf.DUMMYFUNCTION("""COMPUTED_VALUE"""),"A4A Instructor")</f>
        <v>A4A Instructor</v>
      </c>
      <c r="E299" s="1" t="str">
        <f>IFERROR(__xludf.DUMMYFUNCTION("""COMPUTED_VALUE"""),"Femenino")</f>
        <v>Femenino</v>
      </c>
      <c r="F299" s="1" t="str">
        <f>IFERROR(__xludf.DUMMYFUNCTION("""COMPUTED_VALUE"""),"San Martín")</f>
        <v>San Martín</v>
      </c>
      <c r="G299" s="1" t="str">
        <f>IFERROR(__xludf.DUMMYFUNCTION("""COMPUTED_VALUE"""),"Espinoza")</f>
        <v>Espinoza</v>
      </c>
      <c r="H299" s="1" t="str">
        <f>IFERROR(__xludf.DUMMYFUNCTION("""COMPUTED_VALUE"""),"María Angélica")</f>
        <v>María Angélica</v>
      </c>
      <c r="I299" s="1" t="str">
        <f>IFERROR(__xludf.DUMMYFUNCTION("""COMPUTED_VALUE"""),"San Martín Espinoza María Angélica")</f>
        <v>San Martín Espinoza María Angélica</v>
      </c>
      <c r="J299" s="10">
        <f>IFERROR(__xludf.DUMMYFUNCTION("""COMPUTED_VALUE"""),40238.0)</f>
        <v>40238</v>
      </c>
      <c r="K299" s="10">
        <f>IFERROR(__xludf.DUMMYFUNCTION("""COMPUTED_VALUE"""),17261.0)</f>
        <v>17261</v>
      </c>
      <c r="L299" s="1">
        <f>IFERROR(__xludf.DUMMYFUNCTION("""COMPUTED_VALUE"""),76.0)</f>
        <v>76</v>
      </c>
      <c r="M299" s="1" t="str">
        <f>IFERROR(__xludf.DUMMYFUNCTION("""COMPUTED_VALUE"""),"0002 Soltero")</f>
        <v>0002 Soltero</v>
      </c>
      <c r="N299" s="1" t="str">
        <f>IFERROR(__xludf.DUMMYFUNCTION("""COMPUTED_VALUE"""),"N0040 Profesional Superior")</f>
        <v>N0040 Profesional Superior</v>
      </c>
      <c r="O299" s="10">
        <f>IFERROR(__xludf.DUMMYFUNCTION("""COMPUTED_VALUE"""),41091.0)</f>
        <v>41091</v>
      </c>
      <c r="P299" s="10">
        <f>IFERROR(__xludf.DUMMYFUNCTION("""COMPUTED_VALUE"""),41274.0)</f>
        <v>41274</v>
      </c>
      <c r="Q299" s="1" t="str">
        <f>IFERROR(__xludf.DUMMYFUNCTION("""COMPUTED_VALUE"""),"C Contrata")</f>
        <v>C Contrata</v>
      </c>
      <c r="R299" s="1" t="str">
        <f>IFERROR(__xludf.DUMMYFUNCTION("""COMPUTED_VALUE"""),"A Académico")</f>
        <v>A Académico</v>
      </c>
      <c r="S299" s="9" t="str">
        <f>IFERROR(__xludf.DUMMYFUNCTION("""COMPUTED_VALUE"""),"59884018")</f>
        <v>59884018</v>
      </c>
      <c r="T299" s="1" t="str">
        <f>IFERROR(__xludf.DUMMYFUNCTION("""COMPUTED_VALUE"""),"0059884018")</f>
        <v>0059884018</v>
      </c>
      <c r="U299" s="1">
        <f>IFERROR(__xludf.DUMMYFUNCTION("""COMPUTED_VALUE"""),6.0)</f>
        <v>6</v>
      </c>
      <c r="V299" s="1" t="str">
        <f>IFERROR(__xludf.DUMMYFUNCTION("""COMPUTED_VALUE"""),"P0850 Magister")</f>
        <v>P0850 Magister</v>
      </c>
      <c r="W299" s="1">
        <f>IFERROR(__xludf.DUMMYFUNCTION("""COMPUTED_VALUE"""),34320.0)</f>
        <v>34320</v>
      </c>
      <c r="X299" s="1" t="str">
        <f>IFERROR(__xludf.DUMMYFUNCTION("""COMPUTED_VALUE"""),"UNIVERSIDAD DE CHILE")</f>
        <v>UNIVERSIDAD DE CHILE</v>
      </c>
      <c r="Y299" s="1" t="str">
        <f>IFERROR(__xludf.DUMMYFUNCTION("""COMPUTED_VALUE"""),"CHILE")</f>
        <v>CHILE</v>
      </c>
      <c r="Z299" s="1" t="str">
        <f>IFERROR(__xludf.DUMMYFUNCTION("""COMPUTED_VALUE"""),"T5084 Profesor De Estado")</f>
        <v>T5084 Profesor De Estado</v>
      </c>
    </row>
    <row r="300" hidden="1">
      <c r="A300" s="1" t="str">
        <f>IFERROR(__xludf.DUMMYFUNCTION("""COMPUTED_VALUE"""),"12090301 Departamento de Antropología")</f>
        <v>12090301 Departamento de Antropología</v>
      </c>
      <c r="B300" s="1" t="str">
        <f>IFERROR(__xludf.DUMMYFUNCTION("""COMPUTED_VALUE"""),"A1A001 Académico Prof. Titular")</f>
        <v>A1A001 Académico Prof. Titular</v>
      </c>
      <c r="C300" s="1" t="str">
        <f>IFERROR(__xludf.DUMMYFUNCTION("""COMPUTED_VALUE"""),"Prof.Titular - Categ. Academica Ord.")</f>
        <v>Prof.Titular - Categ. Academica Ord.</v>
      </c>
      <c r="D300" s="1" t="str">
        <f>IFERROR(__xludf.DUMMYFUNCTION("""COMPUTED_VALUE"""),"A1A Prof.Titular - Categ. Academica Ord.")</f>
        <v>A1A Prof.Titular - Categ. Academica Ord.</v>
      </c>
      <c r="E300" s="1" t="str">
        <f>IFERROR(__xludf.DUMMYFUNCTION("""COMPUTED_VALUE"""),"Masculino")</f>
        <v>Masculino</v>
      </c>
      <c r="F300" s="1" t="str">
        <f>IFERROR(__xludf.DUMMYFUNCTION("""COMPUTED_VALUE"""),"Sánchez")</f>
        <v>Sánchez</v>
      </c>
      <c r="G300" s="1" t="str">
        <f>IFERROR(__xludf.DUMMYFUNCTION("""COMPUTED_VALUE"""),"Cabezas")</f>
        <v>Cabezas</v>
      </c>
      <c r="H300" s="1" t="str">
        <f>IFERROR(__xludf.DUMMYFUNCTION("""COMPUTED_VALUE"""),"Gilberto")</f>
        <v>Gilberto</v>
      </c>
      <c r="I300" s="1" t="str">
        <f>IFERROR(__xludf.DUMMYFUNCTION("""COMPUTED_VALUE"""),"Sánchez Cabezas Gilberto")</f>
        <v>Sánchez Cabezas Gilberto</v>
      </c>
      <c r="J300" s="10">
        <f>IFERROR(__xludf.DUMMYFUNCTION("""COMPUTED_VALUE"""),21337.0)</f>
        <v>21337</v>
      </c>
      <c r="K300" s="10">
        <f>IFERROR(__xludf.DUMMYFUNCTION("""COMPUTED_VALUE"""),13724.0)</f>
        <v>13724</v>
      </c>
      <c r="L300" s="1">
        <f>IFERROR(__xludf.DUMMYFUNCTION("""COMPUTED_VALUE"""),86.0)</f>
        <v>86</v>
      </c>
      <c r="M300" s="1" t="str">
        <f>IFERROR(__xludf.DUMMYFUNCTION("""COMPUTED_VALUE"""),"0001 Casado")</f>
        <v>0001 Casado</v>
      </c>
      <c r="N300" s="1"/>
      <c r="O300" s="10">
        <f>IFERROR(__xludf.DUMMYFUNCTION("""COMPUTED_VALUE"""),35551.0)</f>
        <v>35551</v>
      </c>
      <c r="P300" s="10">
        <f>IFERROR(__xludf.DUMMYFUNCTION("""COMPUTED_VALUE"""),37680.0)</f>
        <v>37680</v>
      </c>
      <c r="Q300" s="1" t="str">
        <f>IFERROR(__xludf.DUMMYFUNCTION("""COMPUTED_VALUE"""),"P Propiedad")</f>
        <v>P Propiedad</v>
      </c>
      <c r="R300" s="1" t="str">
        <f>IFERROR(__xludf.DUMMYFUNCTION("""COMPUTED_VALUE"""),"A Académico")</f>
        <v>A Académico</v>
      </c>
      <c r="S300" s="9" t="str">
        <f>IFERROR(__xludf.DUMMYFUNCTION("""COMPUTED_VALUE"""),"41256087")</f>
        <v>41256087</v>
      </c>
      <c r="T300" s="1" t="str">
        <f>IFERROR(__xludf.DUMMYFUNCTION("""COMPUTED_VALUE"""),"0041256087")</f>
        <v>0041256087</v>
      </c>
      <c r="U300" s="1">
        <f>IFERROR(__xludf.DUMMYFUNCTION("""COMPUTED_VALUE"""),12.0)</f>
        <v>12</v>
      </c>
      <c r="V300" s="1" t="str">
        <f>IFERROR(__xludf.DUMMYFUNCTION("""COMPUTED_VALUE"""),"P0900 Doctor")</f>
        <v>P0900 Doctor</v>
      </c>
      <c r="W300" s="1">
        <f>IFERROR(__xludf.DUMMYFUNCTION("""COMPUTED_VALUE"""),25933.0)</f>
        <v>25933</v>
      </c>
      <c r="X300" s="1" t="str">
        <f>IFERROR(__xludf.DUMMYFUNCTION("""COMPUTED_VALUE"""),"Universidad De Budapest")</f>
        <v>Universidad De Budapest</v>
      </c>
      <c r="Y300" s="1" t="str">
        <f>IFERROR(__xludf.DUMMYFUNCTION("""COMPUTED_VALUE"""),"HUNGRIA")</f>
        <v>HUNGRIA</v>
      </c>
      <c r="Z300" s="1" t="str">
        <f>IFERROR(__xludf.DUMMYFUNCTION("""COMPUTED_VALUE"""),"T5191 Profesor De Castellano")</f>
        <v>T5191 Profesor De Castellano</v>
      </c>
    </row>
    <row r="301" hidden="1">
      <c r="A301" s="1" t="str">
        <f>IFERROR(__xludf.DUMMYFUNCTION("""COMPUTED_VALUE"""),"12090501 Departamento de Investigaciónes Mediáticas y de la Comunicación")</f>
        <v>12090501 Departamento de Investigaciónes Mediáticas y de la Comunicación</v>
      </c>
      <c r="B301" s="1" t="str">
        <f>IFERROR(__xludf.DUMMYFUNCTION("""COMPUTED_VALUE"""),"A1A001 Académico Prof. Titular")</f>
        <v>A1A001 Académico Prof. Titular</v>
      </c>
      <c r="C301" s="1" t="str">
        <f>IFERROR(__xludf.DUMMYFUNCTION("""COMPUTED_VALUE"""),"Prof.Titular - Categ. Academica Ord.")</f>
        <v>Prof.Titular - Categ. Academica Ord.</v>
      </c>
      <c r="D301" s="1" t="str">
        <f>IFERROR(__xludf.DUMMYFUNCTION("""COMPUTED_VALUE"""),"A1A Prof.Titular - Categ. Academica Ord.")</f>
        <v>A1A Prof.Titular - Categ. Academica Ord.</v>
      </c>
      <c r="E301" s="1" t="str">
        <f>IFERROR(__xludf.DUMMYFUNCTION("""COMPUTED_VALUE"""),"Masculino")</f>
        <v>Masculino</v>
      </c>
      <c r="F301" s="1" t="str">
        <f>IFERROR(__xludf.DUMMYFUNCTION("""COMPUTED_VALUE"""),"Sánchez")</f>
        <v>Sánchez</v>
      </c>
      <c r="G301" s="1" t="str">
        <f>IFERROR(__xludf.DUMMYFUNCTION("""COMPUTED_VALUE"""),"González")</f>
        <v>González</v>
      </c>
      <c r="H301" s="1" t="str">
        <f>IFERROR(__xludf.DUMMYFUNCTION("""COMPUTED_VALUE"""),"Walter Delfín")</f>
        <v>Walter Delfín</v>
      </c>
      <c r="I301" s="1" t="str">
        <f>IFERROR(__xludf.DUMMYFUNCTION("""COMPUTED_VALUE"""),"Sánchez González Walter Delfín")</f>
        <v>Sánchez González Walter Delfín</v>
      </c>
      <c r="J301" s="10">
        <f>IFERROR(__xludf.DUMMYFUNCTION("""COMPUTED_VALUE"""),26724.0)</f>
        <v>26724</v>
      </c>
      <c r="K301" s="10">
        <f>IFERROR(__xludf.DUMMYFUNCTION("""COMPUTED_VALUE"""),16046.0)</f>
        <v>16046</v>
      </c>
      <c r="L301" s="1">
        <f>IFERROR(__xludf.DUMMYFUNCTION("""COMPUTED_VALUE"""),80.0)</f>
        <v>80</v>
      </c>
      <c r="M301" s="1" t="str">
        <f>IFERROR(__xludf.DUMMYFUNCTION("""COMPUTED_VALUE"""),"0001 Casado")</f>
        <v>0001 Casado</v>
      </c>
      <c r="N301" s="1" t="str">
        <f>IFERROR(__xludf.DUMMYFUNCTION("""COMPUTED_VALUE"""),"N0040 Profesional Superior")</f>
        <v>N0040 Profesional Superior</v>
      </c>
      <c r="O301" s="10">
        <f>IFERROR(__xludf.DUMMYFUNCTION("""COMPUTED_VALUE"""),33420.0)</f>
        <v>33420</v>
      </c>
      <c r="P301" s="10">
        <f>IFERROR(__xludf.DUMMYFUNCTION("""COMPUTED_VALUE"""),34789.0)</f>
        <v>34789</v>
      </c>
      <c r="Q301" s="1" t="str">
        <f>IFERROR(__xludf.DUMMYFUNCTION("""COMPUTED_VALUE"""),"P Propiedad")</f>
        <v>P Propiedad</v>
      </c>
      <c r="R301" s="1" t="str">
        <f>IFERROR(__xludf.DUMMYFUNCTION("""COMPUTED_VALUE"""),"A Académico")</f>
        <v>A Académico</v>
      </c>
      <c r="S301" s="9" t="str">
        <f>IFERROR(__xludf.DUMMYFUNCTION("""COMPUTED_VALUE"""),"005179463K")</f>
        <v>005179463K</v>
      </c>
      <c r="T301" s="1" t="str">
        <f>IFERROR(__xludf.DUMMYFUNCTION("""COMPUTED_VALUE"""),"005179463K")</f>
        <v>005179463K</v>
      </c>
      <c r="U301" s="1">
        <f>IFERROR(__xludf.DUMMYFUNCTION("""COMPUTED_VALUE"""),6.0)</f>
        <v>6</v>
      </c>
      <c r="V301" s="1" t="str">
        <f>IFERROR(__xludf.DUMMYFUNCTION("""COMPUTED_VALUE"""),"P0902 Doctor Of Philosophy")</f>
        <v>P0902 Doctor Of Philosophy</v>
      </c>
      <c r="W301" s="1">
        <f>IFERROR(__xludf.DUMMYFUNCTION("""COMPUTED_VALUE"""),28631.0)</f>
        <v>28631</v>
      </c>
      <c r="X301" s="1" t="str">
        <f>IFERROR(__xludf.DUMMYFUNCTION("""COMPUTED_VALUE"""),"Universidad De Notre Dame")</f>
        <v>Universidad De Notre Dame</v>
      </c>
      <c r="Y301" s="1" t="str">
        <f>IFERROR(__xludf.DUMMYFUNCTION("""COMPUTED_VALUE"""),"ESTADOS UNIDOS")</f>
        <v>ESTADOS UNIDOS</v>
      </c>
      <c r="Z301" s="1" t="str">
        <f>IFERROR(__xludf.DUMMYFUNCTION("""COMPUTED_VALUE"""),"T5099 Profesor De Filosofia")</f>
        <v>T5099 Profesor De Filosofia</v>
      </c>
    </row>
    <row r="302">
      <c r="A302" s="1" t="str">
        <f>IFERROR(__xludf.DUMMYFUNCTION("""COMPUTED_VALUE"""),"12090116 Dpto. de Antropología (funcionamiento)")</f>
        <v>12090116 Dpto. de Antropología (funcionamiento)</v>
      </c>
      <c r="B302" s="1" t="str">
        <f>IFERROR(__xludf.DUMMYFUNCTION("""COMPUTED_VALUE"""),"A3A001 Académico Prof. Asistente")</f>
        <v>A3A001 Académico Prof. Asistente</v>
      </c>
      <c r="C302" s="1" t="str">
        <f>IFERROR(__xludf.DUMMYFUNCTION("""COMPUTED_VALUE"""),"Prof. Asistente - Categ. Academica Ord.")</f>
        <v>Prof. Asistente - Categ. Academica Ord.</v>
      </c>
      <c r="D302" s="1" t="str">
        <f>IFERROR(__xludf.DUMMYFUNCTION("""COMPUTED_VALUE"""),"A3A Prof. Asistente - Categ. Academica Ord.")</f>
        <v>A3A Prof. Asistente - Categ. Academica Ord.</v>
      </c>
      <c r="E302" s="1" t="str">
        <f>IFERROR(__xludf.DUMMYFUNCTION("""COMPUTED_VALUE"""),"Masculino")</f>
        <v>Masculino</v>
      </c>
      <c r="F302" s="1" t="str">
        <f>IFERROR(__xludf.DUMMYFUNCTION("""COMPUTED_VALUE"""),"Sánchez")</f>
        <v>Sánchez</v>
      </c>
      <c r="G302" s="1" t="str">
        <f>IFERROR(__xludf.DUMMYFUNCTION("""COMPUTED_VALUE"""),"Romero")</f>
        <v>Romero</v>
      </c>
      <c r="H302" s="1" t="str">
        <f>IFERROR(__xludf.DUMMYFUNCTION("""COMPUTED_VALUE"""),"Rodrigo Eduardo Ramón")</f>
        <v>Rodrigo Eduardo Ramón</v>
      </c>
      <c r="I302" s="1" t="str">
        <f>IFERROR(__xludf.DUMMYFUNCTION("""COMPUTED_VALUE"""),"Sánchez Romero Rodrigo Eduardo Ramón")</f>
        <v>Sánchez Romero Rodrigo Eduardo Ramón</v>
      </c>
      <c r="J302" s="10">
        <f>IFERROR(__xludf.DUMMYFUNCTION("""COMPUTED_VALUE"""),34516.0)</f>
        <v>34516</v>
      </c>
      <c r="K302" s="10">
        <f>IFERROR(__xludf.DUMMYFUNCTION("""COMPUTED_VALUE"""),24715.0)</f>
        <v>24715</v>
      </c>
      <c r="L302" s="1">
        <f>IFERROR(__xludf.DUMMYFUNCTION("""COMPUTED_VALUE"""),56.0)</f>
        <v>56</v>
      </c>
      <c r="M302" s="1" t="str">
        <f>IFERROR(__xludf.DUMMYFUNCTION("""COMPUTED_VALUE"""),"0004 Otro")</f>
        <v>0004 Otro</v>
      </c>
      <c r="N302" s="1"/>
      <c r="O302" s="10">
        <f>IFERROR(__xludf.DUMMYFUNCTION("""COMPUTED_VALUE"""),42186.0)</f>
        <v>42186</v>
      </c>
      <c r="P302" s="10">
        <f>IFERROR(__xludf.DUMMYFUNCTION("""COMPUTED_VALUE"""),73050.0)</f>
        <v>73050</v>
      </c>
      <c r="Q302" s="1" t="str">
        <f>IFERROR(__xludf.DUMMYFUNCTION("""COMPUTED_VALUE"""),"P Propiedad")</f>
        <v>P Propiedad</v>
      </c>
      <c r="R302" s="1" t="str">
        <f>IFERROR(__xludf.DUMMYFUNCTION("""COMPUTED_VALUE"""),"A Académico")</f>
        <v>A Académico</v>
      </c>
      <c r="S302" s="9" t="str">
        <f>IFERROR(__xludf.DUMMYFUNCTION("""COMPUTED_VALUE"""),"103627397")</f>
        <v>103627397</v>
      </c>
      <c r="T302" s="1" t="str">
        <f>IFERROR(__xludf.DUMMYFUNCTION("""COMPUTED_VALUE"""),"0103627397")</f>
        <v>0103627397</v>
      </c>
      <c r="U302" s="1">
        <f>IFERROR(__xludf.DUMMYFUNCTION("""COMPUTED_VALUE"""),6.0)</f>
        <v>6</v>
      </c>
      <c r="V302" s="1" t="str">
        <f>IFERROR(__xludf.DUMMYFUNCTION("""COMPUTED_VALUE"""),"P0850 Magister")</f>
        <v>P0850 Magister</v>
      </c>
      <c r="W302" s="1">
        <f>IFERROR(__xludf.DUMMYFUNCTION("""COMPUTED_VALUE"""),38068.0)</f>
        <v>38068</v>
      </c>
      <c r="X302" s="1" t="str">
        <f>IFERROR(__xludf.DUMMYFUNCTION("""COMPUTED_VALUE"""),"Universidad De Chile")</f>
        <v>Universidad De Chile</v>
      </c>
      <c r="Y302" s="1" t="str">
        <f>IFERROR(__xludf.DUMMYFUNCTION("""COMPUTED_VALUE"""),"CHILE")</f>
        <v>CHILE</v>
      </c>
      <c r="Z302" s="1"/>
    </row>
    <row r="303">
      <c r="A303" s="1" t="str">
        <f>IFERROR(__xludf.DUMMYFUNCTION("""COMPUTED_VALUE"""),"12090801 Departamento de Sociología")</f>
        <v>12090801 Departamento de Sociología</v>
      </c>
      <c r="B303" s="1" t="str">
        <f>IFERROR(__xludf.DUMMYFUNCTION("""COMPUTED_VALUE"""),"001845 Profesor Asistente")</f>
        <v>001845 Profesor Asistente</v>
      </c>
      <c r="C303" s="1" t="str">
        <f>IFERROR(__xludf.DUMMYFUNCTION("""COMPUTED_VALUE"""),"Prof. Asistente - Categ. Academica Ord.")</f>
        <v>Prof. Asistente - Categ. Academica Ord.</v>
      </c>
      <c r="D303" s="1" t="str">
        <f>IFERROR(__xludf.DUMMYFUNCTION("""COMPUTED_VALUE"""),"A3A Prof. Asistente - Categ. Academica Ord.")</f>
        <v>A3A Prof. Asistente - Categ. Academica Ord.</v>
      </c>
      <c r="E303" s="1" t="str">
        <f>IFERROR(__xludf.DUMMYFUNCTION("""COMPUTED_VALUE"""),"Masculino")</f>
        <v>Masculino</v>
      </c>
      <c r="F303" s="1" t="str">
        <f>IFERROR(__xludf.DUMMYFUNCTION("""COMPUTED_VALUE"""),"Sandoval")</f>
        <v>Sandoval</v>
      </c>
      <c r="G303" s="1" t="str">
        <f>IFERROR(__xludf.DUMMYFUNCTION("""COMPUTED_VALUE"""),"Manríquez")</f>
        <v>Manríquez</v>
      </c>
      <c r="H303" s="1" t="str">
        <f>IFERROR(__xludf.DUMMYFUNCTION("""COMPUTED_VALUE"""),"Mario Waldo")</f>
        <v>Mario Waldo</v>
      </c>
      <c r="I303" s="1" t="str">
        <f>IFERROR(__xludf.DUMMYFUNCTION("""COMPUTED_VALUE"""),"Sandoval Manríquez Mario Waldo")</f>
        <v>Sandoval Manríquez Mario Waldo</v>
      </c>
      <c r="J303" s="10">
        <f>IFERROR(__xludf.DUMMYFUNCTION("""COMPUTED_VALUE"""),38915.0)</f>
        <v>38915</v>
      </c>
      <c r="K303" s="10">
        <f>IFERROR(__xludf.DUMMYFUNCTION("""COMPUTED_VALUE"""),21136.0)</f>
        <v>21136</v>
      </c>
      <c r="L303" s="1">
        <f>IFERROR(__xludf.DUMMYFUNCTION("""COMPUTED_VALUE"""),66.0)</f>
        <v>66</v>
      </c>
      <c r="M303" s="1" t="str">
        <f>IFERROR(__xludf.DUMMYFUNCTION("""COMPUTED_VALUE"""),"0001 Casado")</f>
        <v>0001 Casado</v>
      </c>
      <c r="N303" s="1" t="str">
        <f>IFERROR(__xludf.DUMMYFUNCTION("""COMPUTED_VALUE"""),"N0040 Profesional Superior")</f>
        <v>N0040 Profesional Superior</v>
      </c>
      <c r="O303" s="10">
        <f>IFERROR(__xludf.DUMMYFUNCTION("""COMPUTED_VALUE"""),38915.0)</f>
        <v>38915</v>
      </c>
      <c r="P303" s="10">
        <f>IFERROR(__xludf.DUMMYFUNCTION("""COMPUTED_VALUE"""),39141.0)</f>
        <v>39141</v>
      </c>
      <c r="Q303" s="1" t="str">
        <f>IFERROR(__xludf.DUMMYFUNCTION("""COMPUTED_VALUE"""),"P Propiedad")</f>
        <v>P Propiedad</v>
      </c>
      <c r="R303" s="1" t="str">
        <f>IFERROR(__xludf.DUMMYFUNCTION("""COMPUTED_VALUE"""),"A Académico")</f>
        <v>A Académico</v>
      </c>
      <c r="S303" s="9" t="str">
        <f>IFERROR(__xludf.DUMMYFUNCTION("""COMPUTED_VALUE"""),"68970040")</f>
        <v>68970040</v>
      </c>
      <c r="T303" s="1" t="str">
        <f>IFERROR(__xludf.DUMMYFUNCTION("""COMPUTED_VALUE"""),"0068970040")</f>
        <v>0068970040</v>
      </c>
      <c r="U303" s="1">
        <f>IFERROR(__xludf.DUMMYFUNCTION("""COMPUTED_VALUE"""),22.0)</f>
        <v>22</v>
      </c>
      <c r="V303" s="1"/>
      <c r="W303" s="1"/>
      <c r="X303" s="1"/>
      <c r="Y303" s="1"/>
      <c r="Z303" s="1" t="str">
        <f>IFERROR(__xludf.DUMMYFUNCTION("""COMPUTED_VALUE"""),"T5005 Asistente Social")</f>
        <v>T5005 Asistente Social</v>
      </c>
    </row>
    <row r="304">
      <c r="A304" s="1" t="str">
        <f>IFERROR(__xludf.DUMMYFUNCTION("""COMPUTED_VALUE"""),"12090120 Departamento de Trabajo Social")</f>
        <v>12090120 Departamento de Trabajo Social</v>
      </c>
      <c r="B304" s="1" t="str">
        <f>IFERROR(__xludf.DUMMYFUNCTION("""COMPUTED_VALUE"""),"A2A001 Académico Prof. Asociado")</f>
        <v>A2A001 Académico Prof. Asociado</v>
      </c>
      <c r="C304" s="1" t="str">
        <f>IFERROR(__xludf.DUMMYFUNCTION("""COMPUTED_VALUE"""),"Prof. Asociado - Categ. Academica Ord.")</f>
        <v>Prof. Asociado - Categ. Academica Ord.</v>
      </c>
      <c r="D304" s="1" t="str">
        <f>IFERROR(__xludf.DUMMYFUNCTION("""COMPUTED_VALUE"""),"A2A Prof. Asociado - Categ. Academica Ord.")</f>
        <v>A2A Prof. Asociado - Categ. Academica Ord.</v>
      </c>
      <c r="E304" s="1" t="str">
        <f>IFERROR(__xludf.DUMMYFUNCTION("""COMPUTED_VALUE"""),"Masculino")</f>
        <v>Masculino</v>
      </c>
      <c r="F304" s="1" t="str">
        <f>IFERROR(__xludf.DUMMYFUNCTION("""COMPUTED_VALUE"""),"Sanhueza")</f>
        <v>Sanhueza</v>
      </c>
      <c r="G304" s="1" t="str">
        <f>IFERROR(__xludf.DUMMYFUNCTION("""COMPUTED_VALUE"""),"Olivares")</f>
        <v>Olivares</v>
      </c>
      <c r="H304" s="1" t="str">
        <f>IFERROR(__xludf.DUMMYFUNCTION("""COMPUTED_VALUE"""),"Guillermo Enrique")</f>
        <v>Guillermo Enrique</v>
      </c>
      <c r="I304" s="1" t="str">
        <f>IFERROR(__xludf.DUMMYFUNCTION("""COMPUTED_VALUE"""),"Sanhueza Olivares Guillermo Enrique")</f>
        <v>Sanhueza Olivares Guillermo Enrique</v>
      </c>
      <c r="J304" s="10">
        <f>IFERROR(__xludf.DUMMYFUNCTION("""COMPUTED_VALUE"""),42675.0)</f>
        <v>42675</v>
      </c>
      <c r="K304" s="10">
        <f>IFERROR(__xludf.DUMMYFUNCTION("""COMPUTED_VALUE"""),29103.0)</f>
        <v>29103</v>
      </c>
      <c r="L304" s="1">
        <f>IFERROR(__xludf.DUMMYFUNCTION("""COMPUTED_VALUE"""),44.0)</f>
        <v>44</v>
      </c>
      <c r="M304" s="1" t="str">
        <f>IFERROR(__xludf.DUMMYFUNCTION("""COMPUTED_VALUE"""),"0001 Casado")</f>
        <v>0001 Casado</v>
      </c>
      <c r="N304" s="1" t="str">
        <f>IFERROR(__xludf.DUMMYFUNCTION("""COMPUTED_VALUE"""),"N0040 Profesional Superior")</f>
        <v>N0040 Profesional Superior</v>
      </c>
      <c r="O304" s="10">
        <f>IFERROR(__xludf.DUMMYFUNCTION("""COMPUTED_VALUE"""),44927.0)</f>
        <v>44927</v>
      </c>
      <c r="P304" s="10">
        <f>IFERROR(__xludf.DUMMYFUNCTION("""COMPUTED_VALUE"""),45291.0)</f>
        <v>45291</v>
      </c>
      <c r="Q304" s="1" t="str">
        <f>IFERROR(__xludf.DUMMYFUNCTION("""COMPUTED_VALUE"""),"C Contrata")</f>
        <v>C Contrata</v>
      </c>
      <c r="R304" s="1" t="str">
        <f>IFERROR(__xludf.DUMMYFUNCTION("""COMPUTED_VALUE"""),"A Académico")</f>
        <v>A Académico</v>
      </c>
      <c r="S304" s="9" t="str">
        <f>IFERROR(__xludf.DUMMYFUNCTION("""COMPUTED_VALUE"""),"136956728")</f>
        <v>136956728</v>
      </c>
      <c r="T304" s="1" t="str">
        <f>IFERROR(__xludf.DUMMYFUNCTION("""COMPUTED_VALUE"""),"0136956728")</f>
        <v>0136956728</v>
      </c>
      <c r="U304" s="1">
        <f>IFERROR(__xludf.DUMMYFUNCTION("""COMPUTED_VALUE"""),15.0)</f>
        <v>15</v>
      </c>
      <c r="V304" s="1" t="str">
        <f>IFERROR(__xludf.DUMMYFUNCTION("""COMPUTED_VALUE"""),"P0900 Doctor")</f>
        <v>P0900 Doctor</v>
      </c>
      <c r="W304" s="1">
        <f>IFERROR(__xludf.DUMMYFUNCTION("""COMPUTED_VALUE"""),41987.0)</f>
        <v>41987</v>
      </c>
      <c r="X304" s="1" t="str">
        <f>IFERROR(__xludf.DUMMYFUNCTION("""COMPUTED_VALUE"""),"The University of Michigan")</f>
        <v>The University of Michigan</v>
      </c>
      <c r="Y304" s="1" t="str">
        <f>IFERROR(__xludf.DUMMYFUNCTION("""COMPUTED_VALUE"""),"ESTADOS UNIDOS")</f>
        <v>ESTADOS UNIDOS</v>
      </c>
      <c r="Z304" s="1" t="str">
        <f>IFERROR(__xludf.DUMMYFUNCTION("""COMPUTED_VALUE"""),"T5005 Asistente Social")</f>
        <v>T5005 Asistente Social</v>
      </c>
    </row>
    <row r="305" hidden="1">
      <c r="A305" s="1" t="str">
        <f>IFERROR(__xludf.DUMMYFUNCTION("""COMPUTED_VALUE"""),"12090501 Departamento de Investigaciónes Mediáticas y de la Comunicación")</f>
        <v>12090501 Departamento de Investigaciónes Mediáticas y de la Comunicación</v>
      </c>
      <c r="B305" s="1" t="str">
        <f>IFERROR(__xludf.DUMMYFUNCTION("""COMPUTED_VALUE"""),"A3A001 Académico Prof. Asistente")</f>
        <v>A3A001 Académico Prof. Asistente</v>
      </c>
      <c r="C305" s="1" t="str">
        <f>IFERROR(__xludf.DUMMYFUNCTION("""COMPUTED_VALUE"""),"Prof. Asistente - Categ. Academica Ord.")</f>
        <v>Prof. Asistente - Categ. Academica Ord.</v>
      </c>
      <c r="D305" s="1" t="str">
        <f>IFERROR(__xludf.DUMMYFUNCTION("""COMPUTED_VALUE"""),"A3A Prof. Asistente - Categ. Academica Ord.")</f>
        <v>A3A Prof. Asistente - Categ. Academica Ord.</v>
      </c>
      <c r="E305" s="1" t="str">
        <f>IFERROR(__xludf.DUMMYFUNCTION("""COMPUTED_VALUE"""),"Masculino")</f>
        <v>Masculino</v>
      </c>
      <c r="F305" s="1" t="str">
        <f>IFERROR(__xludf.DUMMYFUNCTION("""COMPUTED_VALUE"""),"Santa Cruz")</f>
        <v>Santa Cruz</v>
      </c>
      <c r="G305" s="1" t="str">
        <f>IFERROR(__xludf.DUMMYFUNCTION("""COMPUTED_VALUE"""),"Achurra")</f>
        <v>Achurra</v>
      </c>
      <c r="H305" s="1" t="str">
        <f>IFERROR(__xludf.DUMMYFUNCTION("""COMPUTED_VALUE"""),"Eduardo Luis Mario")</f>
        <v>Eduardo Luis Mario</v>
      </c>
      <c r="I305" s="1" t="str">
        <f>IFERROR(__xludf.DUMMYFUNCTION("""COMPUTED_VALUE"""),"Santa Cruz Achurra Eduardo Luis Mario")</f>
        <v>Santa Cruz Achurra Eduardo Luis Mario</v>
      </c>
      <c r="J305" s="10">
        <f>IFERROR(__xludf.DUMMYFUNCTION("""COMPUTED_VALUE"""),36708.0)</f>
        <v>36708</v>
      </c>
      <c r="K305" s="10">
        <f>IFERROR(__xludf.DUMMYFUNCTION("""COMPUTED_VALUE"""),18307.0)</f>
        <v>18307</v>
      </c>
      <c r="L305" s="1">
        <f>IFERROR(__xludf.DUMMYFUNCTION("""COMPUTED_VALUE"""),73.0)</f>
        <v>73</v>
      </c>
      <c r="M305" s="1" t="str">
        <f>IFERROR(__xludf.DUMMYFUNCTION("""COMPUTED_VALUE"""),"0004 Otro")</f>
        <v>0004 Otro</v>
      </c>
      <c r="N305" s="1" t="str">
        <f>IFERROR(__xludf.DUMMYFUNCTION("""COMPUTED_VALUE"""),"N0040 Profesional Superior")</f>
        <v>N0040 Profesional Superior</v>
      </c>
      <c r="O305" s="10">
        <f>IFERROR(__xludf.DUMMYFUNCTION("""COMPUTED_VALUE"""),37803.0)</f>
        <v>37803</v>
      </c>
      <c r="P305" s="10">
        <f>IFERROR(__xludf.DUMMYFUNCTION("""COMPUTED_VALUE"""),37833.0)</f>
        <v>37833</v>
      </c>
      <c r="Q305" s="1" t="str">
        <f>IFERROR(__xludf.DUMMYFUNCTION("""COMPUTED_VALUE"""),"C Contrata")</f>
        <v>C Contrata</v>
      </c>
      <c r="R305" s="1" t="str">
        <f>IFERROR(__xludf.DUMMYFUNCTION("""COMPUTED_VALUE"""),"A Académico")</f>
        <v>A Académico</v>
      </c>
      <c r="S305" s="9" t="str">
        <f>IFERROR(__xludf.DUMMYFUNCTION("""COMPUTED_VALUE"""),"52230470")</f>
        <v>52230470</v>
      </c>
      <c r="T305" s="1" t="str">
        <f>IFERROR(__xludf.DUMMYFUNCTION("""COMPUTED_VALUE"""),"0052230470")</f>
        <v>0052230470</v>
      </c>
      <c r="U305" s="1">
        <f>IFERROR(__xludf.DUMMYFUNCTION("""COMPUTED_VALUE"""),22.0)</f>
        <v>22</v>
      </c>
      <c r="V305" s="1"/>
      <c r="W305" s="1"/>
      <c r="X305" s="1"/>
      <c r="Y305" s="1"/>
      <c r="Z305" s="1" t="str">
        <f>IFERROR(__xludf.DUMMYFUNCTION("""COMPUTED_VALUE"""),"T5074 Periodista")</f>
        <v>T5074 Periodista</v>
      </c>
    </row>
    <row r="306" hidden="1">
      <c r="A306" s="1" t="str">
        <f>IFERROR(__xludf.DUMMYFUNCTION("""COMPUTED_VALUE"""),"12090701 Departamento de Psicología")</f>
        <v>12090701 Departamento de Psicología</v>
      </c>
      <c r="B306" s="1" t="str">
        <f>IFERROR(__xludf.DUMMYFUNCTION("""COMPUTED_VALUE"""),"A2A001 Académico Prof. Asociado")</f>
        <v>A2A001 Académico Prof. Asociado</v>
      </c>
      <c r="C306" s="1" t="str">
        <f>IFERROR(__xludf.DUMMYFUNCTION("""COMPUTED_VALUE"""),"Prof. Asociado - Categ. Academica Ord.")</f>
        <v>Prof. Asociado - Categ. Academica Ord.</v>
      </c>
      <c r="D306" s="1" t="str">
        <f>IFERROR(__xludf.DUMMYFUNCTION("""COMPUTED_VALUE"""),"A2A Prof. Asociado - Categ. Academica Ord.")</f>
        <v>A2A Prof. Asociado - Categ. Academica Ord.</v>
      </c>
      <c r="E306" s="1" t="str">
        <f>IFERROR(__xludf.DUMMYFUNCTION("""COMPUTED_VALUE"""),"Masculino")</f>
        <v>Masculino</v>
      </c>
      <c r="F306" s="1" t="str">
        <f>IFERROR(__xludf.DUMMYFUNCTION("""COMPUTED_VALUE"""),"Santa Cruz")</f>
        <v>Santa Cruz</v>
      </c>
      <c r="G306" s="1" t="str">
        <f>IFERROR(__xludf.DUMMYFUNCTION("""COMPUTED_VALUE"""),"López")</f>
        <v>López</v>
      </c>
      <c r="H306" s="1" t="str">
        <f>IFERROR(__xludf.DUMMYFUNCTION("""COMPUTED_VALUE"""),"Juan Antonio")</f>
        <v>Juan Antonio</v>
      </c>
      <c r="I306" s="1" t="str">
        <f>IFERROR(__xludf.DUMMYFUNCTION("""COMPUTED_VALUE"""),"Santa Cruz López Juan Antonio")</f>
        <v>Santa Cruz López Juan Antonio</v>
      </c>
      <c r="J306" s="10">
        <f>IFERROR(__xludf.DUMMYFUNCTION("""COMPUTED_VALUE"""),23285.0)</f>
        <v>23285</v>
      </c>
      <c r="K306" s="10">
        <f>IFERROR(__xludf.DUMMYFUNCTION("""COMPUTED_VALUE"""),9660.0)</f>
        <v>9660</v>
      </c>
      <c r="L306" s="1">
        <f>IFERROR(__xludf.DUMMYFUNCTION("""COMPUTED_VALUE"""),97.0)</f>
        <v>97</v>
      </c>
      <c r="M306" s="1" t="str">
        <f>IFERROR(__xludf.DUMMYFUNCTION("""COMPUTED_VALUE"""),"0002 Soltero")</f>
        <v>0002 Soltero</v>
      </c>
      <c r="N306" s="1"/>
      <c r="O306" s="10">
        <f>IFERROR(__xludf.DUMMYFUNCTION("""COMPUTED_VALUE"""),32690.0)</f>
        <v>32690</v>
      </c>
      <c r="P306" s="10">
        <f>IFERROR(__xludf.DUMMYFUNCTION("""COMPUTED_VALUE"""),34789.0)</f>
        <v>34789</v>
      </c>
      <c r="Q306" s="1" t="str">
        <f>IFERROR(__xludf.DUMMYFUNCTION("""COMPUTED_VALUE"""),"P Propiedad")</f>
        <v>P Propiedad</v>
      </c>
      <c r="R306" s="1" t="str">
        <f>IFERROR(__xludf.DUMMYFUNCTION("""COMPUTED_VALUE"""),"A Académico")</f>
        <v>A Académico</v>
      </c>
      <c r="S306" s="9" t="str">
        <f>IFERROR(__xludf.DUMMYFUNCTION("""COMPUTED_VALUE"""),"69545599")</f>
        <v>69545599</v>
      </c>
      <c r="T306" s="1" t="str">
        <f>IFERROR(__xludf.DUMMYFUNCTION("""COMPUTED_VALUE"""),"0069545599")</f>
        <v>0069545599</v>
      </c>
      <c r="U306" s="1">
        <f>IFERROR(__xludf.DUMMYFUNCTION("""COMPUTED_VALUE"""),44.0)</f>
        <v>44</v>
      </c>
      <c r="V306" s="1"/>
      <c r="W306" s="1"/>
      <c r="X306" s="1"/>
      <c r="Y306" s="1"/>
      <c r="Z306" s="1"/>
    </row>
    <row r="307" hidden="1">
      <c r="A307" s="1" t="str">
        <f>IFERROR(__xludf.DUMMYFUNCTION("""COMPUTED_VALUE"""),"12090701 Departamento de Psicología")</f>
        <v>12090701 Departamento de Psicología</v>
      </c>
      <c r="B307" s="1" t="str">
        <f>IFERROR(__xludf.DUMMYFUNCTION("""COMPUTED_VALUE"""),"A1A001 Académico Prof. Titular")</f>
        <v>A1A001 Académico Prof. Titular</v>
      </c>
      <c r="C307" s="1" t="str">
        <f>IFERROR(__xludf.DUMMYFUNCTION("""COMPUTED_VALUE"""),"Prof.Titular - Categ. Academica Ord.")</f>
        <v>Prof.Titular - Categ. Academica Ord.</v>
      </c>
      <c r="D307" s="1" t="str">
        <f>IFERROR(__xludf.DUMMYFUNCTION("""COMPUTED_VALUE"""),"A1A Prof.Titular - Categ. Academica Ord.")</f>
        <v>A1A Prof.Titular - Categ. Academica Ord.</v>
      </c>
      <c r="E307" s="1" t="str">
        <f>IFERROR(__xludf.DUMMYFUNCTION("""COMPUTED_VALUE"""),"Masculino")</f>
        <v>Masculino</v>
      </c>
      <c r="F307" s="1" t="str">
        <f>IFERROR(__xludf.DUMMYFUNCTION("""COMPUTED_VALUE"""),"Santibáñez")</f>
        <v>Santibáñez</v>
      </c>
      <c r="G307" s="1" t="str">
        <f>IFERROR(__xludf.DUMMYFUNCTION("""COMPUTED_VALUE"""),"Hidalgo")</f>
        <v>Hidalgo</v>
      </c>
      <c r="H307" s="1" t="str">
        <f>IFERROR(__xludf.DUMMYFUNCTION("""COMPUTED_VALUE"""),"Guy José")</f>
        <v>Guy José</v>
      </c>
      <c r="I307" s="1" t="str">
        <f>IFERROR(__xludf.DUMMYFUNCTION("""COMPUTED_VALUE"""),"Santibáñez Hidalgo Guy José")</f>
        <v>Santibáñez Hidalgo Guy José</v>
      </c>
      <c r="J307" s="10">
        <f>IFERROR(__xludf.DUMMYFUNCTION("""COMPUTED_VALUE"""),35278.0)</f>
        <v>35278</v>
      </c>
      <c r="K307" s="10">
        <f>IFERROR(__xludf.DUMMYFUNCTION("""COMPUTED_VALUE"""),10971.0)</f>
        <v>10971</v>
      </c>
      <c r="L307" s="1">
        <f>IFERROR(__xludf.DUMMYFUNCTION("""COMPUTED_VALUE"""),94.0)</f>
        <v>94</v>
      </c>
      <c r="M307" s="1" t="str">
        <f>IFERROR(__xludf.DUMMYFUNCTION("""COMPUTED_VALUE"""),"0001 Casado")</f>
        <v>0001 Casado</v>
      </c>
      <c r="N307" s="1"/>
      <c r="O307" s="10">
        <f>IFERROR(__xludf.DUMMYFUNCTION("""COMPUTED_VALUE"""),35278.0)</f>
        <v>35278</v>
      </c>
      <c r="P307" s="10">
        <f>IFERROR(__xludf.DUMMYFUNCTION("""COMPUTED_VALUE"""),39691.0)</f>
        <v>39691</v>
      </c>
      <c r="Q307" s="1" t="str">
        <f>IFERROR(__xludf.DUMMYFUNCTION("""COMPUTED_VALUE"""),"A Ad Honorem Propiedad")</f>
        <v>A Ad Honorem Propiedad</v>
      </c>
      <c r="R307" s="1" t="str">
        <f>IFERROR(__xludf.DUMMYFUNCTION("""COMPUTED_VALUE"""),"A Académico")</f>
        <v>A Académico</v>
      </c>
      <c r="S307" s="9" t="str">
        <f>IFERROR(__xludf.DUMMYFUNCTION("""COMPUTED_VALUE"""),"27728618")</f>
        <v>27728618</v>
      </c>
      <c r="T307" s="1" t="str">
        <f>IFERROR(__xludf.DUMMYFUNCTION("""COMPUTED_VALUE"""),"0027728618")</f>
        <v>0027728618</v>
      </c>
      <c r="U307" s="1">
        <f>IFERROR(__xludf.DUMMYFUNCTION("""COMPUTED_VALUE"""),6.0)</f>
        <v>6</v>
      </c>
      <c r="V307" s="1" t="str">
        <f>IFERROR(__xludf.DUMMYFUNCTION("""COMPUTED_VALUE"""),"P0501 Con Titulo Profesional")</f>
        <v>P0501 Con Titulo Profesional</v>
      </c>
      <c r="W307" s="1">
        <f>IFERROR(__xludf.DUMMYFUNCTION("""COMPUTED_VALUE"""),19716.0)</f>
        <v>19716</v>
      </c>
      <c r="X307" s="1" t="str">
        <f>IFERROR(__xludf.DUMMYFUNCTION("""COMPUTED_VALUE"""),"Universidad De Chile")</f>
        <v>Universidad De Chile</v>
      </c>
      <c r="Y307" s="1" t="str">
        <f>IFERROR(__xludf.DUMMYFUNCTION("""COMPUTED_VALUE"""),"CHILE")</f>
        <v>CHILE</v>
      </c>
      <c r="Z307" s="1"/>
    </row>
    <row r="308">
      <c r="A308" s="1" t="str">
        <f>IFERROR(__xludf.DUMMYFUNCTION("""COMPUTED_VALUE"""),"12090116 Dpto. de Antropología (funcionamiento)")</f>
        <v>12090116 Dpto. de Antropología (funcionamiento)</v>
      </c>
      <c r="B308" s="1" t="str">
        <f>IFERROR(__xludf.DUMMYFUNCTION("""COMPUTED_VALUE"""),"A3A001 Académico Prof. Asistente")</f>
        <v>A3A001 Académico Prof. Asistente</v>
      </c>
      <c r="C308" s="1" t="str">
        <f>IFERROR(__xludf.DUMMYFUNCTION("""COMPUTED_VALUE"""),"Prof. Asistente - Categ. Academica Ord.")</f>
        <v>Prof. Asistente - Categ. Academica Ord.</v>
      </c>
      <c r="D308" s="1" t="str">
        <f>IFERROR(__xludf.DUMMYFUNCTION("""COMPUTED_VALUE"""),"A3A Prof. Asistente - Categ. Academica Ord.")</f>
        <v>A3A Prof. Asistente - Categ. Academica Ord.</v>
      </c>
      <c r="E308" s="1" t="str">
        <f>IFERROR(__xludf.DUMMYFUNCTION("""COMPUTED_VALUE"""),"Masculino")</f>
        <v>Masculino</v>
      </c>
      <c r="F308" s="1" t="str">
        <f>IFERROR(__xludf.DUMMYFUNCTION("""COMPUTED_VALUE"""),"Santibáñez")</f>
        <v>Santibáñez</v>
      </c>
      <c r="G308" s="1" t="str">
        <f>IFERROR(__xludf.DUMMYFUNCTION("""COMPUTED_VALUE"""),"Yáñez")</f>
        <v>Yáñez</v>
      </c>
      <c r="H308" s="1" t="str">
        <f>IFERROR(__xludf.DUMMYFUNCTION("""COMPUTED_VALUE"""),"Dimas Carlos")</f>
        <v>Dimas Carlos</v>
      </c>
      <c r="I308" s="1" t="str">
        <f>IFERROR(__xludf.DUMMYFUNCTION("""COMPUTED_VALUE"""),"Santibáñez Yáñez Dimas Carlos")</f>
        <v>Santibáñez Yáñez Dimas Carlos</v>
      </c>
      <c r="J308" s="10">
        <f>IFERROR(__xludf.DUMMYFUNCTION("""COMPUTED_VALUE"""),34973.0)</f>
        <v>34973</v>
      </c>
      <c r="K308" s="10">
        <f>IFERROR(__xludf.DUMMYFUNCTION("""COMPUTED_VALUE"""),25138.0)</f>
        <v>25138</v>
      </c>
      <c r="L308" s="1">
        <f>IFERROR(__xludf.DUMMYFUNCTION("""COMPUTED_VALUE"""),55.0)</f>
        <v>55</v>
      </c>
      <c r="M308" s="1" t="str">
        <f>IFERROR(__xludf.DUMMYFUNCTION("""COMPUTED_VALUE"""),"0001 Casado")</f>
        <v>0001 Casado</v>
      </c>
      <c r="N308" s="1"/>
      <c r="O308" s="10">
        <f>IFERROR(__xludf.DUMMYFUNCTION("""COMPUTED_VALUE"""),42186.0)</f>
        <v>42186</v>
      </c>
      <c r="P308" s="10">
        <f>IFERROR(__xludf.DUMMYFUNCTION("""COMPUTED_VALUE"""),73050.0)</f>
        <v>73050</v>
      </c>
      <c r="Q308" s="1" t="str">
        <f>IFERROR(__xludf.DUMMYFUNCTION("""COMPUTED_VALUE"""),"P Propiedad")</f>
        <v>P Propiedad</v>
      </c>
      <c r="R308" s="1" t="str">
        <f>IFERROR(__xludf.DUMMYFUNCTION("""COMPUTED_VALUE"""),"A Académico")</f>
        <v>A Académico</v>
      </c>
      <c r="S308" s="9" t="str">
        <f>IFERROR(__xludf.DUMMYFUNCTION("""COMPUTED_VALUE"""),"010620862K")</f>
        <v>010620862K</v>
      </c>
      <c r="T308" s="1" t="str">
        <f>IFERROR(__xludf.DUMMYFUNCTION("""COMPUTED_VALUE"""),"010620862K")</f>
        <v>010620862K</v>
      </c>
      <c r="U308" s="1">
        <f>IFERROR(__xludf.DUMMYFUNCTION("""COMPUTED_VALUE"""),44.0)</f>
        <v>44</v>
      </c>
      <c r="V308" s="1" t="str">
        <f>IFERROR(__xludf.DUMMYFUNCTION("""COMPUTED_VALUE"""),"P0900 Doctor")</f>
        <v>P0900 Doctor</v>
      </c>
      <c r="W308" s="1">
        <f>IFERROR(__xludf.DUMMYFUNCTION("""COMPUTED_VALUE"""),38090.0)</f>
        <v>38090</v>
      </c>
      <c r="X308" s="1" t="str">
        <f>IFERROR(__xludf.DUMMYFUNCTION("""COMPUTED_VALUE"""),"Universidad Computense de Madrid")</f>
        <v>Universidad Computense de Madrid</v>
      </c>
      <c r="Y308" s="1" t="str">
        <f>IFERROR(__xludf.DUMMYFUNCTION("""COMPUTED_VALUE"""),"ESPAÑA")</f>
        <v>ESPAÑA</v>
      </c>
      <c r="Z308" s="1" t="str">
        <f>IFERROR(__xludf.DUMMYFUNCTION("""COMPUTED_VALUE"""),"T5003 Antropologo")</f>
        <v>T5003 Antropologo</v>
      </c>
    </row>
    <row r="309">
      <c r="A309" s="1" t="str">
        <f>IFERROR(__xludf.DUMMYFUNCTION("""COMPUTED_VALUE"""),"12090118 Dpto. de  Psicología (funcionamiento)")</f>
        <v>12090118 Dpto. de  Psicología (funcionamiento)</v>
      </c>
      <c r="B309" s="1" t="str">
        <f>IFERROR(__xludf.DUMMYFUNCTION("""COMPUTED_VALUE"""),"A4A001 ACADEMICO  INSTRUCTOR")</f>
        <v>A4A001 ACADEMICO  INSTRUCTOR</v>
      </c>
      <c r="C309" s="1" t="str">
        <f>IFERROR(__xludf.DUMMYFUNCTION("""COMPUTED_VALUE"""),"Instructor")</f>
        <v>Instructor</v>
      </c>
      <c r="D309" s="1" t="str">
        <f>IFERROR(__xludf.DUMMYFUNCTION("""COMPUTED_VALUE"""),"A4A Instructor")</f>
        <v>A4A Instructor</v>
      </c>
      <c r="E309" s="1" t="str">
        <f>IFERROR(__xludf.DUMMYFUNCTION("""COMPUTED_VALUE"""),"Masculino")</f>
        <v>Masculino</v>
      </c>
      <c r="F309" s="1" t="str">
        <f>IFERROR(__xludf.DUMMYFUNCTION("""COMPUTED_VALUE"""),"Sassenfeld")</f>
        <v>Sassenfeld</v>
      </c>
      <c r="G309" s="1" t="str">
        <f>IFERROR(__xludf.DUMMYFUNCTION("""COMPUTED_VALUE"""),"Jorquera")</f>
        <v>Jorquera</v>
      </c>
      <c r="H309" s="1" t="str">
        <f>IFERROR(__xludf.DUMMYFUNCTION("""COMPUTED_VALUE"""),"Andre Michel")</f>
        <v>Andre Michel</v>
      </c>
      <c r="I309" s="1" t="str">
        <f>IFERROR(__xludf.DUMMYFUNCTION("""COMPUTED_VALUE"""),"Sassenfeld Jorquera Andre Michel")</f>
        <v>Sassenfeld Jorquera Andre Michel</v>
      </c>
      <c r="J309" s="10">
        <f>IFERROR(__xludf.DUMMYFUNCTION("""COMPUTED_VALUE"""),38838.0)</f>
        <v>38838</v>
      </c>
      <c r="K309" s="10">
        <f>IFERROR(__xludf.DUMMYFUNCTION("""COMPUTED_VALUE"""),28048.0)</f>
        <v>28048</v>
      </c>
      <c r="L309" s="1">
        <f>IFERROR(__xludf.DUMMYFUNCTION("""COMPUTED_VALUE"""),47.0)</f>
        <v>47</v>
      </c>
      <c r="M309" s="1" t="str">
        <f>IFERROR(__xludf.DUMMYFUNCTION("""COMPUTED_VALUE"""),"0001 Casado")</f>
        <v>0001 Casado</v>
      </c>
      <c r="N309" s="1" t="str">
        <f>IFERROR(__xludf.DUMMYFUNCTION("""COMPUTED_VALUE"""),"N0040 Profesional Superior")</f>
        <v>N0040 Profesional Superior</v>
      </c>
      <c r="O309" s="10">
        <f>IFERROR(__xludf.DUMMYFUNCTION("""COMPUTED_VALUE"""),42370.0)</f>
        <v>42370</v>
      </c>
      <c r="P309" s="10">
        <f>IFERROR(__xludf.DUMMYFUNCTION("""COMPUTED_VALUE"""),42429.0)</f>
        <v>42429</v>
      </c>
      <c r="Q309" s="1" t="str">
        <f>IFERROR(__xludf.DUMMYFUNCTION("""COMPUTED_VALUE"""),"C Contrata")</f>
        <v>C Contrata</v>
      </c>
      <c r="R309" s="1" t="str">
        <f>IFERROR(__xludf.DUMMYFUNCTION("""COMPUTED_VALUE"""),"A Académico")</f>
        <v>A Académico</v>
      </c>
      <c r="S309" s="9" t="str">
        <f>IFERROR(__xludf.DUMMYFUNCTION("""COMPUTED_VALUE"""),"153216649")</f>
        <v>153216649</v>
      </c>
      <c r="T309" s="1" t="str">
        <f>IFERROR(__xludf.DUMMYFUNCTION("""COMPUTED_VALUE"""),"0153216649")</f>
        <v>0153216649</v>
      </c>
      <c r="U309" s="1">
        <f>IFERROR(__xludf.DUMMYFUNCTION("""COMPUTED_VALUE"""),6.0)</f>
        <v>6</v>
      </c>
      <c r="V309" s="1" t="str">
        <f>IFERROR(__xludf.DUMMYFUNCTION("""COMPUTED_VALUE"""),"P0800 Magíster")</f>
        <v>P0800 Magíster</v>
      </c>
      <c r="W309" s="1">
        <f>IFERROR(__xludf.DUMMYFUNCTION("""COMPUTED_VALUE"""),39537.0)</f>
        <v>39537</v>
      </c>
      <c r="X309" s="1" t="str">
        <f>IFERROR(__xludf.DUMMYFUNCTION("""COMPUTED_VALUE"""),"Universidad Adolfo Ibañez")</f>
        <v>Universidad Adolfo Ibañez</v>
      </c>
      <c r="Y309" s="1" t="str">
        <f>IFERROR(__xludf.DUMMYFUNCTION("""COMPUTED_VALUE"""),"CHILE")</f>
        <v>CHILE</v>
      </c>
      <c r="Z309" s="1" t="str">
        <f>IFERROR(__xludf.DUMMYFUNCTION("""COMPUTED_VALUE"""),"T5124 Psicologo")</f>
        <v>T5124 Psicologo</v>
      </c>
    </row>
    <row r="310" hidden="1">
      <c r="A310" s="1" t="str">
        <f>IFERROR(__xludf.DUMMYFUNCTION("""COMPUTED_VALUE"""),"12090901 Escuela de Postgrado")</f>
        <v>12090901 Escuela de Postgrado</v>
      </c>
      <c r="B310" s="1" t="str">
        <f>IFERROR(__xludf.DUMMYFUNCTION("""COMPUTED_VALUE"""),"A3A001 Académico Prof. Asistente")</f>
        <v>A3A001 Académico Prof. Asistente</v>
      </c>
      <c r="C310" s="1" t="str">
        <f>IFERROR(__xludf.DUMMYFUNCTION("""COMPUTED_VALUE"""),"Prof. Asistente - Categ. Academica Ord.")</f>
        <v>Prof. Asistente - Categ. Academica Ord.</v>
      </c>
      <c r="D310" s="1" t="str">
        <f>IFERROR(__xludf.DUMMYFUNCTION("""COMPUTED_VALUE"""),"A3A Prof. Asistente - Categ. Academica Ord.")</f>
        <v>A3A Prof. Asistente - Categ. Academica Ord.</v>
      </c>
      <c r="E310" s="1" t="str">
        <f>IFERROR(__xludf.DUMMYFUNCTION("""COMPUTED_VALUE"""),"Femenino")</f>
        <v>Femenino</v>
      </c>
      <c r="F310" s="1" t="str">
        <f>IFERROR(__xludf.DUMMYFUNCTION("""COMPUTED_VALUE"""),"Sasso")</f>
        <v>Sasso</v>
      </c>
      <c r="G310" s="1" t="str">
        <f>IFERROR(__xludf.DUMMYFUNCTION("""COMPUTED_VALUE"""),"Olivares")</f>
        <v>Olivares</v>
      </c>
      <c r="H310" s="1" t="str">
        <f>IFERROR(__xludf.DUMMYFUNCTION("""COMPUTED_VALUE"""),"Carmen Ilse")</f>
        <v>Carmen Ilse</v>
      </c>
      <c r="I310" s="1" t="str">
        <f>IFERROR(__xludf.DUMMYFUNCTION("""COMPUTED_VALUE"""),"Sasso Olivares Carmen Ilse")</f>
        <v>Sasso Olivares Carmen Ilse</v>
      </c>
      <c r="J310" s="10">
        <f>IFERROR(__xludf.DUMMYFUNCTION("""COMPUTED_VALUE"""),31503.0)</f>
        <v>31503</v>
      </c>
      <c r="K310" s="10">
        <f>IFERROR(__xludf.DUMMYFUNCTION("""COMPUTED_VALUE"""),16858.0)</f>
        <v>16858</v>
      </c>
      <c r="L310" s="1">
        <f>IFERROR(__xludf.DUMMYFUNCTION("""COMPUTED_VALUE"""),77.0)</f>
        <v>77</v>
      </c>
      <c r="M310" s="1" t="str">
        <f>IFERROR(__xludf.DUMMYFUNCTION("""COMPUTED_VALUE"""),"0001 Casado")</f>
        <v>0001 Casado</v>
      </c>
      <c r="N310" s="1"/>
      <c r="O310" s="10">
        <f>IFERROR(__xludf.DUMMYFUNCTION("""COMPUTED_VALUE"""),34790.0)</f>
        <v>34790</v>
      </c>
      <c r="P310" s="10">
        <f>IFERROR(__xludf.DUMMYFUNCTION("""COMPUTED_VALUE"""),38665.0)</f>
        <v>38665</v>
      </c>
      <c r="Q310" s="1" t="str">
        <f>IFERROR(__xludf.DUMMYFUNCTION("""COMPUTED_VALUE"""),"P Propiedad")</f>
        <v>P Propiedad</v>
      </c>
      <c r="R310" s="1" t="str">
        <f>IFERROR(__xludf.DUMMYFUNCTION("""COMPUTED_VALUE"""),"A Académico")</f>
        <v>A Académico</v>
      </c>
      <c r="S310" s="9" t="str">
        <f>IFERROR(__xludf.DUMMYFUNCTION("""COMPUTED_VALUE"""),"48548652")</f>
        <v>48548652</v>
      </c>
      <c r="T310" s="1" t="str">
        <f>IFERROR(__xludf.DUMMYFUNCTION("""COMPUTED_VALUE"""),"0048548652")</f>
        <v>0048548652</v>
      </c>
      <c r="U310" s="1">
        <f>IFERROR(__xludf.DUMMYFUNCTION("""COMPUTED_VALUE"""),22.0)</f>
        <v>22</v>
      </c>
      <c r="V310" s="1" t="str">
        <f>IFERROR(__xludf.DUMMYFUNCTION("""COMPUTED_VALUE"""),"P0900 Doctor")</f>
        <v>P0900 Doctor</v>
      </c>
      <c r="W310" s="1">
        <f>IFERROR(__xludf.DUMMYFUNCTION("""COMPUTED_VALUE"""),36160.0)</f>
        <v>36160</v>
      </c>
      <c r="X310" s="1" t="str">
        <f>IFERROR(__xludf.DUMMYFUNCTION("""COMPUTED_VALUE"""),"Universidad De Chile")</f>
        <v>Universidad De Chile</v>
      </c>
      <c r="Y310" s="1" t="str">
        <f>IFERROR(__xludf.DUMMYFUNCTION("""COMPUTED_VALUE"""),"CHILE")</f>
        <v>CHILE</v>
      </c>
      <c r="Z310" s="1"/>
    </row>
    <row r="311" hidden="1">
      <c r="A311" s="1" t="str">
        <f>IFERROR(__xludf.DUMMYFUNCTION("""COMPUTED_VALUE"""),"12090501 Departamento de Investigaciónes Mediáticas y de la Comunicación")</f>
        <v>12090501 Departamento de Investigaciónes Mediáticas y de la Comunicación</v>
      </c>
      <c r="B311" s="1" t="str">
        <f>IFERROR(__xludf.DUMMYFUNCTION("""COMPUTED_VALUE"""),"A4A001 ACADEMICO  INSTRUCTOR")</f>
        <v>A4A001 ACADEMICO  INSTRUCTOR</v>
      </c>
      <c r="C311" s="1" t="str">
        <f>IFERROR(__xludf.DUMMYFUNCTION("""COMPUTED_VALUE"""),"Instructor")</f>
        <v>Instructor</v>
      </c>
      <c r="D311" s="1" t="str">
        <f>IFERROR(__xludf.DUMMYFUNCTION("""COMPUTED_VALUE"""),"A4A Instructor")</f>
        <v>A4A Instructor</v>
      </c>
      <c r="E311" s="1" t="str">
        <f>IFERROR(__xludf.DUMMYFUNCTION("""COMPUTED_VALUE"""),"Masculino")</f>
        <v>Masculino</v>
      </c>
      <c r="F311" s="1" t="str">
        <f>IFERROR(__xludf.DUMMYFUNCTION("""COMPUTED_VALUE"""),"Segovia")</f>
        <v>Segovia</v>
      </c>
      <c r="G311" s="1" t="str">
        <f>IFERROR(__xludf.DUMMYFUNCTION("""COMPUTED_VALUE"""),"Marchant")</f>
        <v>Marchant</v>
      </c>
      <c r="H311" s="1" t="str">
        <f>IFERROR(__xludf.DUMMYFUNCTION("""COMPUTED_VALUE"""),"Eduardo Segundo")</f>
        <v>Eduardo Segundo</v>
      </c>
      <c r="I311" s="1" t="str">
        <f>IFERROR(__xludf.DUMMYFUNCTION("""COMPUTED_VALUE"""),"Segovia Marchant Eduardo Segundo")</f>
        <v>Segovia Marchant Eduardo Segundo</v>
      </c>
      <c r="J311" s="10">
        <f>IFERROR(__xludf.DUMMYFUNCTION("""COMPUTED_VALUE"""),36039.0)</f>
        <v>36039</v>
      </c>
      <c r="K311" s="10">
        <f>IFERROR(__xludf.DUMMYFUNCTION("""COMPUTED_VALUE"""),17796.0)</f>
        <v>17796</v>
      </c>
      <c r="L311" s="1">
        <f>IFERROR(__xludf.DUMMYFUNCTION("""COMPUTED_VALUE"""),75.0)</f>
        <v>75</v>
      </c>
      <c r="M311" s="1" t="str">
        <f>IFERROR(__xludf.DUMMYFUNCTION("""COMPUTED_VALUE"""),"0005 Divorciado")</f>
        <v>0005 Divorciado</v>
      </c>
      <c r="N311" s="1"/>
      <c r="O311" s="10">
        <f>IFERROR(__xludf.DUMMYFUNCTION("""COMPUTED_VALUE"""),37438.0)</f>
        <v>37438</v>
      </c>
      <c r="P311" s="10">
        <f>IFERROR(__xludf.DUMMYFUNCTION("""COMPUTED_VALUE"""),37468.0)</f>
        <v>37468</v>
      </c>
      <c r="Q311" s="1" t="str">
        <f>IFERROR(__xludf.DUMMYFUNCTION("""COMPUTED_VALUE"""),"C Contrata")</f>
        <v>C Contrata</v>
      </c>
      <c r="R311" s="1" t="str">
        <f>IFERROR(__xludf.DUMMYFUNCTION("""COMPUTED_VALUE"""),"A Académico")</f>
        <v>A Académico</v>
      </c>
      <c r="S311" s="9" t="str">
        <f>IFERROR(__xludf.DUMMYFUNCTION("""COMPUTED_VALUE"""),"53667058")</f>
        <v>53667058</v>
      </c>
      <c r="T311" s="1" t="str">
        <f>IFERROR(__xludf.DUMMYFUNCTION("""COMPUTED_VALUE"""),"0053667058")</f>
        <v>0053667058</v>
      </c>
      <c r="U311" s="1">
        <f>IFERROR(__xludf.DUMMYFUNCTION("""COMPUTED_VALUE"""),12.0)</f>
        <v>12</v>
      </c>
      <c r="V311" s="1" t="str">
        <f>IFERROR(__xludf.DUMMYFUNCTION("""COMPUTED_VALUE"""),"P0900 Doctor")</f>
        <v>P0900 Doctor</v>
      </c>
      <c r="W311" s="1">
        <f>IFERROR(__xludf.DUMMYFUNCTION("""COMPUTED_VALUE"""),1.0)</f>
        <v>1</v>
      </c>
      <c r="X311" s="1" t="str">
        <f>IFERROR(__xludf.DUMMYFUNCTION("""COMPUTED_VALUE"""),"Sin Información")</f>
        <v>Sin Información</v>
      </c>
      <c r="Y311" s="1" t="str">
        <f>IFERROR(__xludf.DUMMYFUNCTION("""COMPUTED_VALUE"""),"CHILE")</f>
        <v>CHILE</v>
      </c>
      <c r="Z311" s="1"/>
    </row>
    <row r="312">
      <c r="A312" s="1" t="str">
        <f>IFERROR(__xludf.DUMMYFUNCTION("""COMPUTED_VALUE"""),"12090118 Dpto. de  Psicología (funcionamiento)")</f>
        <v>12090118 Dpto. de  Psicología (funcionamiento)</v>
      </c>
      <c r="B312" s="1" t="str">
        <f>IFERROR(__xludf.DUMMYFUNCTION("""COMPUTED_VALUE"""),"A3A001 Académico Prof. Asistente")</f>
        <v>A3A001 Académico Prof. Asistente</v>
      </c>
      <c r="C312" s="1" t="str">
        <f>IFERROR(__xludf.DUMMYFUNCTION("""COMPUTED_VALUE"""),"Prof. Asistente - Categ. Academica Ord.")</f>
        <v>Prof. Asistente - Categ. Academica Ord.</v>
      </c>
      <c r="D312" s="1" t="str">
        <f>IFERROR(__xludf.DUMMYFUNCTION("""COMPUTED_VALUE"""),"A3A Prof. Asistente - Categ. Academica Ord.")</f>
        <v>A3A Prof. Asistente - Categ. Academica Ord.</v>
      </c>
      <c r="E312" s="1" t="str">
        <f>IFERROR(__xludf.DUMMYFUNCTION("""COMPUTED_VALUE"""),"Masculino")</f>
        <v>Masculino</v>
      </c>
      <c r="F312" s="1" t="str">
        <f>IFERROR(__xludf.DUMMYFUNCTION("""COMPUTED_VALUE"""),"Sepúlveda")</f>
        <v>Sepúlveda</v>
      </c>
      <c r="G312" s="1" t="str">
        <f>IFERROR(__xludf.DUMMYFUNCTION("""COMPUTED_VALUE"""),"Galeas")</f>
        <v>Galeas</v>
      </c>
      <c r="H312" s="1" t="str">
        <f>IFERROR(__xludf.DUMMYFUNCTION("""COMPUTED_VALUE"""),"Mauricio Alejandro")</f>
        <v>Mauricio Alejandro</v>
      </c>
      <c r="I312" s="1" t="str">
        <f>IFERROR(__xludf.DUMMYFUNCTION("""COMPUTED_VALUE"""),"Sepúlveda Galeas Mauricio Alejandro")</f>
        <v>Sepúlveda Galeas Mauricio Alejandro</v>
      </c>
      <c r="J312" s="10">
        <f>IFERROR(__xludf.DUMMYFUNCTION("""COMPUTED_VALUE"""),42461.0)</f>
        <v>42461</v>
      </c>
      <c r="K312" s="10">
        <f>IFERROR(__xludf.DUMMYFUNCTION("""COMPUTED_VALUE"""),24743.0)</f>
        <v>24743</v>
      </c>
      <c r="L312" s="1">
        <f>IFERROR(__xludf.DUMMYFUNCTION("""COMPUTED_VALUE"""),56.0)</f>
        <v>56</v>
      </c>
      <c r="M312" s="1" t="str">
        <f>IFERROR(__xludf.DUMMYFUNCTION("""COMPUTED_VALUE"""),"0002 Soltero")</f>
        <v>0002 Soltero</v>
      </c>
      <c r="N312" s="1"/>
      <c r="O312" s="10">
        <f>IFERROR(__xludf.DUMMYFUNCTION("""COMPUTED_VALUE"""),42736.0)</f>
        <v>42736</v>
      </c>
      <c r="P312" s="10">
        <f>IFERROR(__xludf.DUMMYFUNCTION("""COMPUTED_VALUE"""),42855.0)</f>
        <v>42855</v>
      </c>
      <c r="Q312" s="1" t="str">
        <f>IFERROR(__xludf.DUMMYFUNCTION("""COMPUTED_VALUE"""),"K Ad Honorem Contrata")</f>
        <v>K Ad Honorem Contrata</v>
      </c>
      <c r="R312" s="1" t="str">
        <f>IFERROR(__xludf.DUMMYFUNCTION("""COMPUTED_VALUE"""),"A Académico")</f>
        <v>A Académico</v>
      </c>
      <c r="S312" s="9" t="str">
        <f>IFERROR(__xludf.DUMMYFUNCTION("""COMPUTED_VALUE"""),"106004161")</f>
        <v>106004161</v>
      </c>
      <c r="T312" s="1" t="str">
        <f>IFERROR(__xludf.DUMMYFUNCTION("""COMPUTED_VALUE"""),"0106004161")</f>
        <v>0106004161</v>
      </c>
      <c r="U312" s="1">
        <f>IFERROR(__xludf.DUMMYFUNCTION("""COMPUTED_VALUE"""),4.0)</f>
        <v>4</v>
      </c>
      <c r="V312" s="1" t="str">
        <f>IFERROR(__xludf.DUMMYFUNCTION("""COMPUTED_VALUE"""),"P0900 Doctor")</f>
        <v>P0900 Doctor</v>
      </c>
      <c r="W312" s="1">
        <f>IFERROR(__xludf.DUMMYFUNCTION("""COMPUTED_VALUE"""),37673.0)</f>
        <v>37673</v>
      </c>
      <c r="X312" s="1" t="str">
        <f>IFERROR(__xludf.DUMMYFUNCTION("""COMPUTED_VALUE"""),"Universitat Rovira I Virgili")</f>
        <v>Universitat Rovira I Virgili</v>
      </c>
      <c r="Y312" s="1" t="str">
        <f>IFERROR(__xludf.DUMMYFUNCTION("""COMPUTED_VALUE"""),"ESPAÑA")</f>
        <v>ESPAÑA</v>
      </c>
      <c r="Z312" s="1" t="str">
        <f>IFERROR(__xludf.DUMMYFUNCTION("""COMPUTED_VALUE"""),"T5276 Psicologo")</f>
        <v>T5276 Psicologo</v>
      </c>
    </row>
    <row r="313" hidden="1">
      <c r="A313" s="1" t="str">
        <f>IFERROR(__xludf.DUMMYFUNCTION("""COMPUTED_VALUE"""),"12090701 Departamento de Psicología")</f>
        <v>12090701 Departamento de Psicología</v>
      </c>
      <c r="B313" s="1" t="str">
        <f>IFERROR(__xludf.DUMMYFUNCTION("""COMPUTED_VALUE"""),"A3A001 Académico Prof. Asistente")</f>
        <v>A3A001 Académico Prof. Asistente</v>
      </c>
      <c r="C313" s="1" t="str">
        <f>IFERROR(__xludf.DUMMYFUNCTION("""COMPUTED_VALUE"""),"Prof. Asistente - Categ. Academica Ord.")</f>
        <v>Prof. Asistente - Categ. Academica Ord.</v>
      </c>
      <c r="D313" s="1" t="str">
        <f>IFERROR(__xludf.DUMMYFUNCTION("""COMPUTED_VALUE"""),"A3A Prof. Asistente - Categ. Academica Ord.")</f>
        <v>A3A Prof. Asistente - Categ. Academica Ord.</v>
      </c>
      <c r="E313" s="1" t="str">
        <f>IFERROR(__xludf.DUMMYFUNCTION("""COMPUTED_VALUE"""),"Femenino")</f>
        <v>Femenino</v>
      </c>
      <c r="F313" s="1" t="str">
        <f>IFERROR(__xludf.DUMMYFUNCTION("""COMPUTED_VALUE"""),"Sepúlveda")</f>
        <v>Sepúlveda</v>
      </c>
      <c r="G313" s="1" t="str">
        <f>IFERROR(__xludf.DUMMYFUNCTION("""COMPUTED_VALUE"""),"Ramírez")</f>
        <v>Ramírez</v>
      </c>
      <c r="H313" s="1" t="str">
        <f>IFERROR(__xludf.DUMMYFUNCTION("""COMPUTED_VALUE"""),"Hilda Erika")</f>
        <v>Hilda Erika</v>
      </c>
      <c r="I313" s="1" t="str">
        <f>IFERROR(__xludf.DUMMYFUNCTION("""COMPUTED_VALUE"""),"Sepúlveda Ramírez Hilda Erika")</f>
        <v>Sepúlveda Ramírez Hilda Erika</v>
      </c>
      <c r="J313" s="10">
        <f>IFERROR(__xludf.DUMMYFUNCTION("""COMPUTED_VALUE"""),27181.0)</f>
        <v>27181</v>
      </c>
      <c r="K313" s="10">
        <f>IFERROR(__xludf.DUMMYFUNCTION("""COMPUTED_VALUE"""),17798.0)</f>
        <v>17798</v>
      </c>
      <c r="L313" s="1">
        <f>IFERROR(__xludf.DUMMYFUNCTION("""COMPUTED_VALUE"""),75.0)</f>
        <v>75</v>
      </c>
      <c r="M313" s="1" t="str">
        <f>IFERROR(__xludf.DUMMYFUNCTION("""COMPUTED_VALUE"""),"0005 Divorciado")</f>
        <v>0005 Divorciado</v>
      </c>
      <c r="N313" s="1"/>
      <c r="O313" s="10">
        <f>IFERROR(__xludf.DUMMYFUNCTION("""COMPUTED_VALUE"""),34700.0)</f>
        <v>34700</v>
      </c>
      <c r="P313" s="10">
        <f>IFERROR(__xludf.DUMMYFUNCTION("""COMPUTED_VALUE"""),34758.0)</f>
        <v>34758</v>
      </c>
      <c r="Q313" s="1" t="str">
        <f>IFERROR(__xludf.DUMMYFUNCTION("""COMPUTED_VALUE"""),"C Contrata")</f>
        <v>C Contrata</v>
      </c>
      <c r="R313" s="1" t="str">
        <f>IFERROR(__xludf.DUMMYFUNCTION("""COMPUTED_VALUE"""),"A Académico")</f>
        <v>A Académico</v>
      </c>
      <c r="S313" s="9" t="str">
        <f>IFERROR(__xludf.DUMMYFUNCTION("""COMPUTED_VALUE"""),"005019096K")</f>
        <v>005019096K</v>
      </c>
      <c r="T313" s="1" t="str">
        <f>IFERROR(__xludf.DUMMYFUNCTION("""COMPUTED_VALUE"""),"005019096K")</f>
        <v>005019096K</v>
      </c>
      <c r="U313" s="1">
        <f>IFERROR(__xludf.DUMMYFUNCTION("""COMPUTED_VALUE"""),22.0)</f>
        <v>22</v>
      </c>
      <c r="V313" s="1"/>
      <c r="W313" s="1"/>
      <c r="X313" s="1"/>
      <c r="Y313" s="1"/>
      <c r="Z313" s="1"/>
    </row>
    <row r="314" hidden="1">
      <c r="A314" s="1" t="str">
        <f>IFERROR(__xludf.DUMMYFUNCTION("""COMPUTED_VALUE"""),"12090118 Dpto. de  Psicología (funcionamiento)")</f>
        <v>12090118 Dpto. de  Psicología (funcionamiento)</v>
      </c>
      <c r="B314" s="1" t="str">
        <f>IFERROR(__xludf.DUMMYFUNCTION("""COMPUTED_VALUE"""),"A1B001 Académico Prof. Titular")</f>
        <v>A1B001 Académico Prof. Titular</v>
      </c>
      <c r="C314" s="1" t="str">
        <f>IFERROR(__xludf.DUMMYFUNCTION("""COMPUTED_VALUE"""),"Prof.Titular - Categ. Academica Doc.")</f>
        <v>Prof.Titular - Categ. Academica Doc.</v>
      </c>
      <c r="D314" s="1" t="str">
        <f>IFERROR(__xludf.DUMMYFUNCTION("""COMPUTED_VALUE"""),"A1B Prof.Titular - Categ. Academica Doc.")</f>
        <v>A1B Prof.Titular - Categ. Academica Doc.</v>
      </c>
      <c r="E314" s="1" t="str">
        <f>IFERROR(__xludf.DUMMYFUNCTION("""COMPUTED_VALUE"""),"Femenino")</f>
        <v>Femenino</v>
      </c>
      <c r="F314" s="1" t="str">
        <f>IFERROR(__xludf.DUMMYFUNCTION("""COMPUTED_VALUE"""),"Sepúlveda")</f>
        <v>Sepúlveda</v>
      </c>
      <c r="G314" s="1" t="str">
        <f>IFERROR(__xludf.DUMMYFUNCTION("""COMPUTED_VALUE"""),"Ramírez")</f>
        <v>Ramírez</v>
      </c>
      <c r="H314" s="1" t="str">
        <f>IFERROR(__xludf.DUMMYFUNCTION("""COMPUTED_VALUE"""),"María Gabriela del Carmen")</f>
        <v>María Gabriela del Carmen</v>
      </c>
      <c r="I314" s="1" t="str">
        <f>IFERROR(__xludf.DUMMYFUNCTION("""COMPUTED_VALUE"""),"Sepúlveda Ramírez María Gabriela del Carmen")</f>
        <v>Sepúlveda Ramírez María Gabriela del Carmen</v>
      </c>
      <c r="J314" s="10">
        <f>IFERROR(__xludf.DUMMYFUNCTION("""COMPUTED_VALUE"""),27791.0)</f>
        <v>27791</v>
      </c>
      <c r="K314" s="10">
        <f>IFERROR(__xludf.DUMMYFUNCTION("""COMPUTED_VALUE"""),18460.0)</f>
        <v>18460</v>
      </c>
      <c r="L314" s="1">
        <f>IFERROR(__xludf.DUMMYFUNCTION("""COMPUTED_VALUE"""),73.0)</f>
        <v>73</v>
      </c>
      <c r="M314" s="1" t="str">
        <f>IFERROR(__xludf.DUMMYFUNCTION("""COMPUTED_VALUE"""),"0001 Casado")</f>
        <v>0001 Casado</v>
      </c>
      <c r="N314" s="1"/>
      <c r="O314" s="10">
        <f>IFERROR(__xludf.DUMMYFUNCTION("""COMPUTED_VALUE"""),42186.0)</f>
        <v>42186</v>
      </c>
      <c r="P314" s="10">
        <f>IFERROR(__xludf.DUMMYFUNCTION("""COMPUTED_VALUE"""),43311.0)</f>
        <v>43311</v>
      </c>
      <c r="Q314" s="1" t="str">
        <f>IFERROR(__xludf.DUMMYFUNCTION("""COMPUTED_VALUE"""),"P Propiedad")</f>
        <v>P Propiedad</v>
      </c>
      <c r="R314" s="1" t="str">
        <f>IFERROR(__xludf.DUMMYFUNCTION("""COMPUTED_VALUE"""),"A Académico")</f>
        <v>A Académico</v>
      </c>
      <c r="S314" s="9" t="str">
        <f>IFERROR(__xludf.DUMMYFUNCTION("""COMPUTED_VALUE"""),"53124798")</f>
        <v>53124798</v>
      </c>
      <c r="T314" s="1" t="str">
        <f>IFERROR(__xludf.DUMMYFUNCTION("""COMPUTED_VALUE"""),"0053124798")</f>
        <v>0053124798</v>
      </c>
      <c r="U314" s="1">
        <f>IFERROR(__xludf.DUMMYFUNCTION("""COMPUTED_VALUE"""),22.0)</f>
        <v>22</v>
      </c>
      <c r="V314" s="1" t="str">
        <f>IFERROR(__xludf.DUMMYFUNCTION("""COMPUTED_VALUE"""),"P0900 Doctor")</f>
        <v>P0900 Doctor</v>
      </c>
      <c r="W314" s="1">
        <f>IFERROR(__xludf.DUMMYFUNCTION("""COMPUTED_VALUE"""),37148.0)</f>
        <v>37148</v>
      </c>
      <c r="X314" s="1" t="str">
        <f>IFERROR(__xludf.DUMMYFUNCTION("""COMPUTED_VALUE"""),"Universidad De Chile")</f>
        <v>Universidad De Chile</v>
      </c>
      <c r="Y314" s="1" t="str">
        <f>IFERROR(__xludf.DUMMYFUNCTION("""COMPUTED_VALUE"""),"CHILE")</f>
        <v>CHILE</v>
      </c>
      <c r="Z314" s="1" t="str">
        <f>IFERROR(__xludf.DUMMYFUNCTION("""COMPUTED_VALUE"""),"T5124 Psicologo")</f>
        <v>T5124 Psicologo</v>
      </c>
    </row>
    <row r="315">
      <c r="A315" s="1" t="str">
        <f>IFERROR(__xludf.DUMMYFUNCTION("""COMPUTED_VALUE"""),"12090701 Departamento de Psicología")</f>
        <v>12090701 Departamento de Psicología</v>
      </c>
      <c r="B315" s="1" t="str">
        <f>IFERROR(__xludf.DUMMYFUNCTION("""COMPUTED_VALUE"""),"A5A001 ACADEMICO AYUDANTE")</f>
        <v>A5A001 ACADEMICO AYUDANTE</v>
      </c>
      <c r="C315" s="1" t="str">
        <f>IFERROR(__xludf.DUMMYFUNCTION("""COMPUTED_VALUE"""),"Ayudante")</f>
        <v>Ayudante</v>
      </c>
      <c r="D315" s="1" t="str">
        <f>IFERROR(__xludf.DUMMYFUNCTION("""COMPUTED_VALUE"""),"A5A Ayudante")</f>
        <v>A5A Ayudante</v>
      </c>
      <c r="E315" s="1" t="str">
        <f>IFERROR(__xludf.DUMMYFUNCTION("""COMPUTED_VALUE"""),"Femenino")</f>
        <v>Femenino</v>
      </c>
      <c r="F315" s="1" t="str">
        <f>IFERROR(__xludf.DUMMYFUNCTION("""COMPUTED_VALUE"""),"Seyler")</f>
        <v>Seyler</v>
      </c>
      <c r="G315" s="1" t="str">
        <f>IFERROR(__xludf.DUMMYFUNCTION("""COMPUTED_VALUE"""),"Massari")</f>
        <v>Massari</v>
      </c>
      <c r="H315" s="1" t="str">
        <f>IFERROR(__xludf.DUMMYFUNCTION("""COMPUTED_VALUE"""),"María Virginia")</f>
        <v>María Virginia</v>
      </c>
      <c r="I315" s="1" t="str">
        <f>IFERROR(__xludf.DUMMYFUNCTION("""COMPUTED_VALUE"""),"Seyler Massari María Virginia")</f>
        <v>Seyler Massari María Virginia</v>
      </c>
      <c r="J315" s="10">
        <f>IFERROR(__xludf.DUMMYFUNCTION("""COMPUTED_VALUE"""),37926.0)</f>
        <v>37926</v>
      </c>
      <c r="K315" s="10">
        <f>IFERROR(__xludf.DUMMYFUNCTION("""COMPUTED_VALUE"""),21714.0)</f>
        <v>21714</v>
      </c>
      <c r="L315" s="1">
        <f>IFERROR(__xludf.DUMMYFUNCTION("""COMPUTED_VALUE"""),64.0)</f>
        <v>64</v>
      </c>
      <c r="M315" s="1" t="str">
        <f>IFERROR(__xludf.DUMMYFUNCTION("""COMPUTED_VALUE"""),"0001 Casado")</f>
        <v>0001 Casado</v>
      </c>
      <c r="N315" s="1" t="str">
        <f>IFERROR(__xludf.DUMMYFUNCTION("""COMPUTED_VALUE"""),"N0040 Profesional Superior")</f>
        <v>N0040 Profesional Superior</v>
      </c>
      <c r="O315" s="10">
        <f>IFERROR(__xludf.DUMMYFUNCTION("""COMPUTED_VALUE"""),35065.0)</f>
        <v>35065</v>
      </c>
      <c r="P315" s="10">
        <f>IFERROR(__xludf.DUMMYFUNCTION("""COMPUTED_VALUE"""),35095.0)</f>
        <v>35095</v>
      </c>
      <c r="Q315" s="1" t="str">
        <f>IFERROR(__xludf.DUMMYFUNCTION("""COMPUTED_VALUE"""),"C Contrata")</f>
        <v>C Contrata</v>
      </c>
      <c r="R315" s="1" t="str">
        <f>IFERROR(__xludf.DUMMYFUNCTION("""COMPUTED_VALUE"""),"A Académico")</f>
        <v>A Académico</v>
      </c>
      <c r="S315" s="9" t="str">
        <f>IFERROR(__xludf.DUMMYFUNCTION("""COMPUTED_VALUE"""),"65978377")</f>
        <v>65978377</v>
      </c>
      <c r="T315" s="1" t="str">
        <f>IFERROR(__xludf.DUMMYFUNCTION("""COMPUTED_VALUE"""),"0065978377")</f>
        <v>0065978377</v>
      </c>
      <c r="U315" s="1">
        <f>IFERROR(__xludf.DUMMYFUNCTION("""COMPUTED_VALUE"""),6.0)</f>
        <v>6</v>
      </c>
      <c r="V315" s="1"/>
      <c r="W315" s="1"/>
      <c r="X315" s="1"/>
      <c r="Y315" s="1"/>
      <c r="Z315" s="1" t="str">
        <f>IFERROR(__xludf.DUMMYFUNCTION("""COMPUTED_VALUE"""),"T5124 Psicologo")</f>
        <v>T5124 Psicologo</v>
      </c>
    </row>
    <row r="316">
      <c r="A316" s="1" t="str">
        <f>IFERROR(__xludf.DUMMYFUNCTION("""COMPUTED_VALUE"""),"12090501 Departamento de Investigaciónes Mediáticas y de la Comunicación")</f>
        <v>12090501 Departamento de Investigaciónes Mediáticas y de la Comunicación</v>
      </c>
      <c r="B316" s="1" t="str">
        <f>IFERROR(__xludf.DUMMYFUNCTION("""COMPUTED_VALUE"""),"A3A001 Académico Prof. Asistente")</f>
        <v>A3A001 Académico Prof. Asistente</v>
      </c>
      <c r="C316" s="1" t="str">
        <f>IFERROR(__xludf.DUMMYFUNCTION("""COMPUTED_VALUE"""),"Prof. Asistente - Categ. Academica Ord.")</f>
        <v>Prof. Asistente - Categ. Academica Ord.</v>
      </c>
      <c r="D316" s="1" t="str">
        <f>IFERROR(__xludf.DUMMYFUNCTION("""COMPUTED_VALUE"""),"A3A Prof. Asistente - Categ. Academica Ord.")</f>
        <v>A3A Prof. Asistente - Categ. Academica Ord.</v>
      </c>
      <c r="E316" s="1" t="str">
        <f>IFERROR(__xludf.DUMMYFUNCTION("""COMPUTED_VALUE"""),"Femenino")</f>
        <v>Femenino</v>
      </c>
      <c r="F316" s="1" t="str">
        <f>IFERROR(__xludf.DUMMYFUNCTION("""COMPUTED_VALUE"""),"Shomaly")</f>
        <v>Shomaly</v>
      </c>
      <c r="G316" s="1" t="str">
        <f>IFERROR(__xludf.DUMMYFUNCTION("""COMPUTED_VALUE"""),"Khashram")</f>
        <v>Khashram</v>
      </c>
      <c r="H316" s="1" t="str">
        <f>IFERROR(__xludf.DUMMYFUNCTION("""COMPUTED_VALUE"""),"Denise Ellen")</f>
        <v>Denise Ellen</v>
      </c>
      <c r="I316" s="1" t="str">
        <f>IFERROR(__xludf.DUMMYFUNCTION("""COMPUTED_VALUE"""),"Shomaly Khashram Denise Ellen")</f>
        <v>Shomaly Khashram Denise Ellen</v>
      </c>
      <c r="J316" s="10">
        <f>IFERROR(__xludf.DUMMYFUNCTION("""COMPUTED_VALUE"""),34881.0)</f>
        <v>34881</v>
      </c>
      <c r="K316" s="10">
        <f>IFERROR(__xludf.DUMMYFUNCTION("""COMPUTED_VALUE"""),20920.0)</f>
        <v>20920</v>
      </c>
      <c r="L316" s="1">
        <f>IFERROR(__xludf.DUMMYFUNCTION("""COMPUTED_VALUE"""),66.0)</f>
        <v>66</v>
      </c>
      <c r="M316" s="1" t="str">
        <f>IFERROR(__xludf.DUMMYFUNCTION("""COMPUTED_VALUE"""),"0002 Soltero")</f>
        <v>0002 Soltero</v>
      </c>
      <c r="N316" s="1"/>
      <c r="O316" s="10">
        <f>IFERROR(__xludf.DUMMYFUNCTION("""COMPUTED_VALUE"""),35125.0)</f>
        <v>35125</v>
      </c>
      <c r="P316" s="10">
        <f>IFERROR(__xludf.DUMMYFUNCTION("""COMPUTED_VALUE"""),35277.0)</f>
        <v>35277</v>
      </c>
      <c r="Q316" s="1" t="str">
        <f>IFERROR(__xludf.DUMMYFUNCTION("""COMPUTED_VALUE"""),"P Propiedad")</f>
        <v>P Propiedad</v>
      </c>
      <c r="R316" s="1" t="str">
        <f>IFERROR(__xludf.DUMMYFUNCTION("""COMPUTED_VALUE"""),"A Académico")</f>
        <v>A Académico</v>
      </c>
      <c r="S316" s="9" t="str">
        <f>IFERROR(__xludf.DUMMYFUNCTION("""COMPUTED_VALUE"""),"85321099")</f>
        <v>85321099</v>
      </c>
      <c r="T316" s="1" t="str">
        <f>IFERROR(__xludf.DUMMYFUNCTION("""COMPUTED_VALUE"""),"0085321099")</f>
        <v>0085321099</v>
      </c>
      <c r="U316" s="1">
        <f>IFERROR(__xludf.DUMMYFUNCTION("""COMPUTED_VALUE"""),12.0)</f>
        <v>12</v>
      </c>
      <c r="V316" s="1"/>
      <c r="W316" s="1"/>
      <c r="X316" s="1"/>
      <c r="Y316" s="1"/>
      <c r="Z316" s="1"/>
    </row>
    <row r="317" hidden="1">
      <c r="A317" s="1" t="str">
        <f>IFERROR(__xludf.DUMMYFUNCTION("""COMPUTED_VALUE"""),"12090801 Departamento de Sociología")</f>
        <v>12090801 Departamento de Sociología</v>
      </c>
      <c r="B317" s="1" t="str">
        <f>IFERROR(__xludf.DUMMYFUNCTION("""COMPUTED_VALUE"""),"A3A001 Académico Prof. Asistente")</f>
        <v>A3A001 Académico Prof. Asistente</v>
      </c>
      <c r="C317" s="1" t="str">
        <f>IFERROR(__xludf.DUMMYFUNCTION("""COMPUTED_VALUE"""),"Prof. Asistente - Categ. Academica Ord.")</f>
        <v>Prof. Asistente - Categ. Academica Ord.</v>
      </c>
      <c r="D317" s="1" t="str">
        <f>IFERROR(__xludf.DUMMYFUNCTION("""COMPUTED_VALUE"""),"A3A Prof. Asistente - Categ. Academica Ord.")</f>
        <v>A3A Prof. Asistente - Categ. Academica Ord.</v>
      </c>
      <c r="E317" s="1" t="str">
        <f>IFERROR(__xludf.DUMMYFUNCTION("""COMPUTED_VALUE"""),"Masculino")</f>
        <v>Masculino</v>
      </c>
      <c r="F317" s="1" t="str">
        <f>IFERROR(__xludf.DUMMYFUNCTION("""COMPUTED_VALUE"""),"Silva")</f>
        <v>Silva</v>
      </c>
      <c r="G317" s="1" t="str">
        <f>IFERROR(__xludf.DUMMYFUNCTION("""COMPUTED_VALUE"""),"Negrete")</f>
        <v>Negrete</v>
      </c>
      <c r="H317" s="1" t="str">
        <f>IFERROR(__xludf.DUMMYFUNCTION("""COMPUTED_VALUE"""),"Ramón Leonardo")</f>
        <v>Ramón Leonardo</v>
      </c>
      <c r="I317" s="1" t="str">
        <f>IFERROR(__xludf.DUMMYFUNCTION("""COMPUTED_VALUE"""),"Silva Negrete Ramón Leonardo")</f>
        <v>Silva Negrete Ramón Leonardo</v>
      </c>
      <c r="J317" s="10">
        <f>IFERROR(__xludf.DUMMYFUNCTION("""COMPUTED_VALUE"""),25020.0)</f>
        <v>25020</v>
      </c>
      <c r="K317" s="10">
        <f>IFERROR(__xludf.DUMMYFUNCTION("""COMPUTED_VALUE"""),15277.0)</f>
        <v>15277</v>
      </c>
      <c r="L317" s="1">
        <f>IFERROR(__xludf.DUMMYFUNCTION("""COMPUTED_VALUE"""),82.0)</f>
        <v>82</v>
      </c>
      <c r="M317" s="1" t="str">
        <f>IFERROR(__xludf.DUMMYFUNCTION("""COMPUTED_VALUE"""),"0001 Casado")</f>
        <v>0001 Casado</v>
      </c>
      <c r="N317" s="1"/>
      <c r="O317" s="10">
        <f>IFERROR(__xludf.DUMMYFUNCTION("""COMPUTED_VALUE"""),35704.0)</f>
        <v>35704</v>
      </c>
      <c r="P317" s="10">
        <f>IFERROR(__xludf.DUMMYFUNCTION("""COMPUTED_VALUE"""),37398.0)</f>
        <v>37398</v>
      </c>
      <c r="Q317" s="1" t="str">
        <f>IFERROR(__xludf.DUMMYFUNCTION("""COMPUTED_VALUE"""),"P Propiedad")</f>
        <v>P Propiedad</v>
      </c>
      <c r="R317" s="1" t="str">
        <f>IFERROR(__xludf.DUMMYFUNCTION("""COMPUTED_VALUE"""),"A Académico")</f>
        <v>A Académico</v>
      </c>
      <c r="S317" s="9" t="str">
        <f>IFERROR(__xludf.DUMMYFUNCTION("""COMPUTED_VALUE"""),"43389920")</f>
        <v>43389920</v>
      </c>
      <c r="T317" s="1" t="str">
        <f>IFERROR(__xludf.DUMMYFUNCTION("""COMPUTED_VALUE"""),"0043389920")</f>
        <v>0043389920</v>
      </c>
      <c r="U317" s="1">
        <f>IFERROR(__xludf.DUMMYFUNCTION("""COMPUTED_VALUE"""),44.0)</f>
        <v>44</v>
      </c>
      <c r="V317" s="1" t="str">
        <f>IFERROR(__xludf.DUMMYFUNCTION("""COMPUTED_VALUE"""),"P0900 Doctor")</f>
        <v>P0900 Doctor</v>
      </c>
      <c r="W317" s="1">
        <f>IFERROR(__xludf.DUMMYFUNCTION("""COMPUTED_VALUE"""),1.0)</f>
        <v>1</v>
      </c>
      <c r="X317" s="1" t="str">
        <f>IFERROR(__xludf.DUMMYFUNCTION("""COMPUTED_VALUE"""),"Sin Información")</f>
        <v>Sin Información</v>
      </c>
      <c r="Y317" s="1" t="str">
        <f>IFERROR(__xludf.DUMMYFUNCTION("""COMPUTED_VALUE"""),"CHILE")</f>
        <v>CHILE</v>
      </c>
      <c r="Z317" s="1"/>
    </row>
    <row r="318">
      <c r="A318" s="1" t="str">
        <f>IFERROR(__xludf.DUMMYFUNCTION("""COMPUTED_VALUE"""),"12090301 Departamento de Antropología")</f>
        <v>12090301 Departamento de Antropología</v>
      </c>
      <c r="B318" s="1" t="str">
        <f>IFERROR(__xludf.DUMMYFUNCTION("""COMPUTED_VALUE"""),"A2A001 Académico Prof. Asociado")</f>
        <v>A2A001 Académico Prof. Asociado</v>
      </c>
      <c r="C318" s="1" t="str">
        <f>IFERROR(__xludf.DUMMYFUNCTION("""COMPUTED_VALUE"""),"Prof. Asociado - Categ. Academica Ord.")</f>
        <v>Prof. Asociado - Categ. Academica Ord.</v>
      </c>
      <c r="D318" s="1" t="str">
        <f>IFERROR(__xludf.DUMMYFUNCTION("""COMPUTED_VALUE"""),"A2A Prof. Asociado - Categ. Academica Ord.")</f>
        <v>A2A Prof. Asociado - Categ. Academica Ord.</v>
      </c>
      <c r="E318" s="1" t="str">
        <f>IFERROR(__xludf.DUMMYFUNCTION("""COMPUTED_VALUE"""),"Masculino")</f>
        <v>Masculino</v>
      </c>
      <c r="F318" s="1" t="str">
        <f>IFERROR(__xludf.DUMMYFUNCTION("""COMPUTED_VALUE"""),"Skewes")</f>
        <v>Skewes</v>
      </c>
      <c r="G318" s="1" t="str">
        <f>IFERROR(__xludf.DUMMYFUNCTION("""COMPUTED_VALUE"""),"Vodanovic")</f>
        <v>Vodanovic</v>
      </c>
      <c r="H318" s="1" t="str">
        <f>IFERROR(__xludf.DUMMYFUNCTION("""COMPUTED_VALUE"""),"Juan Carlos")</f>
        <v>Juan Carlos</v>
      </c>
      <c r="I318" s="1" t="str">
        <f>IFERROR(__xludf.DUMMYFUNCTION("""COMPUTED_VALUE"""),"Skewes Vodanovic Juan Carlos")</f>
        <v>Skewes Vodanovic Juan Carlos</v>
      </c>
      <c r="J318" s="10">
        <f>IFERROR(__xludf.DUMMYFUNCTION("""COMPUTED_VALUE"""),42118.0)</f>
        <v>42118</v>
      </c>
      <c r="K318" s="10">
        <f>IFERROR(__xludf.DUMMYFUNCTION("""COMPUTED_VALUE"""),19895.0)</f>
        <v>19895</v>
      </c>
      <c r="L318" s="1">
        <f>IFERROR(__xludf.DUMMYFUNCTION("""COMPUTED_VALUE"""),69.0)</f>
        <v>69</v>
      </c>
      <c r="M318" s="1" t="str">
        <f>IFERROR(__xludf.DUMMYFUNCTION("""COMPUTED_VALUE"""),"0001 Casado")</f>
        <v>0001 Casado</v>
      </c>
      <c r="N318" s="1"/>
      <c r="O318" s="10">
        <f>IFERROR(__xludf.DUMMYFUNCTION("""COMPUTED_VALUE"""),38930.0)</f>
        <v>38930</v>
      </c>
      <c r="P318" s="10">
        <f>IFERROR(__xludf.DUMMYFUNCTION("""COMPUTED_VALUE"""),39082.0)</f>
        <v>39082</v>
      </c>
      <c r="Q318" s="1" t="str">
        <f>IFERROR(__xludf.DUMMYFUNCTION("""COMPUTED_VALUE"""),"C Contrata")</f>
        <v>C Contrata</v>
      </c>
      <c r="R318" s="1" t="str">
        <f>IFERROR(__xludf.DUMMYFUNCTION("""COMPUTED_VALUE"""),"A Académico")</f>
        <v>A Académico</v>
      </c>
      <c r="S318" s="9" t="str">
        <f>IFERROR(__xludf.DUMMYFUNCTION("""COMPUTED_VALUE"""),"60869359")</f>
        <v>60869359</v>
      </c>
      <c r="T318" s="1" t="str">
        <f>IFERROR(__xludf.DUMMYFUNCTION("""COMPUTED_VALUE"""),"0060869359")</f>
        <v>0060869359</v>
      </c>
      <c r="U318" s="1">
        <f>IFERROR(__xludf.DUMMYFUNCTION("""COMPUTED_VALUE"""),12.0)</f>
        <v>12</v>
      </c>
      <c r="V318" s="1" t="str">
        <f>IFERROR(__xludf.DUMMYFUNCTION("""COMPUTED_VALUE"""),"P0900 Doctor")</f>
        <v>P0900 Doctor</v>
      </c>
      <c r="W318" s="1">
        <f>IFERROR(__xludf.DUMMYFUNCTION("""COMPUTED_VALUE"""),37621.0)</f>
        <v>37621</v>
      </c>
      <c r="X318" s="1" t="str">
        <f>IFERROR(__xludf.DUMMYFUNCTION("""COMPUTED_VALUE"""),"Universidad De Minnesota")</f>
        <v>Universidad De Minnesota</v>
      </c>
      <c r="Y318" s="1" t="str">
        <f>IFERROR(__xludf.DUMMYFUNCTION("""COMPUTED_VALUE"""),"ESTADOS UNIDOS")</f>
        <v>ESTADOS UNIDOS</v>
      </c>
      <c r="Z318" s="1" t="str">
        <f>IFERROR(__xludf.DUMMYFUNCTION("""COMPUTED_VALUE"""),"T5054 Licenciado en Antropologia")</f>
        <v>T5054 Licenciado en Antropologia</v>
      </c>
    </row>
    <row r="319" hidden="1">
      <c r="A319" s="1" t="str">
        <f>IFERROR(__xludf.DUMMYFUNCTION("""COMPUTED_VALUE"""),"12090701 Departamento de Psicología")</f>
        <v>12090701 Departamento de Psicología</v>
      </c>
      <c r="B319" s="1" t="str">
        <f>IFERROR(__xludf.DUMMYFUNCTION("""COMPUTED_VALUE"""),"A4A001 ACADEMICO  INSTRUCTOR")</f>
        <v>A4A001 ACADEMICO  INSTRUCTOR</v>
      </c>
      <c r="C319" s="1" t="str">
        <f>IFERROR(__xludf.DUMMYFUNCTION("""COMPUTED_VALUE"""),"Prof. Asistente - Categ. Academica Ord.")</f>
        <v>Prof. Asistente - Categ. Academica Ord.</v>
      </c>
      <c r="D319" s="1" t="str">
        <f>IFERROR(__xludf.DUMMYFUNCTION("""COMPUTED_VALUE"""),"A3A Prof. Asistente - Categ. Academica Ord.")</f>
        <v>A3A Prof. Asistente - Categ. Academica Ord.</v>
      </c>
      <c r="E319" s="1" t="str">
        <f>IFERROR(__xludf.DUMMYFUNCTION("""COMPUTED_VALUE"""),"Femenino")</f>
        <v>Femenino</v>
      </c>
      <c r="F319" s="1" t="str">
        <f>IFERROR(__xludf.DUMMYFUNCTION("""COMPUTED_VALUE"""),"Skoknic")</f>
        <v>Skoknic</v>
      </c>
      <c r="G319" s="1" t="str">
        <f>IFERROR(__xludf.DUMMYFUNCTION("""COMPUTED_VALUE"""),"Cvitanic")</f>
        <v>Cvitanic</v>
      </c>
      <c r="H319" s="1" t="str">
        <f>IFERROR(__xludf.DUMMYFUNCTION("""COMPUTED_VALUE"""),"Vania Antonia")</f>
        <v>Vania Antonia</v>
      </c>
      <c r="I319" s="1" t="str">
        <f>IFERROR(__xludf.DUMMYFUNCTION("""COMPUTED_VALUE"""),"Skoknic Cvitanic Vania Antonia")</f>
        <v>Skoknic Cvitanic Vania Antonia</v>
      </c>
      <c r="J319" s="10">
        <f>IFERROR(__xludf.DUMMYFUNCTION("""COMPUTED_VALUE"""),35160.0)</f>
        <v>35160</v>
      </c>
      <c r="K319" s="10">
        <f>IFERROR(__xludf.DUMMYFUNCTION("""COMPUTED_VALUE"""),17610.0)</f>
        <v>17610</v>
      </c>
      <c r="L319" s="1">
        <f>IFERROR(__xludf.DUMMYFUNCTION("""COMPUTED_VALUE"""),75.0)</f>
        <v>75</v>
      </c>
      <c r="M319" s="1" t="str">
        <f>IFERROR(__xludf.DUMMYFUNCTION("""COMPUTED_VALUE"""),"0001 Casado")</f>
        <v>0001 Casado</v>
      </c>
      <c r="N319" s="1"/>
      <c r="O319" s="10">
        <f>IFERROR(__xludf.DUMMYFUNCTION("""COMPUTED_VALUE"""),35247.0)</f>
        <v>35247</v>
      </c>
      <c r="P319" s="10">
        <f>IFERROR(__xludf.DUMMYFUNCTION("""COMPUTED_VALUE"""),38657.0)</f>
        <v>38657</v>
      </c>
      <c r="Q319" s="1" t="str">
        <f>IFERROR(__xludf.DUMMYFUNCTION("""COMPUTED_VALUE"""),"P Propiedad")</f>
        <v>P Propiedad</v>
      </c>
      <c r="R319" s="1" t="str">
        <f>IFERROR(__xludf.DUMMYFUNCTION("""COMPUTED_VALUE"""),"A Académico")</f>
        <v>A Académico</v>
      </c>
      <c r="S319" s="9" t="str">
        <f>IFERROR(__xludf.DUMMYFUNCTION("""COMPUTED_VALUE"""),"58951080")</f>
        <v>58951080</v>
      </c>
      <c r="T319" s="1" t="str">
        <f>IFERROR(__xludf.DUMMYFUNCTION("""COMPUTED_VALUE"""),"0058951080")</f>
        <v>0058951080</v>
      </c>
      <c r="U319" s="1">
        <f>IFERROR(__xludf.DUMMYFUNCTION("""COMPUTED_VALUE"""),6.0)</f>
        <v>6</v>
      </c>
      <c r="V319" s="1" t="str">
        <f>IFERROR(__xludf.DUMMYFUNCTION("""COMPUTED_VALUE"""),"P0501 Con Titulo Profesional")</f>
        <v>P0501 Con Titulo Profesional</v>
      </c>
      <c r="W319" s="1">
        <f>IFERROR(__xludf.DUMMYFUNCTION("""COMPUTED_VALUE"""),27115.0)</f>
        <v>27115</v>
      </c>
      <c r="X319" s="1" t="str">
        <f>IFERROR(__xludf.DUMMYFUNCTION("""COMPUTED_VALUE"""),"Universidad De Chile")</f>
        <v>Universidad De Chile</v>
      </c>
      <c r="Y319" s="1" t="str">
        <f>IFERROR(__xludf.DUMMYFUNCTION("""COMPUTED_VALUE"""),"CHILE")</f>
        <v>CHILE</v>
      </c>
      <c r="Z319" s="1"/>
    </row>
    <row r="320">
      <c r="A320" s="1" t="str">
        <f>IFERROR(__xludf.DUMMYFUNCTION("""COMPUTED_VALUE"""),"12090601 Departamento de Educación")</f>
        <v>12090601 Departamento de Educación</v>
      </c>
      <c r="B320" s="1" t="str">
        <f>IFERROR(__xludf.DUMMYFUNCTION("""COMPUTED_VALUE"""),"A3A001 Académico Prof. Asistente")</f>
        <v>A3A001 Académico Prof. Asistente</v>
      </c>
      <c r="C320" s="1" t="str">
        <f>IFERROR(__xludf.DUMMYFUNCTION("""COMPUTED_VALUE"""),"Prof. Asistente - Categ. Academica Ord.")</f>
        <v>Prof. Asistente - Categ. Academica Ord.</v>
      </c>
      <c r="D320" s="1" t="str">
        <f>IFERROR(__xludf.DUMMYFUNCTION("""COMPUTED_VALUE"""),"A3A Prof. Asistente - Categ. Academica Ord.")</f>
        <v>A3A Prof. Asistente - Categ. Academica Ord.</v>
      </c>
      <c r="E320" s="1" t="str">
        <f>IFERROR(__xludf.DUMMYFUNCTION("""COMPUTED_VALUE"""),"Masculino")</f>
        <v>Masculino</v>
      </c>
      <c r="F320" s="1" t="str">
        <f>IFERROR(__xludf.DUMMYFUNCTION("""COMPUTED_VALUE"""),"Soto")</f>
        <v>Soto</v>
      </c>
      <c r="G320" s="1" t="str">
        <f>IFERROR(__xludf.DUMMYFUNCTION("""COMPUTED_VALUE"""),"Vergara")</f>
        <v>Vergara</v>
      </c>
      <c r="H320" s="1" t="str">
        <f>IFERROR(__xludf.DUMMYFUNCTION("""COMPUTED_VALUE"""),"Guillermo Andrés")</f>
        <v>Guillermo Andrés</v>
      </c>
      <c r="I320" s="1" t="str">
        <f>IFERROR(__xludf.DUMMYFUNCTION("""COMPUTED_VALUE"""),"Soto Vergara Guillermo Andrés")</f>
        <v>Soto Vergara Guillermo Andrés</v>
      </c>
      <c r="J320" s="10">
        <f>IFERROR(__xludf.DUMMYFUNCTION("""COMPUTED_VALUE"""),35735.0)</f>
        <v>35735</v>
      </c>
      <c r="K320" s="10">
        <f>IFERROR(__xludf.DUMMYFUNCTION("""COMPUTED_VALUE"""),23319.0)</f>
        <v>23319</v>
      </c>
      <c r="L320" s="1">
        <f>IFERROR(__xludf.DUMMYFUNCTION("""COMPUTED_VALUE"""),60.0)</f>
        <v>60</v>
      </c>
      <c r="M320" s="1" t="str">
        <f>IFERROR(__xludf.DUMMYFUNCTION("""COMPUTED_VALUE"""),"0001 Casado")</f>
        <v>0001 Casado</v>
      </c>
      <c r="N320" s="1"/>
      <c r="O320" s="10">
        <f>IFERROR(__xludf.DUMMYFUNCTION("""COMPUTED_VALUE"""),39448.0)</f>
        <v>39448</v>
      </c>
      <c r="P320" s="10">
        <f>IFERROR(__xludf.DUMMYFUNCTION("""COMPUTED_VALUE"""),39660.0)</f>
        <v>39660</v>
      </c>
      <c r="Q320" s="1" t="str">
        <f>IFERROR(__xludf.DUMMYFUNCTION("""COMPUTED_VALUE"""),"C Contrata")</f>
        <v>C Contrata</v>
      </c>
      <c r="R320" s="1" t="str">
        <f>IFERROR(__xludf.DUMMYFUNCTION("""COMPUTED_VALUE"""),"A Académico")</f>
        <v>A Académico</v>
      </c>
      <c r="S320" s="9" t="str">
        <f>IFERROR(__xludf.DUMMYFUNCTION("""COMPUTED_VALUE"""),"009083245K")</f>
        <v>009083245K</v>
      </c>
      <c r="T320" s="1" t="str">
        <f>IFERROR(__xludf.DUMMYFUNCTION("""COMPUTED_VALUE"""),"009083245K")</f>
        <v>009083245K</v>
      </c>
      <c r="U320" s="1">
        <f>IFERROR(__xludf.DUMMYFUNCTION("""COMPUTED_VALUE"""),6.0)</f>
        <v>6</v>
      </c>
      <c r="V320" s="1" t="str">
        <f>IFERROR(__xludf.DUMMYFUNCTION("""COMPUTED_VALUE"""),"P0900 Doctor")</f>
        <v>P0900 Doctor</v>
      </c>
      <c r="W320" s="1">
        <f>IFERROR(__xludf.DUMMYFUNCTION("""COMPUTED_VALUE"""),40926.0)</f>
        <v>40926</v>
      </c>
      <c r="X320" s="1" t="str">
        <f>IFERROR(__xludf.DUMMYFUNCTION("""COMPUTED_VALUE"""),"Universidad de Valladolid")</f>
        <v>Universidad de Valladolid</v>
      </c>
      <c r="Y320" s="1" t="str">
        <f>IFERROR(__xludf.DUMMYFUNCTION("""COMPUTED_VALUE"""),"ESPAÑA")</f>
        <v>ESPAÑA</v>
      </c>
      <c r="Z320" s="1" t="str">
        <f>IFERROR(__xludf.DUMMYFUNCTION("""COMPUTED_VALUE"""),"T5059 Licenciado en Letras")</f>
        <v>T5059 Licenciado en Letras</v>
      </c>
    </row>
    <row r="321" hidden="1">
      <c r="A321" s="1" t="str">
        <f>IFERROR(__xludf.DUMMYFUNCTION("""COMPUTED_VALUE"""),"12090501 Departamento de Investigaciónes Mediáticas y de la Comunicación")</f>
        <v>12090501 Departamento de Investigaciónes Mediáticas y de la Comunicación</v>
      </c>
      <c r="B321" s="1" t="str">
        <f>IFERROR(__xludf.DUMMYFUNCTION("""COMPUTED_VALUE"""),"A3A001 Académico Prof. Asistente")</f>
        <v>A3A001 Académico Prof. Asistente</v>
      </c>
      <c r="C321" s="1" t="str">
        <f>IFERROR(__xludf.DUMMYFUNCTION("""COMPUTED_VALUE"""),"Prof. Asistente - Categ. Academica Ord.")</f>
        <v>Prof. Asistente - Categ. Academica Ord.</v>
      </c>
      <c r="D321" s="1" t="str">
        <f>IFERROR(__xludf.DUMMYFUNCTION("""COMPUTED_VALUE"""),"A3A Prof. Asistente - Categ. Academica Ord.")</f>
        <v>A3A Prof. Asistente - Categ. Academica Ord.</v>
      </c>
      <c r="E321" s="1" t="str">
        <f>IFERROR(__xludf.DUMMYFUNCTION("""COMPUTED_VALUE"""),"Masculino")</f>
        <v>Masculino</v>
      </c>
      <c r="F321" s="1" t="str">
        <f>IFERROR(__xludf.DUMMYFUNCTION("""COMPUTED_VALUE"""),"Soza")</f>
        <v>Soza</v>
      </c>
      <c r="G321" s="1" t="str">
        <f>IFERROR(__xludf.DUMMYFUNCTION("""COMPUTED_VALUE"""),"Montiel")</f>
        <v>Montiel</v>
      </c>
      <c r="H321" s="1" t="str">
        <f>IFERROR(__xludf.DUMMYFUNCTION("""COMPUTED_VALUE"""),"Nelson Julio")</f>
        <v>Nelson Julio</v>
      </c>
      <c r="I321" s="1" t="str">
        <f>IFERROR(__xludf.DUMMYFUNCTION("""COMPUTED_VALUE"""),"Soza Montiel Nelson Julio")</f>
        <v>Soza Montiel Nelson Julio</v>
      </c>
      <c r="J321" s="10">
        <f>IFERROR(__xludf.DUMMYFUNCTION("""COMPUTED_VALUE"""),36008.0)</f>
        <v>36008</v>
      </c>
      <c r="K321" s="10">
        <f>IFERROR(__xludf.DUMMYFUNCTION("""COMPUTED_VALUE"""),18333.0)</f>
        <v>18333</v>
      </c>
      <c r="L321" s="1">
        <f>IFERROR(__xludf.DUMMYFUNCTION("""COMPUTED_VALUE"""),73.0)</f>
        <v>73</v>
      </c>
      <c r="M321" s="1" t="str">
        <f>IFERROR(__xludf.DUMMYFUNCTION("""COMPUTED_VALUE"""),"0005 Divorciado")</f>
        <v>0005 Divorciado</v>
      </c>
      <c r="N321" s="1"/>
      <c r="O321" s="10">
        <f>IFERROR(__xludf.DUMMYFUNCTION("""COMPUTED_VALUE"""),36161.0)</f>
        <v>36161</v>
      </c>
      <c r="P321" s="10">
        <f>IFERROR(__xludf.DUMMYFUNCTION("""COMPUTED_VALUE"""),36525.0)</f>
        <v>36525</v>
      </c>
      <c r="Q321" s="1" t="str">
        <f>IFERROR(__xludf.DUMMYFUNCTION("""COMPUTED_VALUE"""),"C Contrata")</f>
        <v>C Contrata</v>
      </c>
      <c r="R321" s="1" t="str">
        <f>IFERROR(__xludf.DUMMYFUNCTION("""COMPUTED_VALUE"""),"A Académico")</f>
        <v>A Académico</v>
      </c>
      <c r="S321" s="9" t="str">
        <f>IFERROR(__xludf.DUMMYFUNCTION("""COMPUTED_VALUE"""),"61802665")</f>
        <v>61802665</v>
      </c>
      <c r="T321" s="1" t="str">
        <f>IFERROR(__xludf.DUMMYFUNCTION("""COMPUTED_VALUE"""),"0061802665")</f>
        <v>0061802665</v>
      </c>
      <c r="U321" s="1">
        <f>IFERROR(__xludf.DUMMYFUNCTION("""COMPUTED_VALUE"""),12.0)</f>
        <v>12</v>
      </c>
      <c r="V321" s="1"/>
      <c r="W321" s="1"/>
      <c r="X321" s="1"/>
      <c r="Y321" s="1"/>
      <c r="Z321" s="1"/>
    </row>
    <row r="322" hidden="1">
      <c r="A322" s="1" t="str">
        <f>IFERROR(__xludf.DUMMYFUNCTION("""COMPUTED_VALUE"""),"12090301 Departamento de Antropología")</f>
        <v>12090301 Departamento de Antropología</v>
      </c>
      <c r="B322" s="1" t="str">
        <f>IFERROR(__xludf.DUMMYFUNCTION("""COMPUTED_VALUE"""),"A2A001 Académico Prof. Asociado")</f>
        <v>A2A001 Académico Prof. Asociado</v>
      </c>
      <c r="C322" s="1" t="str">
        <f>IFERROR(__xludf.DUMMYFUNCTION("""COMPUTED_VALUE"""),"Prof. Asociado - Categ. Academica Ord.")</f>
        <v>Prof. Asociado - Categ. Academica Ord.</v>
      </c>
      <c r="D322" s="1" t="str">
        <f>IFERROR(__xludf.DUMMYFUNCTION("""COMPUTED_VALUE"""),"A2A Prof. Asociado - Categ. Academica Ord.")</f>
        <v>A2A Prof. Asociado - Categ. Academica Ord.</v>
      </c>
      <c r="E322" s="1" t="str">
        <f>IFERROR(__xludf.DUMMYFUNCTION("""COMPUTED_VALUE"""),"Masculino")</f>
        <v>Masculino</v>
      </c>
      <c r="F322" s="1" t="str">
        <f>IFERROR(__xludf.DUMMYFUNCTION("""COMPUTED_VALUE"""),"Stehberg")</f>
        <v>Stehberg</v>
      </c>
      <c r="G322" s="1" t="str">
        <f>IFERROR(__xludf.DUMMYFUNCTION("""COMPUTED_VALUE"""),"Landsberger")</f>
        <v>Landsberger</v>
      </c>
      <c r="H322" s="1" t="str">
        <f>IFERROR(__xludf.DUMMYFUNCTION("""COMPUTED_VALUE"""),"Rubén Federico")</f>
        <v>Rubén Federico</v>
      </c>
      <c r="I322" s="1" t="str">
        <f>IFERROR(__xludf.DUMMYFUNCTION("""COMPUTED_VALUE"""),"Stehberg Landsberger Rubén Federico")</f>
        <v>Stehberg Landsberger Rubén Federico</v>
      </c>
      <c r="J322" s="10">
        <f>IFERROR(__xludf.DUMMYFUNCTION("""COMPUTED_VALUE"""),28095.0)</f>
        <v>28095</v>
      </c>
      <c r="K322" s="10">
        <f>IFERROR(__xludf.DUMMYFUNCTION("""COMPUTED_VALUE"""),18318.0)</f>
        <v>18318</v>
      </c>
      <c r="L322" s="1">
        <f>IFERROR(__xludf.DUMMYFUNCTION("""COMPUTED_VALUE"""),73.0)</f>
        <v>73</v>
      </c>
      <c r="M322" s="1" t="str">
        <f>IFERROR(__xludf.DUMMYFUNCTION("""COMPUTED_VALUE"""),"0005 Divorciado")</f>
        <v>0005 Divorciado</v>
      </c>
      <c r="N322" s="1"/>
      <c r="O322" s="10">
        <f>IFERROR(__xludf.DUMMYFUNCTION("""COMPUTED_VALUE"""),33909.0)</f>
        <v>33909</v>
      </c>
      <c r="P322" s="10">
        <f>IFERROR(__xludf.DUMMYFUNCTION("""COMPUTED_VALUE"""),34577.0)</f>
        <v>34577</v>
      </c>
      <c r="Q322" s="1" t="str">
        <f>IFERROR(__xludf.DUMMYFUNCTION("""COMPUTED_VALUE"""),"P Propiedad")</f>
        <v>P Propiedad</v>
      </c>
      <c r="R322" s="1" t="str">
        <f>IFERROR(__xludf.DUMMYFUNCTION("""COMPUTED_VALUE"""),"A Académico")</f>
        <v>A Académico</v>
      </c>
      <c r="S322" s="9" t="str">
        <f>IFERROR(__xludf.DUMMYFUNCTION("""COMPUTED_VALUE"""),"58905976")</f>
        <v>58905976</v>
      </c>
      <c r="T322" s="1" t="str">
        <f>IFERROR(__xludf.DUMMYFUNCTION("""COMPUTED_VALUE"""),"0058905976")</f>
        <v>0058905976</v>
      </c>
      <c r="U322" s="1">
        <f>IFERROR(__xludf.DUMMYFUNCTION("""COMPUTED_VALUE"""),6.0)</f>
        <v>6</v>
      </c>
      <c r="V322" s="1"/>
      <c r="W322" s="1"/>
      <c r="X322" s="1"/>
      <c r="Y322" s="1"/>
      <c r="Z322" s="1"/>
    </row>
    <row r="323">
      <c r="A323" s="1" t="str">
        <f>IFERROR(__xludf.DUMMYFUNCTION("""COMPUTED_VALUE"""),"12090701 Departamento de Psicología")</f>
        <v>12090701 Departamento de Psicología</v>
      </c>
      <c r="B323" s="1" t="str">
        <f>IFERROR(__xludf.DUMMYFUNCTION("""COMPUTED_VALUE"""),"A3A001 Académico Prof. Asistente")</f>
        <v>A3A001 Académico Prof. Asistente</v>
      </c>
      <c r="C323" s="1" t="str">
        <f>IFERROR(__xludf.DUMMYFUNCTION("""COMPUTED_VALUE"""),"Prof. Asistente - Categ. Academica Ord.")</f>
        <v>Prof. Asistente - Categ. Academica Ord.</v>
      </c>
      <c r="D323" s="1" t="str">
        <f>IFERROR(__xludf.DUMMYFUNCTION("""COMPUTED_VALUE"""),"A3A Prof. Asistente - Categ. Academica Ord.")</f>
        <v>A3A Prof. Asistente - Categ. Academica Ord.</v>
      </c>
      <c r="E323" s="1" t="str">
        <f>IFERROR(__xludf.DUMMYFUNCTION("""COMPUTED_VALUE"""),"Masculino")</f>
        <v>Masculino</v>
      </c>
      <c r="F323" s="1" t="str">
        <f>IFERROR(__xludf.DUMMYFUNCTION("""COMPUTED_VALUE"""),"Steil")</f>
        <v>Steil</v>
      </c>
      <c r="G323" s="1" t="str">
        <f>IFERROR(__xludf.DUMMYFUNCTION("""COMPUTED_VALUE"""),"Velozo")</f>
        <v>Velozo</v>
      </c>
      <c r="H323" s="1" t="str">
        <f>IFERROR(__xludf.DUMMYFUNCTION("""COMPUTED_VALUE"""),"Willy Walter")</f>
        <v>Willy Walter</v>
      </c>
      <c r="I323" s="1" t="str">
        <f>IFERROR(__xludf.DUMMYFUNCTION("""COMPUTED_VALUE"""),"Steil Velozo Willy Walter")</f>
        <v>Steil Velozo Willy Walter</v>
      </c>
      <c r="J323" s="10">
        <f>IFERROR(__xludf.DUMMYFUNCTION("""COMPUTED_VALUE"""),31533.0)</f>
        <v>31533</v>
      </c>
      <c r="K323" s="10">
        <f>IFERROR(__xludf.DUMMYFUNCTION("""COMPUTED_VALUE"""),20046.0)</f>
        <v>20046</v>
      </c>
      <c r="L323" s="1">
        <f>IFERROR(__xludf.DUMMYFUNCTION("""COMPUTED_VALUE"""),69.0)</f>
        <v>69</v>
      </c>
      <c r="M323" s="1" t="str">
        <f>IFERROR(__xludf.DUMMYFUNCTION("""COMPUTED_VALUE"""),"0001 Casado")</f>
        <v>0001 Casado</v>
      </c>
      <c r="N323" s="1"/>
      <c r="O323" s="10">
        <f>IFERROR(__xludf.DUMMYFUNCTION("""COMPUTED_VALUE"""),36770.0)</f>
        <v>36770</v>
      </c>
      <c r="P323" s="10">
        <f>IFERROR(__xludf.DUMMYFUNCTION("""COMPUTED_VALUE"""),37978.0)</f>
        <v>37978</v>
      </c>
      <c r="Q323" s="1" t="str">
        <f>IFERROR(__xludf.DUMMYFUNCTION("""COMPUTED_VALUE"""),"P Propiedad")</f>
        <v>P Propiedad</v>
      </c>
      <c r="R323" s="1" t="str">
        <f>IFERROR(__xludf.DUMMYFUNCTION("""COMPUTED_VALUE"""),"A Académico")</f>
        <v>A Académico</v>
      </c>
      <c r="S323" s="9" t="str">
        <f>IFERROR(__xludf.DUMMYFUNCTION("""COMPUTED_VALUE"""),"63742376")</f>
        <v>63742376</v>
      </c>
      <c r="T323" s="1" t="str">
        <f>IFERROR(__xludf.DUMMYFUNCTION("""COMPUTED_VALUE"""),"0063742376")</f>
        <v>0063742376</v>
      </c>
      <c r="U323" s="1">
        <f>IFERROR(__xludf.DUMMYFUNCTION("""COMPUTED_VALUE"""),8.0)</f>
        <v>8</v>
      </c>
      <c r="V323" s="1" t="str">
        <f>IFERROR(__xludf.DUMMYFUNCTION("""COMPUTED_VALUE"""),"P0501 Con Titulo Profesional")</f>
        <v>P0501 Con Titulo Profesional</v>
      </c>
      <c r="W323" s="1">
        <f>IFERROR(__xludf.DUMMYFUNCTION("""COMPUTED_VALUE"""),29217.0)</f>
        <v>29217</v>
      </c>
      <c r="X323" s="1" t="str">
        <f>IFERROR(__xludf.DUMMYFUNCTION("""COMPUTED_VALUE"""),"Universidad De Chile")</f>
        <v>Universidad De Chile</v>
      </c>
      <c r="Y323" s="1" t="str">
        <f>IFERROR(__xludf.DUMMYFUNCTION("""COMPUTED_VALUE"""),"CHILE")</f>
        <v>CHILE</v>
      </c>
      <c r="Z323" s="1"/>
    </row>
    <row r="324">
      <c r="A324" s="1" t="str">
        <f>IFERROR(__xludf.DUMMYFUNCTION("""COMPUTED_VALUE"""),"12090501 Departamento de Investigaciónes Mediáticas y de la Comunicación")</f>
        <v>12090501 Departamento de Investigaciónes Mediáticas y de la Comunicación</v>
      </c>
      <c r="B324" s="1" t="str">
        <f>IFERROR(__xludf.DUMMYFUNCTION("""COMPUTED_VALUE"""),"A3A001 Académico Prof. Asistente")</f>
        <v>A3A001 Académico Prof. Asistente</v>
      </c>
      <c r="C324" s="1" t="str">
        <f>IFERROR(__xludf.DUMMYFUNCTION("""COMPUTED_VALUE"""),"Prof. Asistente - Categ. Academica Ord.")</f>
        <v>Prof. Asistente - Categ. Academica Ord.</v>
      </c>
      <c r="D324" s="1" t="str">
        <f>IFERROR(__xludf.DUMMYFUNCTION("""COMPUTED_VALUE"""),"A3A Prof. Asistente - Categ. Academica Ord.")</f>
        <v>A3A Prof. Asistente - Categ. Academica Ord.</v>
      </c>
      <c r="E324" s="1" t="str">
        <f>IFERROR(__xludf.DUMMYFUNCTION("""COMPUTED_VALUE"""),"Masculino")</f>
        <v>Masculino</v>
      </c>
      <c r="F324" s="1" t="str">
        <f>IFERROR(__xludf.DUMMYFUNCTION("""COMPUTED_VALUE"""),"Sunkel")</f>
        <v>Sunkel</v>
      </c>
      <c r="G324" s="1" t="str">
        <f>IFERROR(__xludf.DUMMYFUNCTION("""COMPUTED_VALUE"""),"Cariola")</f>
        <v>Cariola</v>
      </c>
      <c r="H324" s="1" t="str">
        <f>IFERROR(__xludf.DUMMYFUNCTION("""COMPUTED_VALUE"""),"Juan Guillermo")</f>
        <v>Juan Guillermo</v>
      </c>
      <c r="I324" s="1" t="str">
        <f>IFERROR(__xludf.DUMMYFUNCTION("""COMPUTED_VALUE"""),"Sunkel Cariola Juan Guillermo")</f>
        <v>Sunkel Cariola Juan Guillermo</v>
      </c>
      <c r="J324" s="10">
        <f>IFERROR(__xludf.DUMMYFUNCTION("""COMPUTED_VALUE"""),36465.0)</f>
        <v>36465</v>
      </c>
      <c r="K324" s="10">
        <f>IFERROR(__xludf.DUMMYFUNCTION("""COMPUTED_VALUE"""),20907.0)</f>
        <v>20907</v>
      </c>
      <c r="L324" s="1">
        <f>IFERROR(__xludf.DUMMYFUNCTION("""COMPUTED_VALUE"""),66.0)</f>
        <v>66</v>
      </c>
      <c r="M324" s="1" t="str">
        <f>IFERROR(__xludf.DUMMYFUNCTION("""COMPUTED_VALUE"""),"0001 Casado")</f>
        <v>0001 Casado</v>
      </c>
      <c r="N324" s="1"/>
      <c r="O324" s="10">
        <f>IFERROR(__xludf.DUMMYFUNCTION("""COMPUTED_VALUE"""),37803.0)</f>
        <v>37803</v>
      </c>
      <c r="P324" s="10">
        <f>IFERROR(__xludf.DUMMYFUNCTION("""COMPUTED_VALUE"""),37833.0)</f>
        <v>37833</v>
      </c>
      <c r="Q324" s="1" t="str">
        <f>IFERROR(__xludf.DUMMYFUNCTION("""COMPUTED_VALUE"""),"C Contrata")</f>
        <v>C Contrata</v>
      </c>
      <c r="R324" s="1" t="str">
        <f>IFERROR(__xludf.DUMMYFUNCTION("""COMPUTED_VALUE"""),"A Académico")</f>
        <v>A Académico</v>
      </c>
      <c r="S324" s="9" t="str">
        <f>IFERROR(__xludf.DUMMYFUNCTION("""COMPUTED_VALUE"""),"73203597")</f>
        <v>73203597</v>
      </c>
      <c r="T324" s="1" t="str">
        <f>IFERROR(__xludf.DUMMYFUNCTION("""COMPUTED_VALUE"""),"0073203597")</f>
        <v>0073203597</v>
      </c>
      <c r="U324" s="1">
        <f>IFERROR(__xludf.DUMMYFUNCTION("""COMPUTED_VALUE"""),22.0)</f>
        <v>22</v>
      </c>
      <c r="V324" s="1" t="str">
        <f>IFERROR(__xludf.DUMMYFUNCTION("""COMPUTED_VALUE"""),"P0900 Doctor")</f>
        <v>P0900 Doctor</v>
      </c>
      <c r="W324" s="1">
        <f>IFERROR(__xludf.DUMMYFUNCTION("""COMPUTED_VALUE"""),29951.0)</f>
        <v>29951</v>
      </c>
      <c r="X324" s="1" t="str">
        <f>IFERROR(__xludf.DUMMYFUNCTION("""COMPUTED_VALUE"""),"Universidad De Birmingham")</f>
        <v>Universidad De Birmingham</v>
      </c>
      <c r="Y324" s="1" t="str">
        <f>IFERROR(__xludf.DUMMYFUNCTION("""COMPUTED_VALUE"""),"INGLATERRA")</f>
        <v>INGLATERRA</v>
      </c>
      <c r="Z324" s="1" t="str">
        <f>IFERROR(__xludf.DUMMYFUNCTION("""COMPUTED_VALUE"""),"T5074 Periodista")</f>
        <v>T5074 Periodista</v>
      </c>
    </row>
    <row r="325">
      <c r="A325" s="1" t="str">
        <f>IFERROR(__xludf.DUMMYFUNCTION("""COMPUTED_VALUE"""),"12090118 Dpto. de  Psicología (funcionamiento)")</f>
        <v>12090118 Dpto. de  Psicología (funcionamiento)</v>
      </c>
      <c r="B325" s="1" t="str">
        <f>IFERROR(__xludf.DUMMYFUNCTION("""COMPUTED_VALUE"""),"A4A001 ACADEMICO  INSTRUCTOR")</f>
        <v>A4A001 ACADEMICO  INSTRUCTOR</v>
      </c>
      <c r="C325" s="1" t="str">
        <f>IFERROR(__xludf.DUMMYFUNCTION("""COMPUTED_VALUE"""),"Instructor")</f>
        <v>Instructor</v>
      </c>
      <c r="D325" s="1" t="str">
        <f>IFERROR(__xludf.DUMMYFUNCTION("""COMPUTED_VALUE"""),"A4A Instructor")</f>
        <v>A4A Instructor</v>
      </c>
      <c r="E325" s="1" t="str">
        <f>IFERROR(__xludf.DUMMYFUNCTION("""COMPUTED_VALUE"""),"Femenino")</f>
        <v>Femenino</v>
      </c>
      <c r="F325" s="1" t="str">
        <f>IFERROR(__xludf.DUMMYFUNCTION("""COMPUTED_VALUE"""),"Tapia")</f>
        <v>Tapia</v>
      </c>
      <c r="G325" s="1" t="str">
        <f>IFERROR(__xludf.DUMMYFUNCTION("""COMPUTED_VALUE"""),"Donoso")</f>
        <v>Donoso</v>
      </c>
      <c r="H325" s="1" t="str">
        <f>IFERROR(__xludf.DUMMYFUNCTION("""COMPUTED_VALUE"""),"Silvia Carolina")</f>
        <v>Silvia Carolina</v>
      </c>
      <c r="I325" s="1" t="str">
        <f>IFERROR(__xludf.DUMMYFUNCTION("""COMPUTED_VALUE"""),"Tapia Donoso Silvia Carolina")</f>
        <v>Tapia Donoso Silvia Carolina</v>
      </c>
      <c r="J325" s="10">
        <f>IFERROR(__xludf.DUMMYFUNCTION("""COMPUTED_VALUE"""),39356.0)</f>
        <v>39356</v>
      </c>
      <c r="K325" s="10">
        <f>IFERROR(__xludf.DUMMYFUNCTION("""COMPUTED_VALUE"""),28334.0)</f>
        <v>28334</v>
      </c>
      <c r="L325" s="1">
        <f>IFERROR(__xludf.DUMMYFUNCTION("""COMPUTED_VALUE"""),46.0)</f>
        <v>46</v>
      </c>
      <c r="M325" s="1" t="str">
        <f>IFERROR(__xludf.DUMMYFUNCTION("""COMPUTED_VALUE"""),"0001 Casado")</f>
        <v>0001 Casado</v>
      </c>
      <c r="N325" s="1"/>
      <c r="O325" s="10">
        <f>IFERROR(__xludf.DUMMYFUNCTION("""COMPUTED_VALUE"""),42736.0)</f>
        <v>42736</v>
      </c>
      <c r="P325" s="10">
        <f>IFERROR(__xludf.DUMMYFUNCTION("""COMPUTED_VALUE"""),42855.0)</f>
        <v>42855</v>
      </c>
      <c r="Q325" s="1" t="str">
        <f>IFERROR(__xludf.DUMMYFUNCTION("""COMPUTED_VALUE"""),"C Contrata")</f>
        <v>C Contrata</v>
      </c>
      <c r="R325" s="1" t="str">
        <f>IFERROR(__xludf.DUMMYFUNCTION("""COMPUTED_VALUE"""),"A Académico")</f>
        <v>A Académico</v>
      </c>
      <c r="S325" s="9" t="str">
        <f>IFERROR(__xludf.DUMMYFUNCTION("""COMPUTED_VALUE"""),"132725195")</f>
        <v>132725195</v>
      </c>
      <c r="T325" s="1" t="str">
        <f>IFERROR(__xludf.DUMMYFUNCTION("""COMPUTED_VALUE"""),"0132725195")</f>
        <v>0132725195</v>
      </c>
      <c r="U325" s="1">
        <f>IFERROR(__xludf.DUMMYFUNCTION("""COMPUTED_VALUE"""),2.0)</f>
        <v>2</v>
      </c>
      <c r="V325" s="1" t="str">
        <f>IFERROR(__xludf.DUMMYFUNCTION("""COMPUTED_VALUE"""),"P0401 Licenciado")</f>
        <v>P0401 Licenciado</v>
      </c>
      <c r="W325" s="1">
        <f>IFERROR(__xludf.DUMMYFUNCTION("""COMPUTED_VALUE"""),39083.0)</f>
        <v>39083</v>
      </c>
      <c r="X325" s="1" t="str">
        <f>IFERROR(__xludf.DUMMYFUNCTION("""COMPUTED_VALUE"""),"Universidad De Chile")</f>
        <v>Universidad De Chile</v>
      </c>
      <c r="Y325" s="1" t="str">
        <f>IFERROR(__xludf.DUMMYFUNCTION("""COMPUTED_VALUE"""),"CHILE")</f>
        <v>CHILE</v>
      </c>
      <c r="Z325" s="1" t="str">
        <f>IFERROR(__xludf.DUMMYFUNCTION("""COMPUTED_VALUE"""),"T5124 Psicologo")</f>
        <v>T5124 Psicologo</v>
      </c>
    </row>
    <row r="326">
      <c r="A326" s="1" t="str">
        <f>IFERROR(__xludf.DUMMYFUNCTION("""COMPUTED_VALUE"""),"12090301 Departamento de Antropología")</f>
        <v>12090301 Departamento de Antropología</v>
      </c>
      <c r="B326" s="1" t="str">
        <f>IFERROR(__xludf.DUMMYFUNCTION("""COMPUTED_VALUE"""),"A3A001 Académico Prof. Asistente")</f>
        <v>A3A001 Académico Prof. Asistente</v>
      </c>
      <c r="C326" s="1" t="str">
        <f>IFERROR(__xludf.DUMMYFUNCTION("""COMPUTED_VALUE"""),"Prof. Asistente - Categ. Academica Ord.")</f>
        <v>Prof. Asistente - Categ. Academica Ord.</v>
      </c>
      <c r="D326" s="1" t="str">
        <f>IFERROR(__xludf.DUMMYFUNCTION("""COMPUTED_VALUE"""),"A3A Prof. Asistente - Categ. Academica Ord.")</f>
        <v>A3A Prof. Asistente - Categ. Academica Ord.</v>
      </c>
      <c r="E326" s="1" t="str">
        <f>IFERROR(__xludf.DUMMYFUNCTION("""COMPUTED_VALUE"""),"Masculino")</f>
        <v>Masculino</v>
      </c>
      <c r="F326" s="1" t="str">
        <f>IFERROR(__xludf.DUMMYFUNCTION("""COMPUTED_VALUE"""),"Téllez")</f>
        <v>Téllez</v>
      </c>
      <c r="G326" s="1" t="str">
        <f>IFERROR(__xludf.DUMMYFUNCTION("""COMPUTED_VALUE"""),"Lugaro")</f>
        <v>Lugaro</v>
      </c>
      <c r="H326" s="1" t="str">
        <f>IFERROR(__xludf.DUMMYFUNCTION("""COMPUTED_VALUE"""),"Eduardo Raimundo")</f>
        <v>Eduardo Raimundo</v>
      </c>
      <c r="I326" s="1" t="str">
        <f>IFERROR(__xludf.DUMMYFUNCTION("""COMPUTED_VALUE"""),"Téllez Lugaro Eduardo Raimundo")</f>
        <v>Téllez Lugaro Eduardo Raimundo</v>
      </c>
      <c r="J326" s="10">
        <f>IFERROR(__xludf.DUMMYFUNCTION("""COMPUTED_VALUE"""),34425.0)</f>
        <v>34425</v>
      </c>
      <c r="K326" s="10">
        <f>IFERROR(__xludf.DUMMYFUNCTION("""COMPUTED_VALUE"""),19810.0)</f>
        <v>19810</v>
      </c>
      <c r="L326" s="1">
        <f>IFERROR(__xludf.DUMMYFUNCTION("""COMPUTED_VALUE"""),69.0)</f>
        <v>69</v>
      </c>
      <c r="M326" s="1" t="str">
        <f>IFERROR(__xludf.DUMMYFUNCTION("""COMPUTED_VALUE"""),"0001 Casado")</f>
        <v>0001 Casado</v>
      </c>
      <c r="N326" s="1"/>
      <c r="O326" s="10">
        <f>IFERROR(__xludf.DUMMYFUNCTION("""COMPUTED_VALUE"""),38353.0)</f>
        <v>38353</v>
      </c>
      <c r="P326" s="10">
        <f>IFERROR(__xludf.DUMMYFUNCTION("""COMPUTED_VALUE"""),38472.0)</f>
        <v>38472</v>
      </c>
      <c r="Q326" s="1" t="str">
        <f>IFERROR(__xludf.DUMMYFUNCTION("""COMPUTED_VALUE"""),"C Contrata")</f>
        <v>C Contrata</v>
      </c>
      <c r="R326" s="1" t="str">
        <f>IFERROR(__xludf.DUMMYFUNCTION("""COMPUTED_VALUE"""),"A Académico")</f>
        <v>A Académico</v>
      </c>
      <c r="S326" s="9" t="str">
        <f>IFERROR(__xludf.DUMMYFUNCTION("""COMPUTED_VALUE"""),"73590884")</f>
        <v>73590884</v>
      </c>
      <c r="T326" s="1" t="str">
        <f>IFERROR(__xludf.DUMMYFUNCTION("""COMPUTED_VALUE"""),"0073590884")</f>
        <v>0073590884</v>
      </c>
      <c r="U326" s="1">
        <f>IFERROR(__xludf.DUMMYFUNCTION("""COMPUTED_VALUE"""),6.0)</f>
        <v>6</v>
      </c>
      <c r="V326" s="1" t="str">
        <f>IFERROR(__xludf.DUMMYFUNCTION("""COMPUTED_VALUE"""),"P0900 Doctor")</f>
        <v>P0900 Doctor</v>
      </c>
      <c r="W326" s="1">
        <f>IFERROR(__xludf.DUMMYFUNCTION("""COMPUTED_VALUE"""),40039.0)</f>
        <v>40039</v>
      </c>
      <c r="X326" s="1" t="str">
        <f>IFERROR(__xludf.DUMMYFUNCTION("""COMPUTED_VALUE"""),"Universidad De Chile")</f>
        <v>Universidad De Chile</v>
      </c>
      <c r="Y326" s="1" t="str">
        <f>IFERROR(__xludf.DUMMYFUNCTION("""COMPUTED_VALUE"""),"CHILE")</f>
        <v>CHILE</v>
      </c>
      <c r="Z326" s="1" t="str">
        <f>IFERROR(__xludf.DUMMYFUNCTION("""COMPUTED_VALUE"""),"T5103 Prof.De Hist. Y Geogr.Y Educ Civica")</f>
        <v>T5103 Prof.De Hist. Y Geogr.Y Educ Civica</v>
      </c>
    </row>
    <row r="327" hidden="1">
      <c r="A327" s="1" t="str">
        <f>IFERROR(__xludf.DUMMYFUNCTION("""COMPUTED_VALUE"""),"12090301 Departamento de Antropología")</f>
        <v>12090301 Departamento de Antropología</v>
      </c>
      <c r="B327" s="1" t="str">
        <f>IFERROR(__xludf.DUMMYFUNCTION("""COMPUTED_VALUE"""),"A1A001 Académico Prof. Titular")</f>
        <v>A1A001 Académico Prof. Titular</v>
      </c>
      <c r="C327" s="1" t="str">
        <f>IFERROR(__xludf.DUMMYFUNCTION("""COMPUTED_VALUE"""),"Prof.Titular - Categ. Academica Ord.")</f>
        <v>Prof.Titular - Categ. Academica Ord.</v>
      </c>
      <c r="D327" s="1" t="str">
        <f>IFERROR(__xludf.DUMMYFUNCTION("""COMPUTED_VALUE"""),"A1A Prof.Titular - Categ. Academica Ord.")</f>
        <v>A1A Prof.Titular - Categ. Academica Ord.</v>
      </c>
      <c r="E327" s="1" t="str">
        <f>IFERROR(__xludf.DUMMYFUNCTION("""COMPUTED_VALUE"""),"Masculino")</f>
        <v>Masculino</v>
      </c>
      <c r="F327" s="1" t="str">
        <f>IFERROR(__xludf.DUMMYFUNCTION("""COMPUTED_VALUE"""),"Thomas")</f>
        <v>Thomas</v>
      </c>
      <c r="G327" s="1" t="str">
        <f>IFERROR(__xludf.DUMMYFUNCTION("""COMPUTED_VALUE"""),"Winter")</f>
        <v>Winter</v>
      </c>
      <c r="H327" s="1" t="str">
        <f>IFERROR(__xludf.DUMMYFUNCTION("""COMPUTED_VALUE"""),"Carlos María")</f>
        <v>Carlos María</v>
      </c>
      <c r="I327" s="1" t="str">
        <f>IFERROR(__xludf.DUMMYFUNCTION("""COMPUTED_VALUE"""),"Thomas Winter Carlos María")</f>
        <v>Thomas Winter Carlos María</v>
      </c>
      <c r="J327" s="10">
        <f>IFERROR(__xludf.DUMMYFUNCTION("""COMPUTED_VALUE"""),25204.0)</f>
        <v>25204</v>
      </c>
      <c r="K327" s="10">
        <f>IFERROR(__xludf.DUMMYFUNCTION("""COMPUTED_VALUE"""),12673.0)</f>
        <v>12673</v>
      </c>
      <c r="L327" s="1">
        <f>IFERROR(__xludf.DUMMYFUNCTION("""COMPUTED_VALUE"""),89.0)</f>
        <v>89</v>
      </c>
      <c r="M327" s="1" t="str">
        <f>IFERROR(__xludf.DUMMYFUNCTION("""COMPUTED_VALUE"""),"0001 Casado")</f>
        <v>0001 Casado</v>
      </c>
      <c r="N327" s="1" t="str">
        <f>IFERROR(__xludf.DUMMYFUNCTION("""COMPUTED_VALUE"""),"N0040 Profesional Superior")</f>
        <v>N0040 Profesional Superior</v>
      </c>
      <c r="O327" s="10">
        <f>IFERROR(__xludf.DUMMYFUNCTION("""COMPUTED_VALUE"""),35551.0)</f>
        <v>35551</v>
      </c>
      <c r="P327" s="10">
        <f>IFERROR(__xludf.DUMMYFUNCTION("""COMPUTED_VALUE"""),38664.0)</f>
        <v>38664</v>
      </c>
      <c r="Q327" s="1" t="str">
        <f>IFERROR(__xludf.DUMMYFUNCTION("""COMPUTED_VALUE"""),"P Propiedad")</f>
        <v>P Propiedad</v>
      </c>
      <c r="R327" s="1" t="str">
        <f>IFERROR(__xludf.DUMMYFUNCTION("""COMPUTED_VALUE"""),"A Académico")</f>
        <v>A Académico</v>
      </c>
      <c r="S327" s="9" t="str">
        <f>IFERROR(__xludf.DUMMYFUNCTION("""COMPUTED_VALUE"""),"38041541")</f>
        <v>38041541</v>
      </c>
      <c r="T327" s="1" t="str">
        <f>IFERROR(__xludf.DUMMYFUNCTION("""COMPUTED_VALUE"""),"0038041541")</f>
        <v>0038041541</v>
      </c>
      <c r="U327" s="1">
        <f>IFERROR(__xludf.DUMMYFUNCTION("""COMPUTED_VALUE"""),44.0)</f>
        <v>44</v>
      </c>
      <c r="V327" s="1" t="str">
        <f>IFERROR(__xludf.DUMMYFUNCTION("""COMPUTED_VALUE"""),"P0850 Magister")</f>
        <v>P0850 Magister</v>
      </c>
      <c r="W327" s="1">
        <f>IFERROR(__xludf.DUMMYFUNCTION("""COMPUTED_VALUE"""),30317.0)</f>
        <v>30317</v>
      </c>
      <c r="X327" s="1" t="str">
        <f>IFERROR(__xludf.DUMMYFUNCTION("""COMPUTED_VALUE"""),"Universidad De Chile")</f>
        <v>Universidad De Chile</v>
      </c>
      <c r="Y327" s="1" t="str">
        <f>IFERROR(__xludf.DUMMYFUNCTION("""COMPUTED_VALUE"""),"CHILE")</f>
        <v>CHILE</v>
      </c>
      <c r="Z327" s="1" t="str">
        <f>IFERROR(__xludf.DUMMYFUNCTION("""COMPUTED_VALUE"""),"T5062 Licenciado en Filosofia")</f>
        <v>T5062 Licenciado en Filosofia</v>
      </c>
    </row>
    <row r="328">
      <c r="A328" s="1" t="str">
        <f>IFERROR(__xludf.DUMMYFUNCTION("""COMPUTED_VALUE"""),"12090701 Departamento de Psicología")</f>
        <v>12090701 Departamento de Psicología</v>
      </c>
      <c r="B328" s="1" t="str">
        <f>IFERROR(__xludf.DUMMYFUNCTION("""COMPUTED_VALUE"""),"A3A001 Académico Prof. Asistente")</f>
        <v>A3A001 Académico Prof. Asistente</v>
      </c>
      <c r="C328" s="1" t="str">
        <f>IFERROR(__xludf.DUMMYFUNCTION("""COMPUTED_VALUE"""),"Prof. Asistente - Categ. Academica Ord.")</f>
        <v>Prof. Asistente - Categ. Academica Ord.</v>
      </c>
      <c r="D328" s="1" t="str">
        <f>IFERROR(__xludf.DUMMYFUNCTION("""COMPUTED_VALUE"""),"A3A Prof. Asistente - Categ. Academica Ord.")</f>
        <v>A3A Prof. Asistente - Categ. Academica Ord.</v>
      </c>
      <c r="E328" s="1" t="str">
        <f>IFERROR(__xludf.DUMMYFUNCTION("""COMPUTED_VALUE"""),"Femenino")</f>
        <v>Femenino</v>
      </c>
      <c r="F328" s="1" t="str">
        <f>IFERROR(__xludf.DUMMYFUNCTION("""COMPUTED_VALUE"""),"Titelman")</f>
        <v>Titelman</v>
      </c>
      <c r="G328" s="1" t="str">
        <f>IFERROR(__xludf.DUMMYFUNCTION("""COMPUTED_VALUE"""),"Kardonsky")</f>
        <v>Kardonsky</v>
      </c>
      <c r="H328" s="1" t="str">
        <f>IFERROR(__xludf.DUMMYFUNCTION("""COMPUTED_VALUE"""),"Sandra")</f>
        <v>Sandra</v>
      </c>
      <c r="I328" s="1" t="str">
        <f>IFERROR(__xludf.DUMMYFUNCTION("""COMPUTED_VALUE"""),"Titelman Kardonsky Sandra")</f>
        <v>Titelman Kardonsky Sandra</v>
      </c>
      <c r="J328" s="10">
        <f>IFERROR(__xludf.DUMMYFUNCTION("""COMPUTED_VALUE"""),36465.0)</f>
        <v>36465</v>
      </c>
      <c r="K328" s="10">
        <f>IFERROR(__xludf.DUMMYFUNCTION("""COMPUTED_VALUE"""),22231.0)</f>
        <v>22231</v>
      </c>
      <c r="L328" s="1">
        <f>IFERROR(__xludf.DUMMYFUNCTION("""COMPUTED_VALUE"""),63.0)</f>
        <v>63</v>
      </c>
      <c r="M328" s="1" t="str">
        <f>IFERROR(__xludf.DUMMYFUNCTION("""COMPUTED_VALUE"""),"0005 Divorciado")</f>
        <v>0005 Divorciado</v>
      </c>
      <c r="N328" s="1"/>
      <c r="O328" s="10">
        <f>IFERROR(__xludf.DUMMYFUNCTION("""COMPUTED_VALUE"""),38657.0)</f>
        <v>38657</v>
      </c>
      <c r="P328" s="10">
        <f>IFERROR(__xludf.DUMMYFUNCTION("""COMPUTED_VALUE"""),38717.0)</f>
        <v>38717</v>
      </c>
      <c r="Q328" s="1" t="str">
        <f>IFERROR(__xludf.DUMMYFUNCTION("""COMPUTED_VALUE"""),"C Contrata")</f>
        <v>C Contrata</v>
      </c>
      <c r="R328" s="1" t="str">
        <f>IFERROR(__xludf.DUMMYFUNCTION("""COMPUTED_VALUE"""),"A Académico")</f>
        <v>A Académico</v>
      </c>
      <c r="S328" s="9" t="str">
        <f>IFERROR(__xludf.DUMMYFUNCTION("""COMPUTED_VALUE"""),"68906571")</f>
        <v>68906571</v>
      </c>
      <c r="T328" s="1" t="str">
        <f>IFERROR(__xludf.DUMMYFUNCTION("""COMPUTED_VALUE"""),"0068906571")</f>
        <v>0068906571</v>
      </c>
      <c r="U328" s="1">
        <f>IFERROR(__xludf.DUMMYFUNCTION("""COMPUTED_VALUE"""),6.0)</f>
        <v>6</v>
      </c>
      <c r="V328" s="1" t="str">
        <f>IFERROR(__xludf.DUMMYFUNCTION("""COMPUTED_VALUE"""),"P0850 Magister")</f>
        <v>P0850 Magister</v>
      </c>
      <c r="W328" s="1">
        <f>IFERROR(__xludf.DUMMYFUNCTION("""COMPUTED_VALUE"""),33969.0)</f>
        <v>33969</v>
      </c>
      <c r="X328" s="1" t="str">
        <f>IFERROR(__xludf.DUMMYFUNCTION("""COMPUTED_VALUE"""),"Universidad Catolica Washington")</f>
        <v>Universidad Catolica Washington</v>
      </c>
      <c r="Y328" s="1" t="str">
        <f>IFERROR(__xludf.DUMMYFUNCTION("""COMPUTED_VALUE"""),"ESTADOS UNIDOS")</f>
        <v>ESTADOS UNIDOS</v>
      </c>
      <c r="Z328" s="1" t="str">
        <f>IFERROR(__xludf.DUMMYFUNCTION("""COMPUTED_VALUE"""),"T5124 Psicologo")</f>
        <v>T5124 Psicologo</v>
      </c>
    </row>
    <row r="329" hidden="1">
      <c r="A329" s="1" t="str">
        <f>IFERROR(__xludf.DUMMYFUNCTION("""COMPUTED_VALUE"""),"12090501 Departamento de Investigaciónes Mediáticas y de la Comunicación")</f>
        <v>12090501 Departamento de Investigaciónes Mediáticas y de la Comunicación</v>
      </c>
      <c r="B329" s="1" t="str">
        <f>IFERROR(__xludf.DUMMYFUNCTION("""COMPUTED_VALUE"""),"A3A001 Académico Prof. Asistente")</f>
        <v>A3A001 Académico Prof. Asistente</v>
      </c>
      <c r="C329" s="1" t="str">
        <f>IFERROR(__xludf.DUMMYFUNCTION("""COMPUTED_VALUE"""),"Prof. Asistente - Categ. Academica Ord.")</f>
        <v>Prof. Asistente - Categ. Academica Ord.</v>
      </c>
      <c r="D329" s="1" t="str">
        <f>IFERROR(__xludf.DUMMYFUNCTION("""COMPUTED_VALUE"""),"A3A Prof. Asistente - Categ. Academica Ord.")</f>
        <v>A3A Prof. Asistente - Categ. Academica Ord.</v>
      </c>
      <c r="E329" s="1" t="str">
        <f>IFERROR(__xludf.DUMMYFUNCTION("""COMPUTED_VALUE"""),"Masculino")</f>
        <v>Masculino</v>
      </c>
      <c r="F329" s="1" t="str">
        <f>IFERROR(__xludf.DUMMYFUNCTION("""COMPUTED_VALUE"""),"Torrales")</f>
        <v>Torrales</v>
      </c>
      <c r="G329" s="1" t="str">
        <f>IFERROR(__xludf.DUMMYFUNCTION("""COMPUTED_VALUE"""),"Aguirre")</f>
        <v>Aguirre</v>
      </c>
      <c r="H329" s="1" t="str">
        <f>IFERROR(__xludf.DUMMYFUNCTION("""COMPUTED_VALUE"""),"Daniel Ildefonso")</f>
        <v>Daniel Ildefonso</v>
      </c>
      <c r="I329" s="1" t="str">
        <f>IFERROR(__xludf.DUMMYFUNCTION("""COMPUTED_VALUE"""),"Torrales Aguirre Daniel Ildefonso")</f>
        <v>Torrales Aguirre Daniel Ildefonso</v>
      </c>
      <c r="J329" s="10">
        <f>IFERROR(__xludf.DUMMYFUNCTION("""COMPUTED_VALUE"""),35004.0)</f>
        <v>35004</v>
      </c>
      <c r="K329" s="10">
        <f>IFERROR(__xludf.DUMMYFUNCTION("""COMPUTED_VALUE"""),19440.0)</f>
        <v>19440</v>
      </c>
      <c r="L329" s="1">
        <f>IFERROR(__xludf.DUMMYFUNCTION("""COMPUTED_VALUE"""),70.0)</f>
        <v>70</v>
      </c>
      <c r="M329" s="1" t="str">
        <f>IFERROR(__xludf.DUMMYFUNCTION("""COMPUTED_VALUE"""),"0002 Soltero")</f>
        <v>0002 Soltero</v>
      </c>
      <c r="N329" s="1"/>
      <c r="O329" s="10">
        <f>IFERROR(__xludf.DUMMYFUNCTION("""COMPUTED_VALUE"""),35431.0)</f>
        <v>35431</v>
      </c>
      <c r="P329" s="10">
        <f>IFERROR(__xludf.DUMMYFUNCTION("""COMPUTED_VALUE"""),35520.0)</f>
        <v>35520</v>
      </c>
      <c r="Q329" s="1" t="str">
        <f>IFERROR(__xludf.DUMMYFUNCTION("""COMPUTED_VALUE"""),"C Contrata")</f>
        <v>C Contrata</v>
      </c>
      <c r="R329" s="1" t="str">
        <f>IFERROR(__xludf.DUMMYFUNCTION("""COMPUTED_VALUE"""),"A Académico")</f>
        <v>A Académico</v>
      </c>
      <c r="S329" s="9" t="str">
        <f>IFERROR(__xludf.DUMMYFUNCTION("""COMPUTED_VALUE"""),"68277418")</f>
        <v>68277418</v>
      </c>
      <c r="T329" s="1" t="str">
        <f>IFERROR(__xludf.DUMMYFUNCTION("""COMPUTED_VALUE"""),"0068277418")</f>
        <v>0068277418</v>
      </c>
      <c r="U329" s="1">
        <f>IFERROR(__xludf.DUMMYFUNCTION("""COMPUTED_VALUE"""),2.0)</f>
        <v>2</v>
      </c>
      <c r="V329" s="1"/>
      <c r="W329" s="1"/>
      <c r="X329" s="1"/>
      <c r="Y329" s="1"/>
      <c r="Z329" s="1"/>
    </row>
    <row r="330" hidden="1">
      <c r="A330" s="1" t="str">
        <f>IFERROR(__xludf.DUMMYFUNCTION("""COMPUTED_VALUE"""),"12090301 Departamento de Antropología")</f>
        <v>12090301 Departamento de Antropología</v>
      </c>
      <c r="B330" s="1" t="str">
        <f>IFERROR(__xludf.DUMMYFUNCTION("""COMPUTED_VALUE"""),"A3A001 Académico Prof. Asistente")</f>
        <v>A3A001 Académico Prof. Asistente</v>
      </c>
      <c r="C330" s="1" t="str">
        <f>IFERROR(__xludf.DUMMYFUNCTION("""COMPUTED_VALUE"""),"Prof. Asistente - Categ. Academica Ord.")</f>
        <v>Prof. Asistente - Categ. Academica Ord.</v>
      </c>
      <c r="D330" s="1" t="str">
        <f>IFERROR(__xludf.DUMMYFUNCTION("""COMPUTED_VALUE"""),"A3A Prof. Asistente - Categ. Academica Ord.")</f>
        <v>A3A Prof. Asistente - Categ. Academica Ord.</v>
      </c>
      <c r="E330" s="1" t="str">
        <f>IFERROR(__xludf.DUMMYFUNCTION("""COMPUTED_VALUE"""),"Masculino")</f>
        <v>Masculino</v>
      </c>
      <c r="F330" s="1" t="str">
        <f>IFERROR(__xludf.DUMMYFUNCTION("""COMPUTED_VALUE"""),"Torres")</f>
        <v>Torres</v>
      </c>
      <c r="G330" s="1" t="str">
        <f>IFERROR(__xludf.DUMMYFUNCTION("""COMPUTED_VALUE"""),"Gutiérrez")</f>
        <v>Gutiérrez</v>
      </c>
      <c r="H330" s="1" t="str">
        <f>IFERROR(__xludf.DUMMYFUNCTION("""COMPUTED_VALUE"""),"Osvaldo Ignacio")</f>
        <v>Osvaldo Ignacio</v>
      </c>
      <c r="I330" s="1" t="str">
        <f>IFERROR(__xludf.DUMMYFUNCTION("""COMPUTED_VALUE"""),"Torres Gutiérrez Osvaldo Ignacio")</f>
        <v>Torres Gutiérrez Osvaldo Ignacio</v>
      </c>
      <c r="J330" s="10">
        <f>IFERROR(__xludf.DUMMYFUNCTION("""COMPUTED_VALUE"""),40483.0)</f>
        <v>40483</v>
      </c>
      <c r="K330" s="10">
        <f>IFERROR(__xludf.DUMMYFUNCTION("""COMPUTED_VALUE"""),19590.0)</f>
        <v>19590</v>
      </c>
      <c r="L330" s="1">
        <f>IFERROR(__xludf.DUMMYFUNCTION("""COMPUTED_VALUE"""),70.0)</f>
        <v>70</v>
      </c>
      <c r="M330" s="1" t="str">
        <f>IFERROR(__xludf.DUMMYFUNCTION("""COMPUTED_VALUE"""),"0001 Casado")</f>
        <v>0001 Casado</v>
      </c>
      <c r="N330" s="1" t="str">
        <f>IFERROR(__xludf.DUMMYFUNCTION("""COMPUTED_VALUE"""),"N0040 Profesional Superior")</f>
        <v>N0040 Profesional Superior</v>
      </c>
      <c r="O330" s="10">
        <f>IFERROR(__xludf.DUMMYFUNCTION("""COMPUTED_VALUE"""),41640.0)</f>
        <v>41640</v>
      </c>
      <c r="P330" s="10">
        <f>IFERROR(__xludf.DUMMYFUNCTION("""COMPUTED_VALUE"""),41882.0)</f>
        <v>41882</v>
      </c>
      <c r="Q330" s="1" t="str">
        <f>IFERROR(__xludf.DUMMYFUNCTION("""COMPUTED_VALUE"""),"C Contrata")</f>
        <v>C Contrata</v>
      </c>
      <c r="R330" s="1" t="str">
        <f>IFERROR(__xludf.DUMMYFUNCTION("""COMPUTED_VALUE"""),"A Académico")</f>
        <v>A Académico</v>
      </c>
      <c r="S330" s="9" t="str">
        <f>IFERROR(__xludf.DUMMYFUNCTION("""COMPUTED_VALUE"""),"63212385")</f>
        <v>63212385</v>
      </c>
      <c r="T330" s="1" t="str">
        <f>IFERROR(__xludf.DUMMYFUNCTION("""COMPUTED_VALUE"""),"0063212385")</f>
        <v>0063212385</v>
      </c>
      <c r="U330" s="1">
        <f>IFERROR(__xludf.DUMMYFUNCTION("""COMPUTED_VALUE"""),12.0)</f>
        <v>12</v>
      </c>
      <c r="V330" s="1" t="str">
        <f>IFERROR(__xludf.DUMMYFUNCTION("""COMPUTED_VALUE"""),"P0900 Doctor")</f>
        <v>P0900 Doctor</v>
      </c>
      <c r="W330" s="1">
        <f>IFERROR(__xludf.DUMMYFUNCTION("""COMPUTED_VALUE"""),40788.0)</f>
        <v>40788</v>
      </c>
      <c r="X330" s="1" t="str">
        <f>IFERROR(__xludf.DUMMYFUNCTION("""COMPUTED_VALUE"""),"Universidad De Chile")</f>
        <v>Universidad De Chile</v>
      </c>
      <c r="Y330" s="1" t="str">
        <f>IFERROR(__xludf.DUMMYFUNCTION("""COMPUTED_VALUE"""),"CHILE")</f>
        <v>CHILE</v>
      </c>
      <c r="Z330" s="1" t="str">
        <f>IFERROR(__xludf.DUMMYFUNCTION("""COMPUTED_VALUE"""),"T5003 Antropologo")</f>
        <v>T5003 Antropologo</v>
      </c>
    </row>
    <row r="331">
      <c r="A331" s="1" t="str">
        <f>IFERROR(__xludf.DUMMYFUNCTION("""COMPUTED_VALUE"""),"12090801 Departamento de Sociología")</f>
        <v>12090801 Departamento de Sociología</v>
      </c>
      <c r="B331" s="1" t="str">
        <f>IFERROR(__xludf.DUMMYFUNCTION("""COMPUTED_VALUE"""),"A3A001 Académico Prof. Asistente")</f>
        <v>A3A001 Académico Prof. Asistente</v>
      </c>
      <c r="C331" s="1" t="str">
        <f>IFERROR(__xludf.DUMMYFUNCTION("""COMPUTED_VALUE"""),"Prof. Asistente - Categ. Academica Ord.")</f>
        <v>Prof. Asistente - Categ. Academica Ord.</v>
      </c>
      <c r="D331" s="1" t="str">
        <f>IFERROR(__xludf.DUMMYFUNCTION("""COMPUTED_VALUE"""),"A3A Prof. Asistente - Categ. Academica Ord.")</f>
        <v>A3A Prof. Asistente - Categ. Academica Ord.</v>
      </c>
      <c r="E331" s="1" t="str">
        <f>IFERROR(__xludf.DUMMYFUNCTION("""COMPUTED_VALUE"""),"Masculino")</f>
        <v>Masculino</v>
      </c>
      <c r="F331" s="1" t="str">
        <f>IFERROR(__xludf.DUMMYFUNCTION("""COMPUTED_VALUE"""),"Torres")</f>
        <v>Torres</v>
      </c>
      <c r="G331" s="1" t="str">
        <f>IFERROR(__xludf.DUMMYFUNCTION("""COMPUTED_VALUE"""),"Rojas")</f>
        <v>Rojas</v>
      </c>
      <c r="H331" s="1" t="str">
        <f>IFERROR(__xludf.DUMMYFUNCTION("""COMPUTED_VALUE"""),"Emilio Rodrigo")</f>
        <v>Emilio Rodrigo</v>
      </c>
      <c r="I331" s="1" t="str">
        <f>IFERROR(__xludf.DUMMYFUNCTION("""COMPUTED_VALUE"""),"Torres Rojas Emilio Rodrigo")</f>
        <v>Torres Rojas Emilio Rodrigo</v>
      </c>
      <c r="J331" s="10">
        <f>IFERROR(__xludf.DUMMYFUNCTION("""COMPUTED_VALUE"""),33725.0)</f>
        <v>33725</v>
      </c>
      <c r="K331" s="10">
        <f>IFERROR(__xludf.DUMMYFUNCTION("""COMPUTED_VALUE"""),23493.0)</f>
        <v>23493</v>
      </c>
      <c r="L331" s="1">
        <f>IFERROR(__xludf.DUMMYFUNCTION("""COMPUTED_VALUE"""),59.0)</f>
        <v>59</v>
      </c>
      <c r="M331" s="1" t="str">
        <f>IFERROR(__xludf.DUMMYFUNCTION("""COMPUTED_VALUE"""),"0005 Divorciado")</f>
        <v>0005 Divorciado</v>
      </c>
      <c r="N331" s="1"/>
      <c r="O331" s="10">
        <f>IFERROR(__xludf.DUMMYFUNCTION("""COMPUTED_VALUE"""),34912.0)</f>
        <v>34912</v>
      </c>
      <c r="P331" s="10">
        <f>IFERROR(__xludf.DUMMYFUNCTION("""COMPUTED_VALUE"""),38664.0)</f>
        <v>38664</v>
      </c>
      <c r="Q331" s="1" t="str">
        <f>IFERROR(__xludf.DUMMYFUNCTION("""COMPUTED_VALUE"""),"P Propiedad")</f>
        <v>P Propiedad</v>
      </c>
      <c r="R331" s="1" t="str">
        <f>IFERROR(__xludf.DUMMYFUNCTION("""COMPUTED_VALUE"""),"A Académico")</f>
        <v>A Académico</v>
      </c>
      <c r="S331" s="9" t="str">
        <f>IFERROR(__xludf.DUMMYFUNCTION("""COMPUTED_VALUE"""),"96154100")</f>
        <v>96154100</v>
      </c>
      <c r="T331" s="1" t="str">
        <f>IFERROR(__xludf.DUMMYFUNCTION("""COMPUTED_VALUE"""),"0096154100")</f>
        <v>0096154100</v>
      </c>
      <c r="U331" s="1">
        <f>IFERROR(__xludf.DUMMYFUNCTION("""COMPUTED_VALUE"""),12.0)</f>
        <v>12</v>
      </c>
      <c r="V331" s="1" t="str">
        <f>IFERROR(__xludf.DUMMYFUNCTION("""COMPUTED_VALUE"""),"P0850 Magister")</f>
        <v>P0850 Magister</v>
      </c>
      <c r="W331" s="1">
        <f>IFERROR(__xludf.DUMMYFUNCTION("""COMPUTED_VALUE"""),35064.0)</f>
        <v>35064</v>
      </c>
      <c r="X331" s="1" t="str">
        <f>IFERROR(__xludf.DUMMYFUNCTION("""COMPUTED_VALUE"""),"Universidad De Chile")</f>
        <v>Universidad De Chile</v>
      </c>
      <c r="Y331" s="1" t="str">
        <f>IFERROR(__xludf.DUMMYFUNCTION("""COMPUTED_VALUE"""),"CHILE")</f>
        <v>CHILE</v>
      </c>
      <c r="Z331" s="1"/>
    </row>
    <row r="332" hidden="1">
      <c r="A332" s="1" t="str">
        <f>IFERROR(__xludf.DUMMYFUNCTION("""COMPUTED_VALUE"""),"12090601 Departamento de Educación")</f>
        <v>12090601 Departamento de Educación</v>
      </c>
      <c r="B332" s="1" t="str">
        <f>IFERROR(__xludf.DUMMYFUNCTION("""COMPUTED_VALUE"""),"A2A001 Académico Prof. Asociado")</f>
        <v>A2A001 Académico Prof. Asociado</v>
      </c>
      <c r="C332" s="1" t="str">
        <f>IFERROR(__xludf.DUMMYFUNCTION("""COMPUTED_VALUE"""),"Prof. Asociado - Categ. Academica Ord.")</f>
        <v>Prof. Asociado - Categ. Academica Ord.</v>
      </c>
      <c r="D332" s="1" t="str">
        <f>IFERROR(__xludf.DUMMYFUNCTION("""COMPUTED_VALUE"""),"A2A Prof. Asociado - Categ. Academica Ord.")</f>
        <v>A2A Prof. Asociado - Categ. Academica Ord.</v>
      </c>
      <c r="E332" s="1" t="str">
        <f>IFERROR(__xludf.DUMMYFUNCTION("""COMPUTED_VALUE"""),"Femenino")</f>
        <v>Femenino</v>
      </c>
      <c r="F332" s="1" t="str">
        <f>IFERROR(__xludf.DUMMYFUNCTION("""COMPUTED_VALUE"""),"Truffello")</f>
        <v>Truffello</v>
      </c>
      <c r="G332" s="1" t="str">
        <f>IFERROR(__xludf.DUMMYFUNCTION("""COMPUTED_VALUE"""),"Camponovo")</f>
        <v>Camponovo</v>
      </c>
      <c r="H332" s="1" t="str">
        <f>IFERROR(__xludf.DUMMYFUNCTION("""COMPUTED_VALUE"""),"Irene Cecilia María")</f>
        <v>Irene Cecilia María</v>
      </c>
      <c r="I332" s="1" t="str">
        <f>IFERROR(__xludf.DUMMYFUNCTION("""COMPUTED_VALUE"""),"Truffello Camponovo Irene Cecilia María")</f>
        <v>Truffello Camponovo Irene Cecilia María</v>
      </c>
      <c r="J332" s="10">
        <f>IFERROR(__xludf.DUMMYFUNCTION("""COMPUTED_VALUE"""),26146.0)</f>
        <v>26146</v>
      </c>
      <c r="K332" s="10">
        <f>IFERROR(__xludf.DUMMYFUNCTION("""COMPUTED_VALUE"""),13765.0)</f>
        <v>13765</v>
      </c>
      <c r="L332" s="1">
        <f>IFERROR(__xludf.DUMMYFUNCTION("""COMPUTED_VALUE"""),86.0)</f>
        <v>86</v>
      </c>
      <c r="M332" s="1" t="str">
        <f>IFERROR(__xludf.DUMMYFUNCTION("""COMPUTED_VALUE"""),"0003 Viudo")</f>
        <v>0003 Viudo</v>
      </c>
      <c r="N332" s="1"/>
      <c r="O332" s="10">
        <f>IFERROR(__xludf.DUMMYFUNCTION("""COMPUTED_VALUE"""),35400.0)</f>
        <v>35400</v>
      </c>
      <c r="P332" s="10">
        <f>IFERROR(__xludf.DUMMYFUNCTION("""COMPUTED_VALUE"""),39141.0)</f>
        <v>39141</v>
      </c>
      <c r="Q332" s="1" t="str">
        <f>IFERROR(__xludf.DUMMYFUNCTION("""COMPUTED_VALUE"""),"P Propiedad")</f>
        <v>P Propiedad</v>
      </c>
      <c r="R332" s="1" t="str">
        <f>IFERROR(__xludf.DUMMYFUNCTION("""COMPUTED_VALUE"""),"A Académico")</f>
        <v>A Académico</v>
      </c>
      <c r="S332" s="9" t="str">
        <f>IFERROR(__xludf.DUMMYFUNCTION("""COMPUTED_VALUE"""),"41011556")</f>
        <v>41011556</v>
      </c>
      <c r="T332" s="1" t="str">
        <f>IFERROR(__xludf.DUMMYFUNCTION("""COMPUTED_VALUE"""),"0041011556")</f>
        <v>0041011556</v>
      </c>
      <c r="U332" s="1">
        <f>IFERROR(__xludf.DUMMYFUNCTION("""COMPUTED_VALUE"""),44.0)</f>
        <v>44</v>
      </c>
      <c r="V332" s="1" t="str">
        <f>IFERROR(__xludf.DUMMYFUNCTION("""COMPUTED_VALUE"""),"P0850 Magister")</f>
        <v>P0850 Magister</v>
      </c>
      <c r="W332" s="1">
        <f>IFERROR(__xludf.DUMMYFUNCTION("""COMPUTED_VALUE"""),32508.0)</f>
        <v>32508</v>
      </c>
      <c r="X332" s="1" t="str">
        <f>IFERROR(__xludf.DUMMYFUNCTION("""COMPUTED_VALUE"""),"Universidad De Chile")</f>
        <v>Universidad De Chile</v>
      </c>
      <c r="Y332" s="1" t="str">
        <f>IFERROR(__xludf.DUMMYFUNCTION("""COMPUTED_VALUE"""),"CHILE")</f>
        <v>CHILE</v>
      </c>
      <c r="Z332" s="1" t="str">
        <f>IFERROR(__xludf.DUMMYFUNCTION("""COMPUTED_VALUE"""),"T5084 Profesor De Estado")</f>
        <v>T5084 Profesor De Estado</v>
      </c>
    </row>
    <row r="333" hidden="1">
      <c r="A333" s="1" t="str">
        <f>IFERROR(__xludf.DUMMYFUNCTION("""COMPUTED_VALUE"""),"12090601 Departamento de Educación")</f>
        <v>12090601 Departamento de Educación</v>
      </c>
      <c r="B333" s="1" t="str">
        <f>IFERROR(__xludf.DUMMYFUNCTION("""COMPUTED_VALUE"""),"A2A001 Académico Prof. Asociado")</f>
        <v>A2A001 Académico Prof. Asociado</v>
      </c>
      <c r="C333" s="1" t="str">
        <f>IFERROR(__xludf.DUMMYFUNCTION("""COMPUTED_VALUE"""),"Prof. Asociado - Categ. Academica Ord.")</f>
        <v>Prof. Asociado - Categ. Academica Ord.</v>
      </c>
      <c r="D333" s="1" t="str">
        <f>IFERROR(__xludf.DUMMYFUNCTION("""COMPUTED_VALUE"""),"A2A Prof. Asociado - Categ. Academica Ord.")</f>
        <v>A2A Prof. Asociado - Categ. Academica Ord.</v>
      </c>
      <c r="E333" s="1" t="str">
        <f>IFERROR(__xludf.DUMMYFUNCTION("""COMPUTED_VALUE"""),"Femenino")</f>
        <v>Femenino</v>
      </c>
      <c r="F333" s="1" t="str">
        <f>IFERROR(__xludf.DUMMYFUNCTION("""COMPUTED_VALUE"""),"Truffello")</f>
        <v>Truffello</v>
      </c>
      <c r="G333" s="1" t="str">
        <f>IFERROR(__xludf.DUMMYFUNCTION("""COMPUTED_VALUE"""),"Camponovo")</f>
        <v>Camponovo</v>
      </c>
      <c r="H333" s="1" t="str">
        <f>IFERROR(__xludf.DUMMYFUNCTION("""COMPUTED_VALUE"""),"Irene Cecilia María")</f>
        <v>Irene Cecilia María</v>
      </c>
      <c r="I333" s="1" t="str">
        <f>IFERROR(__xludf.DUMMYFUNCTION("""COMPUTED_VALUE"""),"Truffello Camponovo Irene Cecilia María")</f>
        <v>Truffello Camponovo Irene Cecilia María</v>
      </c>
      <c r="J333" s="10">
        <f>IFERROR(__xludf.DUMMYFUNCTION("""COMPUTED_VALUE"""),26146.0)</f>
        <v>26146</v>
      </c>
      <c r="K333" s="10">
        <f>IFERROR(__xludf.DUMMYFUNCTION("""COMPUTED_VALUE"""),13765.0)</f>
        <v>13765</v>
      </c>
      <c r="L333" s="1">
        <f>IFERROR(__xludf.DUMMYFUNCTION("""COMPUTED_VALUE"""),86.0)</f>
        <v>86</v>
      </c>
      <c r="M333" s="1" t="str">
        <f>IFERROR(__xludf.DUMMYFUNCTION("""COMPUTED_VALUE"""),"0003 Viudo")</f>
        <v>0003 Viudo</v>
      </c>
      <c r="N333" s="1"/>
      <c r="O333" s="10">
        <f>IFERROR(__xludf.DUMMYFUNCTION("""COMPUTED_VALUE"""),35400.0)</f>
        <v>35400</v>
      </c>
      <c r="P333" s="10">
        <f>IFERROR(__xludf.DUMMYFUNCTION("""COMPUTED_VALUE"""),39141.0)</f>
        <v>39141</v>
      </c>
      <c r="Q333" s="1" t="str">
        <f>IFERROR(__xludf.DUMMYFUNCTION("""COMPUTED_VALUE"""),"P Propiedad")</f>
        <v>P Propiedad</v>
      </c>
      <c r="R333" s="1" t="str">
        <f>IFERROR(__xludf.DUMMYFUNCTION("""COMPUTED_VALUE"""),"A Académico")</f>
        <v>A Académico</v>
      </c>
      <c r="S333" s="9" t="str">
        <f>IFERROR(__xludf.DUMMYFUNCTION("""COMPUTED_VALUE"""),"41011556")</f>
        <v>41011556</v>
      </c>
      <c r="T333" s="1" t="str">
        <f>IFERROR(__xludf.DUMMYFUNCTION("""COMPUTED_VALUE"""),"0041011556")</f>
        <v>0041011556</v>
      </c>
      <c r="U333" s="1">
        <f>IFERROR(__xludf.DUMMYFUNCTION("""COMPUTED_VALUE"""),0.0)</f>
        <v>0</v>
      </c>
      <c r="V333" s="1" t="str">
        <f>IFERROR(__xludf.DUMMYFUNCTION("""COMPUTED_VALUE"""),"P0850 Magister")</f>
        <v>P0850 Magister</v>
      </c>
      <c r="W333" s="1">
        <f>IFERROR(__xludf.DUMMYFUNCTION("""COMPUTED_VALUE"""),32508.0)</f>
        <v>32508</v>
      </c>
      <c r="X333" s="1" t="str">
        <f>IFERROR(__xludf.DUMMYFUNCTION("""COMPUTED_VALUE"""),"Universidad De Chile")</f>
        <v>Universidad De Chile</v>
      </c>
      <c r="Y333" s="1" t="str">
        <f>IFERROR(__xludf.DUMMYFUNCTION("""COMPUTED_VALUE"""),"CHILE")</f>
        <v>CHILE</v>
      </c>
      <c r="Z333" s="1" t="str">
        <f>IFERROR(__xludf.DUMMYFUNCTION("""COMPUTED_VALUE"""),"T5084 Profesor De Estado")</f>
        <v>T5084 Profesor De Estado</v>
      </c>
    </row>
    <row r="334">
      <c r="A334" s="1" t="str">
        <f>IFERROR(__xludf.DUMMYFUNCTION("""COMPUTED_VALUE"""),"12090301 Departamento de Antropología")</f>
        <v>12090301 Departamento de Antropología</v>
      </c>
      <c r="B334" s="1" t="str">
        <f>IFERROR(__xludf.DUMMYFUNCTION("""COMPUTED_VALUE"""),"A3A001 Académico Prof. Asistente")</f>
        <v>A3A001 Académico Prof. Asistente</v>
      </c>
      <c r="C334" s="1" t="str">
        <f>IFERROR(__xludf.DUMMYFUNCTION("""COMPUTED_VALUE"""),"Prof. Asistente - Categ. Academica Ord.")</f>
        <v>Prof. Asistente - Categ. Academica Ord.</v>
      </c>
      <c r="D334" s="1" t="str">
        <f>IFERROR(__xludf.DUMMYFUNCTION("""COMPUTED_VALUE"""),"A3A Prof. Asistente - Categ. Academica Ord.")</f>
        <v>A3A Prof. Asistente - Categ. Academica Ord.</v>
      </c>
      <c r="E334" s="1" t="str">
        <f>IFERROR(__xludf.DUMMYFUNCTION("""COMPUTED_VALUE"""),"Masculino")</f>
        <v>Masculino</v>
      </c>
      <c r="F334" s="1" t="str">
        <f>IFERROR(__xludf.DUMMYFUNCTION("""COMPUTED_VALUE"""),"Tudela")</f>
        <v>Tudela</v>
      </c>
      <c r="G334" s="1" t="str">
        <f>IFERROR(__xludf.DUMMYFUNCTION("""COMPUTED_VALUE"""),"Poblete")</f>
        <v>Poblete</v>
      </c>
      <c r="H334" s="1" t="str">
        <f>IFERROR(__xludf.DUMMYFUNCTION("""COMPUTED_VALUE"""),"Patricio Hernán")</f>
        <v>Patricio Hernán</v>
      </c>
      <c r="I334" s="1" t="str">
        <f>IFERROR(__xludf.DUMMYFUNCTION("""COMPUTED_VALUE"""),"Tudela Poblete Patricio Hernán")</f>
        <v>Tudela Poblete Patricio Hernán</v>
      </c>
      <c r="J334" s="10">
        <f>IFERROR(__xludf.DUMMYFUNCTION("""COMPUTED_VALUE"""),34851.0)</f>
        <v>34851</v>
      </c>
      <c r="K334" s="10">
        <f>IFERROR(__xludf.DUMMYFUNCTION("""COMPUTED_VALUE"""),22178.0)</f>
        <v>22178</v>
      </c>
      <c r="L334" s="1">
        <f>IFERROR(__xludf.DUMMYFUNCTION("""COMPUTED_VALUE"""),63.0)</f>
        <v>63</v>
      </c>
      <c r="M334" s="1" t="str">
        <f>IFERROR(__xludf.DUMMYFUNCTION("""COMPUTED_VALUE"""),"0001 Casado")</f>
        <v>0001 Casado</v>
      </c>
      <c r="N334" s="1"/>
      <c r="O334" s="10">
        <f>IFERROR(__xludf.DUMMYFUNCTION("""COMPUTED_VALUE"""),41456.0)</f>
        <v>41456</v>
      </c>
      <c r="P334" s="10">
        <f>IFERROR(__xludf.DUMMYFUNCTION("""COMPUTED_VALUE"""),41547.0)</f>
        <v>41547</v>
      </c>
      <c r="Q334" s="1" t="str">
        <f>IFERROR(__xludf.DUMMYFUNCTION("""COMPUTED_VALUE"""),"C Contrata")</f>
        <v>C Contrata</v>
      </c>
      <c r="R334" s="1" t="str">
        <f>IFERROR(__xludf.DUMMYFUNCTION("""COMPUTED_VALUE"""),"A Académico")</f>
        <v>A Académico</v>
      </c>
      <c r="S334" s="9" t="str">
        <f>IFERROR(__xludf.DUMMYFUNCTION("""COMPUTED_VALUE"""),"86551985")</f>
        <v>86551985</v>
      </c>
      <c r="T334" s="1" t="str">
        <f>IFERROR(__xludf.DUMMYFUNCTION("""COMPUTED_VALUE"""),"0086551985")</f>
        <v>0086551985</v>
      </c>
      <c r="U334" s="1">
        <f>IFERROR(__xludf.DUMMYFUNCTION("""COMPUTED_VALUE"""),12.0)</f>
        <v>12</v>
      </c>
      <c r="V334" s="1" t="str">
        <f>IFERROR(__xludf.DUMMYFUNCTION("""COMPUTED_VALUE"""),"P0900 Doctor")</f>
        <v>P0900 Doctor</v>
      </c>
      <c r="W334" s="1">
        <f>IFERROR(__xludf.DUMMYFUNCTION("""COMPUTED_VALUE"""),33969.0)</f>
        <v>33969</v>
      </c>
      <c r="X334" s="1" t="str">
        <f>IFERROR(__xludf.DUMMYFUNCTION("""COMPUTED_VALUE"""),"Universidad De Bonn")</f>
        <v>Universidad De Bonn</v>
      </c>
      <c r="Y334" s="1" t="str">
        <f>IFERROR(__xludf.DUMMYFUNCTION("""COMPUTED_VALUE"""),"ALEMANIA")</f>
        <v>ALEMANIA</v>
      </c>
      <c r="Z334" s="1" t="str">
        <f>IFERROR(__xludf.DUMMYFUNCTION("""COMPUTED_VALUE"""),"T5373 Arqueólogo")</f>
        <v>T5373 Arqueólogo</v>
      </c>
    </row>
    <row r="335" hidden="1">
      <c r="A335" s="1" t="str">
        <f>IFERROR(__xludf.DUMMYFUNCTION("""COMPUTED_VALUE"""),"12090801 Departamento de Sociología")</f>
        <v>12090801 Departamento de Sociología</v>
      </c>
      <c r="B335" s="1" t="str">
        <f>IFERROR(__xludf.DUMMYFUNCTION("""COMPUTED_VALUE"""),"A3A001 Académico Prof. Asistente")</f>
        <v>A3A001 Académico Prof. Asistente</v>
      </c>
      <c r="C335" s="1" t="str">
        <f>IFERROR(__xludf.DUMMYFUNCTION("""COMPUTED_VALUE"""),"Prof. Asistente - Categ. Academica Ord.")</f>
        <v>Prof. Asistente - Categ. Academica Ord.</v>
      </c>
      <c r="D335" s="1" t="str">
        <f>IFERROR(__xludf.DUMMYFUNCTION("""COMPUTED_VALUE"""),"A3A Prof. Asistente - Categ. Academica Ord.")</f>
        <v>A3A Prof. Asistente - Categ. Academica Ord.</v>
      </c>
      <c r="E335" s="1" t="str">
        <f>IFERROR(__xludf.DUMMYFUNCTION("""COMPUTED_VALUE"""),"Masculino")</f>
        <v>Masculino</v>
      </c>
      <c r="F335" s="1" t="str">
        <f>IFERROR(__xludf.DUMMYFUNCTION("""COMPUTED_VALUE"""),"Undurraga")</f>
        <v>Undurraga</v>
      </c>
      <c r="G335" s="1" t="str">
        <f>IFERROR(__xludf.DUMMYFUNCTION("""COMPUTED_VALUE"""),"Chacón")</f>
        <v>Chacón</v>
      </c>
      <c r="H335" s="1" t="str">
        <f>IFERROR(__xludf.DUMMYFUNCTION("""COMPUTED_VALUE"""),"Ignacio Urbano")</f>
        <v>Ignacio Urbano</v>
      </c>
      <c r="I335" s="1" t="str">
        <f>IFERROR(__xludf.DUMMYFUNCTION("""COMPUTED_VALUE"""),"Undurraga Chacón Ignacio Urbano")</f>
        <v>Undurraga Chacón Ignacio Urbano</v>
      </c>
      <c r="J335" s="10">
        <f>IFERROR(__xludf.DUMMYFUNCTION("""COMPUTED_VALUE"""),27120.0)</f>
        <v>27120</v>
      </c>
      <c r="K335" s="10">
        <f>IFERROR(__xludf.DUMMYFUNCTION("""COMPUTED_VALUE"""),18287.0)</f>
        <v>18287</v>
      </c>
      <c r="L335" s="1">
        <f>IFERROR(__xludf.DUMMYFUNCTION("""COMPUTED_VALUE"""),73.0)</f>
        <v>73</v>
      </c>
      <c r="M335" s="1" t="str">
        <f>IFERROR(__xludf.DUMMYFUNCTION("""COMPUTED_VALUE"""),"0002 Soltero")</f>
        <v>0002 Soltero</v>
      </c>
      <c r="N335" s="1"/>
      <c r="O335" s="10">
        <f>IFERROR(__xludf.DUMMYFUNCTION("""COMPUTED_VALUE"""),33390.0)</f>
        <v>33390</v>
      </c>
      <c r="P335" s="10">
        <f>IFERROR(__xludf.DUMMYFUNCTION("""COMPUTED_VALUE"""),34828.0)</f>
        <v>34828</v>
      </c>
      <c r="Q335" s="1" t="str">
        <f>IFERROR(__xludf.DUMMYFUNCTION("""COMPUTED_VALUE"""),"P Propiedad")</f>
        <v>P Propiedad</v>
      </c>
      <c r="R335" s="1" t="str">
        <f>IFERROR(__xludf.DUMMYFUNCTION("""COMPUTED_VALUE"""),"A Académico")</f>
        <v>A Académico</v>
      </c>
      <c r="S335" s="9" t="str">
        <f>IFERROR(__xludf.DUMMYFUNCTION("""COMPUTED_VALUE"""),"62771585")</f>
        <v>62771585</v>
      </c>
      <c r="T335" s="1" t="str">
        <f>IFERROR(__xludf.DUMMYFUNCTION("""COMPUTED_VALUE"""),"0062771585")</f>
        <v>0062771585</v>
      </c>
      <c r="U335" s="1">
        <f>IFERROR(__xludf.DUMMYFUNCTION("""COMPUTED_VALUE"""),44.0)</f>
        <v>44</v>
      </c>
      <c r="V335" s="1"/>
      <c r="W335" s="1"/>
      <c r="X335" s="1"/>
      <c r="Y335" s="1"/>
      <c r="Z335" s="1"/>
    </row>
    <row r="336">
      <c r="A336" s="1" t="str">
        <f>IFERROR(__xludf.DUMMYFUNCTION("""COMPUTED_VALUE"""),"12090701 Departamento de Psicología")</f>
        <v>12090701 Departamento de Psicología</v>
      </c>
      <c r="B336" s="1" t="str">
        <f>IFERROR(__xludf.DUMMYFUNCTION("""COMPUTED_VALUE"""),"A4A001 ACADEMICO  INSTRUCTOR")</f>
        <v>A4A001 ACADEMICO  INSTRUCTOR</v>
      </c>
      <c r="C336" s="1" t="str">
        <f>IFERROR(__xludf.DUMMYFUNCTION("""COMPUTED_VALUE"""),"Instructor")</f>
        <v>Instructor</v>
      </c>
      <c r="D336" s="1" t="str">
        <f>IFERROR(__xludf.DUMMYFUNCTION("""COMPUTED_VALUE"""),"A4A Instructor")</f>
        <v>A4A Instructor</v>
      </c>
      <c r="E336" s="1" t="str">
        <f>IFERROR(__xludf.DUMMYFUNCTION("""COMPUTED_VALUE"""),"Masculino")</f>
        <v>Masculino</v>
      </c>
      <c r="F336" s="1" t="str">
        <f>IFERROR(__xludf.DUMMYFUNCTION("""COMPUTED_VALUE"""),"Unger")</f>
        <v>Unger</v>
      </c>
      <c r="G336" s="1" t="str">
        <f>IFERROR(__xludf.DUMMYFUNCTION("""COMPUTED_VALUE"""),"Vergara")</f>
        <v>Vergara</v>
      </c>
      <c r="H336" s="1" t="str">
        <f>IFERROR(__xludf.DUMMYFUNCTION("""COMPUTED_VALUE"""),"Georg Heinz")</f>
        <v>Georg Heinz</v>
      </c>
      <c r="I336" s="1" t="str">
        <f>IFERROR(__xludf.DUMMYFUNCTION("""COMPUTED_VALUE"""),"Unger Vergara Georg Heinz")</f>
        <v>Unger Vergara Georg Heinz</v>
      </c>
      <c r="J336" s="10">
        <f>IFERROR(__xludf.DUMMYFUNCTION("""COMPUTED_VALUE"""),32660.0)</f>
        <v>32660</v>
      </c>
      <c r="K336" s="10">
        <f>IFERROR(__xludf.DUMMYFUNCTION("""COMPUTED_VALUE"""),22898.0)</f>
        <v>22898</v>
      </c>
      <c r="L336" s="1">
        <f>IFERROR(__xludf.DUMMYFUNCTION("""COMPUTED_VALUE"""),61.0)</f>
        <v>61</v>
      </c>
      <c r="M336" s="1" t="str">
        <f>IFERROR(__xludf.DUMMYFUNCTION("""COMPUTED_VALUE"""),"0001 Casado")</f>
        <v>0001 Casado</v>
      </c>
      <c r="N336" s="1"/>
      <c r="O336" s="10">
        <f>IFERROR(__xludf.DUMMYFUNCTION("""COMPUTED_VALUE"""),34425.0)</f>
        <v>34425</v>
      </c>
      <c r="P336" s="10">
        <f>IFERROR(__xludf.DUMMYFUNCTION("""COMPUTED_VALUE"""),34607.0)</f>
        <v>34607</v>
      </c>
      <c r="Q336" s="1" t="str">
        <f>IFERROR(__xludf.DUMMYFUNCTION("""COMPUTED_VALUE"""),"P Propiedad")</f>
        <v>P Propiedad</v>
      </c>
      <c r="R336" s="1" t="str">
        <f>IFERROR(__xludf.DUMMYFUNCTION("""COMPUTED_VALUE"""),"A Académico")</f>
        <v>A Académico</v>
      </c>
      <c r="S336" s="9" t="str">
        <f>IFERROR(__xludf.DUMMYFUNCTION("""COMPUTED_VALUE"""),"92598969")</f>
        <v>92598969</v>
      </c>
      <c r="T336" s="1" t="str">
        <f>IFERROR(__xludf.DUMMYFUNCTION("""COMPUTED_VALUE"""),"0092598969")</f>
        <v>0092598969</v>
      </c>
      <c r="U336" s="1">
        <f>IFERROR(__xludf.DUMMYFUNCTION("""COMPUTED_VALUE"""),12.0)</f>
        <v>12</v>
      </c>
      <c r="V336" s="1"/>
      <c r="W336" s="1"/>
      <c r="X336" s="1"/>
      <c r="Y336" s="1"/>
      <c r="Z336" s="1" t="str">
        <f>IFERROR(__xludf.DUMMYFUNCTION("""COMPUTED_VALUE"""),"T5124 Psicologo")</f>
        <v>T5124 Psicologo</v>
      </c>
    </row>
    <row r="337" hidden="1">
      <c r="A337" s="1" t="str">
        <f>IFERROR(__xludf.DUMMYFUNCTION("""COMPUTED_VALUE"""),"12090301 Departamento de Antropología")</f>
        <v>12090301 Departamento de Antropología</v>
      </c>
      <c r="B337" s="1" t="str">
        <f>IFERROR(__xludf.DUMMYFUNCTION("""COMPUTED_VALUE"""),"A3A001 Académico Prof. Asistente")</f>
        <v>A3A001 Académico Prof. Asistente</v>
      </c>
      <c r="C337" s="1" t="str">
        <f>IFERROR(__xludf.DUMMYFUNCTION("""COMPUTED_VALUE"""),"Prof. Asistente - Categ. Academica Ord.")</f>
        <v>Prof. Asistente - Categ. Academica Ord.</v>
      </c>
      <c r="D337" s="1" t="str">
        <f>IFERROR(__xludf.DUMMYFUNCTION("""COMPUTED_VALUE"""),"A3A Prof. Asistente - Categ. Academica Ord.")</f>
        <v>A3A Prof. Asistente - Categ. Academica Ord.</v>
      </c>
      <c r="E337" s="1" t="str">
        <f>IFERROR(__xludf.DUMMYFUNCTION("""COMPUTED_VALUE"""),"Masculino")</f>
        <v>Masculino</v>
      </c>
      <c r="F337" s="1" t="str">
        <f>IFERROR(__xludf.DUMMYFUNCTION("""COMPUTED_VALUE"""),"Urrejola")</f>
        <v>Urrejola</v>
      </c>
      <c r="G337" s="1" t="str">
        <f>IFERROR(__xludf.DUMMYFUNCTION("""COMPUTED_VALUE"""),"Dittborn")</f>
        <v>Dittborn</v>
      </c>
      <c r="H337" s="1" t="str">
        <f>IFERROR(__xludf.DUMMYFUNCTION("""COMPUTED_VALUE"""),"Carlos")</f>
        <v>Carlos</v>
      </c>
      <c r="I337" s="1" t="str">
        <f>IFERROR(__xludf.DUMMYFUNCTION("""COMPUTED_VALUE"""),"Urrejola Dittborn Carlos")</f>
        <v>Urrejola Dittborn Carlos</v>
      </c>
      <c r="J337" s="10">
        <f>IFERROR(__xludf.DUMMYFUNCTION("""COMPUTED_VALUE"""),24593.0)</f>
        <v>24593</v>
      </c>
      <c r="K337" s="10">
        <f>IFERROR(__xludf.DUMMYFUNCTION("""COMPUTED_VALUE"""),13033.0)</f>
        <v>13033</v>
      </c>
      <c r="L337" s="1">
        <f>IFERROR(__xludf.DUMMYFUNCTION("""COMPUTED_VALUE"""),88.0)</f>
        <v>88</v>
      </c>
      <c r="M337" s="1" t="str">
        <f>IFERROR(__xludf.DUMMYFUNCTION("""COMPUTED_VALUE"""),"0001 Casado")</f>
        <v>0001 Casado</v>
      </c>
      <c r="N337" s="1"/>
      <c r="O337" s="10">
        <f>IFERROR(__xludf.DUMMYFUNCTION("""COMPUTED_VALUE"""),34790.0)</f>
        <v>34790</v>
      </c>
      <c r="P337" s="10">
        <f>IFERROR(__xludf.DUMMYFUNCTION("""COMPUTED_VALUE"""),38664.0)</f>
        <v>38664</v>
      </c>
      <c r="Q337" s="1" t="str">
        <f>IFERROR(__xludf.DUMMYFUNCTION("""COMPUTED_VALUE"""),"P Propiedad")</f>
        <v>P Propiedad</v>
      </c>
      <c r="R337" s="1" t="str">
        <f>IFERROR(__xludf.DUMMYFUNCTION("""COMPUTED_VALUE"""),"A Académico")</f>
        <v>A Académico</v>
      </c>
      <c r="S337" s="9" t="str">
        <f>IFERROR(__xludf.DUMMYFUNCTION("""COMPUTED_VALUE"""),"37107085")</f>
        <v>37107085</v>
      </c>
      <c r="T337" s="1" t="str">
        <f>IFERROR(__xludf.DUMMYFUNCTION("""COMPUTED_VALUE"""),"0037107085")</f>
        <v>0037107085</v>
      </c>
      <c r="U337" s="1">
        <f>IFERROR(__xludf.DUMMYFUNCTION("""COMPUTED_VALUE"""),12.0)</f>
        <v>12</v>
      </c>
      <c r="V337" s="1" t="str">
        <f>IFERROR(__xludf.DUMMYFUNCTION("""COMPUTED_VALUE"""),"P0850 Magister")</f>
        <v>P0850 Magister</v>
      </c>
      <c r="W337" s="1">
        <f>IFERROR(__xludf.DUMMYFUNCTION("""COMPUTED_VALUE"""),29951.0)</f>
        <v>29951</v>
      </c>
      <c r="X337" s="1" t="str">
        <f>IFERROR(__xludf.DUMMYFUNCTION("""COMPUTED_VALUE"""),"Universidad De Oxford")</f>
        <v>Universidad De Oxford</v>
      </c>
      <c r="Y337" s="1" t="str">
        <f>IFERROR(__xludf.DUMMYFUNCTION("""COMPUTED_VALUE"""),"INGLATERRA")</f>
        <v>INGLATERRA</v>
      </c>
      <c r="Z337" s="1"/>
    </row>
    <row r="338" hidden="1">
      <c r="A338" s="1" t="str">
        <f>IFERROR(__xludf.DUMMYFUNCTION("""COMPUTED_VALUE"""),"12090301 Departamento de Antropología")</f>
        <v>12090301 Departamento de Antropología</v>
      </c>
      <c r="B338" s="1" t="str">
        <f>IFERROR(__xludf.DUMMYFUNCTION("""COMPUTED_VALUE"""),"A3A001 Académico Prof. Asistente")</f>
        <v>A3A001 Académico Prof. Asistente</v>
      </c>
      <c r="C338" s="1" t="str">
        <f>IFERROR(__xludf.DUMMYFUNCTION("""COMPUTED_VALUE"""),"Prof. Asistente - Categ. Academica Ord.")</f>
        <v>Prof. Asistente - Categ. Academica Ord.</v>
      </c>
      <c r="D338" s="1" t="str">
        <f>IFERROR(__xludf.DUMMYFUNCTION("""COMPUTED_VALUE"""),"A3A Prof. Asistente - Categ. Academica Ord.")</f>
        <v>A3A Prof. Asistente - Categ. Academica Ord.</v>
      </c>
      <c r="E338" s="1" t="str">
        <f>IFERROR(__xludf.DUMMYFUNCTION("""COMPUTED_VALUE"""),"Masculino")</f>
        <v>Masculino</v>
      </c>
      <c r="F338" s="1" t="str">
        <f>IFERROR(__xludf.DUMMYFUNCTION("""COMPUTED_VALUE"""),"Urrejola")</f>
        <v>Urrejola</v>
      </c>
      <c r="G338" s="1" t="str">
        <f>IFERROR(__xludf.DUMMYFUNCTION("""COMPUTED_VALUE"""),"Dittborn")</f>
        <v>Dittborn</v>
      </c>
      <c r="H338" s="1" t="str">
        <f>IFERROR(__xludf.DUMMYFUNCTION("""COMPUTED_VALUE"""),"Carlos")</f>
        <v>Carlos</v>
      </c>
      <c r="I338" s="1" t="str">
        <f>IFERROR(__xludf.DUMMYFUNCTION("""COMPUTED_VALUE"""),"Urrejola Dittborn Carlos")</f>
        <v>Urrejola Dittborn Carlos</v>
      </c>
      <c r="J338" s="10">
        <f>IFERROR(__xludf.DUMMYFUNCTION("""COMPUTED_VALUE"""),24593.0)</f>
        <v>24593</v>
      </c>
      <c r="K338" s="10">
        <f>IFERROR(__xludf.DUMMYFUNCTION("""COMPUTED_VALUE"""),13033.0)</f>
        <v>13033</v>
      </c>
      <c r="L338" s="1">
        <f>IFERROR(__xludf.DUMMYFUNCTION("""COMPUTED_VALUE"""),88.0)</f>
        <v>88</v>
      </c>
      <c r="M338" s="1" t="str">
        <f>IFERROR(__xludf.DUMMYFUNCTION("""COMPUTED_VALUE"""),"0001 Casado")</f>
        <v>0001 Casado</v>
      </c>
      <c r="N338" s="1"/>
      <c r="O338" s="10">
        <f>IFERROR(__xludf.DUMMYFUNCTION("""COMPUTED_VALUE"""),34912.0)</f>
        <v>34912</v>
      </c>
      <c r="P338" s="10">
        <f>IFERROR(__xludf.DUMMYFUNCTION("""COMPUTED_VALUE"""),38664.0)</f>
        <v>38664</v>
      </c>
      <c r="Q338" s="1" t="str">
        <f>IFERROR(__xludf.DUMMYFUNCTION("""COMPUTED_VALUE"""),"P Propiedad")</f>
        <v>P Propiedad</v>
      </c>
      <c r="R338" s="1" t="str">
        <f>IFERROR(__xludf.DUMMYFUNCTION("""COMPUTED_VALUE"""),"A Académico")</f>
        <v>A Académico</v>
      </c>
      <c r="S338" s="9" t="str">
        <f>IFERROR(__xludf.DUMMYFUNCTION("""COMPUTED_VALUE"""),"37107085")</f>
        <v>37107085</v>
      </c>
      <c r="T338" s="1" t="str">
        <f>IFERROR(__xludf.DUMMYFUNCTION("""COMPUTED_VALUE"""),"0037107085")</f>
        <v>0037107085</v>
      </c>
      <c r="U338" s="1">
        <f>IFERROR(__xludf.DUMMYFUNCTION("""COMPUTED_VALUE"""),0.0)</f>
        <v>0</v>
      </c>
      <c r="V338" s="1" t="str">
        <f>IFERROR(__xludf.DUMMYFUNCTION("""COMPUTED_VALUE"""),"P0850 Magister")</f>
        <v>P0850 Magister</v>
      </c>
      <c r="W338" s="1">
        <f>IFERROR(__xludf.DUMMYFUNCTION("""COMPUTED_VALUE"""),29951.0)</f>
        <v>29951</v>
      </c>
      <c r="X338" s="1" t="str">
        <f>IFERROR(__xludf.DUMMYFUNCTION("""COMPUTED_VALUE"""),"Universidad De Oxford")</f>
        <v>Universidad De Oxford</v>
      </c>
      <c r="Y338" s="1" t="str">
        <f>IFERROR(__xludf.DUMMYFUNCTION("""COMPUTED_VALUE"""),"INGLATERRA")</f>
        <v>INGLATERRA</v>
      </c>
      <c r="Z338" s="1"/>
    </row>
    <row r="339" hidden="1">
      <c r="A339" s="1" t="str">
        <f>IFERROR(__xludf.DUMMYFUNCTION("""COMPUTED_VALUE"""),"12090701 Departamento de Psicología")</f>
        <v>12090701 Departamento de Psicología</v>
      </c>
      <c r="B339" s="1" t="str">
        <f>IFERROR(__xludf.DUMMYFUNCTION("""COMPUTED_VALUE"""),"A3A001 Académico Prof. Asistente")</f>
        <v>A3A001 Académico Prof. Asistente</v>
      </c>
      <c r="C339" s="1" t="str">
        <f>IFERROR(__xludf.DUMMYFUNCTION("""COMPUTED_VALUE"""),"Prof. Asistente - Categ. Academica Ord.")</f>
        <v>Prof. Asistente - Categ. Academica Ord.</v>
      </c>
      <c r="D339" s="1" t="str">
        <f>IFERROR(__xludf.DUMMYFUNCTION("""COMPUTED_VALUE"""),"A3A Prof. Asistente - Categ. Academica Ord.")</f>
        <v>A3A Prof. Asistente - Categ. Academica Ord.</v>
      </c>
      <c r="E339" s="1" t="str">
        <f>IFERROR(__xludf.DUMMYFUNCTION("""COMPUTED_VALUE"""),"Masculino")</f>
        <v>Masculino</v>
      </c>
      <c r="F339" s="1" t="str">
        <f>IFERROR(__xludf.DUMMYFUNCTION("""COMPUTED_VALUE"""),"Urrutia")</f>
        <v>Urrutia</v>
      </c>
      <c r="G339" s="1" t="str">
        <f>IFERROR(__xludf.DUMMYFUNCTION("""COMPUTED_VALUE"""),"Schwartz")</f>
        <v>Schwartz</v>
      </c>
      <c r="H339" s="1" t="str">
        <f>IFERROR(__xludf.DUMMYFUNCTION("""COMPUTED_VALUE"""),"Carlos Rafael Jorge")</f>
        <v>Carlos Rafael Jorge</v>
      </c>
      <c r="I339" s="1" t="str">
        <f>IFERROR(__xludf.DUMMYFUNCTION("""COMPUTED_VALUE"""),"Urrutia Schwartz Carlos Rafael Jorge")</f>
        <v>Urrutia Schwartz Carlos Rafael Jorge</v>
      </c>
      <c r="J339" s="10">
        <f>IFERROR(__xludf.DUMMYFUNCTION("""COMPUTED_VALUE"""),25263.0)</f>
        <v>25263</v>
      </c>
      <c r="K339" s="10">
        <f>IFERROR(__xludf.DUMMYFUNCTION("""COMPUTED_VALUE"""),16374.0)</f>
        <v>16374</v>
      </c>
      <c r="L339" s="1">
        <f>IFERROR(__xludf.DUMMYFUNCTION("""COMPUTED_VALUE"""),79.0)</f>
        <v>79</v>
      </c>
      <c r="M339" s="1" t="str">
        <f>IFERROR(__xludf.DUMMYFUNCTION("""COMPUTED_VALUE"""),"0001 Casado")</f>
        <v>0001 Casado</v>
      </c>
      <c r="N339" s="1"/>
      <c r="O339" s="10">
        <f>IFERROR(__xludf.DUMMYFUNCTION("""COMPUTED_VALUE"""),35004.0)</f>
        <v>35004</v>
      </c>
      <c r="P339" s="10">
        <f>IFERROR(__xludf.DUMMYFUNCTION("""COMPUTED_VALUE"""),38664.0)</f>
        <v>38664</v>
      </c>
      <c r="Q339" s="1" t="str">
        <f>IFERROR(__xludf.DUMMYFUNCTION("""COMPUTED_VALUE"""),"A Ad Honorem Propiedad")</f>
        <v>A Ad Honorem Propiedad</v>
      </c>
      <c r="R339" s="1" t="str">
        <f>IFERROR(__xludf.DUMMYFUNCTION("""COMPUTED_VALUE"""),"A Académico")</f>
        <v>A Académico</v>
      </c>
      <c r="S339" s="9" t="str">
        <f>IFERROR(__xludf.DUMMYFUNCTION("""COMPUTED_VALUE"""),"41069643")</f>
        <v>41069643</v>
      </c>
      <c r="T339" s="1" t="str">
        <f>IFERROR(__xludf.DUMMYFUNCTION("""COMPUTED_VALUE"""),"0041069643")</f>
        <v>0041069643</v>
      </c>
      <c r="U339" s="1">
        <f>IFERROR(__xludf.DUMMYFUNCTION("""COMPUTED_VALUE"""),6.0)</f>
        <v>6</v>
      </c>
      <c r="V339" s="1" t="str">
        <f>IFERROR(__xludf.DUMMYFUNCTION("""COMPUTED_VALUE"""),"P0850 Magister")</f>
        <v>P0850 Magister</v>
      </c>
      <c r="W339" s="1">
        <f>IFERROR(__xludf.DUMMYFUNCTION("""COMPUTED_VALUE"""),36525.0)</f>
        <v>36525</v>
      </c>
      <c r="X339" s="1" t="str">
        <f>IFERROR(__xludf.DUMMYFUNCTION("""COMPUTED_VALUE"""),"Escuela Superior De Estudiso De Mark")</f>
        <v>Escuela Superior De Estudiso De Mark</v>
      </c>
      <c r="Y339" s="1" t="str">
        <f>IFERROR(__xludf.DUMMYFUNCTION("""COMPUTED_VALUE"""),"ESPAÑA")</f>
        <v>ESPAÑA</v>
      </c>
      <c r="Z339" s="1"/>
    </row>
    <row r="340" hidden="1">
      <c r="A340" s="1" t="str">
        <f>IFERROR(__xludf.DUMMYFUNCTION("""COMPUTED_VALUE"""),"12090119 Dpto. de Sociología (funcionamiento)")</f>
        <v>12090119 Dpto. de Sociología (funcionamiento)</v>
      </c>
      <c r="B340" s="1" t="str">
        <f>IFERROR(__xludf.DUMMYFUNCTION("""COMPUTED_VALUE"""),"A1A001 Académico Prof. Titular")</f>
        <v>A1A001 Académico Prof. Titular</v>
      </c>
      <c r="C340" s="1" t="str">
        <f>IFERROR(__xludf.DUMMYFUNCTION("""COMPUTED_VALUE"""),"Prof.Titular - Categ. Academica Ord.")</f>
        <v>Prof.Titular - Categ. Academica Ord.</v>
      </c>
      <c r="D340" s="1" t="str">
        <f>IFERROR(__xludf.DUMMYFUNCTION("""COMPUTED_VALUE"""),"A1A Prof.Titular - Categ. Academica Ord.")</f>
        <v>A1A Prof.Titular - Categ. Academica Ord.</v>
      </c>
      <c r="E340" s="1" t="str">
        <f>IFERROR(__xludf.DUMMYFUNCTION("""COMPUTED_VALUE"""),"Masculino")</f>
        <v>Masculino</v>
      </c>
      <c r="F340" s="1" t="str">
        <f>IFERROR(__xludf.DUMMYFUNCTION("""COMPUTED_VALUE"""),"Urzúa")</f>
        <v>Urzúa</v>
      </c>
      <c r="G340" s="1" t="str">
        <f>IFERROR(__xludf.DUMMYFUNCTION("""COMPUTED_VALUE"""),"Frademann")</f>
        <v>Frademann</v>
      </c>
      <c r="H340" s="1" t="str">
        <f>IFERROR(__xludf.DUMMYFUNCTION("""COMPUTED_VALUE"""),"Raúl Ricardo")</f>
        <v>Raúl Ricardo</v>
      </c>
      <c r="I340" s="1" t="str">
        <f>IFERROR(__xludf.DUMMYFUNCTION("""COMPUTED_VALUE"""),"Urzúa Frademann Raúl Ricardo")</f>
        <v>Urzúa Frademann Raúl Ricardo</v>
      </c>
      <c r="J340" s="10">
        <f>IFERROR(__xludf.DUMMYFUNCTION("""COMPUTED_VALUE"""),34394.0)</f>
        <v>34394</v>
      </c>
      <c r="K340" s="10">
        <f>IFERROR(__xludf.DUMMYFUNCTION("""COMPUTED_VALUE"""),12296.0)</f>
        <v>12296</v>
      </c>
      <c r="L340" s="1">
        <f>IFERROR(__xludf.DUMMYFUNCTION("""COMPUTED_VALUE"""),90.0)</f>
        <v>90</v>
      </c>
      <c r="M340" s="1" t="str">
        <f>IFERROR(__xludf.DUMMYFUNCTION("""COMPUTED_VALUE"""),"0001 Casado")</f>
        <v>0001 Casado</v>
      </c>
      <c r="N340" s="1"/>
      <c r="O340" s="10">
        <f>IFERROR(__xludf.DUMMYFUNCTION("""COMPUTED_VALUE"""),43831.0)</f>
        <v>43831</v>
      </c>
      <c r="P340" s="10">
        <f>IFERROR(__xludf.DUMMYFUNCTION("""COMPUTED_VALUE"""),44071.0)</f>
        <v>44071</v>
      </c>
      <c r="Q340" s="1" t="str">
        <f>IFERROR(__xludf.DUMMYFUNCTION("""COMPUTED_VALUE"""),"K Ad Honorem Contrata")</f>
        <v>K Ad Honorem Contrata</v>
      </c>
      <c r="R340" s="1" t="str">
        <f>IFERROR(__xludf.DUMMYFUNCTION("""COMPUTED_VALUE"""),"A Académico")</f>
        <v>A Académico</v>
      </c>
      <c r="S340" s="9" t="str">
        <f>IFERROR(__xludf.DUMMYFUNCTION("""COMPUTED_VALUE"""),"31238668")</f>
        <v>31238668</v>
      </c>
      <c r="T340" s="1" t="str">
        <f>IFERROR(__xludf.DUMMYFUNCTION("""COMPUTED_VALUE"""),"0031238668")</f>
        <v>0031238668</v>
      </c>
      <c r="U340" s="1">
        <f>IFERROR(__xludf.DUMMYFUNCTION("""COMPUTED_VALUE"""),6.0)</f>
        <v>6</v>
      </c>
      <c r="V340" s="1" t="str">
        <f>IFERROR(__xludf.DUMMYFUNCTION("""COMPUTED_VALUE"""),"P0900 Doctor")</f>
        <v>P0900 Doctor</v>
      </c>
      <c r="W340" s="1">
        <f>IFERROR(__xludf.DUMMYFUNCTION("""COMPUTED_VALUE"""),25203.0)</f>
        <v>25203</v>
      </c>
      <c r="X340" s="1" t="str">
        <f>IFERROR(__xludf.DUMMYFUNCTION("""COMPUTED_VALUE"""),"Universidad De California")</f>
        <v>Universidad De California</v>
      </c>
      <c r="Y340" s="1" t="str">
        <f>IFERROR(__xludf.DUMMYFUNCTION("""COMPUTED_VALUE"""),"ESTADOS UNIDOS")</f>
        <v>ESTADOS UNIDOS</v>
      </c>
      <c r="Z340" s="1" t="str">
        <f>IFERROR(__xludf.DUMMYFUNCTION("""COMPUTED_VALUE"""),"T5001 Abogado")</f>
        <v>T5001 Abogado</v>
      </c>
    </row>
    <row r="341">
      <c r="A341" s="1" t="str">
        <f>IFERROR(__xludf.DUMMYFUNCTION("""COMPUTED_VALUE"""),"12090118 Dpto. de  Psicología (funcionamiento)")</f>
        <v>12090118 Dpto. de  Psicología (funcionamiento)</v>
      </c>
      <c r="B341" s="1" t="str">
        <f>IFERROR(__xludf.DUMMYFUNCTION("""COMPUTED_VALUE"""),"A5A001 ACADEMICO AYUDANTE")</f>
        <v>A5A001 ACADEMICO AYUDANTE</v>
      </c>
      <c r="C341" s="1" t="str">
        <f>IFERROR(__xludf.DUMMYFUNCTION("""COMPUTED_VALUE"""),"Ayudante")</f>
        <v>Ayudante</v>
      </c>
      <c r="D341" s="1" t="str">
        <f>IFERROR(__xludf.DUMMYFUNCTION("""COMPUTED_VALUE"""),"A5A Ayudante")</f>
        <v>A5A Ayudante</v>
      </c>
      <c r="E341" s="1" t="str">
        <f>IFERROR(__xludf.DUMMYFUNCTION("""COMPUTED_VALUE"""),"Masculino")</f>
        <v>Masculino</v>
      </c>
      <c r="F341" s="1" t="str">
        <f>IFERROR(__xludf.DUMMYFUNCTION("""COMPUTED_VALUE"""),"Valenzuela")</f>
        <v>Valenzuela</v>
      </c>
      <c r="G341" s="1" t="str">
        <f>IFERROR(__xludf.DUMMYFUNCTION("""COMPUTED_VALUE"""),"Ibarra")</f>
        <v>Ibarra</v>
      </c>
      <c r="H341" s="1" t="str">
        <f>IFERROR(__xludf.DUMMYFUNCTION("""COMPUTED_VALUE"""),"Sergio Patricio")</f>
        <v>Sergio Patricio</v>
      </c>
      <c r="I341" s="1" t="str">
        <f>IFERROR(__xludf.DUMMYFUNCTION("""COMPUTED_VALUE"""),"Valenzuela Ibarra Sergio Patricio")</f>
        <v>Valenzuela Ibarra Sergio Patricio</v>
      </c>
      <c r="J341" s="10">
        <f>IFERROR(__xludf.DUMMYFUNCTION("""COMPUTED_VALUE"""),39661.0)</f>
        <v>39661</v>
      </c>
      <c r="K341" s="10">
        <f>IFERROR(__xludf.DUMMYFUNCTION("""COMPUTED_VALUE"""),29942.0)</f>
        <v>29942</v>
      </c>
      <c r="L341" s="1">
        <f>IFERROR(__xludf.DUMMYFUNCTION("""COMPUTED_VALUE"""),42.0)</f>
        <v>42</v>
      </c>
      <c r="M341" s="1" t="str">
        <f>IFERROR(__xludf.DUMMYFUNCTION("""COMPUTED_VALUE"""),"0005 Divorciado")</f>
        <v>0005 Divorciado</v>
      </c>
      <c r="N341" s="1" t="str">
        <f>IFERROR(__xludf.DUMMYFUNCTION("""COMPUTED_VALUE"""),"N0040 Profesional Superior")</f>
        <v>N0040 Profesional Superior</v>
      </c>
      <c r="O341" s="10">
        <f>IFERROR(__xludf.DUMMYFUNCTION("""COMPUTED_VALUE"""),42186.0)</f>
        <v>42186</v>
      </c>
      <c r="P341" s="10">
        <f>IFERROR(__xludf.DUMMYFUNCTION("""COMPUTED_VALUE"""),42369.0)</f>
        <v>42369</v>
      </c>
      <c r="Q341" s="1" t="str">
        <f>IFERROR(__xludf.DUMMYFUNCTION("""COMPUTED_VALUE"""),"C Contrata")</f>
        <v>C Contrata</v>
      </c>
      <c r="R341" s="1" t="str">
        <f>IFERROR(__xludf.DUMMYFUNCTION("""COMPUTED_VALUE"""),"A Académico")</f>
        <v>A Académico</v>
      </c>
      <c r="S341" s="9" t="str">
        <f>IFERROR(__xludf.DUMMYFUNCTION("""COMPUTED_VALUE"""),"141430661")</f>
        <v>141430661</v>
      </c>
      <c r="T341" s="1" t="str">
        <f>IFERROR(__xludf.DUMMYFUNCTION("""COMPUTED_VALUE"""),"0141430661")</f>
        <v>0141430661</v>
      </c>
      <c r="U341" s="1">
        <f>IFERROR(__xludf.DUMMYFUNCTION("""COMPUTED_VALUE"""),2.0)</f>
        <v>2</v>
      </c>
      <c r="V341" s="1" t="str">
        <f>IFERROR(__xludf.DUMMYFUNCTION("""COMPUTED_VALUE"""),"P0401 Licenciado")</f>
        <v>P0401 Licenciado</v>
      </c>
      <c r="W341" s="1">
        <f>IFERROR(__xludf.DUMMYFUNCTION("""COMPUTED_VALUE"""),39028.0)</f>
        <v>39028</v>
      </c>
      <c r="X341" s="1" t="str">
        <f>IFERROR(__xludf.DUMMYFUNCTION("""COMPUTED_VALUE"""),"Universidad De Chile")</f>
        <v>Universidad De Chile</v>
      </c>
      <c r="Y341" s="1" t="str">
        <f>IFERROR(__xludf.DUMMYFUNCTION("""COMPUTED_VALUE"""),"CHILE")</f>
        <v>CHILE</v>
      </c>
      <c r="Z341" s="1" t="str">
        <f>IFERROR(__xludf.DUMMYFUNCTION("""COMPUTED_VALUE"""),"T5276 Psicologo")</f>
        <v>T5276 Psicologo</v>
      </c>
    </row>
    <row r="342" hidden="1">
      <c r="A342" s="1" t="str">
        <f>IFERROR(__xludf.DUMMYFUNCTION("""COMPUTED_VALUE"""),"12090301 Departamento de Antropología")</f>
        <v>12090301 Departamento de Antropología</v>
      </c>
      <c r="B342" s="1" t="str">
        <f>IFERROR(__xludf.DUMMYFUNCTION("""COMPUTED_VALUE"""),"A2A001 Académico Prof. Asociado")</f>
        <v>A2A001 Académico Prof. Asociado</v>
      </c>
      <c r="C342" s="1" t="str">
        <f>IFERROR(__xludf.DUMMYFUNCTION("""COMPUTED_VALUE"""),"Prof. Asociado - Categ. Academica Ord.")</f>
        <v>Prof. Asociado - Categ. Academica Ord.</v>
      </c>
      <c r="D342" s="1" t="str">
        <f>IFERROR(__xludf.DUMMYFUNCTION("""COMPUTED_VALUE"""),"A2A Prof. Asociado - Categ. Academica Ord.")</f>
        <v>A2A Prof. Asociado - Categ. Academica Ord.</v>
      </c>
      <c r="E342" s="1" t="str">
        <f>IFERROR(__xludf.DUMMYFUNCTION("""COMPUTED_VALUE"""),"Masculino")</f>
        <v>Masculino</v>
      </c>
      <c r="F342" s="1" t="str">
        <f>IFERROR(__xludf.DUMMYFUNCTION("""COMPUTED_VALUE"""),"Valenzuela")</f>
        <v>Valenzuela</v>
      </c>
      <c r="G342" s="1" t="str">
        <f>IFERROR(__xludf.DUMMYFUNCTION("""COMPUTED_VALUE"""),"Rojas")</f>
        <v>Rojas</v>
      </c>
      <c r="H342" s="1" t="str">
        <f>IFERROR(__xludf.DUMMYFUNCTION("""COMPUTED_VALUE"""),"Luis Bernardo")</f>
        <v>Luis Bernardo</v>
      </c>
      <c r="I342" s="1" t="str">
        <f>IFERROR(__xludf.DUMMYFUNCTION("""COMPUTED_VALUE"""),"Valenzuela Rojas Luis Bernardo")</f>
        <v>Valenzuela Rojas Luis Bernardo</v>
      </c>
      <c r="J342" s="10">
        <f>IFERROR(__xludf.DUMMYFUNCTION("""COMPUTED_VALUE"""),15342.0)</f>
        <v>15342</v>
      </c>
      <c r="K342" s="10">
        <f>IFERROR(__xludf.DUMMYFUNCTION("""COMPUTED_VALUE"""),6358.0)</f>
        <v>6358</v>
      </c>
      <c r="L342" s="1">
        <f>IFERROR(__xludf.DUMMYFUNCTION("""COMPUTED_VALUE"""),106.0)</f>
        <v>106</v>
      </c>
      <c r="M342" s="1" t="str">
        <f>IFERROR(__xludf.DUMMYFUNCTION("""COMPUTED_VALUE"""),"0001 Casado")</f>
        <v>0001 Casado</v>
      </c>
      <c r="N342" s="1"/>
      <c r="O342" s="10">
        <f>IFERROR(__xludf.DUMMYFUNCTION("""COMPUTED_VALUE"""),34639.0)</f>
        <v>34639</v>
      </c>
      <c r="P342" s="10">
        <f>IFERROR(__xludf.DUMMYFUNCTION("""COMPUTED_VALUE"""),38657.0)</f>
        <v>38657</v>
      </c>
      <c r="Q342" s="1" t="str">
        <f>IFERROR(__xludf.DUMMYFUNCTION("""COMPUTED_VALUE"""),"A Ad Honorem Propiedad")</f>
        <v>A Ad Honorem Propiedad</v>
      </c>
      <c r="R342" s="1" t="str">
        <f>IFERROR(__xludf.DUMMYFUNCTION("""COMPUTED_VALUE"""),"A Académico")</f>
        <v>A Académico</v>
      </c>
      <c r="S342" s="9" t="str">
        <f>IFERROR(__xludf.DUMMYFUNCTION("""COMPUTED_VALUE"""),"00984531")</f>
        <v>00984531</v>
      </c>
      <c r="T342" s="1" t="str">
        <f>IFERROR(__xludf.DUMMYFUNCTION("""COMPUTED_VALUE"""),"0000984531")</f>
        <v>0000984531</v>
      </c>
      <c r="U342" s="1">
        <f>IFERROR(__xludf.DUMMYFUNCTION("""COMPUTED_VALUE"""),6.0)</f>
        <v>6</v>
      </c>
      <c r="V342" s="1" t="str">
        <f>IFERROR(__xludf.DUMMYFUNCTION("""COMPUTED_VALUE"""),"P0401 Licenciado")</f>
        <v>P0401 Licenciado</v>
      </c>
      <c r="W342" s="1">
        <f>IFERROR(__xludf.DUMMYFUNCTION("""COMPUTED_VALUE"""),20408.0)</f>
        <v>20408</v>
      </c>
      <c r="X342" s="1" t="str">
        <f>IFERROR(__xludf.DUMMYFUNCTION("""COMPUTED_VALUE"""),"Universidad De Chile")</f>
        <v>Universidad De Chile</v>
      </c>
      <c r="Y342" s="1" t="str">
        <f>IFERROR(__xludf.DUMMYFUNCTION("""COMPUTED_VALUE"""),"CHILE")</f>
        <v>CHILE</v>
      </c>
      <c r="Z342" s="1"/>
    </row>
    <row r="343" hidden="1">
      <c r="A343" s="1" t="str">
        <f>IFERROR(__xludf.DUMMYFUNCTION("""COMPUTED_VALUE"""),"12090801 Departamento de Sociología")</f>
        <v>12090801 Departamento de Sociología</v>
      </c>
      <c r="B343" s="1" t="str">
        <f>IFERROR(__xludf.DUMMYFUNCTION("""COMPUTED_VALUE"""),"A7A001 ACADEMICO PROF. ADJUNTO")</f>
        <v>A7A001 ACADEMICO PROF. ADJUNTO</v>
      </c>
      <c r="C343" s="1" t="str">
        <f>IFERROR(__xludf.DUMMYFUNCTION("""COMPUTED_VALUE"""),"Prof. Adjunto")</f>
        <v>Prof. Adjunto</v>
      </c>
      <c r="D343" s="1" t="str">
        <f>IFERROR(__xludf.DUMMYFUNCTION("""COMPUTED_VALUE"""),"A7A Prof. Adjunto")</f>
        <v>A7A Prof. Adjunto</v>
      </c>
      <c r="E343" s="1" t="str">
        <f>IFERROR(__xludf.DUMMYFUNCTION("""COMPUTED_VALUE"""),"Masculino")</f>
        <v>Masculino</v>
      </c>
      <c r="F343" s="1" t="str">
        <f>IFERROR(__xludf.DUMMYFUNCTION("""COMPUTED_VALUE"""),"Varela")</f>
        <v>Varela</v>
      </c>
      <c r="G343" s="1" t="str">
        <f>IFERROR(__xludf.DUMMYFUNCTION("""COMPUTED_VALUE"""),"García")</f>
        <v>García</v>
      </c>
      <c r="H343" s="1" t="str">
        <f>IFERROR(__xludf.DUMMYFUNCTION("""COMPUTED_VALUE"""),"Andrés Fernando")</f>
        <v>Andrés Fernando</v>
      </c>
      <c r="I343" s="1" t="str">
        <f>IFERROR(__xludf.DUMMYFUNCTION("""COMPUTED_VALUE"""),"Varela García Andrés Fernando")</f>
        <v>Varela García Andrés Fernando</v>
      </c>
      <c r="J343" s="10">
        <f>IFERROR(__xludf.DUMMYFUNCTION("""COMPUTED_VALUE"""),35217.0)</f>
        <v>35217</v>
      </c>
      <c r="K343" s="10">
        <f>IFERROR(__xludf.DUMMYFUNCTION("""COMPUTED_VALUE"""),15276.0)</f>
        <v>15276</v>
      </c>
      <c r="L343" s="1">
        <f>IFERROR(__xludf.DUMMYFUNCTION("""COMPUTED_VALUE"""),82.0)</f>
        <v>82</v>
      </c>
      <c r="M343" s="1" t="str">
        <f>IFERROR(__xludf.DUMMYFUNCTION("""COMPUTED_VALUE"""),"0003 Viudo")</f>
        <v>0003 Viudo</v>
      </c>
      <c r="N343" s="1" t="str">
        <f>IFERROR(__xludf.DUMMYFUNCTION("""COMPUTED_VALUE"""),"N0040 Profesional Superior")</f>
        <v>N0040 Profesional Superior</v>
      </c>
      <c r="O343" s="10">
        <f>IFERROR(__xludf.DUMMYFUNCTION("""COMPUTED_VALUE"""),35217.0)</f>
        <v>35217</v>
      </c>
      <c r="P343" s="10">
        <f>IFERROR(__xludf.DUMMYFUNCTION("""COMPUTED_VALUE"""),38657.0)</f>
        <v>38657</v>
      </c>
      <c r="Q343" s="1" t="str">
        <f>IFERROR(__xludf.DUMMYFUNCTION("""COMPUTED_VALUE"""),"A Ad Honorem Propiedad")</f>
        <v>A Ad Honorem Propiedad</v>
      </c>
      <c r="R343" s="1" t="str">
        <f>IFERROR(__xludf.DUMMYFUNCTION("""COMPUTED_VALUE"""),"A Académico")</f>
        <v>A Académico</v>
      </c>
      <c r="S343" s="9" t="str">
        <f>IFERROR(__xludf.DUMMYFUNCTION("""COMPUTED_VALUE"""),"41056975")</f>
        <v>41056975</v>
      </c>
      <c r="T343" s="1" t="str">
        <f>IFERROR(__xludf.DUMMYFUNCTION("""COMPUTED_VALUE"""),"0041056975")</f>
        <v>0041056975</v>
      </c>
      <c r="U343" s="1">
        <f>IFERROR(__xludf.DUMMYFUNCTION("""COMPUTED_VALUE"""),3.0)</f>
        <v>3</v>
      </c>
      <c r="V343" s="1" t="str">
        <f>IFERROR(__xludf.DUMMYFUNCTION("""COMPUTED_VALUE"""),"P0900 Doctor")</f>
        <v>P0900 Doctor</v>
      </c>
      <c r="W343" s="1">
        <f>IFERROR(__xludf.DUMMYFUNCTION("""COMPUTED_VALUE"""),1.0)</f>
        <v>1</v>
      </c>
      <c r="X343" s="1" t="str">
        <f>IFERROR(__xludf.DUMMYFUNCTION("""COMPUTED_VALUE"""),"Sin Información")</f>
        <v>Sin Información</v>
      </c>
      <c r="Y343" s="1" t="str">
        <f>IFERROR(__xludf.DUMMYFUNCTION("""COMPUTED_VALUE"""),"CHILE")</f>
        <v>CHILE</v>
      </c>
      <c r="Z343" s="1" t="str">
        <f>IFERROR(__xludf.DUMMYFUNCTION("""COMPUTED_VALUE"""),"T5025 Ingeniero Civil")</f>
        <v>T5025 Ingeniero Civil</v>
      </c>
    </row>
    <row r="344" hidden="1">
      <c r="A344" s="1" t="str">
        <f>IFERROR(__xludf.DUMMYFUNCTION("""COMPUTED_VALUE"""),"12090701 Departamento de Psicología")</f>
        <v>12090701 Departamento de Psicología</v>
      </c>
      <c r="B344" s="1" t="str">
        <f>IFERROR(__xludf.DUMMYFUNCTION("""COMPUTED_VALUE"""),"A2A001 Académico Prof. Asociado")</f>
        <v>A2A001 Académico Prof. Asociado</v>
      </c>
      <c r="C344" s="1" t="str">
        <f>IFERROR(__xludf.DUMMYFUNCTION("""COMPUTED_VALUE"""),"Prof. Asociado - Categ. Academica Ord.")</f>
        <v>Prof. Asociado - Categ. Academica Ord.</v>
      </c>
      <c r="D344" s="1" t="str">
        <f>IFERROR(__xludf.DUMMYFUNCTION("""COMPUTED_VALUE"""),"A2A Prof. Asociado - Categ. Academica Ord.")</f>
        <v>A2A Prof. Asociado - Categ. Academica Ord.</v>
      </c>
      <c r="E344" s="1" t="str">
        <f>IFERROR(__xludf.DUMMYFUNCTION("""COMPUTED_VALUE"""),"Femenino")</f>
        <v>Femenino</v>
      </c>
      <c r="F344" s="1" t="str">
        <f>IFERROR(__xludf.DUMMYFUNCTION("""COMPUTED_VALUE"""),"Vargas")</f>
        <v>Vargas</v>
      </c>
      <c r="G344" s="1" t="str">
        <f>IFERROR(__xludf.DUMMYFUNCTION("""COMPUTED_VALUE"""),"Gaete")</f>
        <v>Gaete</v>
      </c>
      <c r="H344" s="1" t="str">
        <f>IFERROR(__xludf.DUMMYFUNCTION("""COMPUTED_VALUE"""),"Lola Carmen")</f>
        <v>Lola Carmen</v>
      </c>
      <c r="I344" s="1" t="str">
        <f>IFERROR(__xludf.DUMMYFUNCTION("""COMPUTED_VALUE"""),"Vargas Gaete Lola Carmen")</f>
        <v>Vargas Gaete Lola Carmen</v>
      </c>
      <c r="J344" s="10">
        <f>IFERROR(__xludf.DUMMYFUNCTION("""COMPUTED_VALUE"""),27181.0)</f>
        <v>27181</v>
      </c>
      <c r="K344" s="10">
        <f>IFERROR(__xludf.DUMMYFUNCTION("""COMPUTED_VALUE"""),10959.0)</f>
        <v>10959</v>
      </c>
      <c r="L344" s="1">
        <f>IFERROR(__xludf.DUMMYFUNCTION("""COMPUTED_VALUE"""),94.0)</f>
        <v>94</v>
      </c>
      <c r="M344" s="1" t="str">
        <f>IFERROR(__xludf.DUMMYFUNCTION("""COMPUTED_VALUE"""),"0001 Casado")</f>
        <v>0001 Casado</v>
      </c>
      <c r="N344" s="1"/>
      <c r="O344" s="10">
        <f>IFERROR(__xludf.DUMMYFUNCTION("""COMPUTED_VALUE"""),32690.0)</f>
        <v>32690</v>
      </c>
      <c r="P344" s="10">
        <f>IFERROR(__xludf.DUMMYFUNCTION("""COMPUTED_VALUE"""),34564.0)</f>
        <v>34564</v>
      </c>
      <c r="Q344" s="1" t="str">
        <f>IFERROR(__xludf.DUMMYFUNCTION("""COMPUTED_VALUE"""),"P Propiedad")</f>
        <v>P Propiedad</v>
      </c>
      <c r="R344" s="1" t="str">
        <f>IFERROR(__xludf.DUMMYFUNCTION("""COMPUTED_VALUE"""),"A Académico")</f>
        <v>A Académico</v>
      </c>
      <c r="S344" s="9" t="str">
        <f>IFERROR(__xludf.DUMMYFUNCTION("""COMPUTED_VALUE"""),"003064509K")</f>
        <v>003064509K</v>
      </c>
      <c r="T344" s="1" t="str">
        <f>IFERROR(__xludf.DUMMYFUNCTION("""COMPUTED_VALUE"""),"003064509K")</f>
        <v>003064509K</v>
      </c>
      <c r="U344" s="1">
        <f>IFERROR(__xludf.DUMMYFUNCTION("""COMPUTED_VALUE"""),44.0)</f>
        <v>44</v>
      </c>
      <c r="V344" s="1"/>
      <c r="W344" s="1"/>
      <c r="X344" s="1"/>
      <c r="Y344" s="1"/>
      <c r="Z344" s="1"/>
    </row>
    <row r="345">
      <c r="A345" s="1" t="str">
        <f>IFERROR(__xludf.DUMMYFUNCTION("""COMPUTED_VALUE"""),"12090501 Departamento de Investigaciónes Mediáticas y de la Comunicación")</f>
        <v>12090501 Departamento de Investigaciónes Mediáticas y de la Comunicación</v>
      </c>
      <c r="B345" s="1" t="str">
        <f>IFERROR(__xludf.DUMMYFUNCTION("""COMPUTED_VALUE"""),"A4A001 ACADEMICO  INSTRUCTOR")</f>
        <v>A4A001 ACADEMICO  INSTRUCTOR</v>
      </c>
      <c r="C345" s="1" t="str">
        <f>IFERROR(__xludf.DUMMYFUNCTION("""COMPUTED_VALUE"""),"Instructor")</f>
        <v>Instructor</v>
      </c>
      <c r="D345" s="1" t="str">
        <f>IFERROR(__xludf.DUMMYFUNCTION("""COMPUTED_VALUE"""),"A4A Instructor")</f>
        <v>A4A Instructor</v>
      </c>
      <c r="E345" s="1" t="str">
        <f>IFERROR(__xludf.DUMMYFUNCTION("""COMPUTED_VALUE"""),"Masculino")</f>
        <v>Masculino</v>
      </c>
      <c r="F345" s="1" t="str">
        <f>IFERROR(__xludf.DUMMYFUNCTION("""COMPUTED_VALUE"""),"Vásquez")</f>
        <v>Vásquez</v>
      </c>
      <c r="G345" s="1" t="str">
        <f>IFERROR(__xludf.DUMMYFUNCTION("""COMPUTED_VALUE"""),"Henríquez")</f>
        <v>Henríquez</v>
      </c>
      <c r="H345" s="1" t="str">
        <f>IFERROR(__xludf.DUMMYFUNCTION("""COMPUTED_VALUE"""),"Alexis Eduardo")</f>
        <v>Alexis Eduardo</v>
      </c>
      <c r="I345" s="1" t="str">
        <f>IFERROR(__xludf.DUMMYFUNCTION("""COMPUTED_VALUE"""),"Vásquez Henríquez Alexis Eduardo")</f>
        <v>Vásquez Henríquez Alexis Eduardo</v>
      </c>
      <c r="J345" s="10">
        <f>IFERROR(__xludf.DUMMYFUNCTION("""COMPUTED_VALUE"""),32356.0)</f>
        <v>32356</v>
      </c>
      <c r="K345" s="10">
        <f>IFERROR(__xludf.DUMMYFUNCTION("""COMPUTED_VALUE"""),22620.0)</f>
        <v>22620</v>
      </c>
      <c r="L345" s="1">
        <f>IFERROR(__xludf.DUMMYFUNCTION("""COMPUTED_VALUE"""),62.0)</f>
        <v>62</v>
      </c>
      <c r="M345" s="1" t="str">
        <f>IFERROR(__xludf.DUMMYFUNCTION("""COMPUTED_VALUE"""),"0001 Casado")</f>
        <v>0001 Casado</v>
      </c>
      <c r="N345" s="1"/>
      <c r="O345" s="10">
        <f>IFERROR(__xludf.DUMMYFUNCTION("""COMPUTED_VALUE"""),34182.0)</f>
        <v>34182</v>
      </c>
      <c r="P345" s="10">
        <f>IFERROR(__xludf.DUMMYFUNCTION("""COMPUTED_VALUE"""),36311.0)</f>
        <v>36311</v>
      </c>
      <c r="Q345" s="1" t="str">
        <f>IFERROR(__xludf.DUMMYFUNCTION("""COMPUTED_VALUE"""),"P Propiedad")</f>
        <v>P Propiedad</v>
      </c>
      <c r="R345" s="1" t="str">
        <f>IFERROR(__xludf.DUMMYFUNCTION("""COMPUTED_VALUE"""),"A Académico")</f>
        <v>A Académico</v>
      </c>
      <c r="S345" s="9" t="str">
        <f>IFERROR(__xludf.DUMMYFUNCTION("""COMPUTED_VALUE"""),"76990875")</f>
        <v>76990875</v>
      </c>
      <c r="T345" s="1" t="str">
        <f>IFERROR(__xludf.DUMMYFUNCTION("""COMPUTED_VALUE"""),"0076990875")</f>
        <v>0076990875</v>
      </c>
      <c r="U345" s="1">
        <f>IFERROR(__xludf.DUMMYFUNCTION("""COMPUTED_VALUE"""),12.0)</f>
        <v>12</v>
      </c>
      <c r="V345" s="1"/>
      <c r="W345" s="1"/>
      <c r="X345" s="1"/>
      <c r="Y345" s="1"/>
      <c r="Z345" s="1"/>
    </row>
    <row r="346">
      <c r="A346" s="1" t="str">
        <f>IFERROR(__xludf.DUMMYFUNCTION("""COMPUTED_VALUE"""),"12090118 Dpto. de  Psicología (funcionamiento)")</f>
        <v>12090118 Dpto. de  Psicología (funcionamiento)</v>
      </c>
      <c r="B346" s="1" t="str">
        <f>IFERROR(__xludf.DUMMYFUNCTION("""COMPUTED_VALUE"""),"A3A001 Académico Prof. Asistente")</f>
        <v>A3A001 Académico Prof. Asistente</v>
      </c>
      <c r="C346" s="1" t="str">
        <f>IFERROR(__xludf.DUMMYFUNCTION("""COMPUTED_VALUE"""),"Prof. Asistente - Categ. Academica Ord.")</f>
        <v>Prof. Asistente - Categ. Academica Ord.</v>
      </c>
      <c r="D346" s="1" t="str">
        <f>IFERROR(__xludf.DUMMYFUNCTION("""COMPUTED_VALUE"""),"A3A Prof. Asistente - Categ. Academica Ord.")</f>
        <v>A3A Prof. Asistente - Categ. Academica Ord.</v>
      </c>
      <c r="E346" s="1" t="str">
        <f>IFERROR(__xludf.DUMMYFUNCTION("""COMPUTED_VALUE"""),"Femenino")</f>
        <v>Femenino</v>
      </c>
      <c r="F346" s="1" t="str">
        <f>IFERROR(__xludf.DUMMYFUNCTION("""COMPUTED_VALUE"""),"Vásquez")</f>
        <v>Vásquez</v>
      </c>
      <c r="G346" s="1" t="str">
        <f>IFERROR(__xludf.DUMMYFUNCTION("""COMPUTED_VALUE"""),"Vivar")</f>
        <v>Vivar</v>
      </c>
      <c r="H346" s="1" t="str">
        <f>IFERROR(__xludf.DUMMYFUNCTION("""COMPUTED_VALUE"""),"Carolina Alejandra")</f>
        <v>Carolina Alejandra</v>
      </c>
      <c r="I346" s="1" t="str">
        <f>IFERROR(__xludf.DUMMYFUNCTION("""COMPUTED_VALUE"""),"Vásquez Vivar Carolina Alejandra")</f>
        <v>Vásquez Vivar Carolina Alejandra</v>
      </c>
      <c r="J346" s="10">
        <f>IFERROR(__xludf.DUMMYFUNCTION("""COMPUTED_VALUE"""),38108.0)</f>
        <v>38108</v>
      </c>
      <c r="K346" s="10">
        <f>IFERROR(__xludf.DUMMYFUNCTION("""COMPUTED_VALUE"""),25240.0)</f>
        <v>25240</v>
      </c>
      <c r="L346" s="1">
        <f>IFERROR(__xludf.DUMMYFUNCTION("""COMPUTED_VALUE"""),54.0)</f>
        <v>54</v>
      </c>
      <c r="M346" s="1" t="str">
        <f>IFERROR(__xludf.DUMMYFUNCTION("""COMPUTED_VALUE"""),"0001 Casado")</f>
        <v>0001 Casado</v>
      </c>
      <c r="N346" s="1" t="str">
        <f>IFERROR(__xludf.DUMMYFUNCTION("""COMPUTED_VALUE"""),"N0040 Profesional Superior")</f>
        <v>N0040 Profesional Superior</v>
      </c>
      <c r="O346" s="10">
        <f>IFERROR(__xludf.DUMMYFUNCTION("""COMPUTED_VALUE"""),42856.0)</f>
        <v>42856</v>
      </c>
      <c r="P346" s="10">
        <f>IFERROR(__xludf.DUMMYFUNCTION("""COMPUTED_VALUE"""),43100.0)</f>
        <v>43100</v>
      </c>
      <c r="Q346" s="1" t="str">
        <f>IFERROR(__xludf.DUMMYFUNCTION("""COMPUTED_VALUE"""),"C Contrata")</f>
        <v>C Contrata</v>
      </c>
      <c r="R346" s="1" t="str">
        <f>IFERROR(__xludf.DUMMYFUNCTION("""COMPUTED_VALUE"""),"A Académico")</f>
        <v>A Académico</v>
      </c>
      <c r="S346" s="9" t="str">
        <f>IFERROR(__xludf.DUMMYFUNCTION("""COMPUTED_VALUE"""),"105513291")</f>
        <v>105513291</v>
      </c>
      <c r="T346" s="1" t="str">
        <f>IFERROR(__xludf.DUMMYFUNCTION("""COMPUTED_VALUE"""),"0105513291")</f>
        <v>0105513291</v>
      </c>
      <c r="U346" s="1">
        <f>IFERROR(__xludf.DUMMYFUNCTION("""COMPUTED_VALUE"""),6.0)</f>
        <v>6</v>
      </c>
      <c r="V346" s="1" t="str">
        <f>IFERROR(__xludf.DUMMYFUNCTION("""COMPUTED_VALUE"""),"P0401 Licenciado")</f>
        <v>P0401 Licenciado</v>
      </c>
      <c r="W346" s="1">
        <f>IFERROR(__xludf.DUMMYFUNCTION("""COMPUTED_VALUE"""),36475.0)</f>
        <v>36475</v>
      </c>
      <c r="X346" s="1" t="str">
        <f>IFERROR(__xludf.DUMMYFUNCTION("""COMPUTED_VALUE"""),"Universidad De Chile")</f>
        <v>Universidad De Chile</v>
      </c>
      <c r="Y346" s="1" t="str">
        <f>IFERROR(__xludf.DUMMYFUNCTION("""COMPUTED_VALUE"""),"CHILE")</f>
        <v>CHILE</v>
      </c>
      <c r="Z346" s="1" t="str">
        <f>IFERROR(__xludf.DUMMYFUNCTION("""COMPUTED_VALUE"""),"T5124 Psicologo")</f>
        <v>T5124 Psicologo</v>
      </c>
    </row>
    <row r="347">
      <c r="A347" s="1" t="str">
        <f>IFERROR(__xludf.DUMMYFUNCTION("""COMPUTED_VALUE"""),"12090701 Departamento de Psicología")</f>
        <v>12090701 Departamento de Psicología</v>
      </c>
      <c r="B347" s="1" t="str">
        <f>IFERROR(__xludf.DUMMYFUNCTION("""COMPUTED_VALUE"""),"A4A001 ACADEMICO  INSTRUCTOR")</f>
        <v>A4A001 ACADEMICO  INSTRUCTOR</v>
      </c>
      <c r="C347" s="1" t="str">
        <f>IFERROR(__xludf.DUMMYFUNCTION("""COMPUTED_VALUE"""),"Instructor")</f>
        <v>Instructor</v>
      </c>
      <c r="D347" s="1" t="str">
        <f>IFERROR(__xludf.DUMMYFUNCTION("""COMPUTED_VALUE"""),"A4A Instructor")</f>
        <v>A4A Instructor</v>
      </c>
      <c r="E347" s="1" t="str">
        <f>IFERROR(__xludf.DUMMYFUNCTION("""COMPUTED_VALUE"""),"Masculino")</f>
        <v>Masculino</v>
      </c>
      <c r="F347" s="1" t="str">
        <f>IFERROR(__xludf.DUMMYFUNCTION("""COMPUTED_VALUE"""),"Vega")</f>
        <v>Vega</v>
      </c>
      <c r="G347" s="1" t="str">
        <f>IFERROR(__xludf.DUMMYFUNCTION("""COMPUTED_VALUE"""),"Galvez-Rivas")</f>
        <v>Galvez-Rivas</v>
      </c>
      <c r="H347" s="1" t="str">
        <f>IFERROR(__xludf.DUMMYFUNCTION("""COMPUTED_VALUE"""),"Jorge Alfonso Federico")</f>
        <v>Jorge Alfonso Federico</v>
      </c>
      <c r="I347" s="1" t="str">
        <f>IFERROR(__xludf.DUMMYFUNCTION("""COMPUTED_VALUE"""),"Vega Galvez-Rivas Jorge Alfonso Federico")</f>
        <v>Vega Galvez-Rivas Jorge Alfonso Federico</v>
      </c>
      <c r="J347" s="10">
        <f>IFERROR(__xludf.DUMMYFUNCTION("""COMPUTED_VALUE"""),32964.0)</f>
        <v>32964</v>
      </c>
      <c r="K347" s="10">
        <f>IFERROR(__xludf.DUMMYFUNCTION("""COMPUTED_VALUE"""),20045.0)</f>
        <v>20045</v>
      </c>
      <c r="L347" s="1">
        <f>IFERROR(__xludf.DUMMYFUNCTION("""COMPUTED_VALUE"""),69.0)</f>
        <v>69</v>
      </c>
      <c r="M347" s="1" t="str">
        <f>IFERROR(__xludf.DUMMYFUNCTION("""COMPUTED_VALUE"""),"0004 Otro")</f>
        <v>0004 Otro</v>
      </c>
      <c r="N347" s="1"/>
      <c r="O347" s="10">
        <f>IFERROR(__xludf.DUMMYFUNCTION("""COMPUTED_VALUE"""),30291.0)</f>
        <v>30291</v>
      </c>
      <c r="P347" s="10">
        <f>IFERROR(__xludf.DUMMYFUNCTION("""COMPUTED_VALUE"""),34789.0)</f>
        <v>34789</v>
      </c>
      <c r="Q347" s="1" t="str">
        <f>IFERROR(__xludf.DUMMYFUNCTION("""COMPUTED_VALUE"""),"P Propiedad")</f>
        <v>P Propiedad</v>
      </c>
      <c r="R347" s="1" t="str">
        <f>IFERROR(__xludf.DUMMYFUNCTION("""COMPUTED_VALUE"""),"A Académico")</f>
        <v>A Académico</v>
      </c>
      <c r="S347" s="9" t="str">
        <f>IFERROR(__xludf.DUMMYFUNCTION("""COMPUTED_VALUE"""),"69873812")</f>
        <v>69873812</v>
      </c>
      <c r="T347" s="1" t="str">
        <f>IFERROR(__xludf.DUMMYFUNCTION("""COMPUTED_VALUE"""),"0069873812")</f>
        <v>0069873812</v>
      </c>
      <c r="U347" s="1">
        <f>IFERROR(__xludf.DUMMYFUNCTION("""COMPUTED_VALUE"""),2.0)</f>
        <v>2</v>
      </c>
      <c r="V347" s="1"/>
      <c r="W347" s="1"/>
      <c r="X347" s="1"/>
      <c r="Y347" s="1"/>
      <c r="Z347" s="1"/>
    </row>
    <row r="348">
      <c r="A348" s="1" t="str">
        <f>IFERROR(__xludf.DUMMYFUNCTION("""COMPUTED_VALUE"""),"12090601 Departamento de Educación")</f>
        <v>12090601 Departamento de Educación</v>
      </c>
      <c r="B348" s="1" t="str">
        <f>IFERROR(__xludf.DUMMYFUNCTION("""COMPUTED_VALUE"""),"A3A001 Académico Prof. Asistente")</f>
        <v>A3A001 Académico Prof. Asistente</v>
      </c>
      <c r="C348" s="1" t="str">
        <f>IFERROR(__xludf.DUMMYFUNCTION("""COMPUTED_VALUE"""),"Prof. Asistente - Categ. Academica Ord.")</f>
        <v>Prof. Asistente - Categ. Academica Ord.</v>
      </c>
      <c r="D348" s="1" t="str">
        <f>IFERROR(__xludf.DUMMYFUNCTION("""COMPUTED_VALUE"""),"A3A Prof. Asistente - Categ. Academica Ord.")</f>
        <v>A3A Prof. Asistente - Categ. Academica Ord.</v>
      </c>
      <c r="E348" s="1" t="str">
        <f>IFERROR(__xludf.DUMMYFUNCTION("""COMPUTED_VALUE"""),"Femenino")</f>
        <v>Femenino</v>
      </c>
      <c r="F348" s="1" t="str">
        <f>IFERROR(__xludf.DUMMYFUNCTION("""COMPUTED_VALUE"""),"Veglia")</f>
        <v>Veglia</v>
      </c>
      <c r="G348" s="1" t="str">
        <f>IFERROR(__xludf.DUMMYFUNCTION("""COMPUTED_VALUE"""),"Quintana")</f>
        <v>Quintana</v>
      </c>
      <c r="H348" s="1" t="str">
        <f>IFERROR(__xludf.DUMMYFUNCTION("""COMPUTED_VALUE"""),"María Luisa")</f>
        <v>María Luisa</v>
      </c>
      <c r="I348" s="1" t="str">
        <f>IFERROR(__xludf.DUMMYFUNCTION("""COMPUTED_VALUE"""),"Veglia Quintana María Luisa")</f>
        <v>Veglia Quintana María Luisa</v>
      </c>
      <c r="J348" s="10">
        <f>IFERROR(__xludf.DUMMYFUNCTION("""COMPUTED_VALUE"""),37104.0)</f>
        <v>37104</v>
      </c>
      <c r="K348" s="10">
        <f>IFERROR(__xludf.DUMMYFUNCTION("""COMPUTED_VALUE"""),21434.0)</f>
        <v>21434</v>
      </c>
      <c r="L348" s="1">
        <f>IFERROR(__xludf.DUMMYFUNCTION("""COMPUTED_VALUE"""),65.0)</f>
        <v>65</v>
      </c>
      <c r="M348" s="1" t="str">
        <f>IFERROR(__xludf.DUMMYFUNCTION("""COMPUTED_VALUE"""),"0002 Soltero")</f>
        <v>0002 Soltero</v>
      </c>
      <c r="N348" s="1"/>
      <c r="O348" s="10">
        <f>IFERROR(__xludf.DUMMYFUNCTION("""COMPUTED_VALUE"""),37104.0)</f>
        <v>37104</v>
      </c>
      <c r="P348" s="10">
        <f>IFERROR(__xludf.DUMMYFUNCTION("""COMPUTED_VALUE"""),37256.0)</f>
        <v>37256</v>
      </c>
      <c r="Q348" s="1" t="str">
        <f>IFERROR(__xludf.DUMMYFUNCTION("""COMPUTED_VALUE"""),"C Contrata")</f>
        <v>C Contrata</v>
      </c>
      <c r="R348" s="1" t="str">
        <f>IFERROR(__xludf.DUMMYFUNCTION("""COMPUTED_VALUE"""),"A Académico")</f>
        <v>A Académico</v>
      </c>
      <c r="S348" s="9" t="str">
        <f>IFERROR(__xludf.DUMMYFUNCTION("""COMPUTED_VALUE"""),"85274600")</f>
        <v>85274600</v>
      </c>
      <c r="T348" s="1" t="str">
        <f>IFERROR(__xludf.DUMMYFUNCTION("""COMPUTED_VALUE"""),"0085274600")</f>
        <v>0085274600</v>
      </c>
      <c r="U348" s="1">
        <f>IFERROR(__xludf.DUMMYFUNCTION("""COMPUTED_VALUE"""),22.0)</f>
        <v>22</v>
      </c>
      <c r="V348" s="1"/>
      <c r="W348" s="1"/>
      <c r="X348" s="1"/>
      <c r="Y348" s="1"/>
      <c r="Z348" s="1"/>
    </row>
    <row r="349">
      <c r="A349" s="1" t="str">
        <f>IFERROR(__xludf.DUMMYFUNCTION("""COMPUTED_VALUE"""),"12090118 Dpto. de  Psicología (funcionamiento)")</f>
        <v>12090118 Dpto. de  Psicología (funcionamiento)</v>
      </c>
      <c r="B349" s="1" t="str">
        <f>IFERROR(__xludf.DUMMYFUNCTION("""COMPUTED_VALUE"""),"A3A001 Académico Prof. Asistente")</f>
        <v>A3A001 Académico Prof. Asistente</v>
      </c>
      <c r="C349" s="1" t="str">
        <f>IFERROR(__xludf.DUMMYFUNCTION("""COMPUTED_VALUE"""),"Prof. Asistente - Categ. Academica Ord.")</f>
        <v>Prof. Asistente - Categ. Academica Ord.</v>
      </c>
      <c r="D349" s="1" t="str">
        <f>IFERROR(__xludf.DUMMYFUNCTION("""COMPUTED_VALUE"""),"A3A Prof. Asistente - Categ. Academica Ord.")</f>
        <v>A3A Prof. Asistente - Categ. Academica Ord.</v>
      </c>
      <c r="E349" s="1" t="str">
        <f>IFERROR(__xludf.DUMMYFUNCTION("""COMPUTED_VALUE"""),"Femenino")</f>
        <v>Femenino</v>
      </c>
      <c r="F349" s="1" t="str">
        <f>IFERROR(__xludf.DUMMYFUNCTION("""COMPUTED_VALUE"""),"Véliz")</f>
        <v>Véliz</v>
      </c>
      <c r="G349" s="1" t="str">
        <f>IFERROR(__xludf.DUMMYFUNCTION("""COMPUTED_VALUE"""),"Córdova")</f>
        <v>Córdova</v>
      </c>
      <c r="H349" s="1" t="str">
        <f>IFERROR(__xludf.DUMMYFUNCTION("""COMPUTED_VALUE"""),"Soledad del Carmen")</f>
        <v>Soledad del Carmen</v>
      </c>
      <c r="I349" s="1" t="str">
        <f>IFERROR(__xludf.DUMMYFUNCTION("""COMPUTED_VALUE"""),"Véliz Córdova Soledad del Carmen")</f>
        <v>Véliz Córdova Soledad del Carmen</v>
      </c>
      <c r="J349" s="10">
        <f>IFERROR(__xludf.DUMMYFUNCTION("""COMPUTED_VALUE"""),39661.0)</f>
        <v>39661</v>
      </c>
      <c r="K349" s="10">
        <f>IFERROR(__xludf.DUMMYFUNCTION("""COMPUTED_VALUE"""),30034.0)</f>
        <v>30034</v>
      </c>
      <c r="L349" s="1">
        <f>IFERROR(__xludf.DUMMYFUNCTION("""COMPUTED_VALUE"""),41.0)</f>
        <v>41</v>
      </c>
      <c r="M349" s="1" t="str">
        <f>IFERROR(__xludf.DUMMYFUNCTION("""COMPUTED_VALUE"""),"0002 Soltero")</f>
        <v>0002 Soltero</v>
      </c>
      <c r="N349" s="1"/>
      <c r="O349" s="10">
        <f>IFERROR(__xludf.DUMMYFUNCTION("""COMPUTED_VALUE"""),44927.0)</f>
        <v>44927</v>
      </c>
      <c r="P349" s="10">
        <f>IFERROR(__xludf.DUMMYFUNCTION("""COMPUTED_VALUE"""),45291.0)</f>
        <v>45291</v>
      </c>
      <c r="Q349" s="1" t="str">
        <f>IFERROR(__xludf.DUMMYFUNCTION("""COMPUTED_VALUE"""),"C Contrata")</f>
        <v>C Contrata</v>
      </c>
      <c r="R349" s="1" t="str">
        <f>IFERROR(__xludf.DUMMYFUNCTION("""COMPUTED_VALUE"""),"A Académico")</f>
        <v>A Académico</v>
      </c>
      <c r="S349" s="9" t="str">
        <f>IFERROR(__xludf.DUMMYFUNCTION("""COMPUTED_VALUE"""),"153780471")</f>
        <v>153780471</v>
      </c>
      <c r="T349" s="1" t="str">
        <f>IFERROR(__xludf.DUMMYFUNCTION("""COMPUTED_VALUE"""),"0153780471")</f>
        <v>0153780471</v>
      </c>
      <c r="U349" s="1">
        <f>IFERROR(__xludf.DUMMYFUNCTION("""COMPUTED_VALUE"""),12.0)</f>
        <v>12</v>
      </c>
      <c r="V349" s="1" t="str">
        <f>IFERROR(__xludf.DUMMYFUNCTION("""COMPUTED_VALUE"""),"P0800 Magíster")</f>
        <v>P0800 Magíster</v>
      </c>
      <c r="W349" s="1">
        <f>IFERROR(__xludf.DUMMYFUNCTION("""COMPUTED_VALUE"""),40210.0)</f>
        <v>40210</v>
      </c>
      <c r="X349" s="1" t="str">
        <f>IFERROR(__xludf.DUMMYFUNCTION("""COMPUTED_VALUE"""),"Anglia Ruskin University")</f>
        <v>Anglia Ruskin University</v>
      </c>
      <c r="Y349" s="1" t="str">
        <f>IFERROR(__xludf.DUMMYFUNCTION("""COMPUTED_VALUE"""),"REINO UNIDO")</f>
        <v>REINO UNIDO</v>
      </c>
      <c r="Z349" s="1" t="str">
        <f>IFERROR(__xludf.DUMMYFUNCTION("""COMPUTED_VALUE"""),"T5065 Licenciado en Psicologia")</f>
        <v>T5065 Licenciado en Psicologia</v>
      </c>
    </row>
    <row r="350" hidden="1">
      <c r="A350" s="1" t="str">
        <f>IFERROR(__xludf.DUMMYFUNCTION("""COMPUTED_VALUE"""),"12090701 Departamento de Psicología")</f>
        <v>12090701 Departamento de Psicología</v>
      </c>
      <c r="B350" s="1" t="str">
        <f>IFERROR(__xludf.DUMMYFUNCTION("""COMPUTED_VALUE"""),"A8A001 ACADEMICO INSTRUCTOR ADJUNTO")</f>
        <v>A8A001 ACADEMICO INSTRUCTOR ADJUNTO</v>
      </c>
      <c r="C350" s="1" t="str">
        <f>IFERROR(__xludf.DUMMYFUNCTION("""COMPUTED_VALUE"""),"Inst. Adjunto")</f>
        <v>Inst. Adjunto</v>
      </c>
      <c r="D350" s="1" t="str">
        <f>IFERROR(__xludf.DUMMYFUNCTION("""COMPUTED_VALUE"""),"A8A Inst. Adjunto")</f>
        <v>A8A Inst. Adjunto</v>
      </c>
      <c r="E350" s="1" t="str">
        <f>IFERROR(__xludf.DUMMYFUNCTION("""COMPUTED_VALUE"""),"Masculino")</f>
        <v>Masculino</v>
      </c>
      <c r="F350" s="1" t="str">
        <f>IFERROR(__xludf.DUMMYFUNCTION("""COMPUTED_VALUE"""),"Venegas")</f>
        <v>Venegas</v>
      </c>
      <c r="G350" s="1" t="str">
        <f>IFERROR(__xludf.DUMMYFUNCTION("""COMPUTED_VALUE"""),"Díaz")</f>
        <v>Díaz</v>
      </c>
      <c r="H350" s="1" t="str">
        <f>IFERROR(__xludf.DUMMYFUNCTION("""COMPUTED_VALUE"""),"Carlos Sócrates")</f>
        <v>Carlos Sócrates</v>
      </c>
      <c r="I350" s="1" t="str">
        <f>IFERROR(__xludf.DUMMYFUNCTION("""COMPUTED_VALUE"""),"Venegas Díaz Carlos Sócrates")</f>
        <v>Venegas Díaz Carlos Sócrates</v>
      </c>
      <c r="J350" s="10">
        <f>IFERROR(__xludf.DUMMYFUNCTION("""COMPUTED_VALUE"""),26420.0)</f>
        <v>26420</v>
      </c>
      <c r="K350" s="10">
        <f>IFERROR(__xludf.DUMMYFUNCTION("""COMPUTED_VALUE"""),18471.0)</f>
        <v>18471</v>
      </c>
      <c r="L350" s="1">
        <f>IFERROR(__xludf.DUMMYFUNCTION("""COMPUTED_VALUE"""),73.0)</f>
        <v>73</v>
      </c>
      <c r="M350" s="1" t="str">
        <f>IFERROR(__xludf.DUMMYFUNCTION("""COMPUTED_VALUE"""),"0001 Casado")</f>
        <v>0001 Casado</v>
      </c>
      <c r="N350" s="1"/>
      <c r="O350" s="10">
        <f>IFERROR(__xludf.DUMMYFUNCTION("""COMPUTED_VALUE"""),34639.0)</f>
        <v>34639</v>
      </c>
      <c r="P350" s="10">
        <f>IFERROR(__xludf.DUMMYFUNCTION("""COMPUTED_VALUE"""),34819.0)</f>
        <v>34819</v>
      </c>
      <c r="Q350" s="1" t="str">
        <f>IFERROR(__xludf.DUMMYFUNCTION("""COMPUTED_VALUE"""),"A Ad Honorem Propiedad")</f>
        <v>A Ad Honorem Propiedad</v>
      </c>
      <c r="R350" s="1" t="str">
        <f>IFERROR(__xludf.DUMMYFUNCTION("""COMPUTED_VALUE"""),"A Académico")</f>
        <v>A Académico</v>
      </c>
      <c r="S350" s="9" t="str">
        <f>IFERROR(__xludf.DUMMYFUNCTION("""COMPUTED_VALUE"""),"56605541")</f>
        <v>56605541</v>
      </c>
      <c r="T350" s="1" t="str">
        <f>IFERROR(__xludf.DUMMYFUNCTION("""COMPUTED_VALUE"""),"0056605541")</f>
        <v>0056605541</v>
      </c>
      <c r="U350" s="1">
        <f>IFERROR(__xludf.DUMMYFUNCTION("""COMPUTED_VALUE"""),6.0)</f>
        <v>6</v>
      </c>
      <c r="V350" s="1" t="str">
        <f>IFERROR(__xludf.DUMMYFUNCTION("""COMPUTED_VALUE"""),"P0501 Con Titulo Profesional")</f>
        <v>P0501 Con Titulo Profesional</v>
      </c>
      <c r="W350" s="1">
        <f>IFERROR(__xludf.DUMMYFUNCTION("""COMPUTED_VALUE"""),26299.0)</f>
        <v>26299</v>
      </c>
      <c r="X350" s="1" t="str">
        <f>IFERROR(__xludf.DUMMYFUNCTION("""COMPUTED_VALUE"""),"Universidad De Chile")</f>
        <v>Universidad De Chile</v>
      </c>
      <c r="Y350" s="1" t="str">
        <f>IFERROR(__xludf.DUMMYFUNCTION("""COMPUTED_VALUE"""),"CHILE")</f>
        <v>CHILE</v>
      </c>
      <c r="Z350" s="1"/>
    </row>
    <row r="351" hidden="1">
      <c r="A351" s="1" t="str">
        <f>IFERROR(__xludf.DUMMYFUNCTION("""COMPUTED_VALUE"""),"12090501 Departamento de Investigaciónes Mediáticas y de la Comunicación")</f>
        <v>12090501 Departamento de Investigaciónes Mediáticas y de la Comunicación</v>
      </c>
      <c r="B351" s="1" t="str">
        <f>IFERROR(__xludf.DUMMYFUNCTION("""COMPUTED_VALUE"""),"A3A001 Académico Prof. Asistente")</f>
        <v>A3A001 Académico Prof. Asistente</v>
      </c>
      <c r="C351" s="1" t="str">
        <f>IFERROR(__xludf.DUMMYFUNCTION("""COMPUTED_VALUE"""),"Prof. Asistente - Categ. Academica Ord.")</f>
        <v>Prof. Asistente - Categ. Academica Ord.</v>
      </c>
      <c r="D351" s="1" t="str">
        <f>IFERROR(__xludf.DUMMYFUNCTION("""COMPUTED_VALUE"""),"A3A Prof. Asistente - Categ. Academica Ord.")</f>
        <v>A3A Prof. Asistente - Categ. Academica Ord.</v>
      </c>
      <c r="E351" s="1" t="str">
        <f>IFERROR(__xludf.DUMMYFUNCTION("""COMPUTED_VALUE"""),"Masculino")</f>
        <v>Masculino</v>
      </c>
      <c r="F351" s="1" t="str">
        <f>IFERROR(__xludf.DUMMYFUNCTION("""COMPUTED_VALUE"""),"Vera")</f>
        <v>Vera</v>
      </c>
      <c r="G351" s="1" t="str">
        <f>IFERROR(__xludf.DUMMYFUNCTION("""COMPUTED_VALUE"""),"Meigg")</f>
        <v>Meigg</v>
      </c>
      <c r="H351" s="1" t="str">
        <f>IFERROR(__xludf.DUMMYFUNCTION("""COMPUTED_VALUE"""),"David Alberto Sergio Enrique")</f>
        <v>David Alberto Sergio Enrique</v>
      </c>
      <c r="I351" s="1" t="str">
        <f>IFERROR(__xludf.DUMMYFUNCTION("""COMPUTED_VALUE"""),"Vera Meigg David Alberto Sergio Enrique")</f>
        <v>Vera Meigg David Alberto Sergio Enrique</v>
      </c>
      <c r="J351" s="10">
        <f>IFERROR(__xludf.DUMMYFUNCTION("""COMPUTED_VALUE"""),34973.0)</f>
        <v>34973</v>
      </c>
      <c r="K351" s="10">
        <f>IFERROR(__xludf.DUMMYFUNCTION("""COMPUTED_VALUE"""),19059.0)</f>
        <v>19059</v>
      </c>
      <c r="L351" s="1">
        <f>IFERROR(__xludf.DUMMYFUNCTION("""COMPUTED_VALUE"""),71.0)</f>
        <v>71</v>
      </c>
      <c r="M351" s="1" t="str">
        <f>IFERROR(__xludf.DUMMYFUNCTION("""COMPUTED_VALUE"""),"0001 Casado")</f>
        <v>0001 Casado</v>
      </c>
      <c r="N351" s="1" t="str">
        <f>IFERROR(__xludf.DUMMYFUNCTION("""COMPUTED_VALUE"""),"N0040 Profesional Superior")</f>
        <v>N0040 Profesional Superior</v>
      </c>
      <c r="O351" s="10">
        <f>IFERROR(__xludf.DUMMYFUNCTION("""COMPUTED_VALUE"""),34973.0)</f>
        <v>34973</v>
      </c>
      <c r="P351" s="10">
        <f>IFERROR(__xludf.DUMMYFUNCTION("""COMPUTED_VALUE"""),37833.0)</f>
        <v>37833</v>
      </c>
      <c r="Q351" s="1" t="str">
        <f>IFERROR(__xludf.DUMMYFUNCTION("""COMPUTED_VALUE"""),"P Propiedad")</f>
        <v>P Propiedad</v>
      </c>
      <c r="R351" s="1" t="str">
        <f>IFERROR(__xludf.DUMMYFUNCTION("""COMPUTED_VALUE"""),"A Académico")</f>
        <v>A Académico</v>
      </c>
      <c r="S351" s="9" t="str">
        <f>IFERROR(__xludf.DUMMYFUNCTION("""COMPUTED_VALUE"""),"43386190")</f>
        <v>43386190</v>
      </c>
      <c r="T351" s="1" t="str">
        <f>IFERROR(__xludf.DUMMYFUNCTION("""COMPUTED_VALUE"""),"0043386190")</f>
        <v>0043386190</v>
      </c>
      <c r="U351" s="1">
        <f>IFERROR(__xludf.DUMMYFUNCTION("""COMPUTED_VALUE"""),12.0)</f>
        <v>12</v>
      </c>
      <c r="V351" s="1"/>
      <c r="W351" s="1"/>
      <c r="X351" s="1"/>
      <c r="Y351" s="1"/>
      <c r="Z351" s="1" t="str">
        <f>IFERROR(__xludf.DUMMYFUNCTION("""COMPUTED_VALUE"""),"T5345 Realizador Cinematografico")</f>
        <v>T5345 Realizador Cinematografico</v>
      </c>
    </row>
    <row r="352">
      <c r="A352" s="1" t="str">
        <f>IFERROR(__xludf.DUMMYFUNCTION("""COMPUTED_VALUE"""),"12090118 Dpto. de  Psicología (funcionamiento)")</f>
        <v>12090118 Dpto. de  Psicología (funcionamiento)</v>
      </c>
      <c r="B352" s="1" t="str">
        <f>IFERROR(__xludf.DUMMYFUNCTION("""COMPUTED_VALUE"""),"A3A001 Académico Prof. Asistente")</f>
        <v>A3A001 Académico Prof. Asistente</v>
      </c>
      <c r="C352" s="1" t="str">
        <f>IFERROR(__xludf.DUMMYFUNCTION("""COMPUTED_VALUE"""),"Prof. Asistente - Categ. Academica Ord.")</f>
        <v>Prof. Asistente - Categ. Academica Ord.</v>
      </c>
      <c r="D352" s="1" t="str">
        <f>IFERROR(__xludf.DUMMYFUNCTION("""COMPUTED_VALUE"""),"A3A Prof. Asistente - Categ. Academica Ord.")</f>
        <v>A3A Prof. Asistente - Categ. Academica Ord.</v>
      </c>
      <c r="E352" s="1" t="str">
        <f>IFERROR(__xludf.DUMMYFUNCTION("""COMPUTED_VALUE"""),"Masculino")</f>
        <v>Masculino</v>
      </c>
      <c r="F352" s="1" t="str">
        <f>IFERROR(__xludf.DUMMYFUNCTION("""COMPUTED_VALUE"""),"Vera")</f>
        <v>Vera</v>
      </c>
      <c r="G352" s="1" t="str">
        <f>IFERROR(__xludf.DUMMYFUNCTION("""COMPUTED_VALUE"""),"Pavez")</f>
        <v>Pavez</v>
      </c>
      <c r="H352" s="1" t="str">
        <f>IFERROR(__xludf.DUMMYFUNCTION("""COMPUTED_VALUE"""),"Juan Ignacio")</f>
        <v>Juan Ignacio</v>
      </c>
      <c r="I352" s="1" t="str">
        <f>IFERROR(__xludf.DUMMYFUNCTION("""COMPUTED_VALUE"""),"Vera Pavez Juan Ignacio")</f>
        <v>Vera Pavez Juan Ignacio</v>
      </c>
      <c r="J352" s="10">
        <f>IFERROR(__xludf.DUMMYFUNCTION("""COMPUTED_VALUE"""),39356.0)</f>
        <v>39356</v>
      </c>
      <c r="K352" s="10">
        <f>IFERROR(__xludf.DUMMYFUNCTION("""COMPUTED_VALUE"""),28884.0)</f>
        <v>28884</v>
      </c>
      <c r="L352" s="1">
        <f>IFERROR(__xludf.DUMMYFUNCTION("""COMPUTED_VALUE"""),44.0)</f>
        <v>44</v>
      </c>
      <c r="M352" s="1" t="str">
        <f>IFERROR(__xludf.DUMMYFUNCTION("""COMPUTED_VALUE"""),"0001 Casado")</f>
        <v>0001 Casado</v>
      </c>
      <c r="N352" s="1"/>
      <c r="O352" s="10">
        <f>IFERROR(__xludf.DUMMYFUNCTION("""COMPUTED_VALUE"""),42736.0)</f>
        <v>42736</v>
      </c>
      <c r="P352" s="10">
        <f>IFERROR(__xludf.DUMMYFUNCTION("""COMPUTED_VALUE"""),42855.0)</f>
        <v>42855</v>
      </c>
      <c r="Q352" s="1" t="str">
        <f>IFERROR(__xludf.DUMMYFUNCTION("""COMPUTED_VALUE"""),"C Contrata")</f>
        <v>C Contrata</v>
      </c>
      <c r="R352" s="1" t="str">
        <f>IFERROR(__xludf.DUMMYFUNCTION("""COMPUTED_VALUE"""),"A Académico")</f>
        <v>A Académico</v>
      </c>
      <c r="S352" s="9" t="str">
        <f>IFERROR(__xludf.DUMMYFUNCTION("""COMPUTED_VALUE"""),"135484504")</f>
        <v>135484504</v>
      </c>
      <c r="T352" s="1" t="str">
        <f>IFERROR(__xludf.DUMMYFUNCTION("""COMPUTED_VALUE"""),"0135484504")</f>
        <v>0135484504</v>
      </c>
      <c r="U352" s="1">
        <f>IFERROR(__xludf.DUMMYFUNCTION("""COMPUTED_VALUE"""),2.0)</f>
        <v>2</v>
      </c>
      <c r="V352" s="1" t="str">
        <f>IFERROR(__xludf.DUMMYFUNCTION("""COMPUTED_VALUE"""),"P0900 Doctor")</f>
        <v>P0900 Doctor</v>
      </c>
      <c r="W352" s="1">
        <f>IFERROR(__xludf.DUMMYFUNCTION("""COMPUTED_VALUE"""),41118.0)</f>
        <v>41118</v>
      </c>
      <c r="X352" s="1" t="str">
        <f>IFERROR(__xludf.DUMMYFUNCTION("""COMPUTED_VALUE"""),"Universidad Autónoma de Barcelona")</f>
        <v>Universidad Autónoma de Barcelona</v>
      </c>
      <c r="Y352" s="1" t="str">
        <f>IFERROR(__xludf.DUMMYFUNCTION("""COMPUTED_VALUE"""),"ESPAÑA")</f>
        <v>ESPAÑA</v>
      </c>
      <c r="Z352" s="1" t="str">
        <f>IFERROR(__xludf.DUMMYFUNCTION("""COMPUTED_VALUE"""),"T5124 Psicologo")</f>
        <v>T5124 Psicologo</v>
      </c>
    </row>
    <row r="353">
      <c r="A353" s="1" t="str">
        <f>IFERROR(__xludf.DUMMYFUNCTION("""COMPUTED_VALUE"""),"12090118 Dpto. de  Psicología (funcionamiento)")</f>
        <v>12090118 Dpto. de  Psicología (funcionamiento)</v>
      </c>
      <c r="B353" s="1" t="str">
        <f>IFERROR(__xludf.DUMMYFUNCTION("""COMPUTED_VALUE"""),"A4A001 ACADEMICO  INSTRUCTOR")</f>
        <v>A4A001 ACADEMICO  INSTRUCTOR</v>
      </c>
      <c r="C353" s="1" t="str">
        <f>IFERROR(__xludf.DUMMYFUNCTION("""COMPUTED_VALUE"""),"Instructor")</f>
        <v>Instructor</v>
      </c>
      <c r="D353" s="1" t="str">
        <f>IFERROR(__xludf.DUMMYFUNCTION("""COMPUTED_VALUE"""),"A4A Instructor")</f>
        <v>A4A Instructor</v>
      </c>
      <c r="E353" s="1" t="str">
        <f>IFERROR(__xludf.DUMMYFUNCTION("""COMPUTED_VALUE"""),"Masculino")</f>
        <v>Masculino</v>
      </c>
      <c r="F353" s="1" t="str">
        <f>IFERROR(__xludf.DUMMYFUNCTION("""COMPUTED_VALUE"""),"Vidal")</f>
        <v>Vidal</v>
      </c>
      <c r="G353" s="1" t="str">
        <f>IFERROR(__xludf.DUMMYFUNCTION("""COMPUTED_VALUE"""),"Kaulen")</f>
        <v>Kaulen</v>
      </c>
      <c r="H353" s="1" t="str">
        <f>IFERROR(__xludf.DUMMYFUNCTION("""COMPUTED_VALUE"""),"Sebastián Ignacio")</f>
        <v>Sebastián Ignacio</v>
      </c>
      <c r="I353" s="1" t="str">
        <f>IFERROR(__xludf.DUMMYFUNCTION("""COMPUTED_VALUE"""),"Vidal Kaulen Sebastián Ignacio")</f>
        <v>Vidal Kaulen Sebastián Ignacio</v>
      </c>
      <c r="J353" s="10">
        <f>IFERROR(__xludf.DUMMYFUNCTION("""COMPUTED_VALUE"""),39295.0)</f>
        <v>39295</v>
      </c>
      <c r="K353" s="10">
        <f>IFERROR(__xludf.DUMMYFUNCTION("""COMPUTED_VALUE"""),28090.0)</f>
        <v>28090</v>
      </c>
      <c r="L353" s="1">
        <f>IFERROR(__xludf.DUMMYFUNCTION("""COMPUTED_VALUE"""),47.0)</f>
        <v>47</v>
      </c>
      <c r="M353" s="1" t="str">
        <f>IFERROR(__xludf.DUMMYFUNCTION("""COMPUTED_VALUE"""),"0002 Soltero")</f>
        <v>0002 Soltero</v>
      </c>
      <c r="N353" s="1"/>
      <c r="O353" s="10">
        <f>IFERROR(__xludf.DUMMYFUNCTION("""COMPUTED_VALUE"""),42736.0)</f>
        <v>42736</v>
      </c>
      <c r="P353" s="10">
        <f>IFERROR(__xludf.DUMMYFUNCTION("""COMPUTED_VALUE"""),42855.0)</f>
        <v>42855</v>
      </c>
      <c r="Q353" s="1" t="str">
        <f>IFERROR(__xludf.DUMMYFUNCTION("""COMPUTED_VALUE"""),"C Contrata")</f>
        <v>C Contrata</v>
      </c>
      <c r="R353" s="1" t="str">
        <f>IFERROR(__xludf.DUMMYFUNCTION("""COMPUTED_VALUE"""),"A Académico")</f>
        <v>A Académico</v>
      </c>
      <c r="S353" s="9" t="str">
        <f>IFERROR(__xludf.DUMMYFUNCTION("""COMPUTED_VALUE"""),"130286380")</f>
        <v>130286380</v>
      </c>
      <c r="T353" s="1" t="str">
        <f>IFERROR(__xludf.DUMMYFUNCTION("""COMPUTED_VALUE"""),"0130286380")</f>
        <v>0130286380</v>
      </c>
      <c r="U353" s="1">
        <f>IFERROR(__xludf.DUMMYFUNCTION("""COMPUTED_VALUE"""),2.0)</f>
        <v>2</v>
      </c>
      <c r="V353" s="1" t="str">
        <f>IFERROR(__xludf.DUMMYFUNCTION("""COMPUTED_VALUE"""),"P0401 Licenciado")</f>
        <v>P0401 Licenciado</v>
      </c>
      <c r="W353" s="1">
        <f>IFERROR(__xludf.DUMMYFUNCTION("""COMPUTED_VALUE"""),38884.0)</f>
        <v>38884</v>
      </c>
      <c r="X353" s="1" t="str">
        <f>IFERROR(__xludf.DUMMYFUNCTION("""COMPUTED_VALUE"""),"Universidad De Chile")</f>
        <v>Universidad De Chile</v>
      </c>
      <c r="Y353" s="1" t="str">
        <f>IFERROR(__xludf.DUMMYFUNCTION("""COMPUTED_VALUE"""),"CHILE")</f>
        <v>CHILE</v>
      </c>
      <c r="Z353" s="1"/>
    </row>
    <row r="354">
      <c r="A354" s="1" t="str">
        <f>IFERROR(__xludf.DUMMYFUNCTION("""COMPUTED_VALUE"""),"12090501 Departamento de Investigaciónes Mediáticas y de la Comunicación")</f>
        <v>12090501 Departamento de Investigaciónes Mediáticas y de la Comunicación</v>
      </c>
      <c r="B354" s="1" t="str">
        <f>IFERROR(__xludf.DUMMYFUNCTION("""COMPUTED_VALUE"""),"A4A001 ACADEMICO  INSTRUCTOR")</f>
        <v>A4A001 ACADEMICO  INSTRUCTOR</v>
      </c>
      <c r="C354" s="1" t="str">
        <f>IFERROR(__xludf.DUMMYFUNCTION("""COMPUTED_VALUE"""),"Instructor")</f>
        <v>Instructor</v>
      </c>
      <c r="D354" s="1" t="str">
        <f>IFERROR(__xludf.DUMMYFUNCTION("""COMPUTED_VALUE"""),"A4A Instructor")</f>
        <v>A4A Instructor</v>
      </c>
      <c r="E354" s="1" t="str">
        <f>IFERROR(__xludf.DUMMYFUNCTION("""COMPUTED_VALUE"""),"Masculino")</f>
        <v>Masculino</v>
      </c>
      <c r="F354" s="1" t="str">
        <f>IFERROR(__xludf.DUMMYFUNCTION("""COMPUTED_VALUE"""),"Vidal")</f>
        <v>Vidal</v>
      </c>
      <c r="G354" s="1" t="str">
        <f>IFERROR(__xludf.DUMMYFUNCTION("""COMPUTED_VALUE"""),"Mora")</f>
        <v>Mora</v>
      </c>
      <c r="H354" s="1" t="str">
        <f>IFERROR(__xludf.DUMMYFUNCTION("""COMPUTED_VALUE"""),"Héctor Arturo")</f>
        <v>Héctor Arturo</v>
      </c>
      <c r="I354" s="1" t="str">
        <f>IFERROR(__xludf.DUMMYFUNCTION("""COMPUTED_VALUE"""),"Vidal Mora Héctor Arturo")</f>
        <v>Vidal Mora Héctor Arturo</v>
      </c>
      <c r="J354" s="10">
        <f>IFERROR(__xludf.DUMMYFUNCTION("""COMPUTED_VALUE"""),32234.0)</f>
        <v>32234</v>
      </c>
      <c r="K354" s="10">
        <f>IFERROR(__xludf.DUMMYFUNCTION("""COMPUTED_VALUE"""),21929.0)</f>
        <v>21929</v>
      </c>
      <c r="L354" s="1">
        <f>IFERROR(__xludf.DUMMYFUNCTION("""COMPUTED_VALUE"""),64.0)</f>
        <v>64</v>
      </c>
      <c r="M354" s="1" t="str">
        <f>IFERROR(__xludf.DUMMYFUNCTION("""COMPUTED_VALUE"""),"0001 Casado")</f>
        <v>0001 Casado</v>
      </c>
      <c r="N354" s="1" t="str">
        <f>IFERROR(__xludf.DUMMYFUNCTION("""COMPUTED_VALUE"""),"N0040 Profesional Superior")</f>
        <v>N0040 Profesional Superior</v>
      </c>
      <c r="O354" s="10">
        <f>IFERROR(__xludf.DUMMYFUNCTION("""COMPUTED_VALUE"""),34851.0)</f>
        <v>34851</v>
      </c>
      <c r="P354" s="10">
        <f>IFERROR(__xludf.DUMMYFUNCTION("""COMPUTED_VALUE"""),35520.0)</f>
        <v>35520</v>
      </c>
      <c r="Q354" s="1" t="str">
        <f>IFERROR(__xludf.DUMMYFUNCTION("""COMPUTED_VALUE"""),"P Propiedad")</f>
        <v>P Propiedad</v>
      </c>
      <c r="R354" s="1" t="str">
        <f>IFERROR(__xludf.DUMMYFUNCTION("""COMPUTED_VALUE"""),"A Académico")</f>
        <v>A Académico</v>
      </c>
      <c r="S354" s="9" t="str">
        <f>IFERROR(__xludf.DUMMYFUNCTION("""COMPUTED_VALUE"""),"77793771")</f>
        <v>77793771</v>
      </c>
      <c r="T354" s="1" t="str">
        <f>IFERROR(__xludf.DUMMYFUNCTION("""COMPUTED_VALUE"""),"0077793771")</f>
        <v>0077793771</v>
      </c>
      <c r="U354" s="1">
        <f>IFERROR(__xludf.DUMMYFUNCTION("""COMPUTED_VALUE"""),12.0)</f>
        <v>12</v>
      </c>
      <c r="V354" s="1"/>
      <c r="W354" s="1"/>
      <c r="X354" s="1"/>
      <c r="Y354" s="1"/>
      <c r="Z354" s="1" t="str">
        <f>IFERROR(__xludf.DUMMYFUNCTION("""COMPUTED_VALUE"""),"T5014 Contador Auditor")</f>
        <v>T5014 Contador Auditor</v>
      </c>
    </row>
    <row r="355" hidden="1">
      <c r="A355" s="1" t="str">
        <f>IFERROR(__xludf.DUMMYFUNCTION("""COMPUTED_VALUE"""),"12090801 Departamento de Sociología")</f>
        <v>12090801 Departamento de Sociología</v>
      </c>
      <c r="B355" s="1" t="str">
        <f>IFERROR(__xludf.DUMMYFUNCTION("""COMPUTED_VALUE"""),"A1A001 Académico Prof. Titular")</f>
        <v>A1A001 Académico Prof. Titular</v>
      </c>
      <c r="C355" s="1" t="str">
        <f>IFERROR(__xludf.DUMMYFUNCTION("""COMPUTED_VALUE"""),"Prof.Titular - Categ. Academica Ord.")</f>
        <v>Prof.Titular - Categ. Academica Ord.</v>
      </c>
      <c r="D355" s="1" t="str">
        <f>IFERROR(__xludf.DUMMYFUNCTION("""COMPUTED_VALUE"""),"A1A Prof.Titular - Categ. Academica Ord.")</f>
        <v>A1A Prof.Titular - Categ. Academica Ord.</v>
      </c>
      <c r="E355" s="1" t="str">
        <f>IFERROR(__xludf.DUMMYFUNCTION("""COMPUTED_VALUE"""),"Masculino")</f>
        <v>Masculino</v>
      </c>
      <c r="F355" s="1" t="str">
        <f>IFERROR(__xludf.DUMMYFUNCTION("""COMPUTED_VALUE"""),"Vidal")</f>
        <v>Vidal</v>
      </c>
      <c r="G355" s="1" t="str">
        <f>IFERROR(__xludf.DUMMYFUNCTION("""COMPUTED_VALUE"""),"Muñoz")</f>
        <v>Muñoz</v>
      </c>
      <c r="H355" s="1" t="str">
        <f>IFERROR(__xludf.DUMMYFUNCTION("""COMPUTED_VALUE"""),"Manuel Santiago")</f>
        <v>Manuel Santiago</v>
      </c>
      <c r="I355" s="1" t="str">
        <f>IFERROR(__xludf.DUMMYFUNCTION("""COMPUTED_VALUE"""),"Vidal Muñoz Manuel Santiago")</f>
        <v>Vidal Muñoz Manuel Santiago</v>
      </c>
      <c r="J355" s="10">
        <f>IFERROR(__xludf.DUMMYFUNCTION("""COMPUTED_VALUE"""),16893.0)</f>
        <v>16893</v>
      </c>
      <c r="K355" s="10">
        <f>IFERROR(__xludf.DUMMYFUNCTION("""COMPUTED_VALUE"""),6596.0)</f>
        <v>6596</v>
      </c>
      <c r="L355" s="1">
        <f>IFERROR(__xludf.DUMMYFUNCTION("""COMPUTED_VALUE"""),106.0)</f>
        <v>106</v>
      </c>
      <c r="M355" s="1" t="str">
        <f>IFERROR(__xludf.DUMMYFUNCTION("""COMPUTED_VALUE"""),"0001 Casado")</f>
        <v>0001 Casado</v>
      </c>
      <c r="N355" s="1"/>
      <c r="O355" s="10">
        <f>IFERROR(__xludf.DUMMYFUNCTION("""COMPUTED_VALUE"""),34425.0)</f>
        <v>34425</v>
      </c>
      <c r="P355" s="10">
        <f>IFERROR(__xludf.DUMMYFUNCTION("""COMPUTED_VALUE"""),36049.0)</f>
        <v>36049</v>
      </c>
      <c r="Q355" s="1" t="str">
        <f>IFERROR(__xludf.DUMMYFUNCTION("""COMPUTED_VALUE"""),"A Ad Honorem Propiedad")</f>
        <v>A Ad Honorem Propiedad</v>
      </c>
      <c r="R355" s="1" t="str">
        <f>IFERROR(__xludf.DUMMYFUNCTION("""COMPUTED_VALUE"""),"A Académico")</f>
        <v>A Académico</v>
      </c>
      <c r="S355" s="9" t="str">
        <f>IFERROR(__xludf.DUMMYFUNCTION("""COMPUTED_VALUE"""),"64041700")</f>
        <v>64041700</v>
      </c>
      <c r="T355" s="1" t="str">
        <f>IFERROR(__xludf.DUMMYFUNCTION("""COMPUTED_VALUE"""),"0064041700")</f>
        <v>0064041700</v>
      </c>
      <c r="U355" s="1">
        <f>IFERROR(__xludf.DUMMYFUNCTION("""COMPUTED_VALUE"""),6.0)</f>
        <v>6</v>
      </c>
      <c r="V355" s="1"/>
      <c r="W355" s="1"/>
      <c r="X355" s="1"/>
      <c r="Y355" s="1"/>
      <c r="Z355" s="1"/>
    </row>
    <row r="356">
      <c r="A356" s="1" t="str">
        <f>IFERROR(__xludf.DUMMYFUNCTION("""COMPUTED_VALUE"""),"12090601 Departamento de Educación")</f>
        <v>12090601 Departamento de Educación</v>
      </c>
      <c r="B356" s="1" t="str">
        <f>IFERROR(__xludf.DUMMYFUNCTION("""COMPUTED_VALUE"""),"A4A001 ACADEMICO  INSTRUCTOR")</f>
        <v>A4A001 ACADEMICO  INSTRUCTOR</v>
      </c>
      <c r="C356" s="1" t="str">
        <f>IFERROR(__xludf.DUMMYFUNCTION("""COMPUTED_VALUE"""),"Instructor")</f>
        <v>Instructor</v>
      </c>
      <c r="D356" s="1" t="str">
        <f>IFERROR(__xludf.DUMMYFUNCTION("""COMPUTED_VALUE"""),"A4A Instructor")</f>
        <v>A4A Instructor</v>
      </c>
      <c r="E356" s="1" t="str">
        <f>IFERROR(__xludf.DUMMYFUNCTION("""COMPUTED_VALUE"""),"Masculino")</f>
        <v>Masculino</v>
      </c>
      <c r="F356" s="1" t="str">
        <f>IFERROR(__xludf.DUMMYFUNCTION("""COMPUTED_VALUE"""),"Vilches")</f>
        <v>Vilches</v>
      </c>
      <c r="G356" s="1" t="str">
        <f>IFERROR(__xludf.DUMMYFUNCTION("""COMPUTED_VALUE"""),"Márquez")</f>
        <v>Márquez</v>
      </c>
      <c r="H356" s="1" t="str">
        <f>IFERROR(__xludf.DUMMYFUNCTION("""COMPUTED_VALUE"""),"Rogelio Arturo")</f>
        <v>Rogelio Arturo</v>
      </c>
      <c r="I356" s="1" t="str">
        <f>IFERROR(__xludf.DUMMYFUNCTION("""COMPUTED_VALUE"""),"Vilches Márquez Rogelio Arturo")</f>
        <v>Vilches Márquez Rogelio Arturo</v>
      </c>
      <c r="J356" s="10">
        <f>IFERROR(__xludf.DUMMYFUNCTION("""COMPUTED_VALUE"""),39183.0)</f>
        <v>39183</v>
      </c>
      <c r="K356" s="10">
        <f>IFERROR(__xludf.DUMMYFUNCTION("""COMPUTED_VALUE"""),22552.0)</f>
        <v>22552</v>
      </c>
      <c r="L356" s="1">
        <f>IFERROR(__xludf.DUMMYFUNCTION("""COMPUTED_VALUE"""),62.0)</f>
        <v>62</v>
      </c>
      <c r="M356" s="1" t="str">
        <f>IFERROR(__xludf.DUMMYFUNCTION("""COMPUTED_VALUE"""),"0001 Casado")</f>
        <v>0001 Casado</v>
      </c>
      <c r="N356" s="1"/>
      <c r="O356" s="10">
        <f>IFERROR(__xludf.DUMMYFUNCTION("""COMPUTED_VALUE"""),38777.0)</f>
        <v>38777</v>
      </c>
      <c r="P356" s="10">
        <f>IFERROR(__xludf.DUMMYFUNCTION("""COMPUTED_VALUE"""),39082.0)</f>
        <v>39082</v>
      </c>
      <c r="Q356" s="1" t="str">
        <f>IFERROR(__xludf.DUMMYFUNCTION("""COMPUTED_VALUE"""),"P Propiedad")</f>
        <v>P Propiedad</v>
      </c>
      <c r="R356" s="1" t="str">
        <f>IFERROR(__xludf.DUMMYFUNCTION("""COMPUTED_VALUE"""),"A Académico")</f>
        <v>A Académico</v>
      </c>
      <c r="S356" s="9" t="str">
        <f>IFERROR(__xludf.DUMMYFUNCTION("""COMPUTED_VALUE"""),"88316207")</f>
        <v>88316207</v>
      </c>
      <c r="T356" s="1" t="str">
        <f>IFERROR(__xludf.DUMMYFUNCTION("""COMPUTED_VALUE"""),"0088316207")</f>
        <v>0088316207</v>
      </c>
      <c r="U356" s="1">
        <f>IFERROR(__xludf.DUMMYFUNCTION("""COMPUTED_VALUE"""),12.0)</f>
        <v>12</v>
      </c>
      <c r="V356" s="1"/>
      <c r="W356" s="1"/>
      <c r="X356" s="1"/>
      <c r="Y356" s="1"/>
      <c r="Z356" s="1" t="str">
        <f>IFERROR(__xludf.DUMMYFUNCTION("""COMPUTED_VALUE"""),"T5062 Licenciado en Filosofia")</f>
        <v>T5062 Licenciado en Filosofia</v>
      </c>
    </row>
    <row r="357" hidden="1">
      <c r="A357" s="1" t="str">
        <f>IFERROR(__xludf.DUMMYFUNCTION("""COMPUTED_VALUE"""),"12090701 Departamento de Psicología")</f>
        <v>12090701 Departamento de Psicología</v>
      </c>
      <c r="B357" s="1" t="str">
        <f>IFERROR(__xludf.DUMMYFUNCTION("""COMPUTED_VALUE"""),"A3A001 Académico Prof. Asistente")</f>
        <v>A3A001 Académico Prof. Asistente</v>
      </c>
      <c r="C357" s="1" t="str">
        <f>IFERROR(__xludf.DUMMYFUNCTION("""COMPUTED_VALUE"""),"Prof. Asociado - Categ. Academica Ord.")</f>
        <v>Prof. Asociado - Categ. Academica Ord.</v>
      </c>
      <c r="D357" s="1" t="str">
        <f>IFERROR(__xludf.DUMMYFUNCTION("""COMPUTED_VALUE"""),"A2A Prof. Asociado - Categ. Academica Ord.")</f>
        <v>A2A Prof. Asociado - Categ. Academica Ord.</v>
      </c>
      <c r="E357" s="1" t="str">
        <f>IFERROR(__xludf.DUMMYFUNCTION("""COMPUTED_VALUE"""),"Femenino")</f>
        <v>Femenino</v>
      </c>
      <c r="F357" s="1" t="str">
        <f>IFERROR(__xludf.DUMMYFUNCTION("""COMPUTED_VALUE"""),"Vilches")</f>
        <v>Vilches</v>
      </c>
      <c r="G357" s="1" t="str">
        <f>IFERROR(__xludf.DUMMYFUNCTION("""COMPUTED_VALUE"""),"Seguel")</f>
        <v>Seguel</v>
      </c>
      <c r="H357" s="1" t="str">
        <f>IFERROR(__xludf.DUMMYFUNCTION("""COMPUTED_VALUE"""),"Liliana Isabel")</f>
        <v>Liliana Isabel</v>
      </c>
      <c r="I357" s="1" t="str">
        <f>IFERROR(__xludf.DUMMYFUNCTION("""COMPUTED_VALUE"""),"Vilches Seguel Liliana Isabel")</f>
        <v>Vilches Seguel Liliana Isabel</v>
      </c>
      <c r="J357" s="10">
        <f>IFERROR(__xludf.DUMMYFUNCTION("""COMPUTED_VALUE"""),26512.0)</f>
        <v>26512</v>
      </c>
      <c r="K357" s="10">
        <f>IFERROR(__xludf.DUMMYFUNCTION("""COMPUTED_VALUE"""),18650.0)</f>
        <v>18650</v>
      </c>
      <c r="L357" s="1">
        <f>IFERROR(__xludf.DUMMYFUNCTION("""COMPUTED_VALUE"""),72.0)</f>
        <v>72</v>
      </c>
      <c r="M357" s="1" t="str">
        <f>IFERROR(__xludf.DUMMYFUNCTION("""COMPUTED_VALUE"""),"0001 Casado")</f>
        <v>0001 Casado</v>
      </c>
      <c r="N357" s="1"/>
      <c r="O357" s="10">
        <f>IFERROR(__xludf.DUMMYFUNCTION("""COMPUTED_VALUE"""),31472.0)</f>
        <v>31472</v>
      </c>
      <c r="P357" s="10">
        <f>IFERROR(__xludf.DUMMYFUNCTION("""COMPUTED_VALUE"""),38664.0)</f>
        <v>38664</v>
      </c>
      <c r="Q357" s="1" t="str">
        <f>IFERROR(__xludf.DUMMYFUNCTION("""COMPUTED_VALUE"""),"P Propiedad")</f>
        <v>P Propiedad</v>
      </c>
      <c r="R357" s="1" t="str">
        <f>IFERROR(__xludf.DUMMYFUNCTION("""COMPUTED_VALUE"""),"A Académico")</f>
        <v>A Académico</v>
      </c>
      <c r="S357" s="9" t="str">
        <f>IFERROR(__xludf.DUMMYFUNCTION("""COMPUTED_VALUE"""),"62071982")</f>
        <v>62071982</v>
      </c>
      <c r="T357" s="1" t="str">
        <f>IFERROR(__xludf.DUMMYFUNCTION("""COMPUTED_VALUE"""),"0062071982")</f>
        <v>0062071982</v>
      </c>
      <c r="U357" s="1">
        <f>IFERROR(__xludf.DUMMYFUNCTION("""COMPUTED_VALUE"""),44.0)</f>
        <v>44</v>
      </c>
      <c r="V357" s="1" t="str">
        <f>IFERROR(__xludf.DUMMYFUNCTION("""COMPUTED_VALUE"""),"P0501 Con Titulo Profesional")</f>
        <v>P0501 Con Titulo Profesional</v>
      </c>
      <c r="W357" s="1">
        <f>IFERROR(__xludf.DUMMYFUNCTION("""COMPUTED_VALUE"""),26996.0)</f>
        <v>26996</v>
      </c>
      <c r="X357" s="1" t="str">
        <f>IFERROR(__xludf.DUMMYFUNCTION("""COMPUTED_VALUE"""),"Universidad De Chile")</f>
        <v>Universidad De Chile</v>
      </c>
      <c r="Y357" s="1" t="str">
        <f>IFERROR(__xludf.DUMMYFUNCTION("""COMPUTED_VALUE"""),"CHILE")</f>
        <v>CHILE</v>
      </c>
      <c r="Z357" s="1" t="str">
        <f>IFERROR(__xludf.DUMMYFUNCTION("""COMPUTED_VALUE"""),"T5124 Psicologo")</f>
        <v>T5124 Psicologo</v>
      </c>
    </row>
    <row r="358" hidden="1">
      <c r="A358" s="1" t="str">
        <f>IFERROR(__xludf.DUMMYFUNCTION("""COMPUTED_VALUE"""),"12090801 Departamento de Sociología")</f>
        <v>12090801 Departamento de Sociología</v>
      </c>
      <c r="B358" s="1" t="str">
        <f>IFERROR(__xludf.DUMMYFUNCTION("""COMPUTED_VALUE"""),"A2A001 Académico Prof. Asociado")</f>
        <v>A2A001 Académico Prof. Asociado</v>
      </c>
      <c r="C358" s="1" t="str">
        <f>IFERROR(__xludf.DUMMYFUNCTION("""COMPUTED_VALUE"""),"Prof. Asociado - Categ. Academica Ord.")</f>
        <v>Prof. Asociado - Categ. Academica Ord.</v>
      </c>
      <c r="D358" s="1" t="str">
        <f>IFERROR(__xludf.DUMMYFUNCTION("""COMPUTED_VALUE"""),"A2A Prof. Asociado - Categ. Academica Ord.")</f>
        <v>A2A Prof. Asociado - Categ. Academica Ord.</v>
      </c>
      <c r="E358" s="1" t="str">
        <f>IFERROR(__xludf.DUMMYFUNCTION("""COMPUTED_VALUE"""),"Masculino")</f>
        <v>Masculino</v>
      </c>
      <c r="F358" s="1" t="str">
        <f>IFERROR(__xludf.DUMMYFUNCTION("""COMPUTED_VALUE"""),"Villablanca")</f>
        <v>Villablanca</v>
      </c>
      <c r="G358" s="1" t="str">
        <f>IFERROR(__xludf.DUMMYFUNCTION("""COMPUTED_VALUE"""),"Zurita")</f>
        <v>Zurita</v>
      </c>
      <c r="H358" s="1" t="str">
        <f>IFERROR(__xludf.DUMMYFUNCTION("""COMPUTED_VALUE"""),"Hernán Sergio")</f>
        <v>Hernán Sergio</v>
      </c>
      <c r="I358" s="1" t="str">
        <f>IFERROR(__xludf.DUMMYFUNCTION("""COMPUTED_VALUE"""),"Villablanca Zurita Hernán Sergio")</f>
        <v>Villablanca Zurita Hernán Sergio</v>
      </c>
      <c r="J358" s="10">
        <f>IFERROR(__xludf.DUMMYFUNCTION("""COMPUTED_VALUE"""),25628.0)</f>
        <v>25628</v>
      </c>
      <c r="K358" s="10">
        <f>IFERROR(__xludf.DUMMYFUNCTION("""COMPUTED_VALUE"""),13619.0)</f>
        <v>13619</v>
      </c>
      <c r="L358" s="1">
        <f>IFERROR(__xludf.DUMMYFUNCTION("""COMPUTED_VALUE"""),86.0)</f>
        <v>86</v>
      </c>
      <c r="M358" s="1"/>
      <c r="N358" s="1"/>
      <c r="O358" s="10">
        <f>IFERROR(__xludf.DUMMYFUNCTION("""COMPUTED_VALUE"""),39083.0)</f>
        <v>39083</v>
      </c>
      <c r="P358" s="10">
        <f>IFERROR(__xludf.DUMMYFUNCTION("""COMPUTED_VALUE"""),39141.0)</f>
        <v>39141</v>
      </c>
      <c r="Q358" s="1" t="str">
        <f>IFERROR(__xludf.DUMMYFUNCTION("""COMPUTED_VALUE"""),"C Contrata")</f>
        <v>C Contrata</v>
      </c>
      <c r="R358" s="1" t="str">
        <f>IFERROR(__xludf.DUMMYFUNCTION("""COMPUTED_VALUE"""),"A Académico")</f>
        <v>A Académico</v>
      </c>
      <c r="S358" s="9" t="str">
        <f>IFERROR(__xludf.DUMMYFUNCTION("""COMPUTED_VALUE"""),"26846331")</f>
        <v>26846331</v>
      </c>
      <c r="T358" s="1" t="str">
        <f>IFERROR(__xludf.DUMMYFUNCTION("""COMPUTED_VALUE"""),"0026846331")</f>
        <v>0026846331</v>
      </c>
      <c r="U358" s="1">
        <f>IFERROR(__xludf.DUMMYFUNCTION("""COMPUTED_VALUE"""),22.0)</f>
        <v>22</v>
      </c>
      <c r="V358" s="1" t="str">
        <f>IFERROR(__xludf.DUMMYFUNCTION("""COMPUTED_VALUE"""),"P0900 Doctor")</f>
        <v>P0900 Doctor</v>
      </c>
      <c r="W358" s="1">
        <f>IFERROR(__xludf.DUMMYFUNCTION("""COMPUTED_VALUE"""),30681.0)</f>
        <v>30681</v>
      </c>
      <c r="X358" s="1" t="str">
        <f>IFERROR(__xludf.DUMMYFUNCTION("""COMPUTED_VALUE"""),"Universidad De Belgrado")</f>
        <v>Universidad De Belgrado</v>
      </c>
      <c r="Y358" s="1" t="str">
        <f>IFERROR(__xludf.DUMMYFUNCTION("""COMPUTED_VALUE"""),"YUGOSLAVIA")</f>
        <v>YUGOSLAVIA</v>
      </c>
      <c r="Z358" s="1" t="str">
        <f>IFERROR(__xludf.DUMMYFUNCTION("""COMPUTED_VALUE"""),"T5063 Licenciado en Sociologia")</f>
        <v>T5063 Licenciado en Sociologia</v>
      </c>
    </row>
    <row r="359" hidden="1">
      <c r="A359" s="1" t="str">
        <f>IFERROR(__xludf.DUMMYFUNCTION("""COMPUTED_VALUE"""),"12090701 Departamento de Psicología")</f>
        <v>12090701 Departamento de Psicología</v>
      </c>
      <c r="B359" s="1" t="str">
        <f>IFERROR(__xludf.DUMMYFUNCTION("""COMPUTED_VALUE"""),"A3A001 Académico Prof. Asistente")</f>
        <v>A3A001 Académico Prof. Asistente</v>
      </c>
      <c r="C359" s="1" t="str">
        <f>IFERROR(__xludf.DUMMYFUNCTION("""COMPUTED_VALUE"""),"Prof. Asistente - Categ. Academica Ord.")</f>
        <v>Prof. Asistente - Categ. Academica Ord.</v>
      </c>
      <c r="D359" s="1" t="str">
        <f>IFERROR(__xludf.DUMMYFUNCTION("""COMPUTED_VALUE"""),"A3A Prof. Asistente - Categ. Academica Ord.")</f>
        <v>A3A Prof. Asistente - Categ. Academica Ord.</v>
      </c>
      <c r="E359" s="1" t="str">
        <f>IFERROR(__xludf.DUMMYFUNCTION("""COMPUTED_VALUE"""),"Masculino")</f>
        <v>Masculino</v>
      </c>
      <c r="F359" s="1" t="str">
        <f>IFERROR(__xludf.DUMMYFUNCTION("""COMPUTED_VALUE"""),"Villarroel")</f>
        <v>Villarroel</v>
      </c>
      <c r="G359" s="1" t="str">
        <f>IFERROR(__xludf.DUMMYFUNCTION("""COMPUTED_VALUE"""),"Ilic")</f>
        <v>Ilic</v>
      </c>
      <c r="H359" s="1" t="str">
        <f>IFERROR(__xludf.DUMMYFUNCTION("""COMPUTED_VALUE"""),"Leonardo Rodrigo")</f>
        <v>Leonardo Rodrigo</v>
      </c>
      <c r="I359" s="1" t="str">
        <f>IFERROR(__xludf.DUMMYFUNCTION("""COMPUTED_VALUE"""),"Villarroel Ilic Leonardo Rodrigo")</f>
        <v>Villarroel Ilic Leonardo Rodrigo</v>
      </c>
      <c r="J359" s="10">
        <f>IFERROR(__xludf.DUMMYFUNCTION("""COMPUTED_VALUE"""),24746.0)</f>
        <v>24746</v>
      </c>
      <c r="K359" s="10">
        <f>IFERROR(__xludf.DUMMYFUNCTION("""COMPUTED_VALUE"""),15669.0)</f>
        <v>15669</v>
      </c>
      <c r="L359" s="1">
        <f>IFERROR(__xludf.DUMMYFUNCTION("""COMPUTED_VALUE"""),81.0)</f>
        <v>81</v>
      </c>
      <c r="M359" s="1" t="str">
        <f>IFERROR(__xludf.DUMMYFUNCTION("""COMPUTED_VALUE"""),"0001 Casado")</f>
        <v>0001 Casado</v>
      </c>
      <c r="N359" s="1"/>
      <c r="O359" s="10">
        <f>IFERROR(__xludf.DUMMYFUNCTION("""COMPUTED_VALUE"""),33390.0)</f>
        <v>33390</v>
      </c>
      <c r="P359" s="10">
        <f>IFERROR(__xludf.DUMMYFUNCTION("""COMPUTED_VALUE"""),34577.0)</f>
        <v>34577</v>
      </c>
      <c r="Q359" s="1" t="str">
        <f>IFERROR(__xludf.DUMMYFUNCTION("""COMPUTED_VALUE"""),"P Propiedad")</f>
        <v>P Propiedad</v>
      </c>
      <c r="R359" s="1" t="str">
        <f>IFERROR(__xludf.DUMMYFUNCTION("""COMPUTED_VALUE"""),"A Académico")</f>
        <v>A Académico</v>
      </c>
      <c r="S359" s="9" t="str">
        <f>IFERROR(__xludf.DUMMYFUNCTION("""COMPUTED_VALUE"""),"36156228")</f>
        <v>36156228</v>
      </c>
      <c r="T359" s="1" t="str">
        <f>IFERROR(__xludf.DUMMYFUNCTION("""COMPUTED_VALUE"""),"0036156228")</f>
        <v>0036156228</v>
      </c>
      <c r="U359" s="1">
        <f>IFERROR(__xludf.DUMMYFUNCTION("""COMPUTED_VALUE"""),12.0)</f>
        <v>12</v>
      </c>
      <c r="V359" s="1"/>
      <c r="W359" s="1"/>
      <c r="X359" s="1"/>
      <c r="Y359" s="1"/>
      <c r="Z359" s="1"/>
    </row>
    <row r="360" hidden="1">
      <c r="A360" s="1" t="str">
        <f>IFERROR(__xludf.DUMMYFUNCTION("""COMPUTED_VALUE"""),"12090801 Departamento de Sociología")</f>
        <v>12090801 Departamento de Sociología</v>
      </c>
      <c r="B360" s="1" t="str">
        <f>IFERROR(__xludf.DUMMYFUNCTION("""COMPUTED_VALUE"""),"A2B001 Académico Prof. Asociado")</f>
        <v>A2B001 Académico Prof. Asociado</v>
      </c>
      <c r="C360" s="1" t="str">
        <f>IFERROR(__xludf.DUMMYFUNCTION("""COMPUTED_VALUE"""),"Prof. Asociado - Categ. Academica Doc.")</f>
        <v>Prof. Asociado - Categ. Academica Doc.</v>
      </c>
      <c r="D360" s="1" t="str">
        <f>IFERROR(__xludf.DUMMYFUNCTION("""COMPUTED_VALUE"""),"A2B Prof. Asociado - Categ. Academica Doc.")</f>
        <v>A2B Prof. Asociado - Categ. Academica Doc.</v>
      </c>
      <c r="E360" s="1" t="str">
        <f>IFERROR(__xludf.DUMMYFUNCTION("""COMPUTED_VALUE"""),"Masculino")</f>
        <v>Masculino</v>
      </c>
      <c r="F360" s="1" t="str">
        <f>IFERROR(__xludf.DUMMYFUNCTION("""COMPUTED_VALUE"""),"Vivanco")</f>
        <v>Vivanco</v>
      </c>
      <c r="G360" s="1" t="str">
        <f>IFERROR(__xludf.DUMMYFUNCTION("""COMPUTED_VALUE"""),"Arancibia")</f>
        <v>Arancibia</v>
      </c>
      <c r="H360" s="1" t="str">
        <f>IFERROR(__xludf.DUMMYFUNCTION("""COMPUTED_VALUE"""),"Manuel Antonio")</f>
        <v>Manuel Antonio</v>
      </c>
      <c r="I360" s="1" t="str">
        <f>IFERROR(__xludf.DUMMYFUNCTION("""COMPUTED_VALUE"""),"Vivanco Arancibia Manuel Antonio")</f>
        <v>Vivanco Arancibia Manuel Antonio</v>
      </c>
      <c r="J360" s="10">
        <f>IFERROR(__xludf.DUMMYFUNCTION("""COMPUTED_VALUE"""),34425.0)</f>
        <v>34425</v>
      </c>
      <c r="K360" s="10">
        <f>IFERROR(__xludf.DUMMYFUNCTION("""COMPUTED_VALUE"""),18393.0)</f>
        <v>18393</v>
      </c>
      <c r="L360" s="1">
        <f>IFERROR(__xludf.DUMMYFUNCTION("""COMPUTED_VALUE"""),73.0)</f>
        <v>73</v>
      </c>
      <c r="M360" s="1" t="str">
        <f>IFERROR(__xludf.DUMMYFUNCTION("""COMPUTED_VALUE"""),"0002 Soltero")</f>
        <v>0002 Soltero</v>
      </c>
      <c r="N360" s="1"/>
      <c r="O360" s="10">
        <f>IFERROR(__xludf.DUMMYFUNCTION("""COMPUTED_VALUE"""),40634.0)</f>
        <v>40634</v>
      </c>
      <c r="P360" s="10">
        <f>IFERROR(__xludf.DUMMYFUNCTION("""COMPUTED_VALUE"""),42276.0)</f>
        <v>42276</v>
      </c>
      <c r="Q360" s="1" t="str">
        <f>IFERROR(__xludf.DUMMYFUNCTION("""COMPUTED_VALUE"""),"P Propiedad")</f>
        <v>P Propiedad</v>
      </c>
      <c r="R360" s="1" t="str">
        <f>IFERROR(__xludf.DUMMYFUNCTION("""COMPUTED_VALUE"""),"A Académico")</f>
        <v>A Académico</v>
      </c>
      <c r="S360" s="9" t="str">
        <f>IFERROR(__xludf.DUMMYFUNCTION("""COMPUTED_VALUE"""),"52010349")</f>
        <v>52010349</v>
      </c>
      <c r="T360" s="1" t="str">
        <f>IFERROR(__xludf.DUMMYFUNCTION("""COMPUTED_VALUE"""),"0052010349")</f>
        <v>0052010349</v>
      </c>
      <c r="U360" s="1">
        <f>IFERROR(__xludf.DUMMYFUNCTION("""COMPUTED_VALUE"""),44.0)</f>
        <v>44</v>
      </c>
      <c r="V360" s="1" t="str">
        <f>IFERROR(__xludf.DUMMYFUNCTION("""COMPUTED_VALUE"""),"P0900 Doctor")</f>
        <v>P0900 Doctor</v>
      </c>
      <c r="W360" s="1">
        <f>IFERROR(__xludf.DUMMYFUNCTION("""COMPUTED_VALUE"""),32873.0)</f>
        <v>32873</v>
      </c>
      <c r="X360" s="1" t="str">
        <f>IFERROR(__xludf.DUMMYFUNCTION("""COMPUTED_VALUE"""),"Universidad Complutense")</f>
        <v>Universidad Complutense</v>
      </c>
      <c r="Y360" s="1" t="str">
        <f>IFERROR(__xludf.DUMMYFUNCTION("""COMPUTED_VALUE"""),"ESPAÑA")</f>
        <v>ESPAÑA</v>
      </c>
      <c r="Z360" s="1" t="str">
        <f>IFERROR(__xludf.DUMMYFUNCTION("""COMPUTED_VALUE"""),"T5082 Sociologo")</f>
        <v>T5082 Sociologo</v>
      </c>
    </row>
    <row r="361" hidden="1">
      <c r="A361" s="1" t="str">
        <f>IFERROR(__xludf.DUMMYFUNCTION("""COMPUTED_VALUE"""),"12090801 Departamento de Sociología")</f>
        <v>12090801 Departamento de Sociología</v>
      </c>
      <c r="B361" s="1" t="str">
        <f>IFERROR(__xludf.DUMMYFUNCTION("""COMPUTED_VALUE"""),"A2A001 Académico Prof. Asociado")</f>
        <v>A2A001 Académico Prof. Asociado</v>
      </c>
      <c r="C361" s="1" t="str">
        <f>IFERROR(__xludf.DUMMYFUNCTION("""COMPUTED_VALUE"""),"Prof. Asociado - Categ. Academica Ord.")</f>
        <v>Prof. Asociado - Categ. Academica Ord.</v>
      </c>
      <c r="D361" s="1" t="str">
        <f>IFERROR(__xludf.DUMMYFUNCTION("""COMPUTED_VALUE"""),"A2A Prof. Asociado - Categ. Academica Ord.")</f>
        <v>A2A Prof. Asociado - Categ. Academica Ord.</v>
      </c>
      <c r="E361" s="1" t="str">
        <f>IFERROR(__xludf.DUMMYFUNCTION("""COMPUTED_VALUE"""),"Masculino")</f>
        <v>Masculino</v>
      </c>
      <c r="F361" s="1" t="str">
        <f>IFERROR(__xludf.DUMMYFUNCTION("""COMPUTED_VALUE"""),"Viveros")</f>
        <v>Viveros</v>
      </c>
      <c r="G361" s="1" t="str">
        <f>IFERROR(__xludf.DUMMYFUNCTION("""COMPUTED_VALUE"""),"Cerda")</f>
        <v>Cerda</v>
      </c>
      <c r="H361" s="1" t="str">
        <f>IFERROR(__xludf.DUMMYFUNCTION("""COMPUTED_VALUE"""),"Licer Roger")</f>
        <v>Licer Roger</v>
      </c>
      <c r="I361" s="1" t="str">
        <f>IFERROR(__xludf.DUMMYFUNCTION("""COMPUTED_VALUE"""),"Viveros Cerda Licer Roger")</f>
        <v>Viveros Cerda Licer Roger</v>
      </c>
      <c r="J361" s="10">
        <f>IFERROR(__xludf.DUMMYFUNCTION("""COMPUTED_VALUE"""),27668.0)</f>
        <v>27668</v>
      </c>
      <c r="K361" s="10">
        <f>IFERROR(__xludf.DUMMYFUNCTION("""COMPUTED_VALUE"""),12863.0)</f>
        <v>12863</v>
      </c>
      <c r="L361" s="1">
        <f>IFERROR(__xludf.DUMMYFUNCTION("""COMPUTED_VALUE"""),88.0)</f>
        <v>88</v>
      </c>
      <c r="M361" s="1" t="str">
        <f>IFERROR(__xludf.DUMMYFUNCTION("""COMPUTED_VALUE"""),"0001 Casado")</f>
        <v>0001 Casado</v>
      </c>
      <c r="N361" s="1"/>
      <c r="O361" s="10">
        <f>IFERROR(__xludf.DUMMYFUNCTION("""COMPUTED_VALUE"""),34881.0)</f>
        <v>34881</v>
      </c>
      <c r="P361" s="10">
        <f>IFERROR(__xludf.DUMMYFUNCTION("""COMPUTED_VALUE"""),36099.0)</f>
        <v>36099</v>
      </c>
      <c r="Q361" s="1" t="str">
        <f>IFERROR(__xludf.DUMMYFUNCTION("""COMPUTED_VALUE"""),"P Propiedad")</f>
        <v>P Propiedad</v>
      </c>
      <c r="R361" s="1" t="str">
        <f>IFERROR(__xludf.DUMMYFUNCTION("""COMPUTED_VALUE"""),"A Académico")</f>
        <v>A Académico</v>
      </c>
      <c r="S361" s="9" t="str">
        <f>IFERROR(__xludf.DUMMYFUNCTION("""COMPUTED_VALUE"""),"32758118")</f>
        <v>32758118</v>
      </c>
      <c r="T361" s="1" t="str">
        <f>IFERROR(__xludf.DUMMYFUNCTION("""COMPUTED_VALUE"""),"0032758118")</f>
        <v>0032758118</v>
      </c>
      <c r="U361" s="1">
        <f>IFERROR(__xludf.DUMMYFUNCTION("""COMPUTED_VALUE"""),3.0)</f>
        <v>3</v>
      </c>
      <c r="V361" s="1"/>
      <c r="W361" s="1"/>
      <c r="X361" s="1"/>
      <c r="Y361" s="1"/>
      <c r="Z361" s="1"/>
    </row>
    <row r="362" hidden="1">
      <c r="A362" s="1" t="str">
        <f>IFERROR(__xludf.DUMMYFUNCTION("""COMPUTED_VALUE"""),"12090801 Departamento de Sociología")</f>
        <v>12090801 Departamento de Sociología</v>
      </c>
      <c r="B362" s="1" t="str">
        <f>IFERROR(__xludf.DUMMYFUNCTION("""COMPUTED_VALUE"""),"A3A001 Académico Prof. Asistente")</f>
        <v>A3A001 Académico Prof. Asistente</v>
      </c>
      <c r="C362" s="1" t="str">
        <f>IFERROR(__xludf.DUMMYFUNCTION("""COMPUTED_VALUE"""),"Prof. Asistente - Categ. Academica Ord.")</f>
        <v>Prof. Asistente - Categ. Academica Ord.</v>
      </c>
      <c r="D362" s="1" t="str">
        <f>IFERROR(__xludf.DUMMYFUNCTION("""COMPUTED_VALUE"""),"A3A Prof. Asistente - Categ. Academica Ord.")</f>
        <v>A3A Prof. Asistente - Categ. Academica Ord.</v>
      </c>
      <c r="E362" s="1" t="str">
        <f>IFERROR(__xludf.DUMMYFUNCTION("""COMPUTED_VALUE"""),"Femenino")</f>
        <v>Femenino</v>
      </c>
      <c r="F362" s="1" t="str">
        <f>IFERROR(__xludf.DUMMYFUNCTION("""COMPUTED_VALUE"""),"Waiser")</f>
        <v>Waiser</v>
      </c>
      <c r="G362" s="1" t="str">
        <f>IFERROR(__xludf.DUMMYFUNCTION("""COMPUTED_VALUE"""),"Palombo")</f>
        <v>Palombo</v>
      </c>
      <c r="H362" s="1" t="str">
        <f>IFERROR(__xludf.DUMMYFUNCTION("""COMPUTED_VALUE"""),"Myriam")</f>
        <v>Myriam</v>
      </c>
      <c r="I362" s="1" t="str">
        <f>IFERROR(__xludf.DUMMYFUNCTION("""COMPUTED_VALUE"""),"Waiser Palombo Myriam")</f>
        <v>Waiser Palombo Myriam</v>
      </c>
      <c r="J362" s="10">
        <f>IFERROR(__xludf.DUMMYFUNCTION("""COMPUTED_VALUE"""),24198.0)</f>
        <v>24198</v>
      </c>
      <c r="K362" s="10">
        <f>IFERROR(__xludf.DUMMYFUNCTION("""COMPUTED_VALUE"""),15712.0)</f>
        <v>15712</v>
      </c>
      <c r="L362" s="1">
        <f>IFERROR(__xludf.DUMMYFUNCTION("""COMPUTED_VALUE"""),81.0)</f>
        <v>81</v>
      </c>
      <c r="M362" s="1" t="str">
        <f>IFERROR(__xludf.DUMMYFUNCTION("""COMPUTED_VALUE"""),"0001 Casado")</f>
        <v>0001 Casado</v>
      </c>
      <c r="N362" s="1"/>
      <c r="O362" s="10">
        <f>IFERROR(__xludf.DUMMYFUNCTION("""COMPUTED_VALUE"""),34547.0)</f>
        <v>34547</v>
      </c>
      <c r="P362" s="10">
        <f>IFERROR(__xludf.DUMMYFUNCTION("""COMPUTED_VALUE"""),34819.0)</f>
        <v>34819</v>
      </c>
      <c r="Q362" s="1" t="str">
        <f>IFERROR(__xludf.DUMMYFUNCTION("""COMPUTED_VALUE"""),"P Propiedad")</f>
        <v>P Propiedad</v>
      </c>
      <c r="R362" s="1" t="str">
        <f>IFERROR(__xludf.DUMMYFUNCTION("""COMPUTED_VALUE"""),"A Académico")</f>
        <v>A Académico</v>
      </c>
      <c r="S362" s="9" t="str">
        <f>IFERROR(__xludf.DUMMYFUNCTION("""COMPUTED_VALUE"""),"49435819")</f>
        <v>49435819</v>
      </c>
      <c r="T362" s="1" t="str">
        <f>IFERROR(__xludf.DUMMYFUNCTION("""COMPUTED_VALUE"""),"0049435819")</f>
        <v>0049435819</v>
      </c>
      <c r="U362" s="1">
        <f>IFERROR(__xludf.DUMMYFUNCTION("""COMPUTED_VALUE"""),6.0)</f>
        <v>6</v>
      </c>
      <c r="V362" s="1"/>
      <c r="W362" s="1"/>
      <c r="X362" s="1"/>
      <c r="Y362" s="1"/>
      <c r="Z362" s="1"/>
    </row>
    <row r="363">
      <c r="A363" s="1" t="str">
        <f>IFERROR(__xludf.DUMMYFUNCTION("""COMPUTED_VALUE"""),"12090118 Dpto. de  Psicología (funcionamiento)")</f>
        <v>12090118 Dpto. de  Psicología (funcionamiento)</v>
      </c>
      <c r="B363" s="1" t="str">
        <f>IFERROR(__xludf.DUMMYFUNCTION("""COMPUTED_VALUE"""),"A3B001 Académico Prof. Asistente")</f>
        <v>A3B001 Académico Prof. Asistente</v>
      </c>
      <c r="C363" s="1" t="str">
        <f>IFERROR(__xludf.DUMMYFUNCTION("""COMPUTED_VALUE"""),"Prof. Asistente - Categ. Academica Doc.")</f>
        <v>Prof. Asistente - Categ. Academica Doc.</v>
      </c>
      <c r="D363" s="1" t="str">
        <f>IFERROR(__xludf.DUMMYFUNCTION("""COMPUTED_VALUE"""),"A3B Prof. Asistente - Categ. Academica Doc.")</f>
        <v>A3B Prof. Asistente - Categ. Academica Doc.</v>
      </c>
      <c r="E363" s="1" t="str">
        <f>IFERROR(__xludf.DUMMYFUNCTION("""COMPUTED_VALUE"""),"Femenino")</f>
        <v>Femenino</v>
      </c>
      <c r="F363" s="1" t="str">
        <f>IFERROR(__xludf.DUMMYFUNCTION("""COMPUTED_VALUE"""),"Weinstein")</f>
        <v>Weinstein</v>
      </c>
      <c r="G363" s="1" t="str">
        <f>IFERROR(__xludf.DUMMYFUNCTION("""COMPUTED_VALUE"""),"Aranda")</f>
        <v>Aranda</v>
      </c>
      <c r="H363" s="1" t="str">
        <f>IFERROR(__xludf.DUMMYFUNCTION("""COMPUTED_VALUE"""),"Eugenia Ruth")</f>
        <v>Eugenia Ruth</v>
      </c>
      <c r="I363" s="1" t="str">
        <f>IFERROR(__xludf.DUMMYFUNCTION("""COMPUTED_VALUE"""),"Weinstein Aranda Eugenia Ruth")</f>
        <v>Weinstein Aranda Eugenia Ruth</v>
      </c>
      <c r="J363" s="10">
        <f>IFERROR(__xludf.DUMMYFUNCTION("""COMPUTED_VALUE"""),32721.0)</f>
        <v>32721</v>
      </c>
      <c r="K363" s="10">
        <f>IFERROR(__xludf.DUMMYFUNCTION("""COMPUTED_VALUE"""),20782.0)</f>
        <v>20782</v>
      </c>
      <c r="L363" s="1">
        <f>IFERROR(__xludf.DUMMYFUNCTION("""COMPUTED_VALUE"""),67.0)</f>
        <v>67</v>
      </c>
      <c r="M363" s="1" t="str">
        <f>IFERROR(__xludf.DUMMYFUNCTION("""COMPUTED_VALUE"""),"0001 Casado")</f>
        <v>0001 Casado</v>
      </c>
      <c r="N363" s="1"/>
      <c r="O363" s="10">
        <f>IFERROR(__xludf.DUMMYFUNCTION("""COMPUTED_VALUE"""),44529.0)</f>
        <v>44529</v>
      </c>
      <c r="P363" s="10">
        <f>IFERROR(__xludf.DUMMYFUNCTION("""COMPUTED_VALUE"""),44587.0)</f>
        <v>44587</v>
      </c>
      <c r="Q363" s="1" t="str">
        <f>IFERROR(__xludf.DUMMYFUNCTION("""COMPUTED_VALUE"""),"C Contrata")</f>
        <v>C Contrata</v>
      </c>
      <c r="R363" s="1" t="str">
        <f>IFERROR(__xludf.DUMMYFUNCTION("""COMPUTED_VALUE"""),"A Académico")</f>
        <v>A Académico</v>
      </c>
      <c r="S363" s="9" t="str">
        <f>IFERROR(__xludf.DUMMYFUNCTION("""COMPUTED_VALUE"""),"51995201")</f>
        <v>51995201</v>
      </c>
      <c r="T363" s="1" t="str">
        <f>IFERROR(__xludf.DUMMYFUNCTION("""COMPUTED_VALUE"""),"0051995201")</f>
        <v>0051995201</v>
      </c>
      <c r="U363" s="1">
        <f>IFERROR(__xludf.DUMMYFUNCTION("""COMPUTED_VALUE"""),12.0)</f>
        <v>12</v>
      </c>
      <c r="V363" s="1" t="str">
        <f>IFERROR(__xludf.DUMMYFUNCTION("""COMPUTED_VALUE"""),"P0800 Magíster")</f>
        <v>P0800 Magíster</v>
      </c>
      <c r="W363" s="1">
        <f>IFERROR(__xludf.DUMMYFUNCTION("""COMPUTED_VALUE"""),39517.0)</f>
        <v>39517</v>
      </c>
      <c r="X363" s="1" t="str">
        <f>IFERROR(__xludf.DUMMYFUNCTION("""COMPUTED_VALUE"""),"Universidad De Desarrollo")</f>
        <v>Universidad De Desarrollo</v>
      </c>
      <c r="Y363" s="1" t="str">
        <f>IFERROR(__xludf.DUMMYFUNCTION("""COMPUTED_VALUE"""),"CHILE")</f>
        <v>CHILE</v>
      </c>
      <c r="Z363" s="1" t="str">
        <f>IFERROR(__xludf.DUMMYFUNCTION("""COMPUTED_VALUE"""),"T5124 Psicologo")</f>
        <v>T5124 Psicologo</v>
      </c>
    </row>
    <row r="364" hidden="1">
      <c r="A364" s="1" t="str">
        <f>IFERROR(__xludf.DUMMYFUNCTION("""COMPUTED_VALUE"""),"12090301 Departamento de Antropología")</f>
        <v>12090301 Departamento de Antropología</v>
      </c>
      <c r="B364" s="1" t="str">
        <f>IFERROR(__xludf.DUMMYFUNCTION("""COMPUTED_VALUE"""),"A3A001 Académico Prof. Asistente")</f>
        <v>A3A001 Académico Prof. Asistente</v>
      </c>
      <c r="C364" s="1" t="str">
        <f>IFERROR(__xludf.DUMMYFUNCTION("""COMPUTED_VALUE"""),"Prof. Asistente - Categ. Academica Ord.")</f>
        <v>Prof. Asistente - Categ. Academica Ord.</v>
      </c>
      <c r="D364" s="1" t="str">
        <f>IFERROR(__xludf.DUMMYFUNCTION("""COMPUTED_VALUE"""),"A3A Prof. Asistente - Categ. Academica Ord.")</f>
        <v>A3A Prof. Asistente - Categ. Academica Ord.</v>
      </c>
      <c r="E364" s="1" t="str">
        <f>IFERROR(__xludf.DUMMYFUNCTION("""COMPUTED_VALUE"""),"Femenino")</f>
        <v>Femenino</v>
      </c>
      <c r="F364" s="1" t="str">
        <f>IFERROR(__xludf.DUMMYFUNCTION("""COMPUTED_VALUE"""),"Weisner")</f>
        <v>Weisner</v>
      </c>
      <c r="G364" s="1" t="str">
        <f>IFERROR(__xludf.DUMMYFUNCTION("""COMPUTED_VALUE"""),"Horowitz")</f>
        <v>Horowitz</v>
      </c>
      <c r="H364" s="1" t="str">
        <f>IFERROR(__xludf.DUMMYFUNCTION("""COMPUTED_VALUE"""),"Mónica")</f>
        <v>Mónica</v>
      </c>
      <c r="I364" s="1" t="str">
        <f>IFERROR(__xludf.DUMMYFUNCTION("""COMPUTED_VALUE"""),"Weisner Horowitz Mónica")</f>
        <v>Weisner Horowitz Mónica</v>
      </c>
      <c r="J364" s="10">
        <f>IFERROR(__xludf.DUMMYFUNCTION("""COMPUTED_VALUE"""),28399.0)</f>
        <v>28399</v>
      </c>
      <c r="K364" s="10">
        <f>IFERROR(__xludf.DUMMYFUNCTION("""COMPUTED_VALUE"""),14609.0)</f>
        <v>14609</v>
      </c>
      <c r="L364" s="1">
        <f>IFERROR(__xludf.DUMMYFUNCTION("""COMPUTED_VALUE"""),84.0)</f>
        <v>84</v>
      </c>
      <c r="M364" s="1" t="str">
        <f>IFERROR(__xludf.DUMMYFUNCTION("""COMPUTED_VALUE"""),"0001 Casado")</f>
        <v>0001 Casado</v>
      </c>
      <c r="N364" s="1"/>
      <c r="O364" s="10">
        <f>IFERROR(__xludf.DUMMYFUNCTION("""COMPUTED_VALUE"""),39114.0)</f>
        <v>39114</v>
      </c>
      <c r="P364" s="10">
        <f>IFERROR(__xludf.DUMMYFUNCTION("""COMPUTED_VALUE"""),41973.0)</f>
        <v>41973</v>
      </c>
      <c r="Q364" s="1" t="str">
        <f>IFERROR(__xludf.DUMMYFUNCTION("""COMPUTED_VALUE"""),"A Ad Honorem Propiedad")</f>
        <v>A Ad Honorem Propiedad</v>
      </c>
      <c r="R364" s="1" t="str">
        <f>IFERROR(__xludf.DUMMYFUNCTION("""COMPUTED_VALUE"""),"A Académico")</f>
        <v>A Académico</v>
      </c>
      <c r="S364" s="9" t="str">
        <f>IFERROR(__xludf.DUMMYFUNCTION("""COMPUTED_VALUE"""),"42822302")</f>
        <v>42822302</v>
      </c>
      <c r="T364" s="1" t="str">
        <f>IFERROR(__xludf.DUMMYFUNCTION("""COMPUTED_VALUE"""),"0042822302")</f>
        <v>0042822302</v>
      </c>
      <c r="U364" s="1">
        <f>IFERROR(__xludf.DUMMYFUNCTION("""COMPUTED_VALUE"""),6.0)</f>
        <v>6</v>
      </c>
      <c r="V364" s="1"/>
      <c r="W364" s="1"/>
      <c r="X364" s="1"/>
      <c r="Y364" s="1"/>
      <c r="Z364" s="1" t="str">
        <f>IFERROR(__xludf.DUMMYFUNCTION("""COMPUTED_VALUE"""),"T5054 Licenciado en Antropologia")</f>
        <v>T5054 Licenciado en Antropologia</v>
      </c>
    </row>
    <row r="365" hidden="1">
      <c r="A365" s="1" t="str">
        <f>IFERROR(__xludf.DUMMYFUNCTION("""COMPUTED_VALUE"""),"12090701 Departamento de Psicología")</f>
        <v>12090701 Departamento de Psicología</v>
      </c>
      <c r="B365" s="1" t="str">
        <f>IFERROR(__xludf.DUMMYFUNCTION("""COMPUTED_VALUE"""),"A2B001 Académico Prof. Asociado")</f>
        <v>A2B001 Académico Prof. Asociado</v>
      </c>
      <c r="C365" s="1" t="str">
        <f>IFERROR(__xludf.DUMMYFUNCTION("""COMPUTED_VALUE"""),"Prof. Asociado - Categ. Academica Doc.")</f>
        <v>Prof. Asociado - Categ. Academica Doc.</v>
      </c>
      <c r="D365" s="1" t="str">
        <f>IFERROR(__xludf.DUMMYFUNCTION("""COMPUTED_VALUE"""),"A2B Prof. Asociado - Categ. Academica Doc.")</f>
        <v>A2B Prof. Asociado - Categ. Academica Doc.</v>
      </c>
      <c r="E365" s="1" t="str">
        <f>IFERROR(__xludf.DUMMYFUNCTION("""COMPUTED_VALUE"""),"Femenino")</f>
        <v>Femenino</v>
      </c>
      <c r="F365" s="1" t="str">
        <f>IFERROR(__xludf.DUMMYFUNCTION("""COMPUTED_VALUE"""),"Wenk")</f>
        <v>Wenk</v>
      </c>
      <c r="G365" s="1" t="str">
        <f>IFERROR(__xludf.DUMMYFUNCTION("""COMPUTED_VALUE"""),"Wehmeyer")</f>
        <v>Wehmeyer</v>
      </c>
      <c r="H365" s="1" t="str">
        <f>IFERROR(__xludf.DUMMYFUNCTION("""COMPUTED_VALUE"""),"Elisabeth Anna Margarete")</f>
        <v>Elisabeth Anna Margarete</v>
      </c>
      <c r="I365" s="1" t="str">
        <f>IFERROR(__xludf.DUMMYFUNCTION("""COMPUTED_VALUE"""),"Wenk Wehmeyer Elisabeth Anna Margarete")</f>
        <v>Wenk Wehmeyer Elisabeth Anna Margarete</v>
      </c>
      <c r="J365" s="10">
        <f>IFERROR(__xludf.DUMMYFUNCTION("""COMPUTED_VALUE"""),26390.0)</f>
        <v>26390</v>
      </c>
      <c r="K365" s="10">
        <f>IFERROR(__xludf.DUMMYFUNCTION("""COMPUTED_VALUE"""),16707.0)</f>
        <v>16707</v>
      </c>
      <c r="L365" s="1">
        <f>IFERROR(__xludf.DUMMYFUNCTION("""COMPUTED_VALUE"""),78.0)</f>
        <v>78</v>
      </c>
      <c r="M365" s="1" t="str">
        <f>IFERROR(__xludf.DUMMYFUNCTION("""COMPUTED_VALUE"""),"0001 Casado")</f>
        <v>0001 Casado</v>
      </c>
      <c r="N365" s="1"/>
      <c r="O365" s="10">
        <f>IFERROR(__xludf.DUMMYFUNCTION("""COMPUTED_VALUE"""),39692.0)</f>
        <v>39692</v>
      </c>
      <c r="P365" s="10">
        <f>IFERROR(__xludf.DUMMYFUNCTION("""COMPUTED_VALUE"""),40624.0)</f>
        <v>40624</v>
      </c>
      <c r="Q365" s="1" t="str">
        <f>IFERROR(__xludf.DUMMYFUNCTION("""COMPUTED_VALUE"""),"P Propiedad")</f>
        <v>P Propiedad</v>
      </c>
      <c r="R365" s="1" t="str">
        <f>IFERROR(__xludf.DUMMYFUNCTION("""COMPUTED_VALUE"""),"A Académico")</f>
        <v>A Académico</v>
      </c>
      <c r="S365" s="9" t="str">
        <f>IFERROR(__xludf.DUMMYFUNCTION("""COMPUTED_VALUE"""),"47782864")</f>
        <v>47782864</v>
      </c>
      <c r="T365" s="1" t="str">
        <f>IFERROR(__xludf.DUMMYFUNCTION("""COMPUTED_VALUE"""),"0047782864")</f>
        <v>0047782864</v>
      </c>
      <c r="U365" s="1">
        <f>IFERROR(__xludf.DUMMYFUNCTION("""COMPUTED_VALUE"""),44.0)</f>
        <v>44</v>
      </c>
      <c r="V365" s="1" t="str">
        <f>IFERROR(__xludf.DUMMYFUNCTION("""COMPUTED_VALUE"""),"P0501 Con Titulo Profesional")</f>
        <v>P0501 Con Titulo Profesional</v>
      </c>
      <c r="W365" s="1">
        <f>IFERROR(__xludf.DUMMYFUNCTION("""COMPUTED_VALUE"""),27227.0)</f>
        <v>27227</v>
      </c>
      <c r="X365" s="1" t="str">
        <f>IFERROR(__xludf.DUMMYFUNCTION("""COMPUTED_VALUE"""),"Universidad De Chile")</f>
        <v>Universidad De Chile</v>
      </c>
      <c r="Y365" s="1" t="str">
        <f>IFERROR(__xludf.DUMMYFUNCTION("""COMPUTED_VALUE"""),"CHILE")</f>
        <v>CHILE</v>
      </c>
      <c r="Z365" s="1" t="str">
        <f>IFERROR(__xludf.DUMMYFUNCTION("""COMPUTED_VALUE"""),"T5276 Psicologo")</f>
        <v>T5276 Psicologo</v>
      </c>
    </row>
    <row r="366">
      <c r="A366" s="1" t="str">
        <f>IFERROR(__xludf.DUMMYFUNCTION("""COMPUTED_VALUE"""),"12090501 Departamento de Investigaciónes Mediáticas y de la Comunicación")</f>
        <v>12090501 Departamento de Investigaciónes Mediáticas y de la Comunicación</v>
      </c>
      <c r="B366" s="1" t="str">
        <f>IFERROR(__xludf.DUMMYFUNCTION("""COMPUTED_VALUE"""),"A7A001 ACADEMICO PROF. ADJUNTO")</f>
        <v>A7A001 ACADEMICO PROF. ADJUNTO</v>
      </c>
      <c r="C366" s="1" t="str">
        <f>IFERROR(__xludf.DUMMYFUNCTION("""COMPUTED_VALUE"""),"Prof. Adjunto")</f>
        <v>Prof. Adjunto</v>
      </c>
      <c r="D366" s="1" t="str">
        <f>IFERROR(__xludf.DUMMYFUNCTION("""COMPUTED_VALUE"""),"A7A Prof. Adjunto")</f>
        <v>A7A Prof. Adjunto</v>
      </c>
      <c r="E366" s="1" t="str">
        <f>IFERROR(__xludf.DUMMYFUNCTION("""COMPUTED_VALUE"""),"Femenino")</f>
        <v>Femenino</v>
      </c>
      <c r="F366" s="1" t="str">
        <f>IFERROR(__xludf.DUMMYFUNCTION("""COMPUTED_VALUE"""),"Wertheim")</f>
        <v>Wertheim</v>
      </c>
      <c r="G366" s="1" t="str">
        <f>IFERROR(__xludf.DUMMYFUNCTION("""COMPUTED_VALUE"""),"Rotman")</f>
        <v>Rotman</v>
      </c>
      <c r="H366" s="1" t="str">
        <f>IFERROR(__xludf.DUMMYFUNCTION("""COMPUTED_VALUE"""),"Lilian Isabel")</f>
        <v>Lilian Isabel</v>
      </c>
      <c r="I366" s="1" t="str">
        <f>IFERROR(__xludf.DUMMYFUNCTION("""COMPUTED_VALUE"""),"Wertheim Rotman Lilian Isabel")</f>
        <v>Wertheim Rotman Lilian Isabel</v>
      </c>
      <c r="J366" s="10">
        <f>IFERROR(__xludf.DUMMYFUNCTION("""COMPUTED_VALUE"""),35278.0)</f>
        <v>35278</v>
      </c>
      <c r="K366" s="10">
        <f>IFERROR(__xludf.DUMMYFUNCTION("""COMPUTED_VALUE"""),22139.0)</f>
        <v>22139</v>
      </c>
      <c r="L366" s="1">
        <f>IFERROR(__xludf.DUMMYFUNCTION("""COMPUTED_VALUE"""),63.0)</f>
        <v>63</v>
      </c>
      <c r="M366" s="1" t="str">
        <f>IFERROR(__xludf.DUMMYFUNCTION("""COMPUTED_VALUE"""),"0002 Soltero")</f>
        <v>0002 Soltero</v>
      </c>
      <c r="N366" s="1"/>
      <c r="O366" s="10">
        <f>IFERROR(__xludf.DUMMYFUNCTION("""COMPUTED_VALUE"""),35278.0)</f>
        <v>35278</v>
      </c>
      <c r="P366" s="10">
        <f>IFERROR(__xludf.DUMMYFUNCTION("""COMPUTED_VALUE"""),35976.0)</f>
        <v>35976</v>
      </c>
      <c r="Q366" s="1" t="str">
        <f>IFERROR(__xludf.DUMMYFUNCTION("""COMPUTED_VALUE"""),"P Propiedad")</f>
        <v>P Propiedad</v>
      </c>
      <c r="R366" s="1" t="str">
        <f>IFERROR(__xludf.DUMMYFUNCTION("""COMPUTED_VALUE"""),"A Académico")</f>
        <v>A Académico</v>
      </c>
      <c r="S366" s="9" t="str">
        <f>IFERROR(__xludf.DUMMYFUNCTION("""COMPUTED_VALUE"""),"66811662")</f>
        <v>66811662</v>
      </c>
      <c r="T366" s="1" t="str">
        <f>IFERROR(__xludf.DUMMYFUNCTION("""COMPUTED_VALUE"""),"0066811662")</f>
        <v>0066811662</v>
      </c>
      <c r="U366" s="1">
        <f>IFERROR(__xludf.DUMMYFUNCTION("""COMPUTED_VALUE"""),12.0)</f>
        <v>12</v>
      </c>
      <c r="V366" s="1"/>
      <c r="W366" s="1"/>
      <c r="X366" s="1"/>
      <c r="Y366" s="1"/>
      <c r="Z366" s="1"/>
    </row>
    <row r="367">
      <c r="A367" s="1" t="str">
        <f>IFERROR(__xludf.DUMMYFUNCTION("""COMPUTED_VALUE"""),"12090701 Departamento de Psicología")</f>
        <v>12090701 Departamento de Psicología</v>
      </c>
      <c r="B367" s="1" t="str">
        <f>IFERROR(__xludf.DUMMYFUNCTION("""COMPUTED_VALUE"""),"A4A001 ACADEMICO  INSTRUCTOR")</f>
        <v>A4A001 ACADEMICO  INSTRUCTOR</v>
      </c>
      <c r="C367" s="1" t="str">
        <f>IFERROR(__xludf.DUMMYFUNCTION("""COMPUTED_VALUE"""),"Instructor")</f>
        <v>Instructor</v>
      </c>
      <c r="D367" s="1" t="str">
        <f>IFERROR(__xludf.DUMMYFUNCTION("""COMPUTED_VALUE"""),"A4A Instructor")</f>
        <v>A4A Instructor</v>
      </c>
      <c r="E367" s="1" t="str">
        <f>IFERROR(__xludf.DUMMYFUNCTION("""COMPUTED_VALUE"""),"Masculino")</f>
        <v>Masculino</v>
      </c>
      <c r="F367" s="1" t="str">
        <f>IFERROR(__xludf.DUMMYFUNCTION("""COMPUTED_VALUE"""),"Yáñez")</f>
        <v>Yáñez</v>
      </c>
      <c r="G367" s="1" t="str">
        <f>IFERROR(__xludf.DUMMYFUNCTION("""COMPUTED_VALUE"""),"Galecio")</f>
        <v>Galecio</v>
      </c>
      <c r="H367" s="1" t="str">
        <f>IFERROR(__xludf.DUMMYFUNCTION("""COMPUTED_VALUE"""),"Jaime César")</f>
        <v>Jaime César</v>
      </c>
      <c r="I367" s="1" t="str">
        <f>IFERROR(__xludf.DUMMYFUNCTION("""COMPUTED_VALUE"""),"Yáñez Galecio Jaime César")</f>
        <v>Yáñez Galecio Jaime César</v>
      </c>
      <c r="J367" s="10">
        <f>IFERROR(__xludf.DUMMYFUNCTION("""COMPUTED_VALUE"""),36465.0)</f>
        <v>36465</v>
      </c>
      <c r="K367" s="10">
        <f>IFERROR(__xludf.DUMMYFUNCTION("""COMPUTED_VALUE"""),23929.0)</f>
        <v>23929</v>
      </c>
      <c r="L367" s="1">
        <f>IFERROR(__xludf.DUMMYFUNCTION("""COMPUTED_VALUE"""),58.0)</f>
        <v>58</v>
      </c>
      <c r="M367" s="1" t="str">
        <f>IFERROR(__xludf.DUMMYFUNCTION("""COMPUTED_VALUE"""),"0002 Soltero")</f>
        <v>0002 Soltero</v>
      </c>
      <c r="N367" s="1"/>
      <c r="O367" s="10">
        <f>IFERROR(__xludf.DUMMYFUNCTION("""COMPUTED_VALUE"""),36586.0)</f>
        <v>36586</v>
      </c>
      <c r="P367" s="10">
        <f>IFERROR(__xludf.DUMMYFUNCTION("""COMPUTED_VALUE"""),37986.0)</f>
        <v>37986</v>
      </c>
      <c r="Q367" s="1" t="str">
        <f>IFERROR(__xludf.DUMMYFUNCTION("""COMPUTED_VALUE"""),"A Ad Honorem Propiedad")</f>
        <v>A Ad Honorem Propiedad</v>
      </c>
      <c r="R367" s="1" t="str">
        <f>IFERROR(__xludf.DUMMYFUNCTION("""COMPUTED_VALUE"""),"A Académico")</f>
        <v>A Académico</v>
      </c>
      <c r="S367" s="9" t="str">
        <f>IFERROR(__xludf.DUMMYFUNCTION("""COMPUTED_VALUE"""),"96037414")</f>
        <v>96037414</v>
      </c>
      <c r="T367" s="1" t="str">
        <f>IFERROR(__xludf.DUMMYFUNCTION("""COMPUTED_VALUE"""),"0096037414")</f>
        <v>0096037414</v>
      </c>
      <c r="U367" s="1">
        <f>IFERROR(__xludf.DUMMYFUNCTION("""COMPUTED_VALUE"""),6.0)</f>
        <v>6</v>
      </c>
      <c r="V367" s="1" t="str">
        <f>IFERROR(__xludf.DUMMYFUNCTION("""COMPUTED_VALUE"""),"P0501 Con Titulo Profesional")</f>
        <v>P0501 Con Titulo Profesional</v>
      </c>
      <c r="W367" s="1">
        <f>IFERROR(__xludf.DUMMYFUNCTION("""COMPUTED_VALUE"""),35076.0)</f>
        <v>35076</v>
      </c>
      <c r="X367" s="1" t="str">
        <f>IFERROR(__xludf.DUMMYFUNCTION("""COMPUTED_VALUE"""),"Universidad Central")</f>
        <v>Universidad Central</v>
      </c>
      <c r="Y367" s="1" t="str">
        <f>IFERROR(__xludf.DUMMYFUNCTION("""COMPUTED_VALUE"""),"CHILE")</f>
        <v>CHILE</v>
      </c>
      <c r="Z367" s="1"/>
    </row>
    <row r="368" hidden="1">
      <c r="A368" s="1" t="str">
        <f>IFERROR(__xludf.DUMMYFUNCTION("""COMPUTED_VALUE"""),"12090801 Departamento de Sociología")</f>
        <v>12090801 Departamento de Sociología</v>
      </c>
      <c r="B368" s="1" t="str">
        <f>IFERROR(__xludf.DUMMYFUNCTION("""COMPUTED_VALUE"""),"A7A001 ACADEMICO PROF. ADJUNTO")</f>
        <v>A7A001 ACADEMICO PROF. ADJUNTO</v>
      </c>
      <c r="C368" s="1" t="str">
        <f>IFERROR(__xludf.DUMMYFUNCTION("""COMPUTED_VALUE"""),"Prof. Adjunto")</f>
        <v>Prof. Adjunto</v>
      </c>
      <c r="D368" s="1" t="str">
        <f>IFERROR(__xludf.DUMMYFUNCTION("""COMPUTED_VALUE"""),"A7A Prof. Adjunto")</f>
        <v>A7A Prof. Adjunto</v>
      </c>
      <c r="E368" s="1" t="str">
        <f>IFERROR(__xludf.DUMMYFUNCTION("""COMPUTED_VALUE"""),"Masculino")</f>
        <v>Masculino</v>
      </c>
      <c r="F368" s="1" t="str">
        <f>IFERROR(__xludf.DUMMYFUNCTION("""COMPUTED_VALUE"""),"Zemelman")</f>
        <v>Zemelman</v>
      </c>
      <c r="G368" s="1" t="str">
        <f>IFERROR(__xludf.DUMMYFUNCTION("""COMPUTED_VALUE"""),"Merino")</f>
        <v>Merino</v>
      </c>
      <c r="H368" s="1" t="str">
        <f>IFERROR(__xludf.DUMMYFUNCTION("""COMPUTED_VALUE"""),"Hugo Hernán")</f>
        <v>Hugo Hernán</v>
      </c>
      <c r="I368" s="1" t="str">
        <f>IFERROR(__xludf.DUMMYFUNCTION("""COMPUTED_VALUE"""),"Zemelman Merino Hugo Hernán")</f>
        <v>Zemelman Merino Hugo Hernán</v>
      </c>
      <c r="J368" s="10">
        <f>IFERROR(__xludf.DUMMYFUNCTION("""COMPUTED_VALUE"""),23012.0)</f>
        <v>23012</v>
      </c>
      <c r="K368" s="10">
        <f>IFERROR(__xludf.DUMMYFUNCTION("""COMPUTED_VALUE"""),11603.0)</f>
        <v>11603</v>
      </c>
      <c r="L368" s="1">
        <f>IFERROR(__xludf.DUMMYFUNCTION("""COMPUTED_VALUE"""),92.0)</f>
        <v>92</v>
      </c>
      <c r="M368" s="1" t="str">
        <f>IFERROR(__xludf.DUMMYFUNCTION("""COMPUTED_VALUE"""),"0001 Casado")</f>
        <v>0001 Casado</v>
      </c>
      <c r="N368" s="1"/>
      <c r="O368" s="10">
        <f>IFERROR(__xludf.DUMMYFUNCTION("""COMPUTED_VALUE"""),38353.0)</f>
        <v>38353</v>
      </c>
      <c r="P368" s="10">
        <f>IFERROR(__xludf.DUMMYFUNCTION("""COMPUTED_VALUE"""),38472.0)</f>
        <v>38472</v>
      </c>
      <c r="Q368" s="1" t="str">
        <f>IFERROR(__xludf.DUMMYFUNCTION("""COMPUTED_VALUE"""),"C Contrata")</f>
        <v>C Contrata</v>
      </c>
      <c r="R368" s="1" t="str">
        <f>IFERROR(__xludf.DUMMYFUNCTION("""COMPUTED_VALUE"""),"A Académico")</f>
        <v>A Académico</v>
      </c>
      <c r="S368" s="9" t="str">
        <f>IFERROR(__xludf.DUMMYFUNCTION("""COMPUTED_VALUE"""),"20832193")</f>
        <v>20832193</v>
      </c>
      <c r="T368" s="1" t="str">
        <f>IFERROR(__xludf.DUMMYFUNCTION("""COMPUTED_VALUE"""),"0020832193")</f>
        <v>0020832193</v>
      </c>
      <c r="U368" s="1">
        <f>IFERROR(__xludf.DUMMYFUNCTION("""COMPUTED_VALUE"""),2.0)</f>
        <v>2</v>
      </c>
      <c r="V368" s="1" t="str">
        <f>IFERROR(__xludf.DUMMYFUNCTION("""COMPUTED_VALUE"""),"P0850 Magister")</f>
        <v>P0850 Magister</v>
      </c>
      <c r="W368" s="1">
        <f>IFERROR(__xludf.DUMMYFUNCTION("""COMPUTED_VALUE"""),22646.0)</f>
        <v>22646</v>
      </c>
      <c r="X368" s="1" t="str">
        <f>IFERROR(__xludf.DUMMYFUNCTION("""COMPUTED_VALUE"""),"Flacso")</f>
        <v>Flacso</v>
      </c>
      <c r="Y368" s="1" t="str">
        <f>IFERROR(__xludf.DUMMYFUNCTION("""COMPUTED_VALUE"""),"CHILE")</f>
        <v>CHILE</v>
      </c>
      <c r="Z368" s="1" t="str">
        <f>IFERROR(__xludf.DUMMYFUNCTION("""COMPUTED_VALUE"""),"T5001 Abogado")</f>
        <v>T5001 Abogado</v>
      </c>
    </row>
    <row r="369" hidden="1">
      <c r="A369" s="1" t="str">
        <f>IFERROR(__xludf.DUMMYFUNCTION("""COMPUTED_VALUE"""),"12090501 Departamento de Investigaciónes Mediáticas y de la Comunicación")</f>
        <v>12090501 Departamento de Investigaciónes Mediáticas y de la Comunicación</v>
      </c>
      <c r="B369" s="1" t="str">
        <f>IFERROR(__xludf.DUMMYFUNCTION("""COMPUTED_VALUE"""),"A2A001 Académico Prof. Asociado")</f>
        <v>A2A001 Académico Prof. Asociado</v>
      </c>
      <c r="C369" s="1" t="str">
        <f>IFERROR(__xludf.DUMMYFUNCTION("""COMPUTED_VALUE"""),"Prof. Asociado - Categ. Academica Ord.")</f>
        <v>Prof. Asociado - Categ. Academica Ord.</v>
      </c>
      <c r="D369" s="1" t="str">
        <f>IFERROR(__xludf.DUMMYFUNCTION("""COMPUTED_VALUE"""),"A2A Prof. Asociado - Categ. Academica Ord.")</f>
        <v>A2A Prof. Asociado - Categ. Academica Ord.</v>
      </c>
      <c r="E369" s="1" t="str">
        <f>IFERROR(__xludf.DUMMYFUNCTION("""COMPUTED_VALUE"""),"Femenino")</f>
        <v>Femenino</v>
      </c>
      <c r="F369" s="1" t="str">
        <f>IFERROR(__xludf.DUMMYFUNCTION("""COMPUTED_VALUE"""),"Zeran")</f>
        <v>Zeran</v>
      </c>
      <c r="G369" s="1" t="str">
        <f>IFERROR(__xludf.DUMMYFUNCTION("""COMPUTED_VALUE"""),"Chelech")</f>
        <v>Chelech</v>
      </c>
      <c r="H369" s="1" t="str">
        <f>IFERROR(__xludf.DUMMYFUNCTION("""COMPUTED_VALUE"""),"Alia Faride")</f>
        <v>Alia Faride</v>
      </c>
      <c r="I369" s="1" t="str">
        <f>IFERROR(__xludf.DUMMYFUNCTION("""COMPUTED_VALUE"""),"Zeran Chelech Alia Faride")</f>
        <v>Zeran Chelech Alia Faride</v>
      </c>
      <c r="J369" s="10">
        <f>IFERROR(__xludf.DUMMYFUNCTION("""COMPUTED_VALUE"""),35735.0)</f>
        <v>35735</v>
      </c>
      <c r="K369" s="10">
        <f>IFERROR(__xludf.DUMMYFUNCTION("""COMPUTED_VALUE"""),18208.0)</f>
        <v>18208</v>
      </c>
      <c r="L369" s="1">
        <f>IFERROR(__xludf.DUMMYFUNCTION("""COMPUTED_VALUE"""),74.0)</f>
        <v>74</v>
      </c>
      <c r="M369" s="1" t="str">
        <f>IFERROR(__xludf.DUMMYFUNCTION("""COMPUTED_VALUE"""),"0001 Casado")</f>
        <v>0001 Casado</v>
      </c>
      <c r="N369" s="1" t="str">
        <f>IFERROR(__xludf.DUMMYFUNCTION("""COMPUTED_VALUE"""),"N0040 Profesional Superior")</f>
        <v>N0040 Profesional Superior</v>
      </c>
      <c r="O369" s="10">
        <f>IFERROR(__xludf.DUMMYFUNCTION("""COMPUTED_VALUE"""),36770.0)</f>
        <v>36770</v>
      </c>
      <c r="P369" s="10">
        <f>IFERROR(__xludf.DUMMYFUNCTION("""COMPUTED_VALUE"""),37833.0)</f>
        <v>37833</v>
      </c>
      <c r="Q369" s="1" t="str">
        <f>IFERROR(__xludf.DUMMYFUNCTION("""COMPUTED_VALUE"""),"P Propiedad")</f>
        <v>P Propiedad</v>
      </c>
      <c r="R369" s="1" t="str">
        <f>IFERROR(__xludf.DUMMYFUNCTION("""COMPUTED_VALUE"""),"A Académico")</f>
        <v>A Académico</v>
      </c>
      <c r="S369" s="9" t="str">
        <f>IFERROR(__xludf.DUMMYFUNCTION("""COMPUTED_VALUE"""),"62682558")</f>
        <v>62682558</v>
      </c>
      <c r="T369" s="1" t="str">
        <f>IFERROR(__xludf.DUMMYFUNCTION("""COMPUTED_VALUE"""),"0062682558")</f>
        <v>0062682558</v>
      </c>
      <c r="U369" s="1">
        <f>IFERROR(__xludf.DUMMYFUNCTION("""COMPUTED_VALUE"""),22.0)</f>
        <v>22</v>
      </c>
      <c r="V369" s="1"/>
      <c r="W369" s="1"/>
      <c r="X369" s="1"/>
      <c r="Y369" s="1"/>
      <c r="Z369" s="1" t="str">
        <f>IFERROR(__xludf.DUMMYFUNCTION("""COMPUTED_VALUE"""),"T5074 Periodista")</f>
        <v>T5074 Periodista</v>
      </c>
    </row>
    <row r="370" hidden="1">
      <c r="A370" s="1" t="str">
        <f>IFERROR(__xludf.DUMMYFUNCTION("""COMPUTED_VALUE"""),"12090701 Departamento de Psicología")</f>
        <v>12090701 Departamento de Psicología</v>
      </c>
      <c r="B370" s="1" t="str">
        <f>IFERROR(__xludf.DUMMYFUNCTION("""COMPUTED_VALUE"""),"A3A001 Académico Prof. Asistente")</f>
        <v>A3A001 Académico Prof. Asistente</v>
      </c>
      <c r="C370" s="1" t="str">
        <f>IFERROR(__xludf.DUMMYFUNCTION("""COMPUTED_VALUE"""),"Prof. Asistente - Categ. Academica Ord.")</f>
        <v>Prof. Asistente - Categ. Academica Ord.</v>
      </c>
      <c r="D370" s="1" t="str">
        <f>IFERROR(__xludf.DUMMYFUNCTION("""COMPUTED_VALUE"""),"A3A Prof. Asistente - Categ. Academica Ord.")</f>
        <v>A3A Prof. Asistente - Categ. Academica Ord.</v>
      </c>
      <c r="E370" s="1" t="str">
        <f>IFERROR(__xludf.DUMMYFUNCTION("""COMPUTED_VALUE"""),"Femenino")</f>
        <v>Femenino</v>
      </c>
      <c r="F370" s="1" t="str">
        <f>IFERROR(__xludf.DUMMYFUNCTION("""COMPUTED_VALUE"""),"Zlachevsky")</f>
        <v>Zlachevsky</v>
      </c>
      <c r="G370" s="1" t="str">
        <f>IFERROR(__xludf.DUMMYFUNCTION("""COMPUTED_VALUE"""),"Ojeda")</f>
        <v>Ojeda</v>
      </c>
      <c r="H370" s="1" t="str">
        <f>IFERROR(__xludf.DUMMYFUNCTION("""COMPUTED_VALUE"""),"Ana María")</f>
        <v>Ana María</v>
      </c>
      <c r="I370" s="1" t="str">
        <f>IFERROR(__xludf.DUMMYFUNCTION("""COMPUTED_VALUE"""),"Zlachevsky Ojeda Ana María")</f>
        <v>Zlachevsky Ojeda Ana María</v>
      </c>
      <c r="J370" s="10">
        <f>IFERROR(__xludf.DUMMYFUNCTION("""COMPUTED_VALUE"""),25750.0)</f>
        <v>25750</v>
      </c>
      <c r="K370" s="10">
        <f>IFERROR(__xludf.DUMMYFUNCTION("""COMPUTED_VALUE"""),16041.0)</f>
        <v>16041</v>
      </c>
      <c r="L370" s="1">
        <f>IFERROR(__xludf.DUMMYFUNCTION("""COMPUTED_VALUE"""),80.0)</f>
        <v>80</v>
      </c>
      <c r="M370" s="1" t="str">
        <f>IFERROR(__xludf.DUMMYFUNCTION("""COMPUTED_VALUE"""),"0001 Casado")</f>
        <v>0001 Casado</v>
      </c>
      <c r="N370" s="1"/>
      <c r="O370" s="10">
        <f>IFERROR(__xludf.DUMMYFUNCTION("""COMPUTED_VALUE"""),34790.0)</f>
        <v>34790</v>
      </c>
      <c r="P370" s="10">
        <f>IFERROR(__xludf.DUMMYFUNCTION("""COMPUTED_VALUE"""),35885.0)</f>
        <v>35885</v>
      </c>
      <c r="Q370" s="1" t="str">
        <f>IFERROR(__xludf.DUMMYFUNCTION("""COMPUTED_VALUE"""),"P Propiedad")</f>
        <v>P Propiedad</v>
      </c>
      <c r="R370" s="1" t="str">
        <f>IFERROR(__xludf.DUMMYFUNCTION("""COMPUTED_VALUE"""),"A Académico")</f>
        <v>A Académico</v>
      </c>
      <c r="S370" s="9" t="str">
        <f>IFERROR(__xludf.DUMMYFUNCTION("""COMPUTED_VALUE"""),"28575696")</f>
        <v>28575696</v>
      </c>
      <c r="T370" s="1" t="str">
        <f>IFERROR(__xludf.DUMMYFUNCTION("""COMPUTED_VALUE"""),"0028575696")</f>
        <v>0028575696</v>
      </c>
      <c r="U370" s="1">
        <f>IFERROR(__xludf.DUMMYFUNCTION("""COMPUTED_VALUE"""),12.0)</f>
        <v>12</v>
      </c>
      <c r="V370" s="1"/>
      <c r="W370" s="1"/>
      <c r="X370" s="1"/>
      <c r="Y370" s="1"/>
      <c r="Z370" s="1"/>
    </row>
    <row r="371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9"/>
      <c r="T371" s="1" t="str">
        <f>IFERROR(__xludf.DUMMYFUNCTION("""COMPUTED_VALUE"""),"")</f>
        <v/>
      </c>
      <c r="U371" s="1"/>
      <c r="V371" s="1"/>
      <c r="W371" s="1"/>
      <c r="X371" s="1"/>
      <c r="Y371" s="1"/>
      <c r="Z371" s="1"/>
    </row>
    <row r="372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9"/>
      <c r="T372" s="1" t="str">
        <f>IFERROR(__xludf.DUMMYFUNCTION("""COMPUTED_VALUE"""),"")</f>
        <v/>
      </c>
      <c r="U372" s="1"/>
      <c r="V372" s="1"/>
      <c r="W372" s="1"/>
      <c r="X372" s="1"/>
      <c r="Y372" s="1"/>
      <c r="Z372" s="1"/>
    </row>
    <row r="373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9"/>
      <c r="T373" s="1" t="str">
        <f>IFERROR(__xludf.DUMMYFUNCTION("""COMPUTED_VALUE"""),"")</f>
        <v/>
      </c>
      <c r="U373" s="1"/>
      <c r="V373" s="1"/>
      <c r="W373" s="1"/>
      <c r="X373" s="1"/>
      <c r="Y373" s="1"/>
      <c r="Z373" s="1"/>
    </row>
    <row r="374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9"/>
      <c r="T374" s="1" t="str">
        <f>IFERROR(__xludf.DUMMYFUNCTION("""COMPUTED_VALUE"""),"")</f>
        <v/>
      </c>
      <c r="U374" s="1"/>
      <c r="V374" s="1"/>
      <c r="W374" s="1"/>
      <c r="X374" s="1"/>
      <c r="Y374" s="1"/>
      <c r="Z374" s="1"/>
    </row>
    <row r="37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9"/>
      <c r="T375" s="1" t="str">
        <f>IFERROR(__xludf.DUMMYFUNCTION("""COMPUTED_VALUE"""),"")</f>
        <v/>
      </c>
      <c r="U375" s="1"/>
      <c r="V375" s="1"/>
      <c r="W375" s="1"/>
      <c r="X375" s="1"/>
      <c r="Y375" s="1"/>
      <c r="Z375" s="1"/>
    </row>
    <row r="376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9"/>
      <c r="T376" s="1" t="str">
        <f>IFERROR(__xludf.DUMMYFUNCTION("""COMPUTED_VALUE"""),"")</f>
        <v/>
      </c>
      <c r="U376" s="1"/>
      <c r="V376" s="1"/>
      <c r="W376" s="1"/>
      <c r="X376" s="1"/>
      <c r="Y376" s="1"/>
      <c r="Z376" s="1"/>
    </row>
    <row r="377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9"/>
      <c r="T377" s="1" t="str">
        <f>IFERROR(__xludf.DUMMYFUNCTION("""COMPUTED_VALUE"""),"")</f>
        <v/>
      </c>
      <c r="U377" s="1"/>
      <c r="V377" s="1"/>
      <c r="W377" s="1"/>
      <c r="X377" s="1"/>
      <c r="Y377" s="1"/>
      <c r="Z377" s="1"/>
    </row>
    <row r="378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9"/>
      <c r="T378" s="1" t="str">
        <f>IFERROR(__xludf.DUMMYFUNCTION("""COMPUTED_VALUE"""),"")</f>
        <v/>
      </c>
      <c r="U378" s="1"/>
      <c r="V378" s="1"/>
      <c r="W378" s="1"/>
      <c r="X378" s="1"/>
      <c r="Y378" s="1"/>
      <c r="Z378" s="1"/>
    </row>
    <row r="379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9"/>
      <c r="T379" s="1" t="str">
        <f>IFERROR(__xludf.DUMMYFUNCTION("""COMPUTED_VALUE"""),"")</f>
        <v/>
      </c>
      <c r="U379" s="1"/>
      <c r="V379" s="1"/>
      <c r="W379" s="1"/>
      <c r="X379" s="1"/>
      <c r="Y379" s="1"/>
      <c r="Z379" s="1"/>
    </row>
    <row r="380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9"/>
      <c r="T380" s="1" t="str">
        <f>IFERROR(__xludf.DUMMYFUNCTION("""COMPUTED_VALUE"""),"")</f>
        <v/>
      </c>
      <c r="U380" s="1"/>
      <c r="V380" s="1"/>
      <c r="W380" s="1"/>
      <c r="X380" s="1"/>
      <c r="Y380" s="1"/>
      <c r="Z380" s="1"/>
    </row>
    <row r="381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9"/>
      <c r="T381" s="1" t="str">
        <f>IFERROR(__xludf.DUMMYFUNCTION("""COMPUTED_VALUE"""),"")</f>
        <v/>
      </c>
      <c r="U381" s="1"/>
      <c r="V381" s="1"/>
      <c r="W381" s="1"/>
      <c r="X381" s="1"/>
      <c r="Y381" s="1"/>
      <c r="Z381" s="1"/>
    </row>
    <row r="382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9"/>
      <c r="T382" s="1" t="str">
        <f>IFERROR(__xludf.DUMMYFUNCTION("""COMPUTED_VALUE"""),"")</f>
        <v/>
      </c>
      <c r="U382" s="1"/>
      <c r="V382" s="1"/>
      <c r="W382" s="1"/>
      <c r="X382" s="1"/>
      <c r="Y382" s="1"/>
      <c r="Z382" s="1"/>
    </row>
    <row r="383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9"/>
      <c r="T383" s="1" t="str">
        <f>IFERROR(__xludf.DUMMYFUNCTION("""COMPUTED_VALUE"""),"")</f>
        <v/>
      </c>
      <c r="U383" s="1"/>
      <c r="V383" s="1"/>
      <c r="W383" s="1"/>
      <c r="X383" s="1"/>
      <c r="Y383" s="1"/>
      <c r="Z383" s="1"/>
    </row>
    <row r="384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9"/>
      <c r="T384" s="1" t="str">
        <f>IFERROR(__xludf.DUMMYFUNCTION("""COMPUTED_VALUE"""),"")</f>
        <v/>
      </c>
      <c r="U384" s="1"/>
      <c r="V384" s="1"/>
      <c r="W384" s="1"/>
      <c r="X384" s="1"/>
      <c r="Y384" s="1"/>
      <c r="Z384" s="1"/>
    </row>
    <row r="38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9"/>
      <c r="T385" s="1" t="str">
        <f>IFERROR(__xludf.DUMMYFUNCTION("""COMPUTED_VALUE"""),"")</f>
        <v/>
      </c>
      <c r="U385" s="1"/>
      <c r="V385" s="1"/>
      <c r="W385" s="1"/>
      <c r="X385" s="1"/>
      <c r="Y385" s="1"/>
      <c r="Z385" s="1"/>
    </row>
    <row r="386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9"/>
      <c r="T386" s="1" t="str">
        <f>IFERROR(__xludf.DUMMYFUNCTION("""COMPUTED_VALUE"""),"")</f>
        <v/>
      </c>
      <c r="U386" s="1"/>
      <c r="V386" s="1"/>
      <c r="W386" s="1"/>
      <c r="X386" s="1"/>
      <c r="Y386" s="1"/>
      <c r="Z386" s="1"/>
    </row>
    <row r="387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9"/>
      <c r="T387" s="1" t="str">
        <f>IFERROR(__xludf.DUMMYFUNCTION("""COMPUTED_VALUE"""),"")</f>
        <v/>
      </c>
      <c r="U387" s="1"/>
      <c r="V387" s="1"/>
      <c r="W387" s="1"/>
      <c r="X387" s="1"/>
      <c r="Y387" s="1"/>
      <c r="Z387" s="1"/>
    </row>
    <row r="388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9"/>
      <c r="T388" s="1" t="str">
        <f>IFERROR(__xludf.DUMMYFUNCTION("""COMPUTED_VALUE"""),"")</f>
        <v/>
      </c>
      <c r="U388" s="1"/>
      <c r="V388" s="1"/>
      <c r="W388" s="1"/>
      <c r="X388" s="1"/>
      <c r="Y388" s="1"/>
      <c r="Z388" s="1"/>
    </row>
    <row r="389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9"/>
      <c r="T389" s="1" t="str">
        <f>IFERROR(__xludf.DUMMYFUNCTION("""COMPUTED_VALUE"""),"")</f>
        <v/>
      </c>
      <c r="U389" s="1"/>
      <c r="V389" s="1"/>
      <c r="W389" s="1"/>
      <c r="X389" s="1"/>
      <c r="Y389" s="1"/>
      <c r="Z389" s="1"/>
    </row>
    <row r="390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9"/>
      <c r="T390" s="1" t="str">
        <f>IFERROR(__xludf.DUMMYFUNCTION("""COMPUTED_VALUE"""),"")</f>
        <v/>
      </c>
      <c r="U390" s="1"/>
      <c r="V390" s="1"/>
      <c r="W390" s="1"/>
      <c r="X390" s="1"/>
      <c r="Y390" s="1"/>
      <c r="Z390" s="1"/>
    </row>
    <row r="391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9"/>
      <c r="T391" s="1" t="str">
        <f>IFERROR(__xludf.DUMMYFUNCTION("""COMPUTED_VALUE"""),"")</f>
        <v/>
      </c>
      <c r="U391" s="1"/>
      <c r="V391" s="1"/>
      <c r="W391" s="1"/>
      <c r="X391" s="1"/>
      <c r="Y391" s="1"/>
      <c r="Z391" s="1"/>
    </row>
    <row r="392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9"/>
      <c r="T392" s="1" t="str">
        <f>IFERROR(__xludf.DUMMYFUNCTION("""COMPUTED_VALUE"""),"")</f>
        <v/>
      </c>
      <c r="U392" s="1"/>
      <c r="V392" s="1"/>
      <c r="W392" s="1"/>
      <c r="X392" s="1"/>
      <c r="Y392" s="1"/>
      <c r="Z392" s="1"/>
    </row>
    <row r="393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9"/>
      <c r="T393" s="1" t="str">
        <f>IFERROR(__xludf.DUMMYFUNCTION("""COMPUTED_VALUE"""),"")</f>
        <v/>
      </c>
      <c r="U393" s="1"/>
      <c r="V393" s="1"/>
      <c r="W393" s="1"/>
      <c r="X393" s="1"/>
      <c r="Y393" s="1"/>
      <c r="Z393" s="1"/>
    </row>
    <row r="394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9"/>
      <c r="T394" s="1" t="str">
        <f>IFERROR(__xludf.DUMMYFUNCTION("""COMPUTED_VALUE"""),"")</f>
        <v/>
      </c>
      <c r="U394" s="1"/>
      <c r="V394" s="1"/>
      <c r="W394" s="1"/>
      <c r="X394" s="1"/>
      <c r="Y394" s="1"/>
      <c r="Z394" s="1"/>
    </row>
    <row r="39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9"/>
      <c r="T395" s="1" t="str">
        <f>IFERROR(__xludf.DUMMYFUNCTION("""COMPUTED_VALUE"""),"")</f>
        <v/>
      </c>
      <c r="U395" s="1"/>
      <c r="V395" s="1"/>
      <c r="W395" s="1"/>
      <c r="X395" s="1"/>
      <c r="Y395" s="1"/>
      <c r="Z395" s="1"/>
    </row>
    <row r="396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9"/>
      <c r="T396" s="1" t="str">
        <f>IFERROR(__xludf.DUMMYFUNCTION("""COMPUTED_VALUE"""),"")</f>
        <v/>
      </c>
      <c r="U396" s="1"/>
      <c r="V396" s="1"/>
      <c r="W396" s="1"/>
      <c r="X396" s="1"/>
      <c r="Y396" s="1"/>
      <c r="Z396" s="1"/>
    </row>
    <row r="397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9"/>
      <c r="T397" s="1" t="str">
        <f>IFERROR(__xludf.DUMMYFUNCTION("""COMPUTED_VALUE"""),"")</f>
        <v/>
      </c>
      <c r="U397" s="1"/>
      <c r="V397" s="1"/>
      <c r="W397" s="1"/>
      <c r="X397" s="1"/>
      <c r="Y397" s="1"/>
      <c r="Z397" s="1"/>
    </row>
    <row r="398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9"/>
      <c r="T398" s="1" t="str">
        <f>IFERROR(__xludf.DUMMYFUNCTION("""COMPUTED_VALUE"""),"")</f>
        <v/>
      </c>
      <c r="U398" s="1"/>
      <c r="V398" s="1"/>
      <c r="W398" s="1"/>
      <c r="X398" s="1"/>
      <c r="Y398" s="1"/>
      <c r="Z398" s="1"/>
    </row>
    <row r="399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9"/>
      <c r="T399" s="1" t="str">
        <f>IFERROR(__xludf.DUMMYFUNCTION("""COMPUTED_VALUE"""),"")</f>
        <v/>
      </c>
      <c r="U399" s="1"/>
      <c r="V399" s="1"/>
      <c r="W399" s="1"/>
      <c r="X399" s="1"/>
      <c r="Y399" s="1"/>
      <c r="Z399" s="1"/>
    </row>
    <row r="400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9"/>
      <c r="T400" s="1" t="str">
        <f>IFERROR(__xludf.DUMMYFUNCTION("""COMPUTED_VALUE"""),"")</f>
        <v/>
      </c>
      <c r="U400" s="1"/>
      <c r="V400" s="1"/>
      <c r="W400" s="1"/>
      <c r="X400" s="1"/>
      <c r="Y400" s="1"/>
      <c r="Z400" s="1"/>
    </row>
    <row r="401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9"/>
      <c r="T401" s="1" t="str">
        <f>IFERROR(__xludf.DUMMYFUNCTION("""COMPUTED_VALUE"""),"")</f>
        <v/>
      </c>
      <c r="U401" s="1"/>
      <c r="V401" s="1"/>
      <c r="W401" s="1"/>
      <c r="X401" s="1"/>
      <c r="Y401" s="1"/>
      <c r="Z401" s="1"/>
    </row>
    <row r="402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9"/>
      <c r="T402" s="1" t="str">
        <f>IFERROR(__xludf.DUMMYFUNCTION("""COMPUTED_VALUE"""),"")</f>
        <v/>
      </c>
      <c r="U402" s="1"/>
      <c r="V402" s="1"/>
      <c r="W402" s="1"/>
      <c r="X402" s="1"/>
      <c r="Y402" s="1"/>
      <c r="Z402" s="1"/>
    </row>
    <row r="403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9"/>
      <c r="T403" s="1" t="str">
        <f>IFERROR(__xludf.DUMMYFUNCTION("""COMPUTED_VALUE"""),"")</f>
        <v/>
      </c>
      <c r="U403" s="1"/>
      <c r="V403" s="1"/>
      <c r="W403" s="1"/>
      <c r="X403" s="1"/>
      <c r="Y403" s="1"/>
      <c r="Z403" s="1"/>
    </row>
    <row r="404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9"/>
      <c r="T404" s="1" t="str">
        <f>IFERROR(__xludf.DUMMYFUNCTION("""COMPUTED_VALUE"""),"")</f>
        <v/>
      </c>
      <c r="U404" s="1"/>
      <c r="V404" s="1"/>
      <c r="W404" s="1"/>
      <c r="X404" s="1"/>
      <c r="Y404" s="1"/>
      <c r="Z404" s="1"/>
    </row>
    <row r="40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9"/>
      <c r="T405" s="1" t="str">
        <f>IFERROR(__xludf.DUMMYFUNCTION("""COMPUTED_VALUE"""),"")</f>
        <v/>
      </c>
      <c r="U405" s="1"/>
      <c r="V405" s="1"/>
      <c r="W405" s="1"/>
      <c r="X405" s="1"/>
      <c r="Y405" s="1"/>
      <c r="Z405" s="1"/>
    </row>
    <row r="406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9"/>
      <c r="T406" s="1" t="str">
        <f>IFERROR(__xludf.DUMMYFUNCTION("""COMPUTED_VALUE"""),"")</f>
        <v/>
      </c>
      <c r="U406" s="1"/>
      <c r="V406" s="1"/>
      <c r="W406" s="1"/>
      <c r="X406" s="1"/>
      <c r="Y406" s="1"/>
      <c r="Z406" s="1"/>
    </row>
    <row r="407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9"/>
      <c r="T407" s="1" t="str">
        <f>IFERROR(__xludf.DUMMYFUNCTION("""COMPUTED_VALUE"""),"")</f>
        <v/>
      </c>
      <c r="U407" s="1"/>
      <c r="V407" s="1"/>
      <c r="W407" s="1"/>
      <c r="X407" s="1"/>
      <c r="Y407" s="1"/>
      <c r="Z407" s="1"/>
    </row>
    <row r="408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9"/>
      <c r="T408" s="1" t="str">
        <f>IFERROR(__xludf.DUMMYFUNCTION("""COMPUTED_VALUE"""),"")</f>
        <v/>
      </c>
      <c r="U408" s="1"/>
      <c r="V408" s="1"/>
      <c r="W408" s="1"/>
      <c r="X408" s="1"/>
      <c r="Y408" s="1"/>
      <c r="Z408" s="1"/>
    </row>
    <row r="409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9"/>
      <c r="T409" s="1" t="str">
        <f>IFERROR(__xludf.DUMMYFUNCTION("""COMPUTED_VALUE"""),"")</f>
        <v/>
      </c>
      <c r="U409" s="1"/>
      <c r="V409" s="1"/>
      <c r="W409" s="1"/>
      <c r="X409" s="1"/>
      <c r="Y409" s="1"/>
      <c r="Z409" s="1"/>
    </row>
    <row r="410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9"/>
      <c r="T410" s="1" t="str">
        <f>IFERROR(__xludf.DUMMYFUNCTION("""COMPUTED_VALUE"""),"")</f>
        <v/>
      </c>
      <c r="U410" s="1"/>
      <c r="V410" s="1"/>
      <c r="W410" s="1"/>
      <c r="X410" s="1"/>
      <c r="Y410" s="1"/>
      <c r="Z410" s="1"/>
    </row>
    <row r="411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9"/>
      <c r="T411" s="1" t="str">
        <f>IFERROR(__xludf.DUMMYFUNCTION("""COMPUTED_VALUE"""),"")</f>
        <v/>
      </c>
      <c r="U411" s="1"/>
      <c r="V411" s="1"/>
      <c r="W411" s="1"/>
      <c r="X411" s="1"/>
      <c r="Y411" s="1"/>
      <c r="Z411" s="1"/>
    </row>
    <row r="412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9"/>
      <c r="T412" s="1" t="str">
        <f>IFERROR(__xludf.DUMMYFUNCTION("""COMPUTED_VALUE"""),"")</f>
        <v/>
      </c>
      <c r="U412" s="1"/>
      <c r="V412" s="1"/>
      <c r="W412" s="1"/>
      <c r="X412" s="1"/>
      <c r="Y412" s="1"/>
      <c r="Z412" s="1"/>
    </row>
    <row r="413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9"/>
      <c r="T413" s="1" t="str">
        <f>IFERROR(__xludf.DUMMYFUNCTION("""COMPUTED_VALUE"""),"")</f>
        <v/>
      </c>
      <c r="U413" s="1"/>
      <c r="V413" s="1"/>
      <c r="W413" s="1"/>
      <c r="X413" s="1"/>
      <c r="Y413" s="1"/>
      <c r="Z413" s="1"/>
    </row>
    <row r="414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9"/>
      <c r="T414" s="1" t="str">
        <f>IFERROR(__xludf.DUMMYFUNCTION("""COMPUTED_VALUE"""),"")</f>
        <v/>
      </c>
      <c r="U414" s="1"/>
      <c r="V414" s="1"/>
      <c r="W414" s="1"/>
      <c r="X414" s="1"/>
      <c r="Y414" s="1"/>
      <c r="Z414" s="1"/>
    </row>
    <row r="41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9"/>
      <c r="T415" s="1" t="str">
        <f>IFERROR(__xludf.DUMMYFUNCTION("""COMPUTED_VALUE"""),"")</f>
        <v/>
      </c>
      <c r="U415" s="1"/>
      <c r="V415" s="1"/>
      <c r="W415" s="1"/>
      <c r="X415" s="1"/>
      <c r="Y415" s="1"/>
      <c r="Z415" s="1"/>
    </row>
    <row r="416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9"/>
      <c r="T416" s="1" t="str">
        <f>IFERROR(__xludf.DUMMYFUNCTION("""COMPUTED_VALUE"""),"")</f>
        <v/>
      </c>
      <c r="U416" s="1"/>
      <c r="V416" s="1"/>
      <c r="W416" s="1"/>
      <c r="X416" s="1"/>
      <c r="Y416" s="1"/>
      <c r="Z416" s="1"/>
    </row>
    <row r="417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9"/>
      <c r="T417" s="1" t="str">
        <f>IFERROR(__xludf.DUMMYFUNCTION("""COMPUTED_VALUE"""),"")</f>
        <v/>
      </c>
      <c r="U417" s="1"/>
      <c r="V417" s="1"/>
      <c r="W417" s="1"/>
      <c r="X417" s="1"/>
      <c r="Y417" s="1"/>
      <c r="Z417" s="1"/>
    </row>
    <row r="418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9"/>
      <c r="T418" s="1" t="str">
        <f>IFERROR(__xludf.DUMMYFUNCTION("""COMPUTED_VALUE"""),"")</f>
        <v/>
      </c>
      <c r="U418" s="1"/>
      <c r="V418" s="1"/>
      <c r="W418" s="1"/>
      <c r="X418" s="1"/>
      <c r="Y418" s="1"/>
      <c r="Z418" s="1"/>
    </row>
    <row r="419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9"/>
      <c r="T419" s="1" t="str">
        <f>IFERROR(__xludf.DUMMYFUNCTION("""COMPUTED_VALUE"""),"")</f>
        <v/>
      </c>
      <c r="U419" s="1"/>
      <c r="V419" s="1"/>
      <c r="W419" s="1"/>
      <c r="X419" s="1"/>
      <c r="Y419" s="1"/>
      <c r="Z419" s="1"/>
    </row>
    <row r="420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9"/>
      <c r="T420" s="1" t="str">
        <f>IFERROR(__xludf.DUMMYFUNCTION("""COMPUTED_VALUE"""),"")</f>
        <v/>
      </c>
      <c r="U420" s="1"/>
      <c r="V420" s="1"/>
      <c r="W420" s="1"/>
      <c r="X420" s="1"/>
      <c r="Y420" s="1"/>
      <c r="Z420" s="1"/>
    </row>
    <row r="421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9"/>
      <c r="T421" s="1" t="str">
        <f>IFERROR(__xludf.DUMMYFUNCTION("""COMPUTED_VALUE"""),"")</f>
        <v/>
      </c>
      <c r="U421" s="1"/>
      <c r="V421" s="1"/>
      <c r="W421" s="1"/>
      <c r="X421" s="1"/>
      <c r="Y421" s="1"/>
      <c r="Z421" s="1"/>
    </row>
    <row r="422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9"/>
      <c r="T422" s="1" t="str">
        <f>IFERROR(__xludf.DUMMYFUNCTION("""COMPUTED_VALUE"""),"")</f>
        <v/>
      </c>
      <c r="U422" s="1"/>
      <c r="V422" s="1"/>
      <c r="W422" s="1"/>
      <c r="X422" s="1"/>
      <c r="Y422" s="1"/>
      <c r="Z422" s="1"/>
    </row>
    <row r="423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9"/>
      <c r="T423" s="1" t="str">
        <f>IFERROR(__xludf.DUMMYFUNCTION("""COMPUTED_VALUE"""),"")</f>
        <v/>
      </c>
      <c r="U423" s="1"/>
      <c r="V423" s="1"/>
      <c r="W423" s="1"/>
      <c r="X423" s="1"/>
      <c r="Y423" s="1"/>
      <c r="Z423" s="1"/>
    </row>
    <row r="424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9"/>
      <c r="T424" s="1" t="str">
        <f>IFERROR(__xludf.DUMMYFUNCTION("""COMPUTED_VALUE"""),"")</f>
        <v/>
      </c>
      <c r="U424" s="1"/>
      <c r="V424" s="1"/>
      <c r="W424" s="1"/>
      <c r="X424" s="1"/>
      <c r="Y424" s="1"/>
      <c r="Z424" s="1"/>
    </row>
    <row r="42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9"/>
      <c r="T425" s="1" t="str">
        <f>IFERROR(__xludf.DUMMYFUNCTION("""COMPUTED_VALUE"""),"")</f>
        <v/>
      </c>
      <c r="U425" s="1"/>
      <c r="V425" s="1"/>
      <c r="W425" s="1"/>
      <c r="X425" s="1"/>
      <c r="Y425" s="1"/>
      <c r="Z425" s="1"/>
    </row>
    <row r="426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9"/>
      <c r="T426" s="1" t="str">
        <f>IFERROR(__xludf.DUMMYFUNCTION("""COMPUTED_VALUE"""),"")</f>
        <v/>
      </c>
      <c r="U426" s="1"/>
      <c r="V426" s="1"/>
      <c r="W426" s="1"/>
      <c r="X426" s="1"/>
      <c r="Y426" s="1"/>
      <c r="Z426" s="1"/>
    </row>
    <row r="427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9"/>
      <c r="T427" s="1" t="str">
        <f>IFERROR(__xludf.DUMMYFUNCTION("""COMPUTED_VALUE"""),"")</f>
        <v/>
      </c>
      <c r="U427" s="1"/>
      <c r="V427" s="1"/>
      <c r="W427" s="1"/>
      <c r="X427" s="1"/>
      <c r="Y427" s="1"/>
      <c r="Z427" s="1"/>
    </row>
    <row r="428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9"/>
      <c r="T428" s="1" t="str">
        <f>IFERROR(__xludf.DUMMYFUNCTION("""COMPUTED_VALUE"""),"")</f>
        <v/>
      </c>
      <c r="U428" s="1"/>
      <c r="V428" s="1"/>
      <c r="W428" s="1"/>
      <c r="X428" s="1"/>
      <c r="Y428" s="1"/>
      <c r="Z428" s="1"/>
    </row>
    <row r="429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9"/>
      <c r="T429" s="1" t="str">
        <f>IFERROR(__xludf.DUMMYFUNCTION("""COMPUTED_VALUE"""),"")</f>
        <v/>
      </c>
      <c r="U429" s="1"/>
      <c r="V429" s="1"/>
      <c r="W429" s="1"/>
      <c r="X429" s="1"/>
      <c r="Y429" s="1"/>
      <c r="Z429" s="1"/>
    </row>
    <row r="430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9"/>
      <c r="T430" s="1" t="str">
        <f>IFERROR(__xludf.DUMMYFUNCTION("""COMPUTED_VALUE"""),"")</f>
        <v/>
      </c>
      <c r="U430" s="1"/>
      <c r="V430" s="1"/>
      <c r="W430" s="1"/>
      <c r="X430" s="1"/>
      <c r="Y430" s="1"/>
      <c r="Z430" s="1"/>
    </row>
    <row r="431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9"/>
      <c r="T431" s="1" t="str">
        <f>IFERROR(__xludf.DUMMYFUNCTION("""COMPUTED_VALUE"""),"")</f>
        <v/>
      </c>
      <c r="U431" s="1"/>
      <c r="V431" s="1"/>
      <c r="W431" s="1"/>
      <c r="X431" s="1"/>
      <c r="Y431" s="1"/>
      <c r="Z431" s="1"/>
    </row>
    <row r="432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9"/>
      <c r="T432" s="1" t="str">
        <f>IFERROR(__xludf.DUMMYFUNCTION("""COMPUTED_VALUE"""),"")</f>
        <v/>
      </c>
      <c r="U432" s="1"/>
      <c r="V432" s="1"/>
      <c r="W432" s="1"/>
      <c r="X432" s="1"/>
      <c r="Y432" s="1"/>
      <c r="Z432" s="1"/>
    </row>
    <row r="433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9"/>
      <c r="T433" s="1" t="str">
        <f>IFERROR(__xludf.DUMMYFUNCTION("""COMPUTED_VALUE"""),"")</f>
        <v/>
      </c>
      <c r="U433" s="1"/>
      <c r="V433" s="1"/>
      <c r="W433" s="1"/>
      <c r="X433" s="1"/>
      <c r="Y433" s="1"/>
      <c r="Z433" s="1"/>
    </row>
    <row r="434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9"/>
      <c r="T434" s="1" t="str">
        <f>IFERROR(__xludf.DUMMYFUNCTION("""COMPUTED_VALUE"""),"")</f>
        <v/>
      </c>
      <c r="U434" s="1"/>
      <c r="V434" s="1"/>
      <c r="W434" s="1"/>
      <c r="X434" s="1"/>
      <c r="Y434" s="1"/>
      <c r="Z434" s="1"/>
    </row>
    <row r="43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9"/>
      <c r="T435" s="1" t="str">
        <f>IFERROR(__xludf.DUMMYFUNCTION("""COMPUTED_VALUE"""),"")</f>
        <v/>
      </c>
      <c r="U435" s="1"/>
      <c r="V435" s="1"/>
      <c r="W435" s="1"/>
      <c r="X435" s="1"/>
      <c r="Y435" s="1"/>
      <c r="Z435" s="1"/>
    </row>
    <row r="436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9"/>
      <c r="T436" s="1" t="str">
        <f>IFERROR(__xludf.DUMMYFUNCTION("""COMPUTED_VALUE"""),"")</f>
        <v/>
      </c>
      <c r="U436" s="1"/>
      <c r="V436" s="1"/>
      <c r="W436" s="1"/>
      <c r="X436" s="1"/>
      <c r="Y436" s="1"/>
      <c r="Z436" s="1"/>
    </row>
    <row r="437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9"/>
      <c r="T437" s="1" t="str">
        <f>IFERROR(__xludf.DUMMYFUNCTION("""COMPUTED_VALUE"""),"")</f>
        <v/>
      </c>
      <c r="U437" s="1"/>
      <c r="V437" s="1"/>
      <c r="W437" s="1"/>
      <c r="X437" s="1"/>
      <c r="Y437" s="1"/>
      <c r="Z437" s="1"/>
    </row>
    <row r="438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9"/>
      <c r="T438" s="1" t="str">
        <f>IFERROR(__xludf.DUMMYFUNCTION("""COMPUTED_VALUE"""),"")</f>
        <v/>
      </c>
      <c r="U438" s="1"/>
      <c r="V438" s="1"/>
      <c r="W438" s="1"/>
      <c r="X438" s="1"/>
      <c r="Y438" s="1"/>
      <c r="Z438" s="1"/>
    </row>
    <row r="439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9"/>
      <c r="T439" s="1" t="str">
        <f>IFERROR(__xludf.DUMMYFUNCTION("""COMPUTED_VALUE"""),"")</f>
        <v/>
      </c>
      <c r="U439" s="1"/>
      <c r="V439" s="1"/>
      <c r="W439" s="1"/>
      <c r="X439" s="1"/>
      <c r="Y439" s="1"/>
      <c r="Z439" s="1"/>
    </row>
    <row r="440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9"/>
      <c r="T440" s="1" t="str">
        <f>IFERROR(__xludf.DUMMYFUNCTION("""COMPUTED_VALUE"""),"")</f>
        <v/>
      </c>
      <c r="U440" s="1"/>
      <c r="V440" s="1"/>
      <c r="W440" s="1"/>
      <c r="X440" s="1"/>
      <c r="Y440" s="1"/>
      <c r="Z440" s="1"/>
    </row>
    <row r="441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9"/>
      <c r="T441" s="1" t="str">
        <f>IFERROR(__xludf.DUMMYFUNCTION("""COMPUTED_VALUE"""),"")</f>
        <v/>
      </c>
      <c r="U441" s="1"/>
      <c r="V441" s="1"/>
      <c r="W441" s="1"/>
      <c r="X441" s="1"/>
      <c r="Y441" s="1"/>
      <c r="Z441" s="1"/>
    </row>
    <row r="442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9"/>
      <c r="T442" s="1" t="str">
        <f>IFERROR(__xludf.DUMMYFUNCTION("""COMPUTED_VALUE"""),"")</f>
        <v/>
      </c>
      <c r="U442" s="1"/>
      <c r="V442" s="1"/>
      <c r="W442" s="1"/>
      <c r="X442" s="1"/>
      <c r="Y442" s="1"/>
      <c r="Z442" s="1"/>
    </row>
    <row r="443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9"/>
      <c r="T443" s="1" t="str">
        <f>IFERROR(__xludf.DUMMYFUNCTION("""COMPUTED_VALUE"""),"")</f>
        <v/>
      </c>
      <c r="U443" s="1"/>
      <c r="V443" s="1"/>
      <c r="W443" s="1"/>
      <c r="X443" s="1"/>
      <c r="Y443" s="1"/>
      <c r="Z443" s="1"/>
    </row>
    <row r="444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9"/>
      <c r="T444" s="1" t="str">
        <f>IFERROR(__xludf.DUMMYFUNCTION("""COMPUTED_VALUE"""),"")</f>
        <v/>
      </c>
      <c r="U444" s="1"/>
      <c r="V444" s="1"/>
      <c r="W444" s="1"/>
      <c r="X444" s="1"/>
      <c r="Y444" s="1"/>
      <c r="Z444" s="1"/>
    </row>
    <row r="44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9"/>
      <c r="T445" s="1" t="str">
        <f>IFERROR(__xludf.DUMMYFUNCTION("""COMPUTED_VALUE"""),"")</f>
        <v/>
      </c>
      <c r="U445" s="1"/>
      <c r="V445" s="1"/>
      <c r="W445" s="1"/>
      <c r="X445" s="1"/>
      <c r="Y445" s="1"/>
      <c r="Z445" s="1"/>
    </row>
    <row r="446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9"/>
      <c r="T446" s="1" t="str">
        <f>IFERROR(__xludf.DUMMYFUNCTION("""COMPUTED_VALUE"""),"")</f>
        <v/>
      </c>
      <c r="U446" s="1"/>
      <c r="V446" s="1"/>
      <c r="W446" s="1"/>
      <c r="X446" s="1"/>
      <c r="Y446" s="1"/>
      <c r="Z446" s="1"/>
    </row>
    <row r="447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9"/>
      <c r="T447" s="1" t="str">
        <f>IFERROR(__xludf.DUMMYFUNCTION("""COMPUTED_VALUE"""),"")</f>
        <v/>
      </c>
      <c r="U447" s="1"/>
      <c r="V447" s="1"/>
      <c r="W447" s="1"/>
      <c r="X447" s="1"/>
      <c r="Y447" s="1"/>
      <c r="Z447" s="1"/>
    </row>
    <row r="448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9"/>
      <c r="T448" s="1" t="str">
        <f>IFERROR(__xludf.DUMMYFUNCTION("""COMPUTED_VALUE"""),"")</f>
        <v/>
      </c>
      <c r="U448" s="1"/>
      <c r="V448" s="1"/>
      <c r="W448" s="1"/>
      <c r="X448" s="1"/>
      <c r="Y448" s="1"/>
      <c r="Z448" s="1"/>
    </row>
    <row r="449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9"/>
      <c r="T449" s="1" t="str">
        <f>IFERROR(__xludf.DUMMYFUNCTION("""COMPUTED_VALUE"""),"")</f>
        <v/>
      </c>
      <c r="U449" s="1"/>
      <c r="V449" s="1"/>
      <c r="W449" s="1"/>
      <c r="X449" s="1"/>
      <c r="Y449" s="1"/>
      <c r="Z449" s="1"/>
    </row>
    <row r="450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9"/>
      <c r="T450" s="1" t="str">
        <f>IFERROR(__xludf.DUMMYFUNCTION("""COMPUTED_VALUE"""),"")</f>
        <v/>
      </c>
      <c r="U450" s="1"/>
      <c r="V450" s="1"/>
      <c r="W450" s="1"/>
      <c r="X450" s="1"/>
      <c r="Y450" s="1"/>
      <c r="Z450" s="1"/>
    </row>
    <row r="451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9"/>
      <c r="T451" s="1" t="str">
        <f>IFERROR(__xludf.DUMMYFUNCTION("""COMPUTED_VALUE"""),"")</f>
        <v/>
      </c>
      <c r="U451" s="1"/>
      <c r="V451" s="1"/>
      <c r="W451" s="1"/>
      <c r="X451" s="1"/>
      <c r="Y451" s="1"/>
      <c r="Z451" s="1"/>
    </row>
    <row r="452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9"/>
      <c r="T452" s="1" t="str">
        <f>IFERROR(__xludf.DUMMYFUNCTION("""COMPUTED_VALUE"""),"")</f>
        <v/>
      </c>
      <c r="U452" s="1"/>
      <c r="V452" s="1"/>
      <c r="W452" s="1"/>
      <c r="X452" s="1"/>
      <c r="Y452" s="1"/>
      <c r="Z452" s="1"/>
    </row>
    <row r="453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9"/>
      <c r="T453" s="1" t="str">
        <f>IFERROR(__xludf.DUMMYFUNCTION("""COMPUTED_VALUE"""),"")</f>
        <v/>
      </c>
      <c r="U453" s="1"/>
      <c r="V453" s="1"/>
      <c r="W453" s="1"/>
      <c r="X453" s="1"/>
      <c r="Y453" s="1"/>
      <c r="Z453" s="1"/>
    </row>
    <row r="454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9"/>
      <c r="T454" s="1" t="str">
        <f>IFERROR(__xludf.DUMMYFUNCTION("""COMPUTED_VALUE"""),"")</f>
        <v/>
      </c>
      <c r="U454" s="1"/>
      <c r="V454" s="1"/>
      <c r="W454" s="1"/>
      <c r="X454" s="1"/>
      <c r="Y454" s="1"/>
      <c r="Z454" s="1"/>
    </row>
    <row r="45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9"/>
      <c r="T455" s="1" t="str">
        <f>IFERROR(__xludf.DUMMYFUNCTION("""COMPUTED_VALUE"""),"")</f>
        <v/>
      </c>
      <c r="U455" s="1"/>
      <c r="V455" s="1"/>
      <c r="W455" s="1"/>
      <c r="X455" s="1"/>
      <c r="Y455" s="1"/>
      <c r="Z455" s="1"/>
    </row>
    <row r="456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9"/>
      <c r="T456" s="1" t="str">
        <f>IFERROR(__xludf.DUMMYFUNCTION("""COMPUTED_VALUE"""),"")</f>
        <v/>
      </c>
      <c r="U456" s="1"/>
      <c r="V456" s="1"/>
      <c r="W456" s="1"/>
      <c r="X456" s="1"/>
      <c r="Y456" s="1"/>
      <c r="Z456" s="1"/>
    </row>
    <row r="457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9"/>
      <c r="T457" s="1" t="str">
        <f>IFERROR(__xludf.DUMMYFUNCTION("""COMPUTED_VALUE"""),"")</f>
        <v/>
      </c>
      <c r="U457" s="1"/>
      <c r="V457" s="1"/>
      <c r="W457" s="1"/>
      <c r="X457" s="1"/>
      <c r="Y457" s="1"/>
      <c r="Z457" s="1"/>
    </row>
    <row r="458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9"/>
      <c r="T458" s="1" t="str">
        <f>IFERROR(__xludf.DUMMYFUNCTION("""COMPUTED_VALUE"""),"")</f>
        <v/>
      </c>
      <c r="U458" s="1"/>
      <c r="V458" s="1"/>
      <c r="W458" s="1"/>
      <c r="X458" s="1"/>
      <c r="Y458" s="1"/>
      <c r="Z458" s="1"/>
    </row>
    <row r="459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9"/>
      <c r="T459" s="1" t="str">
        <f>IFERROR(__xludf.DUMMYFUNCTION("""COMPUTED_VALUE"""),"")</f>
        <v/>
      </c>
      <c r="U459" s="1"/>
      <c r="V459" s="1"/>
      <c r="W459" s="1"/>
      <c r="X459" s="1"/>
      <c r="Y459" s="1"/>
      <c r="Z459" s="1"/>
    </row>
    <row r="460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9"/>
      <c r="T460" s="1" t="str">
        <f>IFERROR(__xludf.DUMMYFUNCTION("""COMPUTED_VALUE"""),"")</f>
        <v/>
      </c>
      <c r="U460" s="1"/>
      <c r="V460" s="1"/>
      <c r="W460" s="1"/>
      <c r="X460" s="1"/>
      <c r="Y460" s="1"/>
      <c r="Z460" s="1"/>
    </row>
    <row r="461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9"/>
      <c r="T461" s="1" t="str">
        <f>IFERROR(__xludf.DUMMYFUNCTION("""COMPUTED_VALUE"""),"")</f>
        <v/>
      </c>
      <c r="U461" s="1"/>
      <c r="V461" s="1"/>
      <c r="W461" s="1"/>
      <c r="X461" s="1"/>
      <c r="Y461" s="1"/>
      <c r="Z461" s="1"/>
    </row>
    <row r="462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9"/>
      <c r="T462" s="1" t="str">
        <f>IFERROR(__xludf.DUMMYFUNCTION("""COMPUTED_VALUE"""),"")</f>
        <v/>
      </c>
      <c r="U462" s="1"/>
      <c r="V462" s="1"/>
      <c r="W462" s="1"/>
      <c r="X462" s="1"/>
      <c r="Y462" s="1"/>
      <c r="Z462" s="1"/>
    </row>
    <row r="463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9"/>
      <c r="T463" s="1" t="str">
        <f>IFERROR(__xludf.DUMMYFUNCTION("""COMPUTED_VALUE"""),"")</f>
        <v/>
      </c>
      <c r="U463" s="1"/>
      <c r="V463" s="1"/>
      <c r="W463" s="1"/>
      <c r="X463" s="1"/>
      <c r="Y463" s="1"/>
      <c r="Z463" s="1"/>
    </row>
    <row r="464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9"/>
      <c r="T464" s="1" t="str">
        <f>IFERROR(__xludf.DUMMYFUNCTION("""COMPUTED_VALUE"""),"")</f>
        <v/>
      </c>
      <c r="U464" s="1"/>
      <c r="V464" s="1"/>
      <c r="W464" s="1"/>
      <c r="X464" s="1"/>
      <c r="Y464" s="1"/>
      <c r="Z464" s="1"/>
    </row>
    <row r="46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9"/>
      <c r="T465" s="1" t="str">
        <f>IFERROR(__xludf.DUMMYFUNCTION("""COMPUTED_VALUE"""),"")</f>
        <v/>
      </c>
      <c r="U465" s="1"/>
      <c r="V465" s="1"/>
      <c r="W465" s="1"/>
      <c r="X465" s="1"/>
      <c r="Y465" s="1"/>
      <c r="Z465" s="1"/>
    </row>
    <row r="466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9"/>
      <c r="T466" s="1" t="str">
        <f>IFERROR(__xludf.DUMMYFUNCTION("""COMPUTED_VALUE"""),"")</f>
        <v/>
      </c>
      <c r="U466" s="1"/>
      <c r="V466" s="1"/>
      <c r="W466" s="1"/>
      <c r="X466" s="1"/>
      <c r="Y466" s="1"/>
      <c r="Z466" s="1"/>
    </row>
    <row r="467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9"/>
      <c r="T467" s="1" t="str">
        <f>IFERROR(__xludf.DUMMYFUNCTION("""COMPUTED_VALUE"""),"")</f>
        <v/>
      </c>
      <c r="U467" s="1"/>
      <c r="V467" s="1"/>
      <c r="W467" s="1"/>
      <c r="X467" s="1"/>
      <c r="Y467" s="1"/>
      <c r="Z467" s="1"/>
    </row>
    <row r="468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9"/>
      <c r="T468" s="1" t="str">
        <f>IFERROR(__xludf.DUMMYFUNCTION("""COMPUTED_VALUE"""),"")</f>
        <v/>
      </c>
      <c r="U468" s="1"/>
      <c r="V468" s="1"/>
      <c r="W468" s="1"/>
      <c r="X468" s="1"/>
      <c r="Y468" s="1"/>
      <c r="Z468" s="1"/>
    </row>
    <row r="469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9"/>
      <c r="T469" s="1" t="str">
        <f>IFERROR(__xludf.DUMMYFUNCTION("""COMPUTED_VALUE"""),"")</f>
        <v/>
      </c>
      <c r="U469" s="1"/>
      <c r="V469" s="1"/>
      <c r="W469" s="1"/>
      <c r="X469" s="1"/>
      <c r="Y469" s="1"/>
      <c r="Z469" s="1"/>
    </row>
    <row r="470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9"/>
      <c r="T470" s="1" t="str">
        <f>IFERROR(__xludf.DUMMYFUNCTION("""COMPUTED_VALUE"""),"")</f>
        <v/>
      </c>
      <c r="U470" s="1"/>
      <c r="V470" s="1"/>
      <c r="W470" s="1"/>
      <c r="X470" s="1"/>
      <c r="Y470" s="1"/>
      <c r="Z470" s="1"/>
    </row>
    <row r="471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9"/>
      <c r="T471" s="1" t="str">
        <f>IFERROR(__xludf.DUMMYFUNCTION("""COMPUTED_VALUE"""),"")</f>
        <v/>
      </c>
      <c r="U471" s="1"/>
      <c r="V471" s="1"/>
      <c r="W471" s="1"/>
      <c r="X471" s="1"/>
      <c r="Y471" s="1"/>
      <c r="Z471" s="1"/>
    </row>
    <row r="472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9"/>
      <c r="T472" s="1" t="str">
        <f>IFERROR(__xludf.DUMMYFUNCTION("""COMPUTED_VALUE"""),"")</f>
        <v/>
      </c>
      <c r="U472" s="1"/>
      <c r="V472" s="1"/>
      <c r="W472" s="1"/>
      <c r="X472" s="1"/>
      <c r="Y472" s="1"/>
      <c r="Z472" s="1"/>
    </row>
    <row r="473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9"/>
      <c r="T473" s="1" t="str">
        <f>IFERROR(__xludf.DUMMYFUNCTION("""COMPUTED_VALUE"""),"")</f>
        <v/>
      </c>
      <c r="U473" s="1"/>
      <c r="V473" s="1"/>
      <c r="W473" s="1"/>
      <c r="X473" s="1"/>
      <c r="Y473" s="1"/>
      <c r="Z473" s="1"/>
    </row>
    <row r="474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9"/>
      <c r="T474" s="1" t="str">
        <f>IFERROR(__xludf.DUMMYFUNCTION("""COMPUTED_VALUE"""),"")</f>
        <v/>
      </c>
      <c r="U474" s="1"/>
      <c r="V474" s="1"/>
      <c r="W474" s="1"/>
      <c r="X474" s="1"/>
      <c r="Y474" s="1"/>
      <c r="Z474" s="1"/>
    </row>
    <row r="47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9"/>
      <c r="T475" s="1" t="str">
        <f>IFERROR(__xludf.DUMMYFUNCTION("""COMPUTED_VALUE"""),"")</f>
        <v/>
      </c>
      <c r="U475" s="1"/>
      <c r="V475" s="1"/>
      <c r="W475" s="1"/>
      <c r="X475" s="1"/>
      <c r="Y475" s="1"/>
      <c r="Z475" s="1"/>
    </row>
    <row r="476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9"/>
      <c r="T476" s="1" t="str">
        <f>IFERROR(__xludf.DUMMYFUNCTION("""COMPUTED_VALUE"""),"")</f>
        <v/>
      </c>
      <c r="U476" s="1"/>
      <c r="V476" s="1"/>
      <c r="W476" s="1"/>
      <c r="X476" s="1"/>
      <c r="Y476" s="1"/>
      <c r="Z476" s="1"/>
    </row>
    <row r="477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9"/>
      <c r="T477" s="1" t="str">
        <f>IFERROR(__xludf.DUMMYFUNCTION("""COMPUTED_VALUE"""),"")</f>
        <v/>
      </c>
      <c r="U477" s="1"/>
      <c r="V477" s="1"/>
      <c r="W477" s="1"/>
      <c r="X477" s="1"/>
      <c r="Y477" s="1"/>
      <c r="Z477" s="1"/>
    </row>
    <row r="478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9"/>
      <c r="T478" s="1" t="str">
        <f>IFERROR(__xludf.DUMMYFUNCTION("""COMPUTED_VALUE"""),"")</f>
        <v/>
      </c>
      <c r="U478" s="1"/>
      <c r="V478" s="1"/>
      <c r="W478" s="1"/>
      <c r="X478" s="1"/>
      <c r="Y478" s="1"/>
      <c r="Z478" s="1"/>
    </row>
    <row r="479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9"/>
      <c r="T479" s="1" t="str">
        <f>IFERROR(__xludf.DUMMYFUNCTION("""COMPUTED_VALUE"""),"")</f>
        <v/>
      </c>
      <c r="U479" s="1"/>
      <c r="V479" s="1"/>
      <c r="W479" s="1"/>
      <c r="X479" s="1"/>
      <c r="Y479" s="1"/>
      <c r="Z479" s="1"/>
    </row>
    <row r="480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9"/>
      <c r="T480" s="1" t="str">
        <f>IFERROR(__xludf.DUMMYFUNCTION("""COMPUTED_VALUE"""),"")</f>
        <v/>
      </c>
      <c r="U480" s="1"/>
      <c r="V480" s="1"/>
      <c r="W480" s="1"/>
      <c r="X480" s="1"/>
      <c r="Y480" s="1"/>
      <c r="Z480" s="1"/>
    </row>
    <row r="481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9"/>
      <c r="T481" s="1" t="str">
        <f>IFERROR(__xludf.DUMMYFUNCTION("""COMPUTED_VALUE"""),"")</f>
        <v/>
      </c>
      <c r="U481" s="1"/>
      <c r="V481" s="1"/>
      <c r="W481" s="1"/>
      <c r="X481" s="1"/>
      <c r="Y481" s="1"/>
      <c r="Z481" s="1"/>
    </row>
    <row r="482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9"/>
      <c r="T482" s="1" t="str">
        <f>IFERROR(__xludf.DUMMYFUNCTION("""COMPUTED_VALUE"""),"")</f>
        <v/>
      </c>
      <c r="U482" s="1"/>
      <c r="V482" s="1"/>
      <c r="W482" s="1"/>
      <c r="X482" s="1"/>
      <c r="Y482" s="1"/>
      <c r="Z482" s="1"/>
    </row>
    <row r="483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9"/>
      <c r="T483" s="1" t="str">
        <f>IFERROR(__xludf.DUMMYFUNCTION("""COMPUTED_VALUE"""),"")</f>
        <v/>
      </c>
      <c r="U483" s="1"/>
      <c r="V483" s="1"/>
      <c r="W483" s="1"/>
      <c r="X483" s="1"/>
      <c r="Y483" s="1"/>
      <c r="Z483" s="1"/>
    </row>
    <row r="484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9"/>
      <c r="T484" s="1" t="str">
        <f>IFERROR(__xludf.DUMMYFUNCTION("""COMPUTED_VALUE"""),"")</f>
        <v/>
      </c>
      <c r="U484" s="1"/>
      <c r="V484" s="1"/>
      <c r="W484" s="1"/>
      <c r="X484" s="1"/>
      <c r="Y484" s="1"/>
      <c r="Z484" s="1"/>
    </row>
    <row r="48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9"/>
      <c r="T485" s="1" t="str">
        <f>IFERROR(__xludf.DUMMYFUNCTION("""COMPUTED_VALUE"""),"")</f>
        <v/>
      </c>
      <c r="U485" s="1"/>
      <c r="V485" s="1"/>
      <c r="W485" s="1"/>
      <c r="X485" s="1"/>
      <c r="Y485" s="1"/>
      <c r="Z485" s="1"/>
    </row>
    <row r="486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9"/>
      <c r="T486" s="1" t="str">
        <f>IFERROR(__xludf.DUMMYFUNCTION("""COMPUTED_VALUE"""),"")</f>
        <v/>
      </c>
      <c r="U486" s="1"/>
      <c r="V486" s="1"/>
      <c r="W486" s="1"/>
      <c r="X486" s="1"/>
      <c r="Y486" s="1"/>
      <c r="Z486" s="1"/>
    </row>
    <row r="487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9"/>
      <c r="T487" s="1" t="str">
        <f>IFERROR(__xludf.DUMMYFUNCTION("""COMPUTED_VALUE"""),"")</f>
        <v/>
      </c>
      <c r="U487" s="1"/>
      <c r="V487" s="1"/>
      <c r="W487" s="1"/>
      <c r="X487" s="1"/>
      <c r="Y487" s="1"/>
      <c r="Z487" s="1"/>
    </row>
    <row r="488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9"/>
      <c r="T488" s="1" t="str">
        <f>IFERROR(__xludf.DUMMYFUNCTION("""COMPUTED_VALUE"""),"")</f>
        <v/>
      </c>
      <c r="U488" s="1"/>
      <c r="V488" s="1"/>
      <c r="W488" s="1"/>
      <c r="X488" s="1"/>
      <c r="Y488" s="1"/>
      <c r="Z488" s="1"/>
    </row>
    <row r="489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9"/>
      <c r="T489" s="1" t="str">
        <f>IFERROR(__xludf.DUMMYFUNCTION("""COMPUTED_VALUE"""),"")</f>
        <v/>
      </c>
      <c r="U489" s="1"/>
      <c r="V489" s="1"/>
      <c r="W489" s="1"/>
      <c r="X489" s="1"/>
      <c r="Y489" s="1"/>
      <c r="Z489" s="1"/>
    </row>
    <row r="490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9"/>
      <c r="T490" s="1" t="str">
        <f>IFERROR(__xludf.DUMMYFUNCTION("""COMPUTED_VALUE"""),"")</f>
        <v/>
      </c>
      <c r="U490" s="1"/>
      <c r="V490" s="1"/>
      <c r="W490" s="1"/>
      <c r="X490" s="1"/>
      <c r="Y490" s="1"/>
      <c r="Z490" s="1"/>
    </row>
    <row r="491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9"/>
      <c r="T491" s="1" t="str">
        <f>IFERROR(__xludf.DUMMYFUNCTION("""COMPUTED_VALUE"""),"")</f>
        <v/>
      </c>
      <c r="U491" s="1"/>
      <c r="V491" s="1"/>
      <c r="W491" s="1"/>
      <c r="X491" s="1"/>
      <c r="Y491" s="1"/>
      <c r="Z491" s="1"/>
    </row>
    <row r="492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9"/>
      <c r="T492" s="1" t="str">
        <f>IFERROR(__xludf.DUMMYFUNCTION("""COMPUTED_VALUE"""),"")</f>
        <v/>
      </c>
      <c r="U492" s="1"/>
      <c r="V492" s="1"/>
      <c r="W492" s="1"/>
      <c r="X492" s="1"/>
      <c r="Y492" s="1"/>
      <c r="Z492" s="1"/>
    </row>
    <row r="493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9"/>
      <c r="T493" s="1" t="str">
        <f>IFERROR(__xludf.DUMMYFUNCTION("""COMPUTED_VALUE"""),"")</f>
        <v/>
      </c>
      <c r="U493" s="1"/>
      <c r="V493" s="1"/>
      <c r="W493" s="1"/>
      <c r="X493" s="1"/>
      <c r="Y493" s="1"/>
      <c r="Z493" s="1"/>
    </row>
    <row r="494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9"/>
      <c r="T494" s="1" t="str">
        <f>IFERROR(__xludf.DUMMYFUNCTION("""COMPUTED_VALUE"""),"")</f>
        <v/>
      </c>
      <c r="U494" s="1"/>
      <c r="V494" s="1"/>
      <c r="W494" s="1"/>
      <c r="X494" s="1"/>
      <c r="Y494" s="1"/>
      <c r="Z494" s="1"/>
    </row>
    <row r="49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9"/>
      <c r="T495" s="1" t="str">
        <f>IFERROR(__xludf.DUMMYFUNCTION("""COMPUTED_VALUE"""),"")</f>
        <v/>
      </c>
      <c r="U495" s="1"/>
      <c r="V495" s="1"/>
      <c r="W495" s="1"/>
      <c r="X495" s="1"/>
      <c r="Y495" s="1"/>
      <c r="Z495" s="1"/>
    </row>
    <row r="496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9"/>
      <c r="T496" s="1" t="str">
        <f>IFERROR(__xludf.DUMMYFUNCTION("""COMPUTED_VALUE"""),"")</f>
        <v/>
      </c>
      <c r="U496" s="1"/>
      <c r="V496" s="1"/>
      <c r="W496" s="1"/>
      <c r="X496" s="1"/>
      <c r="Y496" s="1"/>
      <c r="Z496" s="1"/>
    </row>
    <row r="497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9"/>
      <c r="T497" s="1" t="str">
        <f>IFERROR(__xludf.DUMMYFUNCTION("""COMPUTED_VALUE"""),"")</f>
        <v/>
      </c>
      <c r="U497" s="1"/>
      <c r="V497" s="1"/>
      <c r="W497" s="1"/>
      <c r="X497" s="1"/>
      <c r="Y497" s="1"/>
      <c r="Z497" s="1"/>
    </row>
    <row r="498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9"/>
      <c r="T498" s="1" t="str">
        <f>IFERROR(__xludf.DUMMYFUNCTION("""COMPUTED_VALUE"""),"")</f>
        <v/>
      </c>
      <c r="U498" s="1"/>
      <c r="V498" s="1"/>
      <c r="W498" s="1"/>
      <c r="X498" s="1"/>
      <c r="Y498" s="1"/>
      <c r="Z498" s="1"/>
    </row>
    <row r="499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9"/>
      <c r="T499" s="1" t="str">
        <f>IFERROR(__xludf.DUMMYFUNCTION("""COMPUTED_VALUE"""),"")</f>
        <v/>
      </c>
      <c r="U499" s="1"/>
      <c r="V499" s="1"/>
      <c r="W499" s="1"/>
      <c r="X499" s="1"/>
      <c r="Y499" s="1"/>
      <c r="Z499" s="1"/>
    </row>
    <row r="500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9"/>
      <c r="T500" s="1" t="str">
        <f>IFERROR(__xludf.DUMMYFUNCTION("""COMPUTED_VALUE"""),"")</f>
        <v/>
      </c>
      <c r="U500" s="1"/>
      <c r="V500" s="1"/>
      <c r="W500" s="1"/>
      <c r="X500" s="1"/>
      <c r="Y500" s="1"/>
      <c r="Z500" s="1"/>
    </row>
    <row r="501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9"/>
      <c r="T501" s="1" t="str">
        <f>IFERROR(__xludf.DUMMYFUNCTION("""COMPUTED_VALUE"""),"")</f>
        <v/>
      </c>
      <c r="U501" s="1"/>
      <c r="V501" s="1"/>
      <c r="W501" s="1"/>
      <c r="X501" s="1"/>
      <c r="Y501" s="1"/>
      <c r="Z501" s="1"/>
    </row>
    <row r="502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9"/>
      <c r="T502" s="1" t="str">
        <f>IFERROR(__xludf.DUMMYFUNCTION("""COMPUTED_VALUE"""),"")</f>
        <v/>
      </c>
      <c r="U502" s="1"/>
      <c r="V502" s="1"/>
      <c r="W502" s="1"/>
      <c r="X502" s="1"/>
      <c r="Y502" s="1"/>
      <c r="Z502" s="1"/>
    </row>
    <row r="503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9"/>
      <c r="T503" s="1" t="str">
        <f>IFERROR(__xludf.DUMMYFUNCTION("""COMPUTED_VALUE"""),"")</f>
        <v/>
      </c>
      <c r="U503" s="1"/>
      <c r="V503" s="1"/>
      <c r="W503" s="1"/>
      <c r="X503" s="1"/>
      <c r="Y503" s="1"/>
      <c r="Z503" s="1"/>
    </row>
    <row r="504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9"/>
      <c r="T504" s="1" t="str">
        <f>IFERROR(__xludf.DUMMYFUNCTION("""COMPUTED_VALUE"""),"")</f>
        <v/>
      </c>
      <c r="U504" s="1"/>
      <c r="V504" s="1"/>
      <c r="W504" s="1"/>
      <c r="X504" s="1"/>
      <c r="Y504" s="1"/>
      <c r="Z504" s="1"/>
    </row>
    <row r="50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9"/>
      <c r="T505" s="1" t="str">
        <f>IFERROR(__xludf.DUMMYFUNCTION("""COMPUTED_VALUE"""),"")</f>
        <v/>
      </c>
      <c r="U505" s="1"/>
      <c r="V505" s="1"/>
      <c r="W505" s="1"/>
      <c r="X505" s="1"/>
      <c r="Y505" s="1"/>
      <c r="Z505" s="1"/>
    </row>
    <row r="506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9"/>
      <c r="T506" s="1" t="str">
        <f>IFERROR(__xludf.DUMMYFUNCTION("""COMPUTED_VALUE"""),"")</f>
        <v/>
      </c>
      <c r="U506" s="1"/>
      <c r="V506" s="1"/>
      <c r="W506" s="1"/>
      <c r="X506" s="1"/>
      <c r="Y506" s="1"/>
      <c r="Z506" s="1"/>
    </row>
    <row r="507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9"/>
      <c r="T507" s="1" t="str">
        <f>IFERROR(__xludf.DUMMYFUNCTION("""COMPUTED_VALUE"""),"")</f>
        <v/>
      </c>
      <c r="U507" s="1"/>
      <c r="V507" s="1"/>
      <c r="W507" s="1"/>
      <c r="X507" s="1"/>
      <c r="Y507" s="1"/>
      <c r="Z507" s="1"/>
    </row>
    <row r="508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9"/>
      <c r="T508" s="1" t="str">
        <f>IFERROR(__xludf.DUMMYFUNCTION("""COMPUTED_VALUE"""),"")</f>
        <v/>
      </c>
      <c r="U508" s="1"/>
      <c r="V508" s="1"/>
      <c r="W508" s="1"/>
      <c r="X508" s="1"/>
      <c r="Y508" s="1"/>
      <c r="Z508" s="1"/>
    </row>
    <row r="509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9"/>
      <c r="T509" s="1" t="str">
        <f>IFERROR(__xludf.DUMMYFUNCTION("""COMPUTED_VALUE"""),"")</f>
        <v/>
      </c>
      <c r="U509" s="1"/>
      <c r="V509" s="1"/>
      <c r="W509" s="1"/>
      <c r="X509" s="1"/>
      <c r="Y509" s="1"/>
      <c r="Z509" s="1"/>
    </row>
    <row r="510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9"/>
      <c r="T510" s="1" t="str">
        <f>IFERROR(__xludf.DUMMYFUNCTION("""COMPUTED_VALUE"""),"")</f>
        <v/>
      </c>
      <c r="U510" s="1"/>
      <c r="V510" s="1"/>
      <c r="W510" s="1"/>
      <c r="X510" s="1"/>
      <c r="Y510" s="1"/>
      <c r="Z510" s="1"/>
    </row>
    <row r="511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9"/>
      <c r="T511" s="1" t="str">
        <f>IFERROR(__xludf.DUMMYFUNCTION("""COMPUTED_VALUE"""),"")</f>
        <v/>
      </c>
      <c r="U511" s="1"/>
      <c r="V511" s="1"/>
      <c r="W511" s="1"/>
      <c r="X511" s="1"/>
      <c r="Y511" s="1"/>
      <c r="Z511" s="1"/>
    </row>
    <row r="512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9"/>
      <c r="T512" s="1" t="str">
        <f>IFERROR(__xludf.DUMMYFUNCTION("""COMPUTED_VALUE"""),"")</f>
        <v/>
      </c>
      <c r="U512" s="1"/>
      <c r="V512" s="1"/>
      <c r="W512" s="1"/>
      <c r="X512" s="1"/>
      <c r="Y512" s="1"/>
      <c r="Z512" s="1"/>
    </row>
    <row r="513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9"/>
      <c r="T513" s="1" t="str">
        <f>IFERROR(__xludf.DUMMYFUNCTION("""COMPUTED_VALUE"""),"")</f>
        <v/>
      </c>
      <c r="U513" s="1"/>
      <c r="V513" s="1"/>
      <c r="W513" s="1"/>
      <c r="X513" s="1"/>
      <c r="Y513" s="1"/>
      <c r="Z513" s="1"/>
    </row>
    <row r="514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9"/>
      <c r="T514" s="1" t="str">
        <f>IFERROR(__xludf.DUMMYFUNCTION("""COMPUTED_VALUE"""),"")</f>
        <v/>
      </c>
      <c r="U514" s="1"/>
      <c r="V514" s="1"/>
      <c r="W514" s="1"/>
      <c r="X514" s="1"/>
      <c r="Y514" s="1"/>
      <c r="Z514" s="1"/>
    </row>
    <row r="51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9"/>
      <c r="T515" s="1" t="str">
        <f>IFERROR(__xludf.DUMMYFUNCTION("""COMPUTED_VALUE"""),"")</f>
        <v/>
      </c>
      <c r="U515" s="1"/>
      <c r="V515" s="1"/>
      <c r="W515" s="1"/>
      <c r="X515" s="1"/>
      <c r="Y515" s="1"/>
      <c r="Z515" s="1"/>
    </row>
    <row r="516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9"/>
      <c r="T516" s="1" t="str">
        <f>IFERROR(__xludf.DUMMYFUNCTION("""COMPUTED_VALUE"""),"")</f>
        <v/>
      </c>
      <c r="U516" s="1"/>
      <c r="V516" s="1"/>
      <c r="W516" s="1"/>
      <c r="X516" s="1"/>
      <c r="Y516" s="1"/>
      <c r="Z516" s="1"/>
    </row>
    <row r="517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9"/>
      <c r="T517" s="1" t="str">
        <f>IFERROR(__xludf.DUMMYFUNCTION("""COMPUTED_VALUE"""),"")</f>
        <v/>
      </c>
      <c r="U517" s="1"/>
      <c r="V517" s="1"/>
      <c r="W517" s="1"/>
      <c r="X517" s="1"/>
      <c r="Y517" s="1"/>
      <c r="Z517" s="1"/>
    </row>
    <row r="518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9"/>
      <c r="T518" s="1" t="str">
        <f>IFERROR(__xludf.DUMMYFUNCTION("""COMPUTED_VALUE"""),"")</f>
        <v/>
      </c>
      <c r="U518" s="1"/>
      <c r="V518" s="1"/>
      <c r="W518" s="1"/>
      <c r="X518" s="1"/>
      <c r="Y518" s="1"/>
      <c r="Z518" s="1"/>
    </row>
    <row r="519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9"/>
      <c r="T519" s="1" t="str">
        <f>IFERROR(__xludf.DUMMYFUNCTION("""COMPUTED_VALUE"""),"")</f>
        <v/>
      </c>
      <c r="U519" s="1"/>
      <c r="V519" s="1"/>
      <c r="W519" s="1"/>
      <c r="X519" s="1"/>
      <c r="Y519" s="1"/>
      <c r="Z519" s="1"/>
    </row>
    <row r="520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9"/>
      <c r="T520" s="1" t="str">
        <f>IFERROR(__xludf.DUMMYFUNCTION("""COMPUTED_VALUE"""),"")</f>
        <v/>
      </c>
      <c r="U520" s="1"/>
      <c r="V520" s="1"/>
      <c r="W520" s="1"/>
      <c r="X520" s="1"/>
      <c r="Y520" s="1"/>
      <c r="Z520" s="1"/>
    </row>
    <row r="521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9"/>
      <c r="T521" s="1" t="str">
        <f>IFERROR(__xludf.DUMMYFUNCTION("""COMPUTED_VALUE"""),"")</f>
        <v/>
      </c>
      <c r="U521" s="1"/>
      <c r="V521" s="1"/>
      <c r="W521" s="1"/>
      <c r="X521" s="1"/>
      <c r="Y521" s="1"/>
      <c r="Z521" s="1"/>
    </row>
    <row r="522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9"/>
      <c r="T522" s="1" t="str">
        <f>IFERROR(__xludf.DUMMYFUNCTION("""COMPUTED_VALUE"""),"")</f>
        <v/>
      </c>
      <c r="U522" s="1"/>
      <c r="V522" s="1"/>
      <c r="W522" s="1"/>
      <c r="X522" s="1"/>
      <c r="Y522" s="1"/>
      <c r="Z522" s="1"/>
    </row>
    <row r="523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9"/>
      <c r="T523" s="1" t="str">
        <f>IFERROR(__xludf.DUMMYFUNCTION("""COMPUTED_VALUE"""),"")</f>
        <v/>
      </c>
      <c r="U523" s="1"/>
      <c r="V523" s="1"/>
      <c r="W523" s="1"/>
      <c r="X523" s="1"/>
      <c r="Y523" s="1"/>
      <c r="Z523" s="1"/>
    </row>
    <row r="524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9"/>
      <c r="T524" s="1" t="str">
        <f>IFERROR(__xludf.DUMMYFUNCTION("""COMPUTED_VALUE"""),"")</f>
        <v/>
      </c>
      <c r="U524" s="1"/>
      <c r="V524" s="1"/>
      <c r="W524" s="1"/>
      <c r="X524" s="1"/>
      <c r="Y524" s="1"/>
      <c r="Z524" s="1"/>
    </row>
    <row r="52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9"/>
      <c r="T525" s="1" t="str">
        <f>IFERROR(__xludf.DUMMYFUNCTION("""COMPUTED_VALUE"""),"")</f>
        <v/>
      </c>
      <c r="U525" s="1"/>
      <c r="V525" s="1"/>
      <c r="W525" s="1"/>
      <c r="X525" s="1"/>
      <c r="Y525" s="1"/>
      <c r="Z525" s="1"/>
    </row>
    <row r="526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9"/>
      <c r="T526" s="1" t="str">
        <f>IFERROR(__xludf.DUMMYFUNCTION("""COMPUTED_VALUE"""),"")</f>
        <v/>
      </c>
      <c r="U526" s="1"/>
      <c r="V526" s="1"/>
      <c r="W526" s="1"/>
      <c r="X526" s="1"/>
      <c r="Y526" s="1"/>
      <c r="Z526" s="1"/>
    </row>
    <row r="527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9"/>
      <c r="T527" s="1" t="str">
        <f>IFERROR(__xludf.DUMMYFUNCTION("""COMPUTED_VALUE"""),"")</f>
        <v/>
      </c>
      <c r="U527" s="1"/>
      <c r="V527" s="1"/>
      <c r="W527" s="1"/>
      <c r="X527" s="1"/>
      <c r="Y527" s="1"/>
      <c r="Z527" s="1"/>
    </row>
    <row r="528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9"/>
      <c r="T528" s="1" t="str">
        <f>IFERROR(__xludf.DUMMYFUNCTION("""COMPUTED_VALUE"""),"")</f>
        <v/>
      </c>
      <c r="U528" s="1"/>
      <c r="V528" s="1"/>
      <c r="W528" s="1"/>
      <c r="X528" s="1"/>
      <c r="Y528" s="1"/>
      <c r="Z528" s="1"/>
    </row>
    <row r="529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9"/>
      <c r="T529" s="1" t="str">
        <f>IFERROR(__xludf.DUMMYFUNCTION("""COMPUTED_VALUE"""),"")</f>
        <v/>
      </c>
      <c r="U529" s="1"/>
      <c r="V529" s="1"/>
      <c r="W529" s="1"/>
      <c r="X529" s="1"/>
      <c r="Y529" s="1"/>
      <c r="Z529" s="1"/>
    </row>
    <row r="530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9"/>
      <c r="T530" s="1" t="str">
        <f>IFERROR(__xludf.DUMMYFUNCTION("""COMPUTED_VALUE"""),"")</f>
        <v/>
      </c>
      <c r="U530" s="1"/>
      <c r="V530" s="1"/>
      <c r="W530" s="1"/>
      <c r="X530" s="1"/>
      <c r="Y530" s="1"/>
      <c r="Z530" s="1"/>
    </row>
    <row r="531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9"/>
      <c r="T531" s="1" t="str">
        <f>IFERROR(__xludf.DUMMYFUNCTION("""COMPUTED_VALUE"""),"")</f>
        <v/>
      </c>
      <c r="U531" s="1"/>
      <c r="V531" s="1"/>
      <c r="W531" s="1"/>
      <c r="X531" s="1"/>
      <c r="Y531" s="1"/>
      <c r="Z531" s="1"/>
    </row>
    <row r="532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9"/>
      <c r="T532" s="1" t="str">
        <f>IFERROR(__xludf.DUMMYFUNCTION("""COMPUTED_VALUE"""),"")</f>
        <v/>
      </c>
      <c r="U532" s="1"/>
      <c r="V532" s="1"/>
      <c r="W532" s="1"/>
      <c r="X532" s="1"/>
      <c r="Y532" s="1"/>
      <c r="Z532" s="1"/>
    </row>
    <row r="533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9"/>
      <c r="T533" s="1" t="str">
        <f>IFERROR(__xludf.DUMMYFUNCTION("""COMPUTED_VALUE"""),"")</f>
        <v/>
      </c>
      <c r="U533" s="1"/>
      <c r="V533" s="1"/>
      <c r="W533" s="1"/>
      <c r="X533" s="1"/>
      <c r="Y533" s="1"/>
      <c r="Z533" s="1"/>
    </row>
    <row r="534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9"/>
      <c r="T534" s="1" t="str">
        <f>IFERROR(__xludf.DUMMYFUNCTION("""COMPUTED_VALUE"""),"")</f>
        <v/>
      </c>
      <c r="U534" s="1"/>
      <c r="V534" s="1"/>
      <c r="W534" s="1"/>
      <c r="X534" s="1"/>
      <c r="Y534" s="1"/>
      <c r="Z534" s="1"/>
    </row>
    <row r="53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9"/>
      <c r="T535" s="1" t="str">
        <f>IFERROR(__xludf.DUMMYFUNCTION("""COMPUTED_VALUE"""),"")</f>
        <v/>
      </c>
      <c r="U535" s="1"/>
      <c r="V535" s="1"/>
      <c r="W535" s="1"/>
      <c r="X535" s="1"/>
      <c r="Y535" s="1"/>
      <c r="Z535" s="1"/>
    </row>
    <row r="536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9"/>
      <c r="T536" s="1" t="str">
        <f>IFERROR(__xludf.DUMMYFUNCTION("""COMPUTED_VALUE"""),"")</f>
        <v/>
      </c>
      <c r="U536" s="1"/>
      <c r="V536" s="1"/>
      <c r="W536" s="1"/>
      <c r="X536" s="1"/>
      <c r="Y536" s="1"/>
      <c r="Z536" s="1"/>
    </row>
    <row r="537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9"/>
      <c r="T537" s="1" t="str">
        <f>IFERROR(__xludf.DUMMYFUNCTION("""COMPUTED_VALUE"""),"")</f>
        <v/>
      </c>
      <c r="U537" s="1"/>
      <c r="V537" s="1"/>
      <c r="W537" s="1"/>
      <c r="X537" s="1"/>
      <c r="Y537" s="1"/>
      <c r="Z537" s="1"/>
    </row>
    <row r="538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9"/>
      <c r="T538" s="1" t="str">
        <f>IFERROR(__xludf.DUMMYFUNCTION("""COMPUTED_VALUE"""),"")</f>
        <v/>
      </c>
      <c r="U538" s="1"/>
      <c r="V538" s="1"/>
      <c r="W538" s="1"/>
      <c r="X538" s="1"/>
      <c r="Y538" s="1"/>
      <c r="Z538" s="1"/>
    </row>
    <row r="539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9"/>
      <c r="T539" s="1" t="str">
        <f>IFERROR(__xludf.DUMMYFUNCTION("""COMPUTED_VALUE"""),"")</f>
        <v/>
      </c>
      <c r="U539" s="1"/>
      <c r="V539" s="1"/>
      <c r="W539" s="1"/>
      <c r="X539" s="1"/>
      <c r="Y539" s="1"/>
      <c r="Z539" s="1"/>
    </row>
    <row r="540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9"/>
      <c r="T540" s="1" t="str">
        <f>IFERROR(__xludf.DUMMYFUNCTION("""COMPUTED_VALUE"""),"")</f>
        <v/>
      </c>
      <c r="U540" s="1"/>
      <c r="V540" s="1"/>
      <c r="W540" s="1"/>
      <c r="X540" s="1"/>
      <c r="Y540" s="1"/>
      <c r="Z540" s="1"/>
    </row>
    <row r="541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9"/>
      <c r="T541" s="1" t="str">
        <f>IFERROR(__xludf.DUMMYFUNCTION("""COMPUTED_VALUE"""),"")</f>
        <v/>
      </c>
      <c r="U541" s="1"/>
      <c r="V541" s="1"/>
      <c r="W541" s="1"/>
      <c r="X541" s="1"/>
      <c r="Y541" s="1"/>
      <c r="Z541" s="1"/>
    </row>
    <row r="542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9"/>
      <c r="T542" s="1" t="str">
        <f>IFERROR(__xludf.DUMMYFUNCTION("""COMPUTED_VALUE"""),"")</f>
        <v/>
      </c>
      <c r="U542" s="1"/>
      <c r="V542" s="1"/>
      <c r="W542" s="1"/>
      <c r="X542" s="1"/>
      <c r="Y542" s="1"/>
      <c r="Z542" s="1"/>
    </row>
    <row r="543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9"/>
      <c r="T543" s="1" t="str">
        <f>IFERROR(__xludf.DUMMYFUNCTION("""COMPUTED_VALUE"""),"")</f>
        <v/>
      </c>
      <c r="U543" s="1"/>
      <c r="V543" s="1"/>
      <c r="W543" s="1"/>
      <c r="X543" s="1"/>
      <c r="Y543" s="1"/>
      <c r="Z543" s="1"/>
    </row>
    <row r="544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9"/>
      <c r="T544" s="1" t="str">
        <f>IFERROR(__xludf.DUMMYFUNCTION("""COMPUTED_VALUE"""),"")</f>
        <v/>
      </c>
      <c r="U544" s="1"/>
      <c r="V544" s="1"/>
      <c r="W544" s="1"/>
      <c r="X544" s="1"/>
      <c r="Y544" s="1"/>
      <c r="Z544" s="1"/>
    </row>
    <row r="54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9"/>
      <c r="T545" s="1" t="str">
        <f>IFERROR(__xludf.DUMMYFUNCTION("""COMPUTED_VALUE"""),"")</f>
        <v/>
      </c>
      <c r="U545" s="1"/>
      <c r="V545" s="1"/>
      <c r="W545" s="1"/>
      <c r="X545" s="1"/>
      <c r="Y545" s="1"/>
      <c r="Z545" s="1"/>
    </row>
    <row r="546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9"/>
      <c r="T546" s="1" t="str">
        <f>IFERROR(__xludf.DUMMYFUNCTION("""COMPUTED_VALUE"""),"")</f>
        <v/>
      </c>
      <c r="U546" s="1"/>
      <c r="V546" s="1"/>
      <c r="W546" s="1"/>
      <c r="X546" s="1"/>
      <c r="Y546" s="1"/>
      <c r="Z546" s="1"/>
    </row>
    <row r="547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9"/>
      <c r="T547" s="1" t="str">
        <f>IFERROR(__xludf.DUMMYFUNCTION("""COMPUTED_VALUE"""),"")</f>
        <v/>
      </c>
      <c r="U547" s="1"/>
      <c r="V547" s="1"/>
      <c r="W547" s="1"/>
      <c r="X547" s="1"/>
      <c r="Y547" s="1"/>
      <c r="Z547" s="1"/>
    </row>
    <row r="548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9"/>
      <c r="T548" s="1" t="str">
        <f>IFERROR(__xludf.DUMMYFUNCTION("""COMPUTED_VALUE"""),"")</f>
        <v/>
      </c>
      <c r="U548" s="1"/>
      <c r="V548" s="1"/>
      <c r="W548" s="1"/>
      <c r="X548" s="1"/>
      <c r="Y548" s="1"/>
      <c r="Z548" s="1"/>
    </row>
    <row r="549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9"/>
      <c r="T549" s="1" t="str">
        <f>IFERROR(__xludf.DUMMYFUNCTION("""COMPUTED_VALUE"""),"")</f>
        <v/>
      </c>
      <c r="U549" s="1"/>
      <c r="V549" s="1"/>
      <c r="W549" s="1"/>
      <c r="X549" s="1"/>
      <c r="Y549" s="1"/>
      <c r="Z549" s="1"/>
    </row>
    <row r="550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9"/>
      <c r="T550" s="1" t="str">
        <f>IFERROR(__xludf.DUMMYFUNCTION("""COMPUTED_VALUE"""),"")</f>
        <v/>
      </c>
      <c r="U550" s="1"/>
      <c r="V550" s="1"/>
      <c r="W550" s="1"/>
      <c r="X550" s="1"/>
      <c r="Y550" s="1"/>
      <c r="Z550" s="1"/>
    </row>
    <row r="551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9"/>
      <c r="T551" s="1" t="str">
        <f>IFERROR(__xludf.DUMMYFUNCTION("""COMPUTED_VALUE"""),"")</f>
        <v/>
      </c>
      <c r="U551" s="1"/>
      <c r="V551" s="1"/>
      <c r="W551" s="1"/>
      <c r="X551" s="1"/>
      <c r="Y551" s="1"/>
      <c r="Z551" s="1"/>
    </row>
    <row r="552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9"/>
      <c r="T552" s="1" t="str">
        <f>IFERROR(__xludf.DUMMYFUNCTION("""COMPUTED_VALUE"""),"")</f>
        <v/>
      </c>
      <c r="U552" s="1"/>
      <c r="V552" s="1"/>
      <c r="W552" s="1"/>
      <c r="X552" s="1"/>
      <c r="Y552" s="1"/>
      <c r="Z552" s="1"/>
    </row>
    <row r="553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9"/>
      <c r="T553" s="1" t="str">
        <f>IFERROR(__xludf.DUMMYFUNCTION("""COMPUTED_VALUE"""),"")</f>
        <v/>
      </c>
      <c r="U553" s="1"/>
      <c r="V553" s="1"/>
      <c r="W553" s="1"/>
      <c r="X553" s="1"/>
      <c r="Y553" s="1"/>
      <c r="Z553" s="1"/>
    </row>
    <row r="554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9"/>
      <c r="T554" s="1" t="str">
        <f>IFERROR(__xludf.DUMMYFUNCTION("""COMPUTED_VALUE"""),"")</f>
        <v/>
      </c>
      <c r="U554" s="1"/>
      <c r="V554" s="1"/>
      <c r="W554" s="1"/>
      <c r="X554" s="1"/>
      <c r="Y554" s="1"/>
      <c r="Z554" s="1"/>
    </row>
    <row r="55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9"/>
      <c r="T555" s="1" t="str">
        <f>IFERROR(__xludf.DUMMYFUNCTION("""COMPUTED_VALUE"""),"")</f>
        <v/>
      </c>
      <c r="U555" s="1"/>
      <c r="V555" s="1"/>
      <c r="W555" s="1"/>
      <c r="X555" s="1"/>
      <c r="Y555" s="1"/>
      <c r="Z555" s="1"/>
    </row>
    <row r="556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9"/>
      <c r="T556" s="1" t="str">
        <f>IFERROR(__xludf.DUMMYFUNCTION("""COMPUTED_VALUE"""),"")</f>
        <v/>
      </c>
      <c r="U556" s="1"/>
      <c r="V556" s="1"/>
      <c r="W556" s="1"/>
      <c r="X556" s="1"/>
      <c r="Y556" s="1"/>
      <c r="Z556" s="1"/>
    </row>
    <row r="557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9"/>
      <c r="T557" s="1" t="str">
        <f>IFERROR(__xludf.DUMMYFUNCTION("""COMPUTED_VALUE"""),"")</f>
        <v/>
      </c>
      <c r="U557" s="1"/>
      <c r="V557" s="1"/>
      <c r="W557" s="1"/>
      <c r="X557" s="1"/>
      <c r="Y557" s="1"/>
      <c r="Z557" s="1"/>
    </row>
    <row r="558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9"/>
      <c r="T558" s="1" t="str">
        <f>IFERROR(__xludf.DUMMYFUNCTION("""COMPUTED_VALUE"""),"")</f>
        <v/>
      </c>
      <c r="U558" s="1"/>
      <c r="V558" s="1"/>
      <c r="W558" s="1"/>
      <c r="X558" s="1"/>
      <c r="Y558" s="1"/>
      <c r="Z558" s="1"/>
    </row>
    <row r="559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9"/>
      <c r="T559" s="1" t="str">
        <f>IFERROR(__xludf.DUMMYFUNCTION("""COMPUTED_VALUE"""),"")</f>
        <v/>
      </c>
      <c r="U559" s="1"/>
      <c r="V559" s="1"/>
      <c r="W559" s="1"/>
      <c r="X559" s="1"/>
      <c r="Y559" s="1"/>
      <c r="Z559" s="1"/>
    </row>
    <row r="560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9"/>
      <c r="T560" s="1" t="str">
        <f>IFERROR(__xludf.DUMMYFUNCTION("""COMPUTED_VALUE"""),"")</f>
        <v/>
      </c>
      <c r="U560" s="1"/>
      <c r="V560" s="1"/>
      <c r="W560" s="1"/>
      <c r="X560" s="1"/>
      <c r="Y560" s="1"/>
      <c r="Z560" s="1"/>
    </row>
    <row r="561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9"/>
      <c r="T561" s="1" t="str">
        <f>IFERROR(__xludf.DUMMYFUNCTION("""COMPUTED_VALUE"""),"")</f>
        <v/>
      </c>
      <c r="U561" s="1"/>
      <c r="V561" s="1"/>
      <c r="W561" s="1"/>
      <c r="X561" s="1"/>
      <c r="Y561" s="1"/>
      <c r="Z561" s="1"/>
    </row>
    <row r="562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9"/>
      <c r="T562" s="1" t="str">
        <f>IFERROR(__xludf.DUMMYFUNCTION("""COMPUTED_VALUE"""),"")</f>
        <v/>
      </c>
      <c r="U562" s="1"/>
      <c r="V562" s="1"/>
      <c r="W562" s="1"/>
      <c r="X562" s="1"/>
      <c r="Y562" s="1"/>
      <c r="Z562" s="1"/>
    </row>
    <row r="563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9"/>
      <c r="T563" s="1" t="str">
        <f>IFERROR(__xludf.DUMMYFUNCTION("""COMPUTED_VALUE"""),"")</f>
        <v/>
      </c>
      <c r="U563" s="1"/>
      <c r="V563" s="1"/>
      <c r="W563" s="1"/>
      <c r="X563" s="1"/>
      <c r="Y563" s="1"/>
      <c r="Z563" s="1"/>
    </row>
    <row r="564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9"/>
      <c r="T564" s="1" t="str">
        <f>IFERROR(__xludf.DUMMYFUNCTION("""COMPUTED_VALUE"""),"")</f>
        <v/>
      </c>
      <c r="U564" s="1"/>
      <c r="V564" s="1"/>
      <c r="W564" s="1"/>
      <c r="X564" s="1"/>
      <c r="Y564" s="1"/>
      <c r="Z564" s="1"/>
    </row>
    <row r="56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9"/>
      <c r="T565" s="1" t="str">
        <f>IFERROR(__xludf.DUMMYFUNCTION("""COMPUTED_VALUE"""),"")</f>
        <v/>
      </c>
      <c r="U565" s="1"/>
      <c r="V565" s="1"/>
      <c r="W565" s="1"/>
      <c r="X565" s="1"/>
      <c r="Y565" s="1"/>
      <c r="Z565" s="1"/>
    </row>
    <row r="566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9"/>
      <c r="T566" s="1" t="str">
        <f>IFERROR(__xludf.DUMMYFUNCTION("""COMPUTED_VALUE"""),"")</f>
        <v/>
      </c>
      <c r="U566" s="1"/>
      <c r="V566" s="1"/>
      <c r="W566" s="1"/>
      <c r="X566" s="1"/>
      <c r="Y566" s="1"/>
      <c r="Z566" s="1"/>
    </row>
    <row r="567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9"/>
      <c r="T567" s="1" t="str">
        <f>IFERROR(__xludf.DUMMYFUNCTION("""COMPUTED_VALUE"""),"")</f>
        <v/>
      </c>
      <c r="U567" s="1"/>
      <c r="V567" s="1"/>
      <c r="W567" s="1"/>
      <c r="X567" s="1"/>
      <c r="Y567" s="1"/>
      <c r="Z567" s="1"/>
    </row>
    <row r="568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9"/>
      <c r="T568" s="1" t="str">
        <f>IFERROR(__xludf.DUMMYFUNCTION("""COMPUTED_VALUE"""),"")</f>
        <v/>
      </c>
      <c r="U568" s="1"/>
      <c r="V568" s="1"/>
      <c r="W568" s="1"/>
      <c r="X568" s="1"/>
      <c r="Y568" s="1"/>
      <c r="Z568" s="1"/>
    </row>
    <row r="569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9"/>
      <c r="T569" s="1" t="str">
        <f>IFERROR(__xludf.DUMMYFUNCTION("""COMPUTED_VALUE"""),"")</f>
        <v/>
      </c>
      <c r="U569" s="1"/>
      <c r="V569" s="1"/>
      <c r="W569" s="1"/>
      <c r="X569" s="1"/>
      <c r="Y569" s="1"/>
      <c r="Z569" s="1"/>
    </row>
    <row r="570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9"/>
      <c r="T570" s="1" t="str">
        <f>IFERROR(__xludf.DUMMYFUNCTION("""COMPUTED_VALUE"""),"")</f>
        <v/>
      </c>
      <c r="U570" s="1"/>
      <c r="V570" s="1"/>
      <c r="W570" s="1"/>
      <c r="X570" s="1"/>
      <c r="Y570" s="1"/>
      <c r="Z570" s="1"/>
    </row>
    <row r="571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9"/>
      <c r="T571" s="1" t="str">
        <f>IFERROR(__xludf.DUMMYFUNCTION("""COMPUTED_VALUE"""),"")</f>
        <v/>
      </c>
      <c r="U571" s="1"/>
      <c r="V571" s="1"/>
      <c r="W571" s="1"/>
      <c r="X571" s="1"/>
      <c r="Y571" s="1"/>
      <c r="Z571" s="1"/>
    </row>
    <row r="572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9"/>
      <c r="T572" s="1" t="str">
        <f>IFERROR(__xludf.DUMMYFUNCTION("""COMPUTED_VALUE"""),"")</f>
        <v/>
      </c>
      <c r="U572" s="1"/>
      <c r="V572" s="1"/>
      <c r="W572" s="1"/>
      <c r="X572" s="1"/>
      <c r="Y572" s="1"/>
      <c r="Z572" s="1"/>
    </row>
    <row r="573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9"/>
      <c r="T573" s="1" t="str">
        <f>IFERROR(__xludf.DUMMYFUNCTION("""COMPUTED_VALUE"""),"")</f>
        <v/>
      </c>
      <c r="U573" s="1"/>
      <c r="V573" s="1"/>
      <c r="W573" s="1"/>
      <c r="X573" s="1"/>
      <c r="Y573" s="1"/>
      <c r="Z573" s="1"/>
    </row>
    <row r="574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9"/>
      <c r="T574" s="1" t="str">
        <f>IFERROR(__xludf.DUMMYFUNCTION("""COMPUTED_VALUE"""),"")</f>
        <v/>
      </c>
      <c r="U574" s="1"/>
      <c r="V574" s="1"/>
      <c r="W574" s="1"/>
      <c r="X574" s="1"/>
      <c r="Y574" s="1"/>
      <c r="Z574" s="1"/>
    </row>
    <row r="57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9"/>
      <c r="T575" s="1" t="str">
        <f>IFERROR(__xludf.DUMMYFUNCTION("""COMPUTED_VALUE"""),"")</f>
        <v/>
      </c>
      <c r="U575" s="1"/>
      <c r="V575" s="1"/>
      <c r="W575" s="1"/>
      <c r="X575" s="1"/>
      <c r="Y575" s="1"/>
      <c r="Z575" s="1"/>
    </row>
    <row r="576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9"/>
      <c r="T576" s="1" t="str">
        <f>IFERROR(__xludf.DUMMYFUNCTION("""COMPUTED_VALUE"""),"")</f>
        <v/>
      </c>
      <c r="U576" s="1"/>
      <c r="V576" s="1"/>
      <c r="W576" s="1"/>
      <c r="X576" s="1"/>
      <c r="Y576" s="1"/>
      <c r="Z576" s="1"/>
    </row>
    <row r="577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9"/>
      <c r="T577" s="1" t="str">
        <f>IFERROR(__xludf.DUMMYFUNCTION("""COMPUTED_VALUE"""),"")</f>
        <v/>
      </c>
      <c r="U577" s="1"/>
      <c r="V577" s="1"/>
      <c r="W577" s="1"/>
      <c r="X577" s="1"/>
      <c r="Y577" s="1"/>
      <c r="Z577" s="1"/>
    </row>
    <row r="578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9"/>
      <c r="T578" s="1" t="str">
        <f>IFERROR(__xludf.DUMMYFUNCTION("""COMPUTED_VALUE"""),"")</f>
        <v/>
      </c>
      <c r="U578" s="1"/>
      <c r="V578" s="1"/>
      <c r="W578" s="1"/>
      <c r="X578" s="1"/>
      <c r="Y578" s="1"/>
      <c r="Z578" s="1"/>
    </row>
    <row r="579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9"/>
      <c r="T579" s="1" t="str">
        <f>IFERROR(__xludf.DUMMYFUNCTION("""COMPUTED_VALUE"""),"")</f>
        <v/>
      </c>
      <c r="U579" s="1"/>
      <c r="V579" s="1"/>
      <c r="W579" s="1"/>
      <c r="X579" s="1"/>
      <c r="Y579" s="1"/>
      <c r="Z579" s="1"/>
    </row>
    <row r="580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9"/>
      <c r="T580" s="1" t="str">
        <f>IFERROR(__xludf.DUMMYFUNCTION("""COMPUTED_VALUE"""),"")</f>
        <v/>
      </c>
      <c r="U580" s="1"/>
      <c r="V580" s="1"/>
      <c r="W580" s="1"/>
      <c r="X580" s="1"/>
      <c r="Y580" s="1"/>
      <c r="Z580" s="1"/>
    </row>
    <row r="581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9"/>
      <c r="T581" s="1" t="str">
        <f>IFERROR(__xludf.DUMMYFUNCTION("""COMPUTED_VALUE"""),"")</f>
        <v/>
      </c>
      <c r="U581" s="1"/>
      <c r="V581" s="1"/>
      <c r="W581" s="1"/>
      <c r="X581" s="1"/>
      <c r="Y581" s="1"/>
      <c r="Z581" s="1"/>
    </row>
    <row r="582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9"/>
      <c r="T582" s="1" t="str">
        <f>IFERROR(__xludf.DUMMYFUNCTION("""COMPUTED_VALUE"""),"")</f>
        <v/>
      </c>
      <c r="U582" s="1"/>
      <c r="V582" s="1"/>
      <c r="W582" s="1"/>
      <c r="X582" s="1"/>
      <c r="Y582" s="1"/>
      <c r="Z582" s="1"/>
    </row>
    <row r="583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9"/>
      <c r="T583" s="1" t="str">
        <f>IFERROR(__xludf.DUMMYFUNCTION("""COMPUTED_VALUE"""),"")</f>
        <v/>
      </c>
      <c r="U583" s="1"/>
      <c r="V583" s="1"/>
      <c r="W583" s="1"/>
      <c r="X583" s="1"/>
      <c r="Y583" s="1"/>
      <c r="Z583" s="1"/>
    </row>
    <row r="584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9"/>
      <c r="T584" s="1" t="str">
        <f>IFERROR(__xludf.DUMMYFUNCTION("""COMPUTED_VALUE"""),"")</f>
        <v/>
      </c>
      <c r="U584" s="1"/>
      <c r="V584" s="1"/>
      <c r="W584" s="1"/>
      <c r="X584" s="1"/>
      <c r="Y584" s="1"/>
      <c r="Z584" s="1"/>
    </row>
    <row r="58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9"/>
      <c r="T585" s="1" t="str">
        <f>IFERROR(__xludf.DUMMYFUNCTION("""COMPUTED_VALUE"""),"")</f>
        <v/>
      </c>
      <c r="U585" s="1"/>
      <c r="V585" s="1"/>
      <c r="W585" s="1"/>
      <c r="X585" s="1"/>
      <c r="Y585" s="1"/>
      <c r="Z585" s="1"/>
    </row>
    <row r="586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9"/>
      <c r="T586" s="1" t="str">
        <f>IFERROR(__xludf.DUMMYFUNCTION("""COMPUTED_VALUE"""),"")</f>
        <v/>
      </c>
      <c r="U586" s="1"/>
      <c r="V586" s="1"/>
      <c r="W586" s="1"/>
      <c r="X586" s="1"/>
      <c r="Y586" s="1"/>
      <c r="Z586" s="1"/>
    </row>
    <row r="587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9"/>
      <c r="T587" s="1" t="str">
        <f>IFERROR(__xludf.DUMMYFUNCTION("""COMPUTED_VALUE"""),"")</f>
        <v/>
      </c>
      <c r="U587" s="1"/>
      <c r="V587" s="1"/>
      <c r="W587" s="1"/>
      <c r="X587" s="1"/>
      <c r="Y587" s="1"/>
      <c r="Z587" s="1"/>
    </row>
    <row r="588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9"/>
      <c r="T588" s="1" t="str">
        <f>IFERROR(__xludf.DUMMYFUNCTION("""COMPUTED_VALUE"""),"")</f>
        <v/>
      </c>
      <c r="U588" s="1"/>
      <c r="V588" s="1"/>
      <c r="W588" s="1"/>
      <c r="X588" s="1"/>
      <c r="Y588" s="1"/>
      <c r="Z588" s="1"/>
    </row>
    <row r="589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9"/>
      <c r="T589" s="1" t="str">
        <f>IFERROR(__xludf.DUMMYFUNCTION("""COMPUTED_VALUE"""),"")</f>
        <v/>
      </c>
      <c r="U589" s="1"/>
      <c r="V589" s="1"/>
      <c r="W589" s="1"/>
      <c r="X589" s="1"/>
      <c r="Y589" s="1"/>
      <c r="Z589" s="1"/>
    </row>
    <row r="590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9"/>
      <c r="T590" s="1" t="str">
        <f>IFERROR(__xludf.DUMMYFUNCTION("""COMPUTED_VALUE"""),"")</f>
        <v/>
      </c>
      <c r="U590" s="1"/>
      <c r="V590" s="1"/>
      <c r="W590" s="1"/>
      <c r="X590" s="1"/>
      <c r="Y590" s="1"/>
      <c r="Z590" s="1"/>
    </row>
    <row r="591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9"/>
      <c r="T591" s="1" t="str">
        <f>IFERROR(__xludf.DUMMYFUNCTION("""COMPUTED_VALUE"""),"")</f>
        <v/>
      </c>
      <c r="U591" s="1"/>
      <c r="V591" s="1"/>
      <c r="W591" s="1"/>
      <c r="X591" s="1"/>
      <c r="Y591" s="1"/>
      <c r="Z591" s="1"/>
    </row>
    <row r="592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9"/>
      <c r="T592" s="1" t="str">
        <f>IFERROR(__xludf.DUMMYFUNCTION("""COMPUTED_VALUE"""),"")</f>
        <v/>
      </c>
      <c r="U592" s="1"/>
      <c r="V592" s="1"/>
      <c r="W592" s="1"/>
      <c r="X592" s="1"/>
      <c r="Y592" s="1"/>
      <c r="Z592" s="1"/>
    </row>
    <row r="593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9"/>
      <c r="T593" s="1" t="str">
        <f>IFERROR(__xludf.DUMMYFUNCTION("""COMPUTED_VALUE"""),"")</f>
        <v/>
      </c>
      <c r="U593" s="1"/>
      <c r="V593" s="1"/>
      <c r="W593" s="1"/>
      <c r="X593" s="1"/>
      <c r="Y593" s="1"/>
      <c r="Z593" s="1"/>
    </row>
    <row r="594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9"/>
      <c r="T594" s="1" t="str">
        <f>IFERROR(__xludf.DUMMYFUNCTION("""COMPUTED_VALUE"""),"")</f>
        <v/>
      </c>
      <c r="U594" s="1"/>
      <c r="V594" s="1"/>
      <c r="W594" s="1"/>
      <c r="X594" s="1"/>
      <c r="Y594" s="1"/>
      <c r="Z594" s="1"/>
    </row>
    <row r="59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9"/>
      <c r="T595" s="1" t="str">
        <f>IFERROR(__xludf.DUMMYFUNCTION("""COMPUTED_VALUE"""),"")</f>
        <v/>
      </c>
      <c r="U595" s="1"/>
      <c r="V595" s="1"/>
      <c r="W595" s="1"/>
      <c r="X595" s="1"/>
      <c r="Y595" s="1"/>
      <c r="Z595" s="1"/>
    </row>
    <row r="596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9"/>
      <c r="T596" s="1" t="str">
        <f>IFERROR(__xludf.DUMMYFUNCTION("""COMPUTED_VALUE"""),"")</f>
        <v/>
      </c>
      <c r="U596" s="1"/>
      <c r="V596" s="1"/>
      <c r="W596" s="1"/>
      <c r="X596" s="1"/>
      <c r="Y596" s="1"/>
      <c r="Z596" s="1"/>
    </row>
    <row r="597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9"/>
      <c r="T597" s="1" t="str">
        <f>IFERROR(__xludf.DUMMYFUNCTION("""COMPUTED_VALUE"""),"")</f>
        <v/>
      </c>
      <c r="U597" s="1"/>
      <c r="V597" s="1"/>
      <c r="W597" s="1"/>
      <c r="X597" s="1"/>
      <c r="Y597" s="1"/>
      <c r="Z597" s="1"/>
    </row>
    <row r="598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9"/>
      <c r="T598" s="1" t="str">
        <f>IFERROR(__xludf.DUMMYFUNCTION("""COMPUTED_VALUE"""),"")</f>
        <v/>
      </c>
      <c r="U598" s="1"/>
      <c r="V598" s="1"/>
      <c r="W598" s="1"/>
      <c r="X598" s="1"/>
      <c r="Y598" s="1"/>
      <c r="Z598" s="1"/>
    </row>
    <row r="599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9"/>
      <c r="T599" s="1" t="str">
        <f>IFERROR(__xludf.DUMMYFUNCTION("""COMPUTED_VALUE"""),"")</f>
        <v/>
      </c>
      <c r="U599" s="1"/>
      <c r="V599" s="1"/>
      <c r="W599" s="1"/>
      <c r="X599" s="1"/>
      <c r="Y599" s="1"/>
      <c r="Z599" s="1"/>
    </row>
    <row r="600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9"/>
      <c r="T600" s="1" t="str">
        <f>IFERROR(__xludf.DUMMYFUNCTION("""COMPUTED_VALUE"""),"")</f>
        <v/>
      </c>
      <c r="U600" s="1"/>
      <c r="V600" s="1"/>
      <c r="W600" s="1"/>
      <c r="X600" s="1"/>
      <c r="Y600" s="1"/>
      <c r="Z600" s="1"/>
    </row>
    <row r="601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9"/>
      <c r="T601" s="1" t="str">
        <f>IFERROR(__xludf.DUMMYFUNCTION("""COMPUTED_VALUE"""),"")</f>
        <v/>
      </c>
      <c r="U601" s="1"/>
      <c r="V601" s="1"/>
      <c r="W601" s="1"/>
      <c r="X601" s="1"/>
      <c r="Y601" s="1"/>
      <c r="Z601" s="1"/>
    </row>
    <row r="602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9"/>
      <c r="T602" s="1" t="str">
        <f>IFERROR(__xludf.DUMMYFUNCTION("""COMPUTED_VALUE"""),"")</f>
        <v/>
      </c>
      <c r="U602" s="1"/>
      <c r="V602" s="1"/>
      <c r="W602" s="1"/>
      <c r="X602" s="1"/>
      <c r="Y602" s="1"/>
      <c r="Z602" s="1"/>
    </row>
    <row r="603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9"/>
      <c r="T603" s="1" t="str">
        <f>IFERROR(__xludf.DUMMYFUNCTION("""COMPUTED_VALUE"""),"")</f>
        <v/>
      </c>
      <c r="U603" s="1"/>
      <c r="V603" s="1"/>
      <c r="W603" s="1"/>
      <c r="X603" s="1"/>
      <c r="Y603" s="1"/>
      <c r="Z603" s="1"/>
    </row>
    <row r="604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9"/>
      <c r="T604" s="1" t="str">
        <f>IFERROR(__xludf.DUMMYFUNCTION("""COMPUTED_VALUE"""),"")</f>
        <v/>
      </c>
      <c r="U604" s="1"/>
      <c r="V604" s="1"/>
      <c r="W604" s="1"/>
      <c r="X604" s="1"/>
      <c r="Y604" s="1"/>
      <c r="Z604" s="1"/>
    </row>
    <row r="60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9"/>
      <c r="T605" s="1" t="str">
        <f>IFERROR(__xludf.DUMMYFUNCTION("""COMPUTED_VALUE"""),"")</f>
        <v/>
      </c>
      <c r="U605" s="1"/>
      <c r="V605" s="1"/>
      <c r="W605" s="1"/>
      <c r="X605" s="1"/>
      <c r="Y605" s="1"/>
      <c r="Z605" s="1"/>
    </row>
    <row r="606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9"/>
      <c r="T606" s="1" t="str">
        <f>IFERROR(__xludf.DUMMYFUNCTION("""COMPUTED_VALUE"""),"")</f>
        <v/>
      </c>
      <c r="U606" s="1"/>
      <c r="V606" s="1"/>
      <c r="W606" s="1"/>
      <c r="X606" s="1"/>
      <c r="Y606" s="1"/>
      <c r="Z606" s="1"/>
    </row>
    <row r="607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9"/>
      <c r="T607" s="1" t="str">
        <f>IFERROR(__xludf.DUMMYFUNCTION("""COMPUTED_VALUE"""),"")</f>
        <v/>
      </c>
      <c r="U607" s="1"/>
      <c r="V607" s="1"/>
      <c r="W607" s="1"/>
      <c r="X607" s="1"/>
      <c r="Y607" s="1"/>
      <c r="Z607" s="1"/>
    </row>
    <row r="608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9"/>
      <c r="T608" s="1" t="str">
        <f>IFERROR(__xludf.DUMMYFUNCTION("""COMPUTED_VALUE"""),"")</f>
        <v/>
      </c>
      <c r="U608" s="1"/>
      <c r="V608" s="1"/>
      <c r="W608" s="1"/>
      <c r="X608" s="1"/>
      <c r="Y608" s="1"/>
      <c r="Z608" s="1"/>
    </row>
    <row r="609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9"/>
      <c r="T609" s="1" t="str">
        <f>IFERROR(__xludf.DUMMYFUNCTION("""COMPUTED_VALUE"""),"")</f>
        <v/>
      </c>
      <c r="U609" s="1"/>
      <c r="V609" s="1"/>
      <c r="W609" s="1"/>
      <c r="X609" s="1"/>
      <c r="Y609" s="1"/>
      <c r="Z609" s="1"/>
    </row>
    <row r="610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9"/>
      <c r="T610" s="1" t="str">
        <f>IFERROR(__xludf.DUMMYFUNCTION("""COMPUTED_VALUE"""),"")</f>
        <v/>
      </c>
      <c r="U610" s="1"/>
      <c r="V610" s="1"/>
      <c r="W610" s="1"/>
      <c r="X610" s="1"/>
      <c r="Y610" s="1"/>
      <c r="Z610" s="1"/>
    </row>
    <row r="611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9"/>
      <c r="T611" s="1" t="str">
        <f>IFERROR(__xludf.DUMMYFUNCTION("""COMPUTED_VALUE"""),"")</f>
        <v/>
      </c>
      <c r="U611" s="1"/>
      <c r="V611" s="1"/>
      <c r="W611" s="1"/>
      <c r="X611" s="1"/>
      <c r="Y611" s="1"/>
      <c r="Z611" s="1"/>
    </row>
    <row r="612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9"/>
      <c r="T612" s="1" t="str">
        <f>IFERROR(__xludf.DUMMYFUNCTION("""COMPUTED_VALUE"""),"")</f>
        <v/>
      </c>
      <c r="U612" s="1"/>
      <c r="V612" s="1"/>
      <c r="W612" s="1"/>
      <c r="X612" s="1"/>
      <c r="Y612" s="1"/>
      <c r="Z612" s="1"/>
    </row>
    <row r="613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9"/>
      <c r="T613" s="1" t="str">
        <f>IFERROR(__xludf.DUMMYFUNCTION("""COMPUTED_VALUE"""),"")</f>
        <v/>
      </c>
      <c r="U613" s="1"/>
      <c r="V613" s="1"/>
      <c r="W613" s="1"/>
      <c r="X613" s="1"/>
      <c r="Y613" s="1"/>
      <c r="Z613" s="1"/>
    </row>
    <row r="614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9"/>
      <c r="T614" s="1" t="str">
        <f>IFERROR(__xludf.DUMMYFUNCTION("""COMPUTED_VALUE"""),"")</f>
        <v/>
      </c>
      <c r="U614" s="1"/>
      <c r="V614" s="1"/>
      <c r="W614" s="1"/>
      <c r="X614" s="1"/>
      <c r="Y614" s="1"/>
      <c r="Z614" s="1"/>
    </row>
    <row r="61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9"/>
      <c r="T615" s="1" t="str">
        <f>IFERROR(__xludf.DUMMYFUNCTION("""COMPUTED_VALUE"""),"")</f>
        <v/>
      </c>
      <c r="U615" s="1"/>
      <c r="V615" s="1"/>
      <c r="W615" s="1"/>
      <c r="X615" s="1"/>
      <c r="Y615" s="1"/>
      <c r="Z615" s="1"/>
    </row>
    <row r="616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9"/>
      <c r="T616" s="1" t="str">
        <f>IFERROR(__xludf.DUMMYFUNCTION("""COMPUTED_VALUE"""),"")</f>
        <v/>
      </c>
      <c r="U616" s="1"/>
      <c r="V616" s="1"/>
      <c r="W616" s="1"/>
      <c r="X616" s="1"/>
      <c r="Y616" s="1"/>
      <c r="Z616" s="1"/>
    </row>
    <row r="617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9"/>
      <c r="T617" s="1" t="str">
        <f>IFERROR(__xludf.DUMMYFUNCTION("""COMPUTED_VALUE"""),"")</f>
        <v/>
      </c>
      <c r="U617" s="1"/>
      <c r="V617" s="1"/>
      <c r="W617" s="1"/>
      <c r="X617" s="1"/>
      <c r="Y617" s="1"/>
      <c r="Z617" s="1"/>
    </row>
    <row r="618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9"/>
      <c r="T618" s="1" t="str">
        <f>IFERROR(__xludf.DUMMYFUNCTION("""COMPUTED_VALUE"""),"")</f>
        <v/>
      </c>
      <c r="U618" s="1"/>
      <c r="V618" s="1"/>
      <c r="W618" s="1"/>
      <c r="X618" s="1"/>
      <c r="Y618" s="1"/>
      <c r="Z618" s="1"/>
    </row>
    <row r="619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9"/>
      <c r="T619" s="1" t="str">
        <f>IFERROR(__xludf.DUMMYFUNCTION("""COMPUTED_VALUE"""),"")</f>
        <v/>
      </c>
      <c r="U619" s="1"/>
      <c r="V619" s="1"/>
      <c r="W619" s="1"/>
      <c r="X619" s="1"/>
      <c r="Y619" s="1"/>
      <c r="Z619" s="1"/>
    </row>
    <row r="620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9"/>
      <c r="T620" s="1" t="str">
        <f>IFERROR(__xludf.DUMMYFUNCTION("""COMPUTED_VALUE"""),"")</f>
        <v/>
      </c>
      <c r="U620" s="1"/>
      <c r="V620" s="1"/>
      <c r="W620" s="1"/>
      <c r="X620" s="1"/>
      <c r="Y620" s="1"/>
      <c r="Z620" s="1"/>
    </row>
    <row r="621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9"/>
      <c r="T621" s="1" t="str">
        <f>IFERROR(__xludf.DUMMYFUNCTION("""COMPUTED_VALUE"""),"")</f>
        <v/>
      </c>
      <c r="U621" s="1"/>
      <c r="V621" s="1"/>
      <c r="W621" s="1"/>
      <c r="X621" s="1"/>
      <c r="Y621" s="1"/>
      <c r="Z621" s="1"/>
    </row>
    <row r="622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9"/>
      <c r="T622" s="1" t="str">
        <f>IFERROR(__xludf.DUMMYFUNCTION("""COMPUTED_VALUE"""),"")</f>
        <v/>
      </c>
      <c r="U622" s="1"/>
      <c r="V622" s="1"/>
      <c r="W622" s="1"/>
      <c r="X622" s="1"/>
      <c r="Y622" s="1"/>
      <c r="Z622" s="1"/>
    </row>
    <row r="623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9"/>
      <c r="T623" s="1" t="str">
        <f>IFERROR(__xludf.DUMMYFUNCTION("""COMPUTED_VALUE"""),"")</f>
        <v/>
      </c>
      <c r="U623" s="1"/>
      <c r="V623" s="1"/>
      <c r="W623" s="1"/>
      <c r="X623" s="1"/>
      <c r="Y623" s="1"/>
      <c r="Z623" s="1"/>
    </row>
    <row r="624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9"/>
      <c r="T624" s="1" t="str">
        <f>IFERROR(__xludf.DUMMYFUNCTION("""COMPUTED_VALUE"""),"")</f>
        <v/>
      </c>
      <c r="U624" s="1"/>
      <c r="V624" s="1"/>
      <c r="W624" s="1"/>
      <c r="X624" s="1"/>
      <c r="Y624" s="1"/>
      <c r="Z624" s="1"/>
    </row>
    <row r="62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9"/>
      <c r="T625" s="1" t="str">
        <f>IFERROR(__xludf.DUMMYFUNCTION("""COMPUTED_VALUE"""),"")</f>
        <v/>
      </c>
      <c r="U625" s="1"/>
      <c r="V625" s="1"/>
      <c r="W625" s="1"/>
      <c r="X625" s="1"/>
      <c r="Y625" s="1"/>
      <c r="Z625" s="1"/>
    </row>
    <row r="626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9"/>
      <c r="T626" s="1" t="str">
        <f>IFERROR(__xludf.DUMMYFUNCTION("""COMPUTED_VALUE"""),"")</f>
        <v/>
      </c>
      <c r="U626" s="1"/>
      <c r="V626" s="1"/>
      <c r="W626" s="1"/>
      <c r="X626" s="1"/>
      <c r="Y626" s="1"/>
      <c r="Z626" s="1"/>
    </row>
    <row r="627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9"/>
      <c r="T627" s="1" t="str">
        <f>IFERROR(__xludf.DUMMYFUNCTION("""COMPUTED_VALUE"""),"")</f>
        <v/>
      </c>
      <c r="U627" s="1"/>
      <c r="V627" s="1"/>
      <c r="W627" s="1"/>
      <c r="X627" s="1"/>
      <c r="Y627" s="1"/>
      <c r="Z627" s="1"/>
    </row>
    <row r="628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9"/>
      <c r="T628" s="1" t="str">
        <f>IFERROR(__xludf.DUMMYFUNCTION("""COMPUTED_VALUE"""),"")</f>
        <v/>
      </c>
      <c r="U628" s="1"/>
      <c r="V628" s="1"/>
      <c r="W628" s="1"/>
      <c r="X628" s="1"/>
      <c r="Y628" s="1"/>
      <c r="Z628" s="1"/>
    </row>
    <row r="629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9"/>
      <c r="T629" s="1" t="str">
        <f>IFERROR(__xludf.DUMMYFUNCTION("""COMPUTED_VALUE"""),"")</f>
        <v/>
      </c>
      <c r="U629" s="1"/>
      <c r="V629" s="1"/>
      <c r="W629" s="1"/>
      <c r="X629" s="1"/>
      <c r="Y629" s="1"/>
      <c r="Z629" s="1"/>
    </row>
    <row r="630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9"/>
      <c r="T630" s="1" t="str">
        <f>IFERROR(__xludf.DUMMYFUNCTION("""COMPUTED_VALUE"""),"")</f>
        <v/>
      </c>
      <c r="U630" s="1"/>
      <c r="V630" s="1"/>
      <c r="W630" s="1"/>
      <c r="X630" s="1"/>
      <c r="Y630" s="1"/>
      <c r="Z630" s="1"/>
    </row>
    <row r="631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9"/>
      <c r="T631" s="1" t="str">
        <f>IFERROR(__xludf.DUMMYFUNCTION("""COMPUTED_VALUE"""),"")</f>
        <v/>
      </c>
      <c r="U631" s="1"/>
      <c r="V631" s="1"/>
      <c r="W631" s="1"/>
      <c r="X631" s="1"/>
      <c r="Y631" s="1"/>
      <c r="Z631" s="1"/>
    </row>
    <row r="632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9"/>
      <c r="T632" s="1" t="str">
        <f>IFERROR(__xludf.DUMMYFUNCTION("""COMPUTED_VALUE"""),"")</f>
        <v/>
      </c>
      <c r="U632" s="1"/>
      <c r="V632" s="1"/>
      <c r="W632" s="1"/>
      <c r="X632" s="1"/>
      <c r="Y632" s="1"/>
      <c r="Z632" s="1"/>
    </row>
    <row r="633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9"/>
      <c r="T633" s="1" t="str">
        <f>IFERROR(__xludf.DUMMYFUNCTION("""COMPUTED_VALUE"""),"")</f>
        <v/>
      </c>
      <c r="U633" s="1"/>
      <c r="V633" s="1"/>
      <c r="W633" s="1"/>
      <c r="X633" s="1"/>
      <c r="Y633" s="1"/>
      <c r="Z633" s="1"/>
    </row>
    <row r="634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9"/>
      <c r="T634" s="1" t="str">
        <f>IFERROR(__xludf.DUMMYFUNCTION("""COMPUTED_VALUE"""),"")</f>
        <v/>
      </c>
      <c r="U634" s="1"/>
      <c r="V634" s="1"/>
      <c r="W634" s="1"/>
      <c r="X634" s="1"/>
      <c r="Y634" s="1"/>
      <c r="Z634" s="1"/>
    </row>
    <row r="63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9"/>
      <c r="T635" s="1" t="str">
        <f>IFERROR(__xludf.DUMMYFUNCTION("""COMPUTED_VALUE"""),"")</f>
        <v/>
      </c>
      <c r="U635" s="1"/>
      <c r="V635" s="1"/>
      <c r="W635" s="1"/>
      <c r="X635" s="1"/>
      <c r="Y635" s="1"/>
      <c r="Z635" s="1"/>
    </row>
    <row r="636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9"/>
      <c r="T636" s="1" t="str">
        <f>IFERROR(__xludf.DUMMYFUNCTION("""COMPUTED_VALUE"""),"")</f>
        <v/>
      </c>
      <c r="U636" s="1"/>
      <c r="V636" s="1"/>
      <c r="W636" s="1"/>
      <c r="X636" s="1"/>
      <c r="Y636" s="1"/>
      <c r="Z636" s="1"/>
    </row>
    <row r="637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9"/>
      <c r="T637" s="1" t="str">
        <f>IFERROR(__xludf.DUMMYFUNCTION("""COMPUTED_VALUE"""),"")</f>
        <v/>
      </c>
      <c r="U637" s="1"/>
      <c r="V637" s="1"/>
      <c r="W637" s="1"/>
      <c r="X637" s="1"/>
      <c r="Y637" s="1"/>
      <c r="Z637" s="1"/>
    </row>
    <row r="638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9"/>
      <c r="T638" s="1" t="str">
        <f>IFERROR(__xludf.DUMMYFUNCTION("""COMPUTED_VALUE"""),"")</f>
        <v/>
      </c>
      <c r="U638" s="1"/>
      <c r="V638" s="1"/>
      <c r="W638" s="1"/>
      <c r="X638" s="1"/>
      <c r="Y638" s="1"/>
      <c r="Z638" s="1"/>
    </row>
    <row r="639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9"/>
      <c r="T639" s="1" t="str">
        <f>IFERROR(__xludf.DUMMYFUNCTION("""COMPUTED_VALUE"""),"")</f>
        <v/>
      </c>
      <c r="U639" s="1"/>
      <c r="V639" s="1"/>
      <c r="W639" s="1"/>
      <c r="X639" s="1"/>
      <c r="Y639" s="1"/>
      <c r="Z639" s="1"/>
    </row>
    <row r="640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9"/>
      <c r="T640" s="1" t="str">
        <f>IFERROR(__xludf.DUMMYFUNCTION("""COMPUTED_VALUE"""),"")</f>
        <v/>
      </c>
      <c r="U640" s="1"/>
      <c r="V640" s="1"/>
      <c r="W640" s="1"/>
      <c r="X640" s="1"/>
      <c r="Y640" s="1"/>
      <c r="Z640" s="1"/>
    </row>
    <row r="641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9"/>
      <c r="T641" s="1" t="str">
        <f>IFERROR(__xludf.DUMMYFUNCTION("""COMPUTED_VALUE"""),"")</f>
        <v/>
      </c>
      <c r="U641" s="1"/>
      <c r="V641" s="1"/>
      <c r="W641" s="1"/>
      <c r="X641" s="1"/>
      <c r="Y641" s="1"/>
      <c r="Z641" s="1"/>
    </row>
    <row r="642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9"/>
      <c r="T642" s="1" t="str">
        <f>IFERROR(__xludf.DUMMYFUNCTION("""COMPUTED_VALUE"""),"")</f>
        <v/>
      </c>
      <c r="U642" s="1"/>
      <c r="V642" s="1"/>
      <c r="W642" s="1"/>
      <c r="X642" s="1"/>
      <c r="Y642" s="1"/>
      <c r="Z642" s="1"/>
    </row>
    <row r="643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9"/>
      <c r="T643" s="1" t="str">
        <f>IFERROR(__xludf.DUMMYFUNCTION("""COMPUTED_VALUE"""),"")</f>
        <v/>
      </c>
      <c r="U643" s="1"/>
      <c r="V643" s="1"/>
      <c r="W643" s="1"/>
      <c r="X643" s="1"/>
      <c r="Y643" s="1"/>
      <c r="Z643" s="1"/>
    </row>
    <row r="644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9"/>
      <c r="T644" s="1" t="str">
        <f>IFERROR(__xludf.DUMMYFUNCTION("""COMPUTED_VALUE"""),"")</f>
        <v/>
      </c>
      <c r="U644" s="1"/>
      <c r="V644" s="1"/>
      <c r="W644" s="1"/>
      <c r="X644" s="1"/>
      <c r="Y644" s="1"/>
      <c r="Z644" s="1"/>
    </row>
    <row r="64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9"/>
      <c r="T645" s="1" t="str">
        <f>IFERROR(__xludf.DUMMYFUNCTION("""COMPUTED_VALUE"""),"")</f>
        <v/>
      </c>
      <c r="U645" s="1"/>
      <c r="V645" s="1"/>
      <c r="W645" s="1"/>
      <c r="X645" s="1"/>
      <c r="Y645" s="1"/>
      <c r="Z645" s="1"/>
    </row>
    <row r="646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9"/>
      <c r="T646" s="1" t="str">
        <f>IFERROR(__xludf.DUMMYFUNCTION("""COMPUTED_VALUE"""),"")</f>
        <v/>
      </c>
      <c r="U646" s="1"/>
      <c r="V646" s="1"/>
      <c r="W646" s="1"/>
      <c r="X646" s="1"/>
      <c r="Y646" s="1"/>
      <c r="Z646" s="1"/>
    </row>
    <row r="647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9"/>
      <c r="T647" s="1" t="str">
        <f>IFERROR(__xludf.DUMMYFUNCTION("""COMPUTED_VALUE"""),"")</f>
        <v/>
      </c>
      <c r="U647" s="1"/>
      <c r="V647" s="1"/>
      <c r="W647" s="1"/>
      <c r="X647" s="1"/>
      <c r="Y647" s="1"/>
      <c r="Z647" s="1"/>
    </row>
    <row r="648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9"/>
      <c r="T648" s="1" t="str">
        <f>IFERROR(__xludf.DUMMYFUNCTION("""COMPUTED_VALUE"""),"")</f>
        <v/>
      </c>
      <c r="U648" s="1"/>
      <c r="V648" s="1"/>
      <c r="W648" s="1"/>
      <c r="X648" s="1"/>
      <c r="Y648" s="1"/>
      <c r="Z648" s="1"/>
    </row>
    <row r="649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9"/>
      <c r="T649" s="1" t="str">
        <f>IFERROR(__xludf.DUMMYFUNCTION("""COMPUTED_VALUE"""),"")</f>
        <v/>
      </c>
      <c r="U649" s="1"/>
      <c r="V649" s="1"/>
      <c r="W649" s="1"/>
      <c r="X649" s="1"/>
      <c r="Y649" s="1"/>
      <c r="Z649" s="1"/>
    </row>
    <row r="650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9"/>
      <c r="T650" s="1" t="str">
        <f>IFERROR(__xludf.DUMMYFUNCTION("""COMPUTED_VALUE"""),"")</f>
        <v/>
      </c>
      <c r="U650" s="1"/>
      <c r="V650" s="1"/>
      <c r="W650" s="1"/>
      <c r="X650" s="1"/>
      <c r="Y650" s="1"/>
      <c r="Z650" s="1"/>
    </row>
    <row r="651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9"/>
      <c r="T651" s="1" t="str">
        <f>IFERROR(__xludf.DUMMYFUNCTION("""COMPUTED_VALUE"""),"")</f>
        <v/>
      </c>
      <c r="U651" s="1"/>
      <c r="V651" s="1"/>
      <c r="W651" s="1"/>
      <c r="X651" s="1"/>
      <c r="Y651" s="1"/>
      <c r="Z651" s="1"/>
    </row>
    <row r="652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9"/>
      <c r="T652" s="1" t="str">
        <f>IFERROR(__xludf.DUMMYFUNCTION("""COMPUTED_VALUE"""),"")</f>
        <v/>
      </c>
      <c r="U652" s="1"/>
      <c r="V652" s="1"/>
      <c r="W652" s="1"/>
      <c r="X652" s="1"/>
      <c r="Y652" s="1"/>
      <c r="Z652" s="1"/>
    </row>
    <row r="653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9"/>
      <c r="T653" s="1" t="str">
        <f>IFERROR(__xludf.DUMMYFUNCTION("""COMPUTED_VALUE"""),"")</f>
        <v/>
      </c>
      <c r="U653" s="1"/>
      <c r="V653" s="1"/>
      <c r="W653" s="1"/>
      <c r="X653" s="1"/>
      <c r="Y653" s="1"/>
      <c r="Z653" s="1"/>
    </row>
    <row r="654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9"/>
      <c r="T654" s="1" t="str">
        <f>IFERROR(__xludf.DUMMYFUNCTION("""COMPUTED_VALUE"""),"")</f>
        <v/>
      </c>
      <c r="U654" s="1"/>
      <c r="V654" s="1"/>
      <c r="W654" s="1"/>
      <c r="X654" s="1"/>
      <c r="Y654" s="1"/>
      <c r="Z654" s="1"/>
    </row>
    <row r="65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9"/>
      <c r="T655" s="1" t="str">
        <f>IFERROR(__xludf.DUMMYFUNCTION("""COMPUTED_VALUE"""),"")</f>
        <v/>
      </c>
      <c r="U655" s="1"/>
      <c r="V655" s="1"/>
      <c r="W655" s="1"/>
      <c r="X655" s="1"/>
      <c r="Y655" s="1"/>
      <c r="Z655" s="1"/>
    </row>
    <row r="656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9"/>
      <c r="T656" s="1" t="str">
        <f>IFERROR(__xludf.DUMMYFUNCTION("""COMPUTED_VALUE"""),"")</f>
        <v/>
      </c>
      <c r="U656" s="1"/>
      <c r="V656" s="1"/>
      <c r="W656" s="1"/>
      <c r="X656" s="1"/>
      <c r="Y656" s="1"/>
      <c r="Z656" s="1"/>
    </row>
    <row r="657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9"/>
      <c r="T657" s="1" t="str">
        <f>IFERROR(__xludf.DUMMYFUNCTION("""COMPUTED_VALUE"""),"")</f>
        <v/>
      </c>
      <c r="U657" s="1"/>
      <c r="V657" s="1"/>
      <c r="W657" s="1"/>
      <c r="X657" s="1"/>
      <c r="Y657" s="1"/>
      <c r="Z657" s="1"/>
    </row>
    <row r="658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9"/>
      <c r="T658" s="1" t="str">
        <f>IFERROR(__xludf.DUMMYFUNCTION("""COMPUTED_VALUE"""),"")</f>
        <v/>
      </c>
      <c r="U658" s="1"/>
      <c r="V658" s="1"/>
      <c r="W658" s="1"/>
      <c r="X658" s="1"/>
      <c r="Y658" s="1"/>
      <c r="Z658" s="1"/>
    </row>
    <row r="659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9"/>
      <c r="T659" s="1" t="str">
        <f>IFERROR(__xludf.DUMMYFUNCTION("""COMPUTED_VALUE"""),"")</f>
        <v/>
      </c>
      <c r="U659" s="1"/>
      <c r="V659" s="1"/>
      <c r="W659" s="1"/>
      <c r="X659" s="1"/>
      <c r="Y659" s="1"/>
      <c r="Z659" s="1"/>
    </row>
    <row r="660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9"/>
      <c r="T660" s="1" t="str">
        <f>IFERROR(__xludf.DUMMYFUNCTION("""COMPUTED_VALUE"""),"")</f>
        <v/>
      </c>
      <c r="U660" s="1"/>
      <c r="V660" s="1"/>
      <c r="W660" s="1"/>
      <c r="X660" s="1"/>
      <c r="Y660" s="1"/>
      <c r="Z660" s="1"/>
    </row>
    <row r="661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9"/>
      <c r="T661" s="1" t="str">
        <f>IFERROR(__xludf.DUMMYFUNCTION("""COMPUTED_VALUE"""),"")</f>
        <v/>
      </c>
      <c r="U661" s="1"/>
      <c r="V661" s="1"/>
      <c r="W661" s="1"/>
      <c r="X661" s="1"/>
      <c r="Y661" s="1"/>
      <c r="Z661" s="1"/>
    </row>
    <row r="662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9"/>
      <c r="T662" s="1" t="str">
        <f>IFERROR(__xludf.DUMMYFUNCTION("""COMPUTED_VALUE"""),"")</f>
        <v/>
      </c>
      <c r="U662" s="1"/>
      <c r="V662" s="1"/>
      <c r="W662" s="1"/>
      <c r="X662" s="1"/>
      <c r="Y662" s="1"/>
      <c r="Z662" s="1"/>
    </row>
    <row r="663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9"/>
      <c r="T663" s="1" t="str">
        <f>IFERROR(__xludf.DUMMYFUNCTION("""COMPUTED_VALUE"""),"")</f>
        <v/>
      </c>
      <c r="U663" s="1"/>
      <c r="V663" s="1"/>
      <c r="W663" s="1"/>
      <c r="X663" s="1"/>
      <c r="Y663" s="1"/>
      <c r="Z663" s="1"/>
    </row>
    <row r="664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9"/>
      <c r="T664" s="1" t="str">
        <f>IFERROR(__xludf.DUMMYFUNCTION("""COMPUTED_VALUE"""),"")</f>
        <v/>
      </c>
      <c r="U664" s="1"/>
      <c r="V664" s="1"/>
      <c r="W664" s="1"/>
      <c r="X664" s="1"/>
      <c r="Y664" s="1"/>
      <c r="Z664" s="1"/>
    </row>
    <row r="66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9"/>
      <c r="T665" s="1" t="str">
        <f>IFERROR(__xludf.DUMMYFUNCTION("""COMPUTED_VALUE"""),"")</f>
        <v/>
      </c>
      <c r="U665" s="1"/>
      <c r="V665" s="1"/>
      <c r="W665" s="1"/>
      <c r="X665" s="1"/>
      <c r="Y665" s="1"/>
      <c r="Z665" s="1"/>
    </row>
    <row r="666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9"/>
      <c r="T666" s="1" t="str">
        <f>IFERROR(__xludf.DUMMYFUNCTION("""COMPUTED_VALUE"""),"")</f>
        <v/>
      </c>
      <c r="U666" s="1"/>
      <c r="V666" s="1"/>
      <c r="W666" s="1"/>
      <c r="X666" s="1"/>
      <c r="Y666" s="1"/>
      <c r="Z666" s="1"/>
    </row>
    <row r="667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9"/>
      <c r="T667" s="1" t="str">
        <f>IFERROR(__xludf.DUMMYFUNCTION("""COMPUTED_VALUE"""),"")</f>
        <v/>
      </c>
      <c r="U667" s="1"/>
      <c r="V667" s="1"/>
      <c r="W667" s="1"/>
      <c r="X667" s="1"/>
      <c r="Y667" s="1"/>
      <c r="Z667" s="1"/>
    </row>
    <row r="668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9"/>
      <c r="T668" s="1" t="str">
        <f>IFERROR(__xludf.DUMMYFUNCTION("""COMPUTED_VALUE"""),"")</f>
        <v/>
      </c>
      <c r="U668" s="1"/>
      <c r="V668" s="1"/>
      <c r="W668" s="1"/>
      <c r="X668" s="1"/>
      <c r="Y668" s="1"/>
      <c r="Z668" s="1"/>
    </row>
    <row r="669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9"/>
      <c r="T669" s="1" t="str">
        <f>IFERROR(__xludf.DUMMYFUNCTION("""COMPUTED_VALUE"""),"")</f>
        <v/>
      </c>
      <c r="U669" s="1"/>
      <c r="V669" s="1"/>
      <c r="W669" s="1"/>
      <c r="X669" s="1"/>
      <c r="Y669" s="1"/>
      <c r="Z669" s="1"/>
    </row>
    <row r="670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9"/>
      <c r="T670" s="1" t="str">
        <f>IFERROR(__xludf.DUMMYFUNCTION("""COMPUTED_VALUE"""),"")</f>
        <v/>
      </c>
      <c r="U670" s="1"/>
      <c r="V670" s="1"/>
      <c r="W670" s="1"/>
      <c r="X670" s="1"/>
      <c r="Y670" s="1"/>
      <c r="Z670" s="1"/>
    </row>
    <row r="671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9"/>
      <c r="T671" s="1" t="str">
        <f>IFERROR(__xludf.DUMMYFUNCTION("""COMPUTED_VALUE"""),"")</f>
        <v/>
      </c>
      <c r="U671" s="1"/>
      <c r="V671" s="1"/>
      <c r="W671" s="1"/>
      <c r="X671" s="1"/>
      <c r="Y671" s="1"/>
      <c r="Z671" s="1"/>
    </row>
    <row r="672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9"/>
      <c r="T672" s="1" t="str">
        <f>IFERROR(__xludf.DUMMYFUNCTION("""COMPUTED_VALUE"""),"")</f>
        <v/>
      </c>
      <c r="U672" s="1"/>
      <c r="V672" s="1"/>
      <c r="W672" s="1"/>
      <c r="X672" s="1"/>
      <c r="Y672" s="1"/>
      <c r="Z672" s="1"/>
    </row>
    <row r="673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9"/>
      <c r="T673" s="1" t="str">
        <f>IFERROR(__xludf.DUMMYFUNCTION("""COMPUTED_VALUE"""),"")</f>
        <v/>
      </c>
      <c r="U673" s="1"/>
      <c r="V673" s="1"/>
      <c r="W673" s="1"/>
      <c r="X673" s="1"/>
      <c r="Y673" s="1"/>
      <c r="Z673" s="1"/>
    </row>
    <row r="674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9"/>
      <c r="T674" s="1" t="str">
        <f>IFERROR(__xludf.DUMMYFUNCTION("""COMPUTED_VALUE"""),"")</f>
        <v/>
      </c>
      <c r="U674" s="1"/>
      <c r="V674" s="1"/>
      <c r="W674" s="1"/>
      <c r="X674" s="1"/>
      <c r="Y674" s="1"/>
      <c r="Z674" s="1"/>
    </row>
    <row r="67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9"/>
      <c r="T675" s="1" t="str">
        <f>IFERROR(__xludf.DUMMYFUNCTION("""COMPUTED_VALUE"""),"")</f>
        <v/>
      </c>
      <c r="U675" s="1"/>
      <c r="V675" s="1"/>
      <c r="W675" s="1"/>
      <c r="X675" s="1"/>
      <c r="Y675" s="1"/>
      <c r="Z675" s="1"/>
    </row>
    <row r="676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9"/>
      <c r="T676" s="1" t="str">
        <f>IFERROR(__xludf.DUMMYFUNCTION("""COMPUTED_VALUE"""),"")</f>
        <v/>
      </c>
      <c r="U676" s="1"/>
      <c r="V676" s="1"/>
      <c r="W676" s="1"/>
      <c r="X676" s="1"/>
      <c r="Y676" s="1"/>
      <c r="Z676" s="1"/>
    </row>
    <row r="677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9"/>
      <c r="T677" s="1" t="str">
        <f>IFERROR(__xludf.DUMMYFUNCTION("""COMPUTED_VALUE"""),"")</f>
        <v/>
      </c>
      <c r="U677" s="1"/>
      <c r="V677" s="1"/>
      <c r="W677" s="1"/>
      <c r="X677" s="1"/>
      <c r="Y677" s="1"/>
      <c r="Z677" s="1"/>
    </row>
    <row r="678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9"/>
      <c r="T678" s="1" t="str">
        <f>IFERROR(__xludf.DUMMYFUNCTION("""COMPUTED_VALUE"""),"")</f>
        <v/>
      </c>
      <c r="U678" s="1"/>
      <c r="V678" s="1"/>
      <c r="W678" s="1"/>
      <c r="X678" s="1"/>
      <c r="Y678" s="1"/>
      <c r="Z678" s="1"/>
    </row>
    <row r="679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9"/>
      <c r="T679" s="1" t="str">
        <f>IFERROR(__xludf.DUMMYFUNCTION("""COMPUTED_VALUE"""),"")</f>
        <v/>
      </c>
      <c r="U679" s="1"/>
      <c r="V679" s="1"/>
      <c r="W679" s="1"/>
      <c r="X679" s="1"/>
      <c r="Y679" s="1"/>
      <c r="Z679" s="1"/>
    </row>
    <row r="680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9"/>
      <c r="T680" s="1" t="str">
        <f>IFERROR(__xludf.DUMMYFUNCTION("""COMPUTED_VALUE"""),"")</f>
        <v/>
      </c>
      <c r="U680" s="1"/>
      <c r="V680" s="1"/>
      <c r="W680" s="1"/>
      <c r="X680" s="1"/>
      <c r="Y680" s="1"/>
      <c r="Z680" s="1"/>
    </row>
    <row r="681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9"/>
      <c r="T681" s="1" t="str">
        <f>IFERROR(__xludf.DUMMYFUNCTION("""COMPUTED_VALUE"""),"")</f>
        <v/>
      </c>
      <c r="U681" s="1"/>
      <c r="V681" s="1"/>
      <c r="W681" s="1"/>
      <c r="X681" s="1"/>
      <c r="Y681" s="1"/>
      <c r="Z681" s="1"/>
    </row>
    <row r="682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9"/>
      <c r="T682" s="1" t="str">
        <f>IFERROR(__xludf.DUMMYFUNCTION("""COMPUTED_VALUE"""),"")</f>
        <v/>
      </c>
      <c r="U682" s="1"/>
      <c r="V682" s="1"/>
      <c r="W682" s="1"/>
      <c r="X682" s="1"/>
      <c r="Y682" s="1"/>
      <c r="Z682" s="1"/>
    </row>
    <row r="683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9"/>
      <c r="T683" s="1" t="str">
        <f>IFERROR(__xludf.DUMMYFUNCTION("""COMPUTED_VALUE"""),"")</f>
        <v/>
      </c>
      <c r="U683" s="1"/>
      <c r="V683" s="1"/>
      <c r="W683" s="1"/>
      <c r="X683" s="1"/>
      <c r="Y683" s="1"/>
      <c r="Z683" s="1"/>
    </row>
    <row r="684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9"/>
      <c r="T684" s="1" t="str">
        <f>IFERROR(__xludf.DUMMYFUNCTION("""COMPUTED_VALUE"""),"")</f>
        <v/>
      </c>
      <c r="U684" s="1"/>
      <c r="V684" s="1"/>
      <c r="W684" s="1"/>
      <c r="X684" s="1"/>
      <c r="Y684" s="1"/>
      <c r="Z684" s="1"/>
    </row>
    <row r="68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9"/>
      <c r="T685" s="1" t="str">
        <f>IFERROR(__xludf.DUMMYFUNCTION("""COMPUTED_VALUE"""),"")</f>
        <v/>
      </c>
      <c r="U685" s="1"/>
      <c r="V685" s="1"/>
      <c r="W685" s="1"/>
      <c r="X685" s="1"/>
      <c r="Y685" s="1"/>
      <c r="Z685" s="1"/>
    </row>
    <row r="686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9"/>
      <c r="T686" s="1" t="str">
        <f>IFERROR(__xludf.DUMMYFUNCTION("""COMPUTED_VALUE"""),"")</f>
        <v/>
      </c>
      <c r="U686" s="1"/>
      <c r="V686" s="1"/>
      <c r="W686" s="1"/>
      <c r="X686" s="1"/>
      <c r="Y686" s="1"/>
      <c r="Z686" s="1"/>
    </row>
    <row r="687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9"/>
      <c r="T687" s="1" t="str">
        <f>IFERROR(__xludf.DUMMYFUNCTION("""COMPUTED_VALUE"""),"")</f>
        <v/>
      </c>
      <c r="U687" s="1"/>
      <c r="V687" s="1"/>
      <c r="W687" s="1"/>
      <c r="X687" s="1"/>
      <c r="Y687" s="1"/>
      <c r="Z687" s="1"/>
    </row>
    <row r="688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9"/>
      <c r="T688" s="1" t="str">
        <f>IFERROR(__xludf.DUMMYFUNCTION("""COMPUTED_VALUE"""),"")</f>
        <v/>
      </c>
      <c r="U688" s="1"/>
      <c r="V688" s="1"/>
      <c r="W688" s="1"/>
      <c r="X688" s="1"/>
      <c r="Y688" s="1"/>
      <c r="Z688" s="1"/>
    </row>
    <row r="689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9"/>
      <c r="T689" s="1" t="str">
        <f>IFERROR(__xludf.DUMMYFUNCTION("""COMPUTED_VALUE"""),"")</f>
        <v/>
      </c>
      <c r="U689" s="1"/>
      <c r="V689" s="1"/>
      <c r="W689" s="1"/>
      <c r="X689" s="1"/>
      <c r="Y689" s="1"/>
      <c r="Z689" s="1"/>
    </row>
    <row r="690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9"/>
      <c r="T690" s="1" t="str">
        <f>IFERROR(__xludf.DUMMYFUNCTION("""COMPUTED_VALUE"""),"")</f>
        <v/>
      </c>
      <c r="U690" s="1"/>
      <c r="V690" s="1"/>
      <c r="W690" s="1"/>
      <c r="X690" s="1"/>
      <c r="Y690" s="1"/>
      <c r="Z690" s="1"/>
    </row>
    <row r="691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9"/>
      <c r="T691" s="1" t="str">
        <f>IFERROR(__xludf.DUMMYFUNCTION("""COMPUTED_VALUE"""),"")</f>
        <v/>
      </c>
      <c r="U691" s="1"/>
      <c r="V691" s="1"/>
      <c r="W691" s="1"/>
      <c r="X691" s="1"/>
      <c r="Y691" s="1"/>
      <c r="Z691" s="1"/>
    </row>
    <row r="692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9"/>
      <c r="T692" s="1" t="str">
        <f>IFERROR(__xludf.DUMMYFUNCTION("""COMPUTED_VALUE"""),"")</f>
        <v/>
      </c>
      <c r="U692" s="1"/>
      <c r="V692" s="1"/>
      <c r="W692" s="1"/>
      <c r="X692" s="1"/>
      <c r="Y692" s="1"/>
      <c r="Z692" s="1"/>
    </row>
    <row r="693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9"/>
      <c r="T693" s="1" t="str">
        <f>IFERROR(__xludf.DUMMYFUNCTION("""COMPUTED_VALUE"""),"")</f>
        <v/>
      </c>
      <c r="U693" s="1"/>
      <c r="V693" s="1"/>
      <c r="W693" s="1"/>
      <c r="X693" s="1"/>
      <c r="Y693" s="1"/>
      <c r="Z693" s="1"/>
    </row>
    <row r="694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9"/>
      <c r="T694" s="1" t="str">
        <f>IFERROR(__xludf.DUMMYFUNCTION("""COMPUTED_VALUE"""),"")</f>
        <v/>
      </c>
      <c r="U694" s="1"/>
      <c r="V694" s="1"/>
      <c r="W694" s="1"/>
      <c r="X694" s="1"/>
      <c r="Y694" s="1"/>
      <c r="Z694" s="1"/>
    </row>
    <row r="69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9"/>
      <c r="T695" s="1" t="str">
        <f>IFERROR(__xludf.DUMMYFUNCTION("""COMPUTED_VALUE"""),"")</f>
        <v/>
      </c>
      <c r="U695" s="1"/>
      <c r="V695" s="1"/>
      <c r="W695" s="1"/>
      <c r="X695" s="1"/>
      <c r="Y695" s="1"/>
      <c r="Z695" s="1"/>
    </row>
    <row r="696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9"/>
      <c r="T696" s="1" t="str">
        <f>IFERROR(__xludf.DUMMYFUNCTION("""COMPUTED_VALUE"""),"")</f>
        <v/>
      </c>
      <c r="U696" s="1"/>
      <c r="V696" s="1"/>
      <c r="W696" s="1"/>
      <c r="X696" s="1"/>
      <c r="Y696" s="1"/>
      <c r="Z696" s="1"/>
    </row>
    <row r="697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9"/>
      <c r="T697" s="1" t="str">
        <f>IFERROR(__xludf.DUMMYFUNCTION("""COMPUTED_VALUE"""),"")</f>
        <v/>
      </c>
      <c r="U697" s="1"/>
      <c r="V697" s="1"/>
      <c r="W697" s="1"/>
      <c r="X697" s="1"/>
      <c r="Y697" s="1"/>
      <c r="Z697" s="1"/>
    </row>
    <row r="698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9"/>
      <c r="T698" s="1" t="str">
        <f>IFERROR(__xludf.DUMMYFUNCTION("""COMPUTED_VALUE"""),"")</f>
        <v/>
      </c>
      <c r="U698" s="1"/>
      <c r="V698" s="1"/>
      <c r="W698" s="1"/>
      <c r="X698" s="1"/>
      <c r="Y698" s="1"/>
      <c r="Z698" s="1"/>
    </row>
    <row r="699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9"/>
      <c r="T699" s="1" t="str">
        <f>IFERROR(__xludf.DUMMYFUNCTION("""COMPUTED_VALUE"""),"")</f>
        <v/>
      </c>
      <c r="U699" s="1"/>
      <c r="V699" s="1"/>
      <c r="W699" s="1"/>
      <c r="X699" s="1"/>
      <c r="Y699" s="1"/>
      <c r="Z699" s="1"/>
    </row>
    <row r="700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9"/>
      <c r="T700" s="1" t="str">
        <f>IFERROR(__xludf.DUMMYFUNCTION("""COMPUTED_VALUE"""),"")</f>
        <v/>
      </c>
      <c r="U700" s="1"/>
      <c r="V700" s="1"/>
      <c r="W700" s="1"/>
      <c r="X700" s="1"/>
      <c r="Y700" s="1"/>
      <c r="Z700" s="1"/>
    </row>
    <row r="701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9"/>
      <c r="T701" s="1" t="str">
        <f>IFERROR(__xludf.DUMMYFUNCTION("""COMPUTED_VALUE"""),"")</f>
        <v/>
      </c>
      <c r="U701" s="1"/>
      <c r="V701" s="1"/>
      <c r="W701" s="1"/>
      <c r="X701" s="1"/>
      <c r="Y701" s="1"/>
      <c r="Z701" s="1"/>
    </row>
    <row r="702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9"/>
      <c r="T702" s="1" t="str">
        <f>IFERROR(__xludf.DUMMYFUNCTION("""COMPUTED_VALUE"""),"")</f>
        <v/>
      </c>
      <c r="U702" s="1"/>
      <c r="V702" s="1"/>
      <c r="W702" s="1"/>
      <c r="X702" s="1"/>
      <c r="Y702" s="1"/>
      <c r="Z702" s="1"/>
    </row>
    <row r="703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9"/>
      <c r="T703" s="1" t="str">
        <f>IFERROR(__xludf.DUMMYFUNCTION("""COMPUTED_VALUE"""),"")</f>
        <v/>
      </c>
      <c r="U703" s="1"/>
      <c r="V703" s="1"/>
      <c r="W703" s="1"/>
      <c r="X703" s="1"/>
      <c r="Y703" s="1"/>
      <c r="Z703" s="1"/>
    </row>
    <row r="704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9"/>
      <c r="T704" s="1" t="str">
        <f>IFERROR(__xludf.DUMMYFUNCTION("""COMPUTED_VALUE"""),"")</f>
        <v/>
      </c>
      <c r="U704" s="1"/>
      <c r="V704" s="1"/>
      <c r="W704" s="1"/>
      <c r="X704" s="1"/>
      <c r="Y704" s="1"/>
      <c r="Z704" s="1"/>
    </row>
    <row r="70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9"/>
      <c r="T705" s="1" t="str">
        <f>IFERROR(__xludf.DUMMYFUNCTION("""COMPUTED_VALUE"""),"")</f>
        <v/>
      </c>
      <c r="U705" s="1"/>
      <c r="V705" s="1"/>
      <c r="W705" s="1"/>
      <c r="X705" s="1"/>
      <c r="Y705" s="1"/>
      <c r="Z705" s="1"/>
    </row>
    <row r="706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9"/>
      <c r="T706" s="1" t="str">
        <f>IFERROR(__xludf.DUMMYFUNCTION("""COMPUTED_VALUE"""),"")</f>
        <v/>
      </c>
      <c r="U706" s="1"/>
      <c r="V706" s="1"/>
      <c r="W706" s="1"/>
      <c r="X706" s="1"/>
      <c r="Y706" s="1"/>
      <c r="Z706" s="1"/>
    </row>
    <row r="707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9"/>
      <c r="T707" s="1" t="str">
        <f>IFERROR(__xludf.DUMMYFUNCTION("""COMPUTED_VALUE"""),"")</f>
        <v/>
      </c>
      <c r="U707" s="1"/>
      <c r="V707" s="1"/>
      <c r="W707" s="1"/>
      <c r="X707" s="1"/>
      <c r="Y707" s="1"/>
      <c r="Z707" s="1"/>
    </row>
    <row r="708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9"/>
      <c r="T708" s="1" t="str">
        <f>IFERROR(__xludf.DUMMYFUNCTION("""COMPUTED_VALUE"""),"")</f>
        <v/>
      </c>
      <c r="U708" s="1"/>
      <c r="V708" s="1"/>
      <c r="W708" s="1"/>
      <c r="X708" s="1"/>
      <c r="Y708" s="1"/>
      <c r="Z708" s="1"/>
    </row>
    <row r="709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9"/>
      <c r="T709" s="1" t="str">
        <f>IFERROR(__xludf.DUMMYFUNCTION("""COMPUTED_VALUE"""),"")</f>
        <v/>
      </c>
      <c r="U709" s="1"/>
      <c r="V709" s="1"/>
      <c r="W709" s="1"/>
      <c r="X709" s="1"/>
      <c r="Y709" s="1"/>
      <c r="Z709" s="1"/>
    </row>
    <row r="710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9"/>
      <c r="T710" s="1" t="str">
        <f>IFERROR(__xludf.DUMMYFUNCTION("""COMPUTED_VALUE"""),"")</f>
        <v/>
      </c>
      <c r="U710" s="1"/>
      <c r="V710" s="1"/>
      <c r="W710" s="1"/>
      <c r="X710" s="1"/>
      <c r="Y710" s="1"/>
      <c r="Z710" s="1"/>
    </row>
    <row r="711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9"/>
      <c r="T711" s="1" t="str">
        <f>IFERROR(__xludf.DUMMYFUNCTION("""COMPUTED_VALUE"""),"")</f>
        <v/>
      </c>
      <c r="U711" s="1"/>
      <c r="V711" s="1"/>
      <c r="W711" s="1"/>
      <c r="X711" s="1"/>
      <c r="Y711" s="1"/>
      <c r="Z711" s="1"/>
    </row>
    <row r="712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9"/>
      <c r="T712" s="1" t="str">
        <f>IFERROR(__xludf.DUMMYFUNCTION("""COMPUTED_VALUE"""),"")</f>
        <v/>
      </c>
      <c r="U712" s="1"/>
      <c r="V712" s="1"/>
      <c r="W712" s="1"/>
      <c r="X712" s="1"/>
      <c r="Y712" s="1"/>
      <c r="Z712" s="1"/>
    </row>
    <row r="713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9"/>
      <c r="T713" s="1" t="str">
        <f>IFERROR(__xludf.DUMMYFUNCTION("""COMPUTED_VALUE"""),"")</f>
        <v/>
      </c>
      <c r="U713" s="1"/>
      <c r="V713" s="1"/>
      <c r="W713" s="1"/>
      <c r="X713" s="1"/>
      <c r="Y713" s="1"/>
      <c r="Z713" s="1"/>
    </row>
    <row r="714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9"/>
      <c r="T714" s="1" t="str">
        <f>IFERROR(__xludf.DUMMYFUNCTION("""COMPUTED_VALUE"""),"")</f>
        <v/>
      </c>
      <c r="U714" s="1"/>
      <c r="V714" s="1"/>
      <c r="W714" s="1"/>
      <c r="X714" s="1"/>
      <c r="Y714" s="1"/>
      <c r="Z714" s="1"/>
    </row>
    <row r="71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9"/>
      <c r="T715" s="1" t="str">
        <f>IFERROR(__xludf.DUMMYFUNCTION("""COMPUTED_VALUE"""),"")</f>
        <v/>
      </c>
      <c r="U715" s="1"/>
      <c r="V715" s="1"/>
      <c r="W715" s="1"/>
      <c r="X715" s="1"/>
      <c r="Y715" s="1"/>
      <c r="Z715" s="1"/>
    </row>
    <row r="716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9"/>
      <c r="T716" s="1" t="str">
        <f>IFERROR(__xludf.DUMMYFUNCTION("""COMPUTED_VALUE"""),"")</f>
        <v/>
      </c>
      <c r="U716" s="1"/>
      <c r="V716" s="1"/>
      <c r="W716" s="1"/>
      <c r="X716" s="1"/>
      <c r="Y716" s="1"/>
      <c r="Z716" s="1"/>
    </row>
    <row r="717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9"/>
      <c r="T717" s="1" t="str">
        <f>IFERROR(__xludf.DUMMYFUNCTION("""COMPUTED_VALUE"""),"")</f>
        <v/>
      </c>
      <c r="U717" s="1"/>
      <c r="V717" s="1"/>
      <c r="W717" s="1"/>
      <c r="X717" s="1"/>
      <c r="Y717" s="1"/>
      <c r="Z717" s="1"/>
    </row>
    <row r="718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9"/>
      <c r="T718" s="1" t="str">
        <f>IFERROR(__xludf.DUMMYFUNCTION("""COMPUTED_VALUE"""),"")</f>
        <v/>
      </c>
      <c r="U718" s="1"/>
      <c r="V718" s="1"/>
      <c r="W718" s="1"/>
      <c r="X718" s="1"/>
      <c r="Y718" s="1"/>
      <c r="Z718" s="1"/>
    </row>
    <row r="719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9"/>
      <c r="T719" s="1" t="str">
        <f>IFERROR(__xludf.DUMMYFUNCTION("""COMPUTED_VALUE"""),"")</f>
        <v/>
      </c>
      <c r="U719" s="1"/>
      <c r="V719" s="1"/>
      <c r="W719" s="1"/>
      <c r="X719" s="1"/>
      <c r="Y719" s="1"/>
      <c r="Z719" s="1"/>
    </row>
    <row r="720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9"/>
      <c r="T720" s="1" t="str">
        <f>IFERROR(__xludf.DUMMYFUNCTION("""COMPUTED_VALUE"""),"")</f>
        <v/>
      </c>
      <c r="U720" s="1"/>
      <c r="V720" s="1"/>
      <c r="W720" s="1"/>
      <c r="X720" s="1"/>
      <c r="Y720" s="1"/>
      <c r="Z720" s="1"/>
    </row>
    <row r="721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9"/>
      <c r="T721" s="1" t="str">
        <f>IFERROR(__xludf.DUMMYFUNCTION("""COMPUTED_VALUE"""),"")</f>
        <v/>
      </c>
      <c r="U721" s="1"/>
      <c r="V721" s="1"/>
      <c r="W721" s="1"/>
      <c r="X721" s="1"/>
      <c r="Y721" s="1"/>
      <c r="Z721" s="1"/>
    </row>
    <row r="722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9"/>
      <c r="T722" s="1" t="str">
        <f>IFERROR(__xludf.DUMMYFUNCTION("""COMPUTED_VALUE"""),"")</f>
        <v/>
      </c>
      <c r="U722" s="1"/>
      <c r="V722" s="1"/>
      <c r="W722" s="1"/>
      <c r="X722" s="1"/>
      <c r="Y722" s="1"/>
      <c r="Z722" s="1"/>
    </row>
    <row r="723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9"/>
      <c r="T723" s="1" t="str">
        <f>IFERROR(__xludf.DUMMYFUNCTION("""COMPUTED_VALUE"""),"")</f>
        <v/>
      </c>
      <c r="U723" s="1"/>
      <c r="V723" s="1"/>
      <c r="W723" s="1"/>
      <c r="X723" s="1"/>
      <c r="Y723" s="1"/>
      <c r="Z723" s="1"/>
    </row>
    <row r="724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9"/>
      <c r="T724" s="1" t="str">
        <f>IFERROR(__xludf.DUMMYFUNCTION("""COMPUTED_VALUE"""),"")</f>
        <v/>
      </c>
      <c r="U724" s="1"/>
      <c r="V724" s="1"/>
      <c r="W724" s="1"/>
      <c r="X724" s="1"/>
      <c r="Y724" s="1"/>
      <c r="Z724" s="1"/>
    </row>
    <row r="72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9"/>
      <c r="T725" s="1" t="str">
        <f>IFERROR(__xludf.DUMMYFUNCTION("""COMPUTED_VALUE"""),"")</f>
        <v/>
      </c>
      <c r="U725" s="1"/>
      <c r="V725" s="1"/>
      <c r="W725" s="1"/>
      <c r="X725" s="1"/>
      <c r="Y725" s="1"/>
      <c r="Z725" s="1"/>
    </row>
    <row r="726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9"/>
      <c r="T726" s="1" t="str">
        <f>IFERROR(__xludf.DUMMYFUNCTION("""COMPUTED_VALUE"""),"")</f>
        <v/>
      </c>
      <c r="U726" s="1"/>
      <c r="V726" s="1"/>
      <c r="W726" s="1"/>
      <c r="X726" s="1"/>
      <c r="Y726" s="1"/>
      <c r="Z726" s="1"/>
    </row>
    <row r="727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9"/>
      <c r="T727" s="1" t="str">
        <f>IFERROR(__xludf.DUMMYFUNCTION("""COMPUTED_VALUE"""),"")</f>
        <v/>
      </c>
      <c r="U727" s="1"/>
      <c r="V727" s="1"/>
      <c r="W727" s="1"/>
      <c r="X727" s="1"/>
      <c r="Y727" s="1"/>
      <c r="Z727" s="1"/>
    </row>
    <row r="728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9"/>
      <c r="T728" s="1" t="str">
        <f>IFERROR(__xludf.DUMMYFUNCTION("""COMPUTED_VALUE"""),"")</f>
        <v/>
      </c>
      <c r="U728" s="1"/>
      <c r="V728" s="1"/>
      <c r="W728" s="1"/>
      <c r="X728" s="1"/>
      <c r="Y728" s="1"/>
      <c r="Z728" s="1"/>
    </row>
    <row r="729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9"/>
      <c r="T729" s="1" t="str">
        <f>IFERROR(__xludf.DUMMYFUNCTION("""COMPUTED_VALUE"""),"")</f>
        <v/>
      </c>
      <c r="U729" s="1"/>
      <c r="V729" s="1"/>
      <c r="W729" s="1"/>
      <c r="X729" s="1"/>
      <c r="Y729" s="1"/>
      <c r="Z729" s="1"/>
    </row>
    <row r="730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9"/>
      <c r="T730" s="1" t="str">
        <f>IFERROR(__xludf.DUMMYFUNCTION("""COMPUTED_VALUE"""),"")</f>
        <v/>
      </c>
      <c r="U730" s="1"/>
      <c r="V730" s="1"/>
      <c r="W730" s="1"/>
      <c r="X730" s="1"/>
      <c r="Y730" s="1"/>
      <c r="Z730" s="1"/>
    </row>
    <row r="731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9"/>
      <c r="T731" s="1" t="str">
        <f>IFERROR(__xludf.DUMMYFUNCTION("""COMPUTED_VALUE"""),"")</f>
        <v/>
      </c>
      <c r="U731" s="1"/>
      <c r="V731" s="1"/>
      <c r="W731" s="1"/>
      <c r="X731" s="1"/>
      <c r="Y731" s="1"/>
      <c r="Z731" s="1"/>
    </row>
    <row r="732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9"/>
      <c r="T732" s="1" t="str">
        <f>IFERROR(__xludf.DUMMYFUNCTION("""COMPUTED_VALUE"""),"")</f>
        <v/>
      </c>
      <c r="U732" s="1"/>
      <c r="V732" s="1"/>
      <c r="W732" s="1"/>
      <c r="X732" s="1"/>
      <c r="Y732" s="1"/>
      <c r="Z732" s="1"/>
    </row>
    <row r="733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9"/>
      <c r="T733" s="1" t="str">
        <f>IFERROR(__xludf.DUMMYFUNCTION("""COMPUTED_VALUE"""),"")</f>
        <v/>
      </c>
      <c r="U733" s="1"/>
      <c r="V733" s="1"/>
      <c r="W733" s="1"/>
      <c r="X733" s="1"/>
      <c r="Y733" s="1"/>
      <c r="Z733" s="1"/>
    </row>
    <row r="734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9"/>
      <c r="T734" s="1" t="str">
        <f>IFERROR(__xludf.DUMMYFUNCTION("""COMPUTED_VALUE"""),"")</f>
        <v/>
      </c>
      <c r="U734" s="1"/>
      <c r="V734" s="1"/>
      <c r="W734" s="1"/>
      <c r="X734" s="1"/>
      <c r="Y734" s="1"/>
      <c r="Z734" s="1"/>
    </row>
    <row r="73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9"/>
      <c r="T735" s="1" t="str">
        <f>IFERROR(__xludf.DUMMYFUNCTION("""COMPUTED_VALUE"""),"")</f>
        <v/>
      </c>
      <c r="U735" s="1"/>
      <c r="V735" s="1"/>
      <c r="W735" s="1"/>
      <c r="X735" s="1"/>
      <c r="Y735" s="1"/>
      <c r="Z735" s="1"/>
    </row>
    <row r="736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9"/>
      <c r="T736" s="1" t="str">
        <f>IFERROR(__xludf.DUMMYFUNCTION("""COMPUTED_VALUE"""),"")</f>
        <v/>
      </c>
      <c r="U736" s="1"/>
      <c r="V736" s="1"/>
      <c r="W736" s="1"/>
      <c r="X736" s="1"/>
      <c r="Y736" s="1"/>
      <c r="Z736" s="1"/>
    </row>
    <row r="737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9"/>
      <c r="T737" s="1" t="str">
        <f>IFERROR(__xludf.DUMMYFUNCTION("""COMPUTED_VALUE"""),"")</f>
        <v/>
      </c>
      <c r="U737" s="1"/>
      <c r="V737" s="1"/>
      <c r="W737" s="1"/>
      <c r="X737" s="1"/>
      <c r="Y737" s="1"/>
      <c r="Z737" s="1"/>
    </row>
    <row r="738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9"/>
      <c r="T738" s="1" t="str">
        <f>IFERROR(__xludf.DUMMYFUNCTION("""COMPUTED_VALUE"""),"")</f>
        <v/>
      </c>
      <c r="U738" s="1"/>
      <c r="V738" s="1"/>
      <c r="W738" s="1"/>
      <c r="X738" s="1"/>
      <c r="Y738" s="1"/>
      <c r="Z738" s="1"/>
    </row>
    <row r="739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9"/>
      <c r="T739" s="1" t="str">
        <f>IFERROR(__xludf.DUMMYFUNCTION("""COMPUTED_VALUE"""),"")</f>
        <v/>
      </c>
      <c r="U739" s="1"/>
      <c r="V739" s="1"/>
      <c r="W739" s="1"/>
      <c r="X739" s="1"/>
      <c r="Y739" s="1"/>
      <c r="Z739" s="1"/>
    </row>
    <row r="740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9"/>
      <c r="T740" s="1" t="str">
        <f>IFERROR(__xludf.DUMMYFUNCTION("""COMPUTED_VALUE"""),"")</f>
        <v/>
      </c>
      <c r="U740" s="1"/>
      <c r="V740" s="1"/>
      <c r="W740" s="1"/>
      <c r="X740" s="1"/>
      <c r="Y740" s="1"/>
      <c r="Z740" s="1"/>
    </row>
    <row r="741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9"/>
      <c r="T741" s="1" t="str">
        <f>IFERROR(__xludf.DUMMYFUNCTION("""COMPUTED_VALUE"""),"")</f>
        <v/>
      </c>
      <c r="U741" s="1"/>
      <c r="V741" s="1"/>
      <c r="W741" s="1"/>
      <c r="X741" s="1"/>
      <c r="Y741" s="1"/>
      <c r="Z741" s="1"/>
    </row>
    <row r="742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9"/>
      <c r="T742" s="1" t="str">
        <f>IFERROR(__xludf.DUMMYFUNCTION("""COMPUTED_VALUE"""),"")</f>
        <v/>
      </c>
      <c r="U742" s="1"/>
      <c r="V742" s="1"/>
      <c r="W742" s="1"/>
      <c r="X742" s="1"/>
      <c r="Y742" s="1"/>
      <c r="Z742" s="1"/>
    </row>
    <row r="743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9"/>
      <c r="T743" s="1" t="str">
        <f>IFERROR(__xludf.DUMMYFUNCTION("""COMPUTED_VALUE"""),"")</f>
        <v/>
      </c>
      <c r="U743" s="1"/>
      <c r="V743" s="1"/>
      <c r="W743" s="1"/>
      <c r="X743" s="1"/>
      <c r="Y743" s="1"/>
      <c r="Z743" s="1"/>
    </row>
    <row r="744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9"/>
      <c r="T744" s="1" t="str">
        <f>IFERROR(__xludf.DUMMYFUNCTION("""COMPUTED_VALUE"""),"")</f>
        <v/>
      </c>
      <c r="U744" s="1"/>
      <c r="V744" s="1"/>
      <c r="W744" s="1"/>
      <c r="X744" s="1"/>
      <c r="Y744" s="1"/>
      <c r="Z744" s="1"/>
    </row>
    <row r="74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9"/>
      <c r="T745" s="1" t="str">
        <f>IFERROR(__xludf.DUMMYFUNCTION("""COMPUTED_VALUE"""),"")</f>
        <v/>
      </c>
      <c r="U745" s="1"/>
      <c r="V745" s="1"/>
      <c r="W745" s="1"/>
      <c r="X745" s="1"/>
      <c r="Y745" s="1"/>
      <c r="Z745" s="1"/>
    </row>
    <row r="746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9"/>
      <c r="T746" s="1" t="str">
        <f>IFERROR(__xludf.DUMMYFUNCTION("""COMPUTED_VALUE"""),"")</f>
        <v/>
      </c>
      <c r="U746" s="1"/>
      <c r="V746" s="1"/>
      <c r="W746" s="1"/>
      <c r="X746" s="1"/>
      <c r="Y746" s="1"/>
      <c r="Z746" s="1"/>
    </row>
    <row r="747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9"/>
      <c r="T747" s="1" t="str">
        <f>IFERROR(__xludf.DUMMYFUNCTION("""COMPUTED_VALUE"""),"")</f>
        <v/>
      </c>
      <c r="U747" s="1"/>
      <c r="V747" s="1"/>
      <c r="W747" s="1"/>
      <c r="X747" s="1"/>
      <c r="Y747" s="1"/>
      <c r="Z747" s="1"/>
    </row>
    <row r="748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9"/>
      <c r="T748" s="1" t="str">
        <f>IFERROR(__xludf.DUMMYFUNCTION("""COMPUTED_VALUE"""),"")</f>
        <v/>
      </c>
      <c r="U748" s="1"/>
      <c r="V748" s="1"/>
      <c r="W748" s="1"/>
      <c r="X748" s="1"/>
      <c r="Y748" s="1"/>
      <c r="Z748" s="1"/>
    </row>
    <row r="749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9"/>
      <c r="T749" s="1" t="str">
        <f>IFERROR(__xludf.DUMMYFUNCTION("""COMPUTED_VALUE"""),"")</f>
        <v/>
      </c>
      <c r="U749" s="1"/>
      <c r="V749" s="1"/>
      <c r="W749" s="1"/>
      <c r="X749" s="1"/>
      <c r="Y749" s="1"/>
      <c r="Z749" s="1"/>
    </row>
    <row r="750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9"/>
      <c r="T750" s="1" t="str">
        <f>IFERROR(__xludf.DUMMYFUNCTION("""COMPUTED_VALUE"""),"")</f>
        <v/>
      </c>
      <c r="U750" s="1"/>
      <c r="V750" s="1"/>
      <c r="W750" s="1"/>
      <c r="X750" s="1"/>
      <c r="Y750" s="1"/>
      <c r="Z750" s="1"/>
    </row>
    <row r="751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9"/>
      <c r="T751" s="1" t="str">
        <f>IFERROR(__xludf.DUMMYFUNCTION("""COMPUTED_VALUE"""),"")</f>
        <v/>
      </c>
      <c r="U751" s="1"/>
      <c r="V751" s="1"/>
      <c r="W751" s="1"/>
      <c r="X751" s="1"/>
      <c r="Y751" s="1"/>
      <c r="Z751" s="1"/>
    </row>
    <row r="752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9"/>
      <c r="T752" s="1" t="str">
        <f>IFERROR(__xludf.DUMMYFUNCTION("""COMPUTED_VALUE"""),"")</f>
        <v/>
      </c>
      <c r="U752" s="1"/>
      <c r="V752" s="1"/>
      <c r="W752" s="1"/>
      <c r="X752" s="1"/>
      <c r="Y752" s="1"/>
      <c r="Z752" s="1"/>
    </row>
    <row r="753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9"/>
      <c r="T753" s="1" t="str">
        <f>IFERROR(__xludf.DUMMYFUNCTION("""COMPUTED_VALUE"""),"")</f>
        <v/>
      </c>
      <c r="U753" s="1"/>
      <c r="V753" s="1"/>
      <c r="W753" s="1"/>
      <c r="X753" s="1"/>
      <c r="Y753" s="1"/>
      <c r="Z753" s="1"/>
    </row>
    <row r="754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9"/>
      <c r="T754" s="1" t="str">
        <f>IFERROR(__xludf.DUMMYFUNCTION("""COMPUTED_VALUE"""),"")</f>
        <v/>
      </c>
      <c r="U754" s="1"/>
      <c r="V754" s="1"/>
      <c r="W754" s="1"/>
      <c r="X754" s="1"/>
      <c r="Y754" s="1"/>
      <c r="Z754" s="1"/>
    </row>
    <row r="75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9"/>
      <c r="T755" s="1" t="str">
        <f>IFERROR(__xludf.DUMMYFUNCTION("""COMPUTED_VALUE"""),"")</f>
        <v/>
      </c>
      <c r="U755" s="1"/>
      <c r="V755" s="1"/>
      <c r="W755" s="1"/>
      <c r="X755" s="1"/>
      <c r="Y755" s="1"/>
      <c r="Z755" s="1"/>
    </row>
    <row r="756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9"/>
      <c r="T756" s="1" t="str">
        <f>IFERROR(__xludf.DUMMYFUNCTION("""COMPUTED_VALUE"""),"")</f>
        <v/>
      </c>
      <c r="U756" s="1"/>
      <c r="V756" s="1"/>
      <c r="W756" s="1"/>
      <c r="X756" s="1"/>
      <c r="Y756" s="1"/>
      <c r="Z756" s="1"/>
    </row>
    <row r="757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9"/>
      <c r="T757" s="1" t="str">
        <f>IFERROR(__xludf.DUMMYFUNCTION("""COMPUTED_VALUE"""),"")</f>
        <v/>
      </c>
      <c r="U757" s="1"/>
      <c r="V757" s="1"/>
      <c r="W757" s="1"/>
      <c r="X757" s="1"/>
      <c r="Y757" s="1"/>
      <c r="Z757" s="1"/>
    </row>
    <row r="758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9"/>
      <c r="T758" s="1" t="str">
        <f>IFERROR(__xludf.DUMMYFUNCTION("""COMPUTED_VALUE"""),"")</f>
        <v/>
      </c>
      <c r="U758" s="1"/>
      <c r="V758" s="1"/>
      <c r="W758" s="1"/>
      <c r="X758" s="1"/>
      <c r="Y758" s="1"/>
      <c r="Z758" s="1"/>
    </row>
    <row r="759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9"/>
      <c r="T759" s="1" t="str">
        <f>IFERROR(__xludf.DUMMYFUNCTION("""COMPUTED_VALUE"""),"")</f>
        <v/>
      </c>
      <c r="U759" s="1"/>
      <c r="V759" s="1"/>
      <c r="W759" s="1"/>
      <c r="X759" s="1"/>
      <c r="Y759" s="1"/>
      <c r="Z759" s="1"/>
    </row>
    <row r="760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9"/>
      <c r="T760" s="1" t="str">
        <f>IFERROR(__xludf.DUMMYFUNCTION("""COMPUTED_VALUE"""),"")</f>
        <v/>
      </c>
      <c r="U760" s="1"/>
      <c r="V760" s="1"/>
      <c r="W760" s="1"/>
      <c r="X760" s="1"/>
      <c r="Y760" s="1"/>
      <c r="Z760" s="1"/>
    </row>
    <row r="761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9"/>
      <c r="T761" s="1" t="str">
        <f>IFERROR(__xludf.DUMMYFUNCTION("""COMPUTED_VALUE"""),"")</f>
        <v/>
      </c>
      <c r="U761" s="1"/>
      <c r="V761" s="1"/>
      <c r="W761" s="1"/>
      <c r="X761" s="1"/>
      <c r="Y761" s="1"/>
      <c r="Z761" s="1"/>
    </row>
    <row r="762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9"/>
      <c r="T762" s="1" t="str">
        <f>IFERROR(__xludf.DUMMYFUNCTION("""COMPUTED_VALUE"""),"")</f>
        <v/>
      </c>
      <c r="U762" s="1"/>
      <c r="V762" s="1"/>
      <c r="W762" s="1"/>
      <c r="X762" s="1"/>
      <c r="Y762" s="1"/>
      <c r="Z762" s="1"/>
    </row>
    <row r="763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9"/>
      <c r="T763" s="1" t="str">
        <f>IFERROR(__xludf.DUMMYFUNCTION("""COMPUTED_VALUE"""),"")</f>
        <v/>
      </c>
      <c r="U763" s="1"/>
      <c r="V763" s="1"/>
      <c r="W763" s="1"/>
      <c r="X763" s="1"/>
      <c r="Y763" s="1"/>
      <c r="Z763" s="1"/>
    </row>
    <row r="764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9"/>
      <c r="T764" s="1" t="str">
        <f>IFERROR(__xludf.DUMMYFUNCTION("""COMPUTED_VALUE"""),"")</f>
        <v/>
      </c>
      <c r="U764" s="1"/>
      <c r="V764" s="1"/>
      <c r="W764" s="1"/>
      <c r="X764" s="1"/>
      <c r="Y764" s="1"/>
      <c r="Z764" s="1"/>
    </row>
    <row r="76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9"/>
      <c r="T765" s="1" t="str">
        <f>IFERROR(__xludf.DUMMYFUNCTION("""COMPUTED_VALUE"""),"")</f>
        <v/>
      </c>
      <c r="U765" s="1"/>
      <c r="V765" s="1"/>
      <c r="W765" s="1"/>
      <c r="X765" s="1"/>
      <c r="Y765" s="1"/>
      <c r="Z765" s="1"/>
    </row>
    <row r="766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9"/>
      <c r="T766" s="1" t="str">
        <f>IFERROR(__xludf.DUMMYFUNCTION("""COMPUTED_VALUE"""),"")</f>
        <v/>
      </c>
      <c r="U766" s="1"/>
      <c r="V766" s="1"/>
      <c r="W766" s="1"/>
      <c r="X766" s="1"/>
      <c r="Y766" s="1"/>
      <c r="Z766" s="1"/>
    </row>
    <row r="767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9"/>
      <c r="T767" s="1" t="str">
        <f>IFERROR(__xludf.DUMMYFUNCTION("""COMPUTED_VALUE"""),"")</f>
        <v/>
      </c>
      <c r="U767" s="1"/>
      <c r="V767" s="1"/>
      <c r="W767" s="1"/>
      <c r="X767" s="1"/>
      <c r="Y767" s="1"/>
      <c r="Z767" s="1"/>
    </row>
    <row r="768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9"/>
      <c r="T768" s="1" t="str">
        <f>IFERROR(__xludf.DUMMYFUNCTION("""COMPUTED_VALUE"""),"")</f>
        <v/>
      </c>
      <c r="U768" s="1"/>
      <c r="V768" s="1"/>
      <c r="W768" s="1"/>
      <c r="X768" s="1"/>
      <c r="Y768" s="1"/>
      <c r="Z768" s="1"/>
    </row>
    <row r="769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9"/>
      <c r="T769" s="1" t="str">
        <f>IFERROR(__xludf.DUMMYFUNCTION("""COMPUTED_VALUE"""),"")</f>
        <v/>
      </c>
      <c r="U769" s="1"/>
      <c r="V769" s="1"/>
      <c r="W769" s="1"/>
      <c r="X769" s="1"/>
      <c r="Y769" s="1"/>
      <c r="Z769" s="1"/>
    </row>
    <row r="770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9"/>
      <c r="T770" s="1" t="str">
        <f>IFERROR(__xludf.DUMMYFUNCTION("""COMPUTED_VALUE"""),"")</f>
        <v/>
      </c>
      <c r="U770" s="1"/>
      <c r="V770" s="1"/>
      <c r="W770" s="1"/>
      <c r="X770" s="1"/>
      <c r="Y770" s="1"/>
      <c r="Z770" s="1"/>
    </row>
    <row r="771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9"/>
      <c r="T771" s="1" t="str">
        <f>IFERROR(__xludf.DUMMYFUNCTION("""COMPUTED_VALUE"""),"")</f>
        <v/>
      </c>
      <c r="U771" s="1"/>
      <c r="V771" s="1"/>
      <c r="W771" s="1"/>
      <c r="X771" s="1"/>
      <c r="Y771" s="1"/>
      <c r="Z771" s="1"/>
    </row>
    <row r="772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9"/>
      <c r="T772" s="1" t="str">
        <f>IFERROR(__xludf.DUMMYFUNCTION("""COMPUTED_VALUE"""),"")</f>
        <v/>
      </c>
      <c r="U772" s="1"/>
      <c r="V772" s="1"/>
      <c r="W772" s="1"/>
      <c r="X772" s="1"/>
      <c r="Y772" s="1"/>
      <c r="Z772" s="1"/>
    </row>
    <row r="773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9"/>
      <c r="T773" s="1" t="str">
        <f>IFERROR(__xludf.DUMMYFUNCTION("""COMPUTED_VALUE"""),"")</f>
        <v/>
      </c>
      <c r="U773" s="1"/>
      <c r="V773" s="1"/>
      <c r="W773" s="1"/>
      <c r="X773" s="1"/>
      <c r="Y773" s="1"/>
      <c r="Z773" s="1"/>
    </row>
    <row r="774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9"/>
      <c r="T774" s="1" t="str">
        <f>IFERROR(__xludf.DUMMYFUNCTION("""COMPUTED_VALUE"""),"")</f>
        <v/>
      </c>
      <c r="U774" s="1"/>
      <c r="V774" s="1"/>
      <c r="W774" s="1"/>
      <c r="X774" s="1"/>
      <c r="Y774" s="1"/>
      <c r="Z774" s="1"/>
    </row>
    <row r="77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9"/>
      <c r="T775" s="1" t="str">
        <f>IFERROR(__xludf.DUMMYFUNCTION("""COMPUTED_VALUE"""),"")</f>
        <v/>
      </c>
      <c r="U775" s="1"/>
      <c r="V775" s="1"/>
      <c r="W775" s="1"/>
      <c r="X775" s="1"/>
      <c r="Y775" s="1"/>
      <c r="Z775" s="1"/>
    </row>
    <row r="776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9"/>
      <c r="T776" s="1" t="str">
        <f>IFERROR(__xludf.DUMMYFUNCTION("""COMPUTED_VALUE"""),"")</f>
        <v/>
      </c>
      <c r="U776" s="1"/>
      <c r="V776" s="1"/>
      <c r="W776" s="1"/>
      <c r="X776" s="1"/>
      <c r="Y776" s="1"/>
      <c r="Z776" s="1"/>
    </row>
    <row r="777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9"/>
      <c r="T777" s="1" t="str">
        <f>IFERROR(__xludf.DUMMYFUNCTION("""COMPUTED_VALUE"""),"")</f>
        <v/>
      </c>
      <c r="U777" s="1"/>
      <c r="V777" s="1"/>
      <c r="W777" s="1"/>
      <c r="X777" s="1"/>
      <c r="Y777" s="1"/>
      <c r="Z777" s="1"/>
    </row>
    <row r="778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9"/>
      <c r="T778" s="1" t="str">
        <f>IFERROR(__xludf.DUMMYFUNCTION("""COMPUTED_VALUE"""),"")</f>
        <v/>
      </c>
      <c r="U778" s="1"/>
      <c r="V778" s="1"/>
      <c r="W778" s="1"/>
      <c r="X778" s="1"/>
      <c r="Y778" s="1"/>
      <c r="Z778" s="1"/>
    </row>
    <row r="779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9"/>
      <c r="T779" s="1" t="str">
        <f>IFERROR(__xludf.DUMMYFUNCTION("""COMPUTED_VALUE"""),"")</f>
        <v/>
      </c>
      <c r="U779" s="1"/>
      <c r="V779" s="1"/>
      <c r="W779" s="1"/>
      <c r="X779" s="1"/>
      <c r="Y779" s="1"/>
      <c r="Z779" s="1"/>
    </row>
    <row r="780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9"/>
      <c r="T780" s="1" t="str">
        <f>IFERROR(__xludf.DUMMYFUNCTION("""COMPUTED_VALUE"""),"")</f>
        <v/>
      </c>
      <c r="U780" s="1"/>
      <c r="V780" s="1"/>
      <c r="W780" s="1"/>
      <c r="X780" s="1"/>
      <c r="Y780" s="1"/>
      <c r="Z780" s="1"/>
    </row>
    <row r="781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9"/>
      <c r="T781" s="1" t="str">
        <f>IFERROR(__xludf.DUMMYFUNCTION("""COMPUTED_VALUE"""),"")</f>
        <v/>
      </c>
      <c r="U781" s="1"/>
      <c r="V781" s="1"/>
      <c r="W781" s="1"/>
      <c r="X781" s="1"/>
      <c r="Y781" s="1"/>
      <c r="Z781" s="1"/>
    </row>
    <row r="782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9"/>
      <c r="T782" s="1" t="str">
        <f>IFERROR(__xludf.DUMMYFUNCTION("""COMPUTED_VALUE"""),"")</f>
        <v/>
      </c>
      <c r="U782" s="1"/>
      <c r="V782" s="1"/>
      <c r="W782" s="1"/>
      <c r="X782" s="1"/>
      <c r="Y782" s="1"/>
      <c r="Z782" s="1"/>
    </row>
    <row r="783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9"/>
      <c r="T783" s="1" t="str">
        <f>IFERROR(__xludf.DUMMYFUNCTION("""COMPUTED_VALUE"""),"")</f>
        <v/>
      </c>
      <c r="U783" s="1"/>
      <c r="V783" s="1"/>
      <c r="W783" s="1"/>
      <c r="X783" s="1"/>
      <c r="Y783" s="1"/>
      <c r="Z783" s="1"/>
    </row>
    <row r="784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9"/>
      <c r="T784" s="1" t="str">
        <f>IFERROR(__xludf.DUMMYFUNCTION("""COMPUTED_VALUE"""),"")</f>
        <v/>
      </c>
      <c r="U784" s="1"/>
      <c r="V784" s="1"/>
      <c r="W784" s="1"/>
      <c r="X784" s="1"/>
      <c r="Y784" s="1"/>
      <c r="Z784" s="1"/>
    </row>
    <row r="78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9"/>
      <c r="T785" s="1" t="str">
        <f>IFERROR(__xludf.DUMMYFUNCTION("""COMPUTED_VALUE"""),"")</f>
        <v/>
      </c>
      <c r="U785" s="1"/>
      <c r="V785" s="1"/>
      <c r="W785" s="1"/>
      <c r="X785" s="1"/>
      <c r="Y785" s="1"/>
      <c r="Z785" s="1"/>
    </row>
    <row r="786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9"/>
      <c r="T786" s="1" t="str">
        <f>IFERROR(__xludf.DUMMYFUNCTION("""COMPUTED_VALUE"""),"")</f>
        <v/>
      </c>
      <c r="U786" s="1"/>
      <c r="V786" s="1"/>
      <c r="W786" s="1"/>
      <c r="X786" s="1"/>
      <c r="Y786" s="1"/>
      <c r="Z786" s="1"/>
    </row>
    <row r="787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9"/>
      <c r="T787" s="1" t="str">
        <f>IFERROR(__xludf.DUMMYFUNCTION("""COMPUTED_VALUE"""),"")</f>
        <v/>
      </c>
      <c r="U787" s="1"/>
      <c r="V787" s="1"/>
      <c r="W787" s="1"/>
      <c r="X787" s="1"/>
      <c r="Y787" s="1"/>
      <c r="Z787" s="1"/>
    </row>
    <row r="788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9"/>
      <c r="T788" s="1" t="str">
        <f>IFERROR(__xludf.DUMMYFUNCTION("""COMPUTED_VALUE"""),"")</f>
        <v/>
      </c>
      <c r="U788" s="1"/>
      <c r="V788" s="1"/>
      <c r="W788" s="1"/>
      <c r="X788" s="1"/>
      <c r="Y788" s="1"/>
      <c r="Z788" s="1"/>
    </row>
    <row r="789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9"/>
      <c r="T789" s="1" t="str">
        <f>IFERROR(__xludf.DUMMYFUNCTION("""COMPUTED_VALUE"""),"")</f>
        <v/>
      </c>
      <c r="U789" s="1"/>
      <c r="V789" s="1"/>
      <c r="W789" s="1"/>
      <c r="X789" s="1"/>
      <c r="Y789" s="1"/>
      <c r="Z789" s="1"/>
    </row>
    <row r="790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9"/>
      <c r="T790" s="1" t="str">
        <f>IFERROR(__xludf.DUMMYFUNCTION("""COMPUTED_VALUE"""),"")</f>
        <v/>
      </c>
      <c r="U790" s="1"/>
      <c r="V790" s="1"/>
      <c r="W790" s="1"/>
      <c r="X790" s="1"/>
      <c r="Y790" s="1"/>
      <c r="Z790" s="1"/>
    </row>
    <row r="791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9"/>
      <c r="T791" s="1" t="str">
        <f>IFERROR(__xludf.DUMMYFUNCTION("""COMPUTED_VALUE"""),"")</f>
        <v/>
      </c>
      <c r="U791" s="1"/>
      <c r="V791" s="1"/>
      <c r="W791" s="1"/>
      <c r="X791" s="1"/>
      <c r="Y791" s="1"/>
      <c r="Z791" s="1"/>
    </row>
    <row r="792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9"/>
      <c r="T792" s="1" t="str">
        <f>IFERROR(__xludf.DUMMYFUNCTION("""COMPUTED_VALUE"""),"")</f>
        <v/>
      </c>
      <c r="U792" s="1"/>
      <c r="V792" s="1"/>
      <c r="W792" s="1"/>
      <c r="X792" s="1"/>
      <c r="Y792" s="1"/>
      <c r="Z792" s="1"/>
    </row>
    <row r="793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9"/>
      <c r="T793" s="1" t="str">
        <f>IFERROR(__xludf.DUMMYFUNCTION("""COMPUTED_VALUE"""),"")</f>
        <v/>
      </c>
      <c r="U793" s="1"/>
      <c r="V793" s="1"/>
      <c r="W793" s="1"/>
      <c r="X793" s="1"/>
      <c r="Y793" s="1"/>
      <c r="Z793" s="1"/>
    </row>
    <row r="794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9"/>
      <c r="T794" s="1" t="str">
        <f>IFERROR(__xludf.DUMMYFUNCTION("""COMPUTED_VALUE"""),"")</f>
        <v/>
      </c>
      <c r="U794" s="1"/>
      <c r="V794" s="1"/>
      <c r="W794" s="1"/>
      <c r="X794" s="1"/>
      <c r="Y794" s="1"/>
      <c r="Z794" s="1"/>
    </row>
    <row r="79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9"/>
      <c r="T795" s="1" t="str">
        <f>IFERROR(__xludf.DUMMYFUNCTION("""COMPUTED_VALUE"""),"")</f>
        <v/>
      </c>
      <c r="U795" s="1"/>
      <c r="V795" s="1"/>
      <c r="W795" s="1"/>
      <c r="X795" s="1"/>
      <c r="Y795" s="1"/>
      <c r="Z795" s="1"/>
    </row>
    <row r="796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9"/>
      <c r="T796" s="1" t="str">
        <f>IFERROR(__xludf.DUMMYFUNCTION("""COMPUTED_VALUE"""),"")</f>
        <v/>
      </c>
      <c r="U796" s="1"/>
      <c r="V796" s="1"/>
      <c r="W796" s="1"/>
      <c r="X796" s="1"/>
      <c r="Y796" s="1"/>
      <c r="Z796" s="1"/>
    </row>
    <row r="797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9"/>
      <c r="T797" s="1" t="str">
        <f>IFERROR(__xludf.DUMMYFUNCTION("""COMPUTED_VALUE"""),"")</f>
        <v/>
      </c>
      <c r="U797" s="1"/>
      <c r="V797" s="1"/>
      <c r="W797" s="1"/>
      <c r="X797" s="1"/>
      <c r="Y797" s="1"/>
      <c r="Z797" s="1"/>
    </row>
    <row r="798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9"/>
      <c r="T798" s="1" t="str">
        <f>IFERROR(__xludf.DUMMYFUNCTION("""COMPUTED_VALUE"""),"")</f>
        <v/>
      </c>
      <c r="U798" s="1"/>
      <c r="V798" s="1"/>
      <c r="W798" s="1"/>
      <c r="X798" s="1"/>
      <c r="Y798" s="1"/>
      <c r="Z798" s="1"/>
    </row>
    <row r="799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9"/>
      <c r="T799" s="1" t="str">
        <f>IFERROR(__xludf.DUMMYFUNCTION("""COMPUTED_VALUE"""),"")</f>
        <v/>
      </c>
      <c r="U799" s="1"/>
      <c r="V799" s="1"/>
      <c r="W799" s="1"/>
      <c r="X799" s="1"/>
      <c r="Y799" s="1"/>
      <c r="Z799" s="1"/>
    </row>
    <row r="800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9"/>
      <c r="T800" s="1" t="str">
        <f>IFERROR(__xludf.DUMMYFUNCTION("""COMPUTED_VALUE"""),"")</f>
        <v/>
      </c>
      <c r="U800" s="1"/>
      <c r="V800" s="1"/>
      <c r="W800" s="1"/>
      <c r="X800" s="1"/>
      <c r="Y800" s="1"/>
      <c r="Z800" s="1"/>
    </row>
    <row r="801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9"/>
      <c r="T801" s="1" t="str">
        <f>IFERROR(__xludf.DUMMYFUNCTION("""COMPUTED_VALUE"""),"")</f>
        <v/>
      </c>
      <c r="U801" s="1"/>
      <c r="V801" s="1"/>
      <c r="W801" s="1"/>
      <c r="X801" s="1"/>
      <c r="Y801" s="1"/>
      <c r="Z801" s="1"/>
    </row>
    <row r="802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9"/>
      <c r="T802" s="1" t="str">
        <f>IFERROR(__xludf.DUMMYFUNCTION("""COMPUTED_VALUE"""),"")</f>
        <v/>
      </c>
      <c r="U802" s="1"/>
      <c r="V802" s="1"/>
      <c r="W802" s="1"/>
      <c r="X802" s="1"/>
      <c r="Y802" s="1"/>
      <c r="Z802" s="1"/>
    </row>
    <row r="803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9"/>
      <c r="T803" s="1" t="str">
        <f>IFERROR(__xludf.DUMMYFUNCTION("""COMPUTED_VALUE"""),"")</f>
        <v/>
      </c>
      <c r="U803" s="1"/>
      <c r="V803" s="1"/>
      <c r="W803" s="1"/>
      <c r="X803" s="1"/>
      <c r="Y803" s="1"/>
      <c r="Z803" s="1"/>
    </row>
    <row r="804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9"/>
      <c r="T804" s="1" t="str">
        <f>IFERROR(__xludf.DUMMYFUNCTION("""COMPUTED_VALUE"""),"")</f>
        <v/>
      </c>
      <c r="U804" s="1"/>
      <c r="V804" s="1"/>
      <c r="W804" s="1"/>
      <c r="X804" s="1"/>
      <c r="Y804" s="1"/>
      <c r="Z804" s="1"/>
    </row>
    <row r="80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9"/>
      <c r="T805" s="1" t="str">
        <f>IFERROR(__xludf.DUMMYFUNCTION("""COMPUTED_VALUE"""),"")</f>
        <v/>
      </c>
      <c r="U805" s="1"/>
      <c r="V805" s="1"/>
      <c r="W805" s="1"/>
      <c r="X805" s="1"/>
      <c r="Y805" s="1"/>
      <c r="Z805" s="1"/>
    </row>
    <row r="806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9"/>
      <c r="T806" s="1" t="str">
        <f>IFERROR(__xludf.DUMMYFUNCTION("""COMPUTED_VALUE"""),"")</f>
        <v/>
      </c>
      <c r="U806" s="1"/>
      <c r="V806" s="1"/>
      <c r="W806" s="1"/>
      <c r="X806" s="1"/>
      <c r="Y806" s="1"/>
      <c r="Z806" s="1"/>
    </row>
    <row r="807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9"/>
      <c r="T807" s="1" t="str">
        <f>IFERROR(__xludf.DUMMYFUNCTION("""COMPUTED_VALUE"""),"")</f>
        <v/>
      </c>
      <c r="U807" s="1"/>
      <c r="V807" s="1"/>
      <c r="W807" s="1"/>
      <c r="X807" s="1"/>
      <c r="Y807" s="1"/>
      <c r="Z807" s="1"/>
    </row>
    <row r="808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9"/>
      <c r="T808" s="1" t="str">
        <f>IFERROR(__xludf.DUMMYFUNCTION("""COMPUTED_VALUE"""),"")</f>
        <v/>
      </c>
      <c r="U808" s="1"/>
      <c r="V808" s="1"/>
      <c r="W808" s="1"/>
      <c r="X808" s="1"/>
      <c r="Y808" s="1"/>
      <c r="Z808" s="1"/>
    </row>
    <row r="809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9"/>
      <c r="T809" s="1" t="str">
        <f>IFERROR(__xludf.DUMMYFUNCTION("""COMPUTED_VALUE"""),"")</f>
        <v/>
      </c>
      <c r="U809" s="1"/>
      <c r="V809" s="1"/>
      <c r="W809" s="1"/>
      <c r="X809" s="1"/>
      <c r="Y809" s="1"/>
      <c r="Z809" s="1"/>
    </row>
    <row r="810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9"/>
      <c r="T810" s="1" t="str">
        <f>IFERROR(__xludf.DUMMYFUNCTION("""COMPUTED_VALUE"""),"")</f>
        <v/>
      </c>
      <c r="U810" s="1"/>
      <c r="V810" s="1"/>
      <c r="W810" s="1"/>
      <c r="X810" s="1"/>
      <c r="Y810" s="1"/>
      <c r="Z810" s="1"/>
    </row>
    <row r="811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9"/>
      <c r="T811" s="1" t="str">
        <f>IFERROR(__xludf.DUMMYFUNCTION("""COMPUTED_VALUE"""),"")</f>
        <v/>
      </c>
      <c r="U811" s="1"/>
      <c r="V811" s="1"/>
      <c r="W811" s="1"/>
      <c r="X811" s="1"/>
      <c r="Y811" s="1"/>
      <c r="Z811" s="1"/>
    </row>
    <row r="812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9"/>
      <c r="T812" s="1" t="str">
        <f>IFERROR(__xludf.DUMMYFUNCTION("""COMPUTED_VALUE"""),"")</f>
        <v/>
      </c>
      <c r="U812" s="1"/>
      <c r="V812" s="1"/>
      <c r="W812" s="1"/>
      <c r="X812" s="1"/>
      <c r="Y812" s="1"/>
      <c r="Z812" s="1"/>
    </row>
    <row r="813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9"/>
      <c r="T813" s="1" t="str">
        <f>IFERROR(__xludf.DUMMYFUNCTION("""COMPUTED_VALUE"""),"")</f>
        <v/>
      </c>
      <c r="U813" s="1"/>
      <c r="V813" s="1"/>
      <c r="W813" s="1"/>
      <c r="X813" s="1"/>
      <c r="Y813" s="1"/>
      <c r="Z813" s="1"/>
    </row>
    <row r="814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9"/>
      <c r="T814" s="1" t="str">
        <f>IFERROR(__xludf.DUMMYFUNCTION("""COMPUTED_VALUE"""),"")</f>
        <v/>
      </c>
      <c r="U814" s="1"/>
      <c r="V814" s="1"/>
      <c r="W814" s="1"/>
      <c r="X814" s="1"/>
      <c r="Y814" s="1"/>
      <c r="Z814" s="1"/>
    </row>
    <row r="81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9"/>
      <c r="T815" s="1" t="str">
        <f>IFERROR(__xludf.DUMMYFUNCTION("""COMPUTED_VALUE"""),"")</f>
        <v/>
      </c>
      <c r="U815" s="1"/>
      <c r="V815" s="1"/>
      <c r="W815" s="1"/>
      <c r="X815" s="1"/>
      <c r="Y815" s="1"/>
      <c r="Z815" s="1"/>
    </row>
    <row r="816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9"/>
      <c r="T816" s="1" t="str">
        <f>IFERROR(__xludf.DUMMYFUNCTION("""COMPUTED_VALUE"""),"")</f>
        <v/>
      </c>
      <c r="U816" s="1"/>
      <c r="V816" s="1"/>
      <c r="W816" s="1"/>
      <c r="X816" s="1"/>
      <c r="Y816" s="1"/>
      <c r="Z816" s="1"/>
    </row>
    <row r="817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9"/>
      <c r="T817" s="1" t="str">
        <f>IFERROR(__xludf.DUMMYFUNCTION("""COMPUTED_VALUE"""),"")</f>
        <v/>
      </c>
      <c r="U817" s="1"/>
      <c r="V817" s="1"/>
      <c r="W817" s="1"/>
      <c r="X817" s="1"/>
      <c r="Y817" s="1"/>
      <c r="Z817" s="1"/>
    </row>
    <row r="818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9"/>
      <c r="T818" s="1" t="str">
        <f>IFERROR(__xludf.DUMMYFUNCTION("""COMPUTED_VALUE"""),"")</f>
        <v/>
      </c>
      <c r="U818" s="1"/>
      <c r="V818" s="1"/>
      <c r="W818" s="1"/>
      <c r="X818" s="1"/>
      <c r="Y818" s="1"/>
      <c r="Z818" s="1"/>
    </row>
    <row r="819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9"/>
      <c r="T819" s="1" t="str">
        <f>IFERROR(__xludf.DUMMYFUNCTION("""COMPUTED_VALUE"""),"")</f>
        <v/>
      </c>
      <c r="U819" s="1"/>
      <c r="V819" s="1"/>
      <c r="W819" s="1"/>
      <c r="X819" s="1"/>
      <c r="Y819" s="1"/>
      <c r="Z819" s="1"/>
    </row>
    <row r="820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9"/>
      <c r="T820" s="1" t="str">
        <f>IFERROR(__xludf.DUMMYFUNCTION("""COMPUTED_VALUE"""),"")</f>
        <v/>
      </c>
      <c r="U820" s="1"/>
      <c r="V820" s="1"/>
      <c r="W820" s="1"/>
      <c r="X820" s="1"/>
      <c r="Y820" s="1"/>
      <c r="Z820" s="1"/>
    </row>
    <row r="821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9"/>
      <c r="T821" s="1" t="str">
        <f>IFERROR(__xludf.DUMMYFUNCTION("""COMPUTED_VALUE"""),"")</f>
        <v/>
      </c>
      <c r="U821" s="1"/>
      <c r="V821" s="1"/>
      <c r="W821" s="1"/>
      <c r="X821" s="1"/>
      <c r="Y821" s="1"/>
      <c r="Z821" s="1"/>
    </row>
    <row r="822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9"/>
      <c r="T822" s="1" t="str">
        <f>IFERROR(__xludf.DUMMYFUNCTION("""COMPUTED_VALUE"""),"")</f>
        <v/>
      </c>
      <c r="U822" s="1"/>
      <c r="V822" s="1"/>
      <c r="W822" s="1"/>
      <c r="X822" s="1"/>
      <c r="Y822" s="1"/>
      <c r="Z822" s="1"/>
    </row>
    <row r="823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9"/>
      <c r="T823" s="1" t="str">
        <f>IFERROR(__xludf.DUMMYFUNCTION("""COMPUTED_VALUE"""),"")</f>
        <v/>
      </c>
      <c r="U823" s="1"/>
      <c r="V823" s="1"/>
      <c r="W823" s="1"/>
      <c r="X823" s="1"/>
      <c r="Y823" s="1"/>
      <c r="Z823" s="1"/>
    </row>
    <row r="824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9"/>
      <c r="T824" s="1" t="str">
        <f>IFERROR(__xludf.DUMMYFUNCTION("""COMPUTED_VALUE"""),"")</f>
        <v/>
      </c>
      <c r="U824" s="1"/>
      <c r="V824" s="1"/>
      <c r="W824" s="1"/>
      <c r="X824" s="1"/>
      <c r="Y824" s="1"/>
      <c r="Z824" s="1"/>
    </row>
    <row r="82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9"/>
      <c r="T825" s="1" t="str">
        <f>IFERROR(__xludf.DUMMYFUNCTION("""COMPUTED_VALUE"""),"")</f>
        <v/>
      </c>
      <c r="U825" s="1"/>
      <c r="V825" s="1"/>
      <c r="W825" s="1"/>
      <c r="X825" s="1"/>
      <c r="Y825" s="1"/>
      <c r="Z825" s="1"/>
    </row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</sheetData>
  <autoFilter ref="$A$1:$AE$1325">
    <filterColumn colId="11">
      <customFilters>
        <customFilter operator="lessThan" val="70"/>
      </custom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13"/>
  </cols>
  <sheetData>
    <row r="2">
      <c r="A2" s="1" t="s">
        <v>3592</v>
      </c>
    </row>
    <row r="4">
      <c r="A4" s="1" t="s">
        <v>0</v>
      </c>
    </row>
    <row r="5">
      <c r="A5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</row>
    <row r="20">
      <c r="A20" s="1" t="s">
        <v>16</v>
      </c>
    </row>
    <row r="21" ht="15.75" customHeight="1">
      <c r="A21" s="1" t="s">
        <v>17</v>
      </c>
    </row>
    <row r="22" ht="15.75" customHeight="1">
      <c r="A22" s="1" t="s">
        <v>3593</v>
      </c>
    </row>
    <row r="23" ht="15.75" customHeight="1">
      <c r="A23" s="1" t="s">
        <v>18</v>
      </c>
    </row>
    <row r="24" ht="15.75" customHeight="1">
      <c r="A24" s="1" t="s">
        <v>19</v>
      </c>
    </row>
    <row r="25" ht="15.75" customHeight="1">
      <c r="A25" s="1" t="s">
        <v>20</v>
      </c>
    </row>
    <row r="26" ht="15.75" customHeight="1">
      <c r="A26" s="1" t="s">
        <v>21</v>
      </c>
    </row>
    <row r="27" ht="15.75" customHeight="1">
      <c r="A27" s="1" t="s">
        <v>22</v>
      </c>
    </row>
    <row r="28" ht="15.75" customHeight="1">
      <c r="A28" s="1" t="s">
        <v>23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2025-04-10T21:58:33Z</dcterms:created>
  <dc:creator>Apache POI</dc:creator>
</cp:coreProperties>
</file>