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9729c3465bc09/Documentos/MÁSTER/Q3/Termofluidodinámica/"/>
    </mc:Choice>
  </mc:AlternateContent>
  <xr:revisionPtr revIDLastSave="0" documentId="8_{459FB95B-F7A1-4936-9DFC-9ADD1A57E239}" xr6:coauthVersionLast="47" xr6:coauthVersionMax="47" xr10:uidLastSave="{00000000-0000-0000-0000-000000000000}"/>
  <bookViews>
    <workbookView xWindow="-108" yWindow="-108" windowWidth="23256" windowHeight="13896" activeTab="2" xr2:uid="{C0EF68E0-B734-9049-BBD0-03E35ECB5894}"/>
  </bookViews>
  <sheets>
    <sheet name="Arranque" sheetId="4" r:id="rId1"/>
    <sheet name="Estacionario sin recircular CO2" sheetId="6" r:id="rId2"/>
    <sheet name="Estacionario con recirculació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I17" i="7"/>
  <c r="D20" i="7"/>
  <c r="F15" i="7" s="1"/>
  <c r="F15" i="6"/>
  <c r="D19" i="7"/>
  <c r="D1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4" i="7"/>
  <c r="U28" i="7"/>
  <c r="U32" i="7"/>
  <c r="U36" i="7"/>
  <c r="U37" i="7"/>
  <c r="U38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U22" i="7" s="1"/>
  <c r="T23" i="7"/>
  <c r="U23" i="7" s="1"/>
  <c r="T24" i="7"/>
  <c r="T25" i="7"/>
  <c r="U25" i="7" s="1"/>
  <c r="T26" i="7"/>
  <c r="U26" i="7" s="1"/>
  <c r="T27" i="7"/>
  <c r="U27" i="7" s="1"/>
  <c r="T28" i="7"/>
  <c r="T29" i="7"/>
  <c r="U29" i="7" s="1"/>
  <c r="T30" i="7"/>
  <c r="U30" i="7" s="1"/>
  <c r="T31" i="7"/>
  <c r="U31" i="7" s="1"/>
  <c r="T32" i="7"/>
  <c r="T33" i="7"/>
  <c r="U33" i="7" s="1"/>
  <c r="T34" i="7"/>
  <c r="U34" i="7" s="1"/>
  <c r="T35" i="7"/>
  <c r="U35" i="7" s="1"/>
  <c r="T36" i="7"/>
  <c r="T37" i="7"/>
  <c r="T38" i="7"/>
  <c r="T5" i="7"/>
  <c r="L9" i="7"/>
  <c r="B16" i="7"/>
  <c r="I19" i="7"/>
  <c r="I18" i="7"/>
  <c r="K10" i="7"/>
  <c r="K9" i="7"/>
  <c r="G12" i="7"/>
  <c r="G11" i="7"/>
  <c r="G10" i="7"/>
  <c r="G9" i="7"/>
  <c r="F12" i="7"/>
  <c r="F11" i="7"/>
  <c r="F10" i="7"/>
  <c r="F9" i="7"/>
  <c r="B12" i="7"/>
  <c r="B3" i="7"/>
  <c r="B4" i="7"/>
  <c r="B24" i="7"/>
  <c r="B20" i="7"/>
  <c r="B21" i="7" s="1"/>
  <c r="F16" i="7"/>
  <c r="I15" i="7"/>
  <c r="B15" i="7"/>
  <c r="B11" i="7"/>
  <c r="I22" i="7" s="1"/>
  <c r="B9" i="7"/>
  <c r="B6" i="7"/>
  <c r="B5" i="7"/>
  <c r="I22" i="6"/>
  <c r="I21" i="6"/>
  <c r="B16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5" i="6"/>
  <c r="I19" i="6"/>
  <c r="I18" i="6"/>
  <c r="I17" i="6"/>
  <c r="K5" i="6"/>
  <c r="K4" i="6"/>
  <c r="G5" i="6"/>
  <c r="G4" i="6"/>
  <c r="F5" i="6"/>
  <c r="F4" i="6"/>
  <c r="B24" i="6"/>
  <c r="B20" i="6"/>
  <c r="B21" i="6" s="1"/>
  <c r="D19" i="6"/>
  <c r="F16" i="6"/>
  <c r="I15" i="6"/>
  <c r="B15" i="6"/>
  <c r="B14" i="6"/>
  <c r="B13" i="6" s="1"/>
  <c r="B12" i="6"/>
  <c r="B11" i="6"/>
  <c r="I16" i="6" s="1"/>
  <c r="B9" i="6"/>
  <c r="B8" i="6"/>
  <c r="B7" i="6"/>
  <c r="B6" i="6"/>
  <c r="B5" i="6"/>
  <c r="K13" i="4"/>
  <c r="I12" i="4"/>
  <c r="B14" i="4"/>
  <c r="B9" i="4"/>
  <c r="B31" i="4"/>
  <c r="B29" i="4"/>
  <c r="B18" i="4"/>
  <c r="B23" i="4"/>
  <c r="B19" i="4"/>
  <c r="C16" i="4"/>
  <c r="C15" i="4"/>
  <c r="C14" i="4"/>
  <c r="C13" i="4"/>
  <c r="B6" i="4"/>
  <c r="I17" i="4" s="1"/>
  <c r="B5" i="4"/>
  <c r="J4" i="4"/>
  <c r="J8" i="4" s="1"/>
  <c r="K11" i="7" l="1"/>
  <c r="L10" i="7" s="1"/>
  <c r="L11" i="7" s="1"/>
  <c r="I16" i="7"/>
  <c r="B7" i="7"/>
  <c r="F4" i="7" s="1"/>
  <c r="I16" i="4"/>
  <c r="B20" i="4"/>
  <c r="B7" i="4"/>
  <c r="B8" i="7" l="1"/>
  <c r="K4" i="7"/>
  <c r="K6" i="7" s="1"/>
  <c r="L4" i="7" s="1"/>
  <c r="K5" i="7"/>
  <c r="G4" i="7"/>
  <c r="F5" i="7"/>
  <c r="F6" i="7" s="1"/>
  <c r="K6" i="6"/>
  <c r="L4" i="6" s="1"/>
  <c r="I7" i="4"/>
  <c r="B8" i="4"/>
  <c r="I6" i="4"/>
  <c r="I5" i="4"/>
  <c r="I4" i="4"/>
  <c r="F4" i="4"/>
  <c r="K15" i="4" s="1"/>
  <c r="E5" i="4"/>
  <c r="F12" i="4" s="1"/>
  <c r="L5" i="7" l="1"/>
  <c r="L6" i="7" s="1"/>
  <c r="G5" i="7"/>
  <c r="L5" i="6"/>
  <c r="L6" i="6" s="1"/>
  <c r="G6" i="6"/>
  <c r="F6" i="6"/>
  <c r="U4" i="4"/>
  <c r="V4" i="4" s="1"/>
  <c r="U13" i="4"/>
  <c r="V13" i="4" s="1"/>
  <c r="U28" i="4"/>
  <c r="V28" i="4" s="1"/>
  <c r="U12" i="4"/>
  <c r="V12" i="4" s="1"/>
  <c r="U27" i="4"/>
  <c r="V27" i="4" s="1"/>
  <c r="U11" i="4"/>
  <c r="V11" i="4" s="1"/>
  <c r="U26" i="4"/>
  <c r="V26" i="4" s="1"/>
  <c r="U10" i="4"/>
  <c r="V10" i="4" s="1"/>
  <c r="U25" i="4"/>
  <c r="V25" i="4" s="1"/>
  <c r="U24" i="4"/>
  <c r="V24" i="4" s="1"/>
  <c r="U23" i="4"/>
  <c r="V23" i="4" s="1"/>
  <c r="U6" i="4"/>
  <c r="V6" i="4" s="1"/>
  <c r="U18" i="4"/>
  <c r="V18" i="4" s="1"/>
  <c r="U9" i="4"/>
  <c r="V9" i="4" s="1"/>
  <c r="U8" i="4"/>
  <c r="V8" i="4" s="1"/>
  <c r="U7" i="4"/>
  <c r="V7" i="4" s="1"/>
  <c r="U22" i="4"/>
  <c r="V22" i="4" s="1"/>
  <c r="U21" i="4"/>
  <c r="V21" i="4" s="1"/>
  <c r="U5" i="4"/>
  <c r="V5" i="4" s="1"/>
  <c r="U20" i="4"/>
  <c r="V20" i="4" s="1"/>
  <c r="U19" i="4"/>
  <c r="V19" i="4" s="1"/>
  <c r="U17" i="4"/>
  <c r="V17" i="4" s="1"/>
  <c r="U16" i="4"/>
  <c r="V16" i="4" s="1"/>
  <c r="U15" i="4"/>
  <c r="V15" i="4" s="1"/>
  <c r="U14" i="4"/>
  <c r="V14" i="4" s="1"/>
  <c r="F13" i="4"/>
  <c r="F14" i="4"/>
  <c r="I8" i="4"/>
  <c r="F5" i="4"/>
  <c r="E6" i="4"/>
  <c r="G6" i="7" l="1"/>
  <c r="Y35" i="7"/>
  <c r="Y29" i="7"/>
  <c r="Y25" i="7"/>
  <c r="B18" i="7"/>
  <c r="Y12" i="7"/>
  <c r="Y9" i="7"/>
  <c r="Y37" i="7"/>
  <c r="Y33" i="7"/>
  <c r="Y27" i="7"/>
  <c r="B17" i="7"/>
  <c r="Y15" i="7"/>
  <c r="Y5" i="7"/>
  <c r="Y31" i="7"/>
  <c r="Y11" i="7"/>
  <c r="Y7" i="7"/>
  <c r="Y17" i="7"/>
  <c r="Y19" i="7"/>
  <c r="Y21" i="7"/>
  <c r="Y26" i="7"/>
  <c r="Y34" i="7"/>
  <c r="Y10" i="7"/>
  <c r="Y32" i="7"/>
  <c r="Y6" i="7"/>
  <c r="Y23" i="7"/>
  <c r="Y18" i="7"/>
  <c r="Y24" i="7"/>
  <c r="Y16" i="7"/>
  <c r="Y30" i="7"/>
  <c r="Y38" i="7"/>
  <c r="Y22" i="7"/>
  <c r="Y20" i="7"/>
  <c r="Y36" i="7"/>
  <c r="Y13" i="7"/>
  <c r="Y8" i="7"/>
  <c r="Y28" i="7"/>
  <c r="Y14" i="7"/>
  <c r="X8" i="6"/>
  <c r="Y8" i="6" s="1"/>
  <c r="X29" i="6"/>
  <c r="Y29" i="6" s="1"/>
  <c r="B17" i="6"/>
  <c r="X37" i="6"/>
  <c r="Y37" i="6" s="1"/>
  <c r="X33" i="6"/>
  <c r="Y33" i="6" s="1"/>
  <c r="X31" i="6"/>
  <c r="Y31" i="6" s="1"/>
  <c r="B18" i="6"/>
  <c r="X23" i="6"/>
  <c r="Y23" i="6" s="1"/>
  <c r="X21" i="6"/>
  <c r="Y21" i="6" s="1"/>
  <c r="X35" i="6"/>
  <c r="Y35" i="6" s="1"/>
  <c r="X27" i="6"/>
  <c r="Y27" i="6" s="1"/>
  <c r="X15" i="6"/>
  <c r="Y15" i="6" s="1"/>
  <c r="X5" i="6"/>
  <c r="Y5" i="6" s="1"/>
  <c r="X12" i="6"/>
  <c r="Y12" i="6" s="1"/>
  <c r="X24" i="6"/>
  <c r="Y24" i="6" s="1"/>
  <c r="X26" i="6"/>
  <c r="Y26" i="6" s="1"/>
  <c r="X34" i="6"/>
  <c r="Y34" i="6" s="1"/>
  <c r="X9" i="6"/>
  <c r="Y9" i="6" s="1"/>
  <c r="X10" i="6"/>
  <c r="Y10" i="6" s="1"/>
  <c r="X16" i="6"/>
  <c r="Y16" i="6" s="1"/>
  <c r="X18" i="6"/>
  <c r="Y18" i="6" s="1"/>
  <c r="X20" i="6"/>
  <c r="Y20" i="6" s="1"/>
  <c r="X32" i="6"/>
  <c r="Y32" i="6" s="1"/>
  <c r="X6" i="6"/>
  <c r="Y6" i="6" s="1"/>
  <c r="X13" i="6"/>
  <c r="Y13" i="6" s="1"/>
  <c r="X22" i="6"/>
  <c r="Y22" i="6" s="1"/>
  <c r="X7" i="6"/>
  <c r="Y7" i="6" s="1"/>
  <c r="X17" i="6"/>
  <c r="Y17" i="6" s="1"/>
  <c r="X14" i="6"/>
  <c r="Y14" i="6" s="1"/>
  <c r="X25" i="6"/>
  <c r="Y25" i="6" s="1"/>
  <c r="X30" i="6"/>
  <c r="Y30" i="6" s="1"/>
  <c r="X38" i="6"/>
  <c r="Y38" i="6" s="1"/>
  <c r="X11" i="6"/>
  <c r="Y11" i="6" s="1"/>
  <c r="X19" i="6"/>
  <c r="Y19" i="6" s="1"/>
  <c r="X28" i="6"/>
  <c r="Y28" i="6" s="1"/>
  <c r="X36" i="6"/>
  <c r="Y36" i="6" s="1"/>
  <c r="I18" i="4"/>
  <c r="F6" i="4"/>
  <c r="I15" i="4"/>
  <c r="K14" i="4"/>
  <c r="K16" i="4" s="1"/>
  <c r="S14" i="4"/>
  <c r="T14" i="4" s="1"/>
  <c r="S21" i="4"/>
  <c r="T21" i="4" s="1"/>
  <c r="S20" i="4"/>
  <c r="T20" i="4" s="1"/>
  <c r="S19" i="4"/>
  <c r="T19" i="4" s="1"/>
  <c r="S18" i="4"/>
  <c r="T18" i="4" s="1"/>
  <c r="S17" i="4"/>
  <c r="T17" i="4" s="1"/>
  <c r="S4" i="4"/>
  <c r="T4" i="4" s="1"/>
  <c r="S13" i="4"/>
  <c r="T13" i="4" s="1"/>
  <c r="S16" i="4"/>
  <c r="T16" i="4" s="1"/>
  <c r="S15" i="4"/>
  <c r="T15" i="4" s="1"/>
  <c r="S26" i="4"/>
  <c r="T26" i="4" s="1"/>
  <c r="S12" i="4"/>
  <c r="T12" i="4" s="1"/>
  <c r="S28" i="4"/>
  <c r="T28" i="4" s="1"/>
  <c r="S11" i="4"/>
  <c r="T11" i="4" s="1"/>
  <c r="S27" i="4"/>
  <c r="T27" i="4" s="1"/>
  <c r="S10" i="4"/>
  <c r="S9" i="4"/>
  <c r="S25" i="4"/>
  <c r="T25" i="4" s="1"/>
  <c r="S8" i="4"/>
  <c r="T8" i="4" s="1"/>
  <c r="S24" i="4"/>
  <c r="T24" i="4" s="1"/>
  <c r="S7" i="4"/>
  <c r="T7" i="4" s="1"/>
  <c r="S23" i="4"/>
  <c r="T23" i="4" s="1"/>
  <c r="S6" i="4"/>
  <c r="T6" i="4" s="1"/>
  <c r="S22" i="4"/>
  <c r="T22" i="4" s="1"/>
  <c r="S5" i="4"/>
  <c r="T5" i="4" s="1"/>
  <c r="F17" i="4"/>
  <c r="Q4" i="4"/>
  <c r="R4" i="4" s="1"/>
  <c r="Q26" i="4"/>
  <c r="R26" i="4" s="1"/>
  <c r="Q22" i="4"/>
  <c r="R22" i="4" s="1"/>
  <c r="Q23" i="4"/>
  <c r="R23" i="4" s="1"/>
  <c r="Q27" i="4"/>
  <c r="R27" i="4" s="1"/>
  <c r="Q24" i="4"/>
  <c r="R24" i="4" s="1"/>
  <c r="Q25" i="4"/>
  <c r="R25" i="4" s="1"/>
  <c r="Q28" i="4"/>
  <c r="R28" i="4" s="1"/>
  <c r="Q21" i="4"/>
  <c r="R21" i="4" s="1"/>
  <c r="Q12" i="4"/>
  <c r="R12" i="4" s="1"/>
  <c r="Q20" i="4"/>
  <c r="R20" i="4" s="1"/>
  <c r="Q11" i="4"/>
  <c r="R11" i="4" s="1"/>
  <c r="Q19" i="4"/>
  <c r="R19" i="4" s="1"/>
  <c r="Q10" i="4"/>
  <c r="R10" i="4" s="1"/>
  <c r="Q18" i="4"/>
  <c r="R18" i="4" s="1"/>
  <c r="Q9" i="4"/>
  <c r="R9" i="4" s="1"/>
  <c r="Q17" i="4"/>
  <c r="R17" i="4" s="1"/>
  <c r="Q8" i="4"/>
  <c r="R8" i="4" s="1"/>
  <c r="Q16" i="4"/>
  <c r="R16" i="4" s="1"/>
  <c r="Q7" i="4"/>
  <c r="R7" i="4" s="1"/>
  <c r="Q15" i="4"/>
  <c r="R15" i="4" s="1"/>
  <c r="Q6" i="4"/>
  <c r="R6" i="4" s="1"/>
  <c r="Q14" i="4"/>
  <c r="R14" i="4" s="1"/>
  <c r="Q5" i="4"/>
  <c r="R5" i="4" s="1"/>
  <c r="Q13" i="4"/>
  <c r="R13" i="4" s="1"/>
  <c r="F15" i="4"/>
  <c r="F21" i="4" s="1"/>
  <c r="W34" i="7" l="1"/>
  <c r="W32" i="7"/>
  <c r="W21" i="7"/>
  <c r="W16" i="7"/>
  <c r="W7" i="7"/>
  <c r="W5" i="7"/>
  <c r="W36" i="7"/>
  <c r="W24" i="7"/>
  <c r="W19" i="7"/>
  <c r="W18" i="7"/>
  <c r="W38" i="7"/>
  <c r="W30" i="7"/>
  <c r="W28" i="7"/>
  <c r="W26" i="7"/>
  <c r="W20" i="7"/>
  <c r="W17" i="7"/>
  <c r="W14" i="7"/>
  <c r="W10" i="7"/>
  <c r="W6" i="7"/>
  <c r="W12" i="7"/>
  <c r="W15" i="7"/>
  <c r="W29" i="7"/>
  <c r="W37" i="7"/>
  <c r="W8" i="7"/>
  <c r="W11" i="7"/>
  <c r="W27" i="7"/>
  <c r="W35" i="7"/>
  <c r="W25" i="7"/>
  <c r="W33" i="7"/>
  <c r="W22" i="7"/>
  <c r="W9" i="7"/>
  <c r="W23" i="7"/>
  <c r="W31" i="7"/>
  <c r="W13" i="7"/>
  <c r="U5" i="7"/>
  <c r="I20" i="7"/>
  <c r="I21" i="7" s="1"/>
  <c r="V11" i="6"/>
  <c r="W11" i="6" s="1"/>
  <c r="V38" i="6"/>
  <c r="W38" i="6" s="1"/>
  <c r="V32" i="6"/>
  <c r="W32" i="6" s="1"/>
  <c r="V28" i="6"/>
  <c r="W28" i="6" s="1"/>
  <c r="V18" i="6"/>
  <c r="W18" i="6" s="1"/>
  <c r="V5" i="6"/>
  <c r="W5" i="6" s="1"/>
  <c r="V13" i="6"/>
  <c r="W13" i="6" s="1"/>
  <c r="V6" i="6"/>
  <c r="W6" i="6" s="1"/>
  <c r="V36" i="6"/>
  <c r="W36" i="6" s="1"/>
  <c r="V26" i="6"/>
  <c r="W26" i="6" s="1"/>
  <c r="V19" i="6"/>
  <c r="W19" i="6" s="1"/>
  <c r="V16" i="6"/>
  <c r="W16" i="6" s="1"/>
  <c r="V22" i="6"/>
  <c r="W22" i="6" s="1"/>
  <c r="V34" i="6"/>
  <c r="W34" i="6" s="1"/>
  <c r="V30" i="6"/>
  <c r="W30" i="6" s="1"/>
  <c r="V25" i="6"/>
  <c r="W25" i="6" s="1"/>
  <c r="V24" i="6"/>
  <c r="W24" i="6" s="1"/>
  <c r="V20" i="6"/>
  <c r="W20" i="6" s="1"/>
  <c r="V17" i="6"/>
  <c r="W17" i="6" s="1"/>
  <c r="V7" i="6"/>
  <c r="W7" i="6" s="1"/>
  <c r="V10" i="6"/>
  <c r="W10" i="6" s="1"/>
  <c r="V14" i="6"/>
  <c r="W14" i="6" s="1"/>
  <c r="V9" i="6"/>
  <c r="W9" i="6" s="1"/>
  <c r="V29" i="6"/>
  <c r="W29" i="6" s="1"/>
  <c r="V37" i="6"/>
  <c r="W37" i="6" s="1"/>
  <c r="V8" i="6"/>
  <c r="W8" i="6" s="1"/>
  <c r="V15" i="6"/>
  <c r="W15" i="6" s="1"/>
  <c r="V27" i="6"/>
  <c r="W27" i="6" s="1"/>
  <c r="V35" i="6"/>
  <c r="W35" i="6" s="1"/>
  <c r="V31" i="6"/>
  <c r="W31" i="6" s="1"/>
  <c r="V21" i="6"/>
  <c r="W21" i="6" s="1"/>
  <c r="V33" i="6"/>
  <c r="W33" i="6" s="1"/>
  <c r="V23" i="6"/>
  <c r="W23" i="6" s="1"/>
  <c r="V12" i="6"/>
  <c r="W12" i="6" s="1"/>
  <c r="U5" i="6"/>
  <c r="I20" i="6"/>
  <c r="K12" i="4"/>
  <c r="T9" i="4"/>
  <c r="T10" i="4"/>
  <c r="F16" i="4"/>
  <c r="F18" i="4" s="1"/>
  <c r="F19" i="4"/>
  <c r="D16" i="7" l="1"/>
  <c r="D15" i="6"/>
  <c r="D16" i="6" s="1"/>
  <c r="K17" i="4"/>
  <c r="K18" i="4" s="1"/>
</calcChain>
</file>

<file path=xl/sharedStrings.xml><?xml version="1.0" encoding="utf-8"?>
<sst xmlns="http://schemas.openxmlformats.org/spreadsheetml/2006/main" count="220" uniqueCount="100">
  <si>
    <t>Fracción molar</t>
  </si>
  <si>
    <t>Presión inicial de la mezcla (Pa)</t>
  </si>
  <si>
    <t>h cambiador de calor (W/K m^2)</t>
  </si>
  <si>
    <t>h caldera (W/K m^2)</t>
  </si>
  <si>
    <t>Volumen de la caldera (m^2)</t>
  </si>
  <si>
    <t>Area de la caldera (m^2)</t>
  </si>
  <si>
    <t>Longitud de la caldera (m)</t>
  </si>
  <si>
    <t>N  H20 productos</t>
  </si>
  <si>
    <t>Ea (Energía de activación de CH4 (J/mol))</t>
  </si>
  <si>
    <t>N CO2 productos</t>
  </si>
  <si>
    <t>a de CH4</t>
  </si>
  <si>
    <t>Kg/mol</t>
  </si>
  <si>
    <t>b de CH4</t>
  </si>
  <si>
    <t>Masa molar CH4</t>
  </si>
  <si>
    <t>A0 (mol/cm3)^(1-a-b)/s</t>
  </si>
  <si>
    <t>Masa molar O2</t>
  </si>
  <si>
    <t>Masa molar H2O</t>
  </si>
  <si>
    <t>Masa molar CO2</t>
  </si>
  <si>
    <t>Volumen de la caldera (m^3)</t>
  </si>
  <si>
    <t>Temperatura inicial de la mezcla (K)</t>
  </si>
  <si>
    <t>Número de Moles</t>
  </si>
  <si>
    <t>N O2 reactivos (comburente)</t>
  </si>
  <si>
    <t>N CH4 reactivos (combustible)</t>
  </si>
  <si>
    <t>Productos</t>
  </si>
  <si>
    <t xml:space="preserve">N total productos N (moles) </t>
  </si>
  <si>
    <t>Total</t>
  </si>
  <si>
    <t>Número de Moles (real)</t>
  </si>
  <si>
    <t xml:space="preserve">N total reactivos real N (moles) </t>
  </si>
  <si>
    <t xml:space="preserve">Reactivos </t>
  </si>
  <si>
    <t>g/mol</t>
  </si>
  <si>
    <t>Masa molar</t>
  </si>
  <si>
    <t>Ta (Temperatura de activación de CH4 (K))</t>
  </si>
  <si>
    <t>Q disipado 40% de la combustión (J)</t>
  </si>
  <si>
    <t>T pared (K)</t>
  </si>
  <si>
    <t>Q neto 60% de la combustión (J)</t>
  </si>
  <si>
    <t>Temperatura de ignición (K)</t>
  </si>
  <si>
    <t>Qp Calor de la combustión de premezcla (J)</t>
  </si>
  <si>
    <t>Entalpía de Combustión del CH4</t>
  </si>
  <si>
    <t>Temperatura caldera (K)</t>
  </si>
  <si>
    <t>Cp del CH4 (J/K mol)</t>
  </si>
  <si>
    <t>Cp del O2 (J/K mol)</t>
  </si>
  <si>
    <t>Cp del H2O (J/K mol)</t>
  </si>
  <si>
    <t>Cp del CO2 (J/K mol)</t>
  </si>
  <si>
    <t>Presion Pc</t>
  </si>
  <si>
    <t>T(K) Promedio</t>
  </si>
  <si>
    <t>Tad con Q disipado</t>
  </si>
  <si>
    <t>T1(promedio) con Q disipado</t>
  </si>
  <si>
    <t>Tad con Q neto</t>
  </si>
  <si>
    <t>T2(promedio) con Q neto</t>
  </si>
  <si>
    <t>Tad con Q p</t>
  </si>
  <si>
    <t>T3(promedio) con Q p</t>
  </si>
  <si>
    <t>T caldera (K) es la temperatura adiabática de llama con el Q disipado</t>
  </si>
  <si>
    <t>CALCULO DE LA TEMPERATURA ADIABÁTICA DE LLAMA PARA LAS DISTINTAS Q</t>
  </si>
  <si>
    <t>Presión de la caldera (Pa)</t>
  </si>
  <si>
    <t>Area del intercambiador de calor (m2)</t>
  </si>
  <si>
    <t>Qcc1 del cambiador de calor (W)</t>
  </si>
  <si>
    <t>Densidad inicial de los reactantes (Kg/m3)</t>
  </si>
  <si>
    <t>[CH4] (mol/litro) (mol/cm3)</t>
  </si>
  <si>
    <t>Cp (J/K Kg)</t>
  </si>
  <si>
    <t>[O2] (mol/litro) (mol/cm3)</t>
  </si>
  <si>
    <t>Sl velocidad del frente de llama (m/s)</t>
  </si>
  <si>
    <t>Ru (litro Kpa/ K mol)</t>
  </si>
  <si>
    <t>Ru(J/mol K)</t>
  </si>
  <si>
    <t>Cp del CH4 (J/K mol) T=298,15</t>
  </si>
  <si>
    <t>Cp del O2 (J/K mol) T=298,15</t>
  </si>
  <si>
    <t>K CH4 (W/mK)</t>
  </si>
  <si>
    <t>K O2 (W/mK)</t>
  </si>
  <si>
    <t>K promedio (W/mK)</t>
  </si>
  <si>
    <t>t Retraso máximo (s)</t>
  </si>
  <si>
    <t>tq Tiempo de la reacción (s)</t>
  </si>
  <si>
    <t>alpha Difusividad térmica (m2/s)</t>
  </si>
  <si>
    <t>ARRANQUE</t>
  </si>
  <si>
    <t>ESTACIONARIO</t>
  </si>
  <si>
    <t>rf velocidad de la reacción (mol/litro s)</t>
  </si>
  <si>
    <t>P4=Presión caldera  (Pa)</t>
  </si>
  <si>
    <t>Temperatura inicial (K)</t>
  </si>
  <si>
    <t>Número de Moles (estequiometricos)</t>
  </si>
  <si>
    <t>T adiabática de llama (K)  con el Q disipado</t>
  </si>
  <si>
    <t xml:space="preserve">T4=T8= 3Tad/5 (K) </t>
  </si>
  <si>
    <t>H8 Energia necesaria en turbinas (J)</t>
  </si>
  <si>
    <t>Cp (1650) del O2 (J/K mol)</t>
  </si>
  <si>
    <t>Cp (1650) del CH4 (J/K mol)</t>
  </si>
  <si>
    <t>Caudal Caldera (m^3/s)</t>
  </si>
  <si>
    <t>Vjet Velocidad de inyección (m/s)</t>
  </si>
  <si>
    <t>P6=Presión mezclador=0,8P4  (Pa)</t>
  </si>
  <si>
    <t>Volumen mezclador (m)</t>
  </si>
  <si>
    <t>N CO2 recirculados</t>
  </si>
  <si>
    <t>Número de Damköhler DaII</t>
  </si>
  <si>
    <t xml:space="preserve">N total reactivos usando P4 N (moles) </t>
  </si>
  <si>
    <t>N total reactivos N (moles) con P6</t>
  </si>
  <si>
    <t>N total productos N (moles) con P4</t>
  </si>
  <si>
    <t xml:space="preserve">T4=T8= 3Tad/5 (K) aproximada </t>
  </si>
  <si>
    <t>H8 Energia necesaria en turbinas (J) necesarios</t>
  </si>
  <si>
    <t>Lf Longitud (m)</t>
  </si>
  <si>
    <t>Diametro caldera</t>
  </si>
  <si>
    <t xml:space="preserve">N total reactivos usando P6 N (moles) </t>
  </si>
  <si>
    <t>N total productos N (moles) con P6</t>
  </si>
  <si>
    <t>Cp (350) del CH4 (J/K mol)</t>
  </si>
  <si>
    <t>Cp (350) del O2 (J/K mol)</t>
  </si>
  <si>
    <t>Cp (350) del CO2 (J/K 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</si>
</sst>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2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0" fontId="0" fillId="13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5" borderId="3" xfId="0" applyFont="1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9" xfId="0" applyFont="1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3" fillId="14" borderId="13" xfId="0" applyFont="1" applyFill="1" applyBorder="1" applyAlignment="1">
      <alignment vertical="center"/>
    </xf>
    <xf numFmtId="0" fontId="3" fillId="14" borderId="2" xfId="0" applyFont="1" applyFill="1" applyBorder="1" applyAlignment="1">
      <alignment vertical="center"/>
    </xf>
    <xf numFmtId="0" fontId="0" fillId="8" borderId="14" xfId="0" applyFill="1" applyBorder="1" applyAlignment="1">
      <alignment horizontal="center" vertical="center"/>
    </xf>
    <xf numFmtId="2" fontId="0" fillId="13" borderId="15" xfId="0" applyNumberForma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16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2" fontId="0" fillId="13" borderId="1" xfId="0" applyNumberForma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FEDD-607D-0B48-A040-1C99E1B2438B}">
  <dimension ref="A1:V35"/>
  <sheetViews>
    <sheetView topLeftCell="A2" zoomScale="66" zoomScaleNormal="66" workbookViewId="0">
      <selection activeCell="A3" sqref="A3:B9"/>
    </sheetView>
  </sheetViews>
  <sheetFormatPr baseColWidth="10" defaultRowHeight="15.75" x14ac:dyDescent="0.25"/>
  <cols>
    <col min="1" max="1" width="67.125" customWidth="1"/>
    <col min="2" max="2" width="14.875" customWidth="1"/>
    <col min="3" max="3" width="10.875" customWidth="1"/>
    <col min="4" max="4" width="15.625" customWidth="1"/>
    <col min="5" max="5" width="33" customWidth="1"/>
    <col min="6" max="6" width="14.875" customWidth="1"/>
    <col min="7" max="7" width="10.375" customWidth="1"/>
    <col min="8" max="8" width="19.5" customWidth="1"/>
    <col min="9" max="9" width="16.875" customWidth="1"/>
    <col min="10" max="10" width="13.625" customWidth="1"/>
    <col min="11" max="11" width="22.375" customWidth="1"/>
    <col min="12" max="12" width="22.875" customWidth="1"/>
    <col min="13" max="13" width="12.125" customWidth="1"/>
    <col min="14" max="14" width="10.5" customWidth="1"/>
    <col min="15" max="15" width="11.375" customWidth="1"/>
    <col min="16" max="16" width="12.125" customWidth="1"/>
    <col min="17" max="17" width="18" customWidth="1"/>
    <col min="18" max="18" width="26.375" customWidth="1"/>
    <col min="19" max="19" width="19.125" customWidth="1"/>
    <col min="20" max="20" width="22.375" customWidth="1"/>
    <col min="21" max="21" width="18.875" customWidth="1"/>
    <col min="22" max="22" width="23.125" customWidth="1"/>
  </cols>
  <sheetData>
    <row r="1" spans="1:22" ht="135" customHeight="1" thickBot="1" x14ac:dyDescent="0.3">
      <c r="A1" s="55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2" ht="27.95" customHeight="1" x14ac:dyDescent="0.25">
      <c r="A2" s="4"/>
      <c r="B2" s="4"/>
      <c r="C2" s="4"/>
      <c r="D2" s="4"/>
      <c r="E2" s="4"/>
      <c r="F2" s="4"/>
      <c r="G2" s="4"/>
      <c r="H2" s="4"/>
      <c r="I2" s="4"/>
      <c r="L2" s="78" t="s">
        <v>52</v>
      </c>
      <c r="M2" s="79"/>
      <c r="N2" s="79"/>
      <c r="O2" s="79"/>
      <c r="P2" s="79"/>
      <c r="Q2" s="79"/>
      <c r="R2" s="79"/>
      <c r="S2" s="79"/>
      <c r="T2" s="79"/>
      <c r="U2" s="79"/>
      <c r="V2" s="80"/>
    </row>
    <row r="3" spans="1:22" ht="69" customHeight="1" x14ac:dyDescent="0.25">
      <c r="A3" s="2" t="s">
        <v>1</v>
      </c>
      <c r="B3" s="3">
        <v>101325</v>
      </c>
      <c r="C3" s="4"/>
      <c r="D3" s="5" t="s">
        <v>28</v>
      </c>
      <c r="E3" s="2" t="s">
        <v>26</v>
      </c>
      <c r="F3" s="2" t="s">
        <v>0</v>
      </c>
      <c r="G3" s="4"/>
      <c r="H3" s="5" t="s">
        <v>23</v>
      </c>
      <c r="I3" s="2" t="s">
        <v>20</v>
      </c>
      <c r="J3" s="2" t="s">
        <v>0</v>
      </c>
      <c r="K3" s="4"/>
      <c r="L3" s="21" t="s">
        <v>44</v>
      </c>
      <c r="M3" s="13" t="s">
        <v>39</v>
      </c>
      <c r="N3" s="13" t="s">
        <v>40</v>
      </c>
      <c r="O3" s="13" t="s">
        <v>41</v>
      </c>
      <c r="P3" s="13" t="s">
        <v>42</v>
      </c>
      <c r="Q3" s="19" t="s">
        <v>45</v>
      </c>
      <c r="R3" s="19" t="s">
        <v>46</v>
      </c>
      <c r="S3" s="19" t="s">
        <v>47</v>
      </c>
      <c r="T3" s="19" t="s">
        <v>48</v>
      </c>
      <c r="U3" s="19" t="s">
        <v>49</v>
      </c>
      <c r="V3" s="22" t="s">
        <v>50</v>
      </c>
    </row>
    <row r="4" spans="1:22" ht="31.5" x14ac:dyDescent="0.25">
      <c r="A4" s="2" t="s">
        <v>18</v>
      </c>
      <c r="B4" s="3">
        <v>3.5999999999999999E-3</v>
      </c>
      <c r="C4" s="4"/>
      <c r="D4" s="2" t="s">
        <v>21</v>
      </c>
      <c r="E4" s="6">
        <f>$B$7/1.7</f>
        <v>8.6557452051891332E-2</v>
      </c>
      <c r="F4" s="3">
        <f>E4/$B$7</f>
        <v>0.58823529411764708</v>
      </c>
      <c r="G4" s="4"/>
      <c r="H4" s="2" t="s">
        <v>21</v>
      </c>
      <c r="I4" s="6">
        <f>$B$7*J4</f>
        <v>8.6557555920833834E-3</v>
      </c>
      <c r="J4" s="3">
        <f>1-J5-J6-J7</f>
        <v>5.8823600000000031E-2</v>
      </c>
      <c r="K4" s="4"/>
      <c r="L4" s="23">
        <v>1100</v>
      </c>
      <c r="M4" s="14">
        <v>75.599999999999994</v>
      </c>
      <c r="N4" s="14">
        <v>35.270000000000003</v>
      </c>
      <c r="O4" s="14">
        <v>42.64</v>
      </c>
      <c r="P4" s="14">
        <v>55.33</v>
      </c>
      <c r="Q4" s="20">
        <f>$B$6+($F$13/(($I$5*M4)+($I$4*N4)+($I$6*O4)+($I$7*P4)))</f>
        <v>3209.1842911640474</v>
      </c>
      <c r="R4" s="20">
        <f>($B$6+Q4)/2</f>
        <v>1753.6671455820237</v>
      </c>
      <c r="S4" s="20">
        <f>$B$6+($F$14/(($I$5*M4)+($I$4*N4)+($I$6*O4)+($I$7*P4)))</f>
        <v>4664.7014367460697</v>
      </c>
      <c r="T4" s="20">
        <f>($B$6+S4)/2</f>
        <v>2481.4257183730347</v>
      </c>
      <c r="U4" s="16">
        <f>$B$6+($F$12/(($I$5*M4)+($I$4*N4)+($I$6*O4)+($I$7*P4)))</f>
        <v>7575.735727910117</v>
      </c>
      <c r="V4" s="24">
        <f>($B$6+U4)/2</f>
        <v>3936.9428639550583</v>
      </c>
    </row>
    <row r="5" spans="1:22" ht="31.5" x14ac:dyDescent="0.25">
      <c r="A5" s="2" t="s">
        <v>62</v>
      </c>
      <c r="B5" s="3">
        <f>8.3144</f>
        <v>8.3143999999999991</v>
      </c>
      <c r="C5" s="4"/>
      <c r="D5" s="2" t="s">
        <v>22</v>
      </c>
      <c r="E5" s="6">
        <f>B7-E4</f>
        <v>6.0590216436323924E-2</v>
      </c>
      <c r="F5" s="3">
        <f>E5/$B$7</f>
        <v>0.41176470588235292</v>
      </c>
      <c r="G5" s="4"/>
      <c r="H5" s="2" t="s">
        <v>22</v>
      </c>
      <c r="I5" s="6">
        <f>$B$7*J5</f>
        <v>2.1639359550674749E-2</v>
      </c>
      <c r="J5" s="3">
        <v>0.14705879999999999</v>
      </c>
      <c r="K5" s="4"/>
      <c r="L5" s="25">
        <v>1200</v>
      </c>
      <c r="M5" s="15">
        <v>78.709999999999994</v>
      </c>
      <c r="N5" s="15">
        <v>35.590000000000003</v>
      </c>
      <c r="O5" s="15">
        <v>43.87</v>
      </c>
      <c r="P5" s="15">
        <v>56.2</v>
      </c>
      <c r="Q5" s="20">
        <f t="shared" ref="Q5:Q28" si="0">$B$6+($F$13/(($I$5*M5)+($I$4*N5)+($I$6*O5)+($I$7*P5)))</f>
        <v>3132.8440468748067</v>
      </c>
      <c r="R5" s="20">
        <f t="shared" ref="R5:T28" si="1">($B$6+Q5)/2</f>
        <v>1715.4970234374034</v>
      </c>
      <c r="S5" s="20">
        <f t="shared" ref="S5:S28" si="2">$B$6+($F$14/(($I$5*M5)+($I$4*N5)+($I$6*O5)+($I$7*P5)))</f>
        <v>4550.1910703122094</v>
      </c>
      <c r="T5" s="20">
        <f t="shared" si="1"/>
        <v>2424.1705351561045</v>
      </c>
      <c r="U5" s="16">
        <f t="shared" ref="U5:U28" si="3">$B$6+($F$12/(($I$5*M5)+($I$4*N5)+($I$6*O5)+($I$7*P5)))</f>
        <v>7384.8851171870156</v>
      </c>
      <c r="V5" s="24">
        <f t="shared" ref="V5:V28" si="4">($B$6+U5)/2</f>
        <v>3841.5175585935076</v>
      </c>
    </row>
    <row r="6" spans="1:22" x14ac:dyDescent="0.25">
      <c r="A6" s="2" t="s">
        <v>19</v>
      </c>
      <c r="B6" s="3">
        <f>25+273.15</f>
        <v>298.14999999999998</v>
      </c>
      <c r="C6" s="4"/>
      <c r="D6" s="2" t="s">
        <v>25</v>
      </c>
      <c r="E6" s="6">
        <f>SUM(E4:E5)</f>
        <v>0.14714766848821526</v>
      </c>
      <c r="F6" s="3">
        <f>SUM(F4:F5)</f>
        <v>1</v>
      </c>
      <c r="G6" s="4"/>
      <c r="H6" s="2" t="s">
        <v>7</v>
      </c>
      <c r="I6" s="3">
        <f>$B$7*J6</f>
        <v>7.7901697325382477E-2</v>
      </c>
      <c r="J6" s="3">
        <v>0.52941170000000004</v>
      </c>
      <c r="K6" s="4"/>
      <c r="L6" s="23">
        <v>1300</v>
      </c>
      <c r="M6" s="15">
        <v>81.52</v>
      </c>
      <c r="N6" s="15">
        <v>35.9</v>
      </c>
      <c r="O6" s="15">
        <v>45.02</v>
      </c>
      <c r="P6" s="15">
        <v>56.98</v>
      </c>
      <c r="Q6" s="20">
        <f t="shared" si="0"/>
        <v>3066.1825542000051</v>
      </c>
      <c r="R6" s="20">
        <f t="shared" si="1"/>
        <v>1682.1662771000026</v>
      </c>
      <c r="S6" s="20">
        <f t="shared" si="2"/>
        <v>4450.1988313000065</v>
      </c>
      <c r="T6" s="20">
        <f t="shared" si="1"/>
        <v>2374.1744156500031</v>
      </c>
      <c r="U6" s="16">
        <f t="shared" si="3"/>
        <v>7218.231385500012</v>
      </c>
      <c r="V6" s="24">
        <f t="shared" si="4"/>
        <v>3758.1906927500058</v>
      </c>
    </row>
    <row r="7" spans="1:22" x14ac:dyDescent="0.25">
      <c r="A7" s="2" t="s">
        <v>27</v>
      </c>
      <c r="B7" s="3">
        <f>(B3*B4)/(B5*B6)</f>
        <v>0.14714766848821526</v>
      </c>
      <c r="C7" s="4"/>
      <c r="D7" s="4"/>
      <c r="E7" s="4"/>
      <c r="F7" s="4"/>
      <c r="G7" s="4"/>
      <c r="H7" s="2" t="s">
        <v>9</v>
      </c>
      <c r="I7" s="6">
        <f>$B$7*J7</f>
        <v>3.8950856020074656E-2</v>
      </c>
      <c r="J7" s="3">
        <v>0.26470589999999999</v>
      </c>
      <c r="K7" s="4"/>
      <c r="L7" s="23">
        <v>1400</v>
      </c>
      <c r="M7" s="15">
        <v>84.05</v>
      </c>
      <c r="N7" s="15">
        <v>36.200000000000003</v>
      </c>
      <c r="O7" s="15">
        <v>46.1</v>
      </c>
      <c r="P7" s="15">
        <v>57.67</v>
      </c>
      <c r="Q7" s="20">
        <f t="shared" si="0"/>
        <v>3007.7097713967087</v>
      </c>
      <c r="R7" s="20">
        <f t="shared" si="1"/>
        <v>1652.9298856983544</v>
      </c>
      <c r="S7" s="20">
        <f t="shared" si="2"/>
        <v>4362.4896570950623</v>
      </c>
      <c r="T7" s="20">
        <f t="shared" si="1"/>
        <v>2330.319828547531</v>
      </c>
      <c r="U7" s="16">
        <f t="shared" si="3"/>
        <v>7072.0494284917704</v>
      </c>
      <c r="V7" s="24">
        <f t="shared" si="4"/>
        <v>3685.099714245885</v>
      </c>
    </row>
    <row r="8" spans="1:22" x14ac:dyDescent="0.25">
      <c r="A8" s="2" t="s">
        <v>24</v>
      </c>
      <c r="B8" s="3">
        <f>B7</f>
        <v>0.14714766848821526</v>
      </c>
      <c r="C8" s="4"/>
      <c r="D8" s="4"/>
      <c r="E8" s="4"/>
      <c r="F8" s="4"/>
      <c r="G8" s="4"/>
      <c r="H8" s="2" t="s">
        <v>25</v>
      </c>
      <c r="I8" s="6">
        <f>SUM(I4:I7)</f>
        <v>0.14714766848821526</v>
      </c>
      <c r="J8" s="3">
        <f>SUM(J4:J7)</f>
        <v>1</v>
      </c>
      <c r="K8" s="4"/>
      <c r="L8" s="25">
        <v>1500</v>
      </c>
      <c r="M8" s="15">
        <v>86.32</v>
      </c>
      <c r="N8" s="15">
        <v>36.49</v>
      </c>
      <c r="O8" s="15">
        <v>47.1</v>
      </c>
      <c r="P8" s="15">
        <v>58.29</v>
      </c>
      <c r="Q8" s="20">
        <f t="shared" si="0"/>
        <v>2956.448730014482</v>
      </c>
      <c r="R8" s="20">
        <f t="shared" si="1"/>
        <v>1627.299365007241</v>
      </c>
      <c r="S8" s="20">
        <f t="shared" si="2"/>
        <v>4285.5980950217217</v>
      </c>
      <c r="T8" s="20">
        <f t="shared" si="1"/>
        <v>2291.8740475108607</v>
      </c>
      <c r="U8" s="16">
        <f t="shared" si="3"/>
        <v>6943.8968250362041</v>
      </c>
      <c r="V8" s="24">
        <f t="shared" si="4"/>
        <v>3621.0234125181018</v>
      </c>
    </row>
    <row r="9" spans="1:22" x14ac:dyDescent="0.25">
      <c r="A9" s="2" t="s">
        <v>61</v>
      </c>
      <c r="B9" s="3">
        <f>287</f>
        <v>287</v>
      </c>
      <c r="C9" s="4"/>
      <c r="D9" s="4"/>
      <c r="E9" s="4"/>
      <c r="F9" s="4"/>
      <c r="G9" s="4"/>
      <c r="H9" s="4"/>
      <c r="I9" s="4"/>
      <c r="J9" s="4"/>
      <c r="K9" s="4"/>
      <c r="L9" s="26">
        <v>1600</v>
      </c>
      <c r="M9" s="17">
        <v>88.35</v>
      </c>
      <c r="N9" s="17">
        <v>36.770000000000003</v>
      </c>
      <c r="O9" s="17">
        <v>48.03</v>
      </c>
      <c r="P9" s="17">
        <v>58.83</v>
      </c>
      <c r="Q9" s="17">
        <f t="shared" si="0"/>
        <v>2911.4638521882216</v>
      </c>
      <c r="R9" s="17">
        <f t="shared" si="1"/>
        <v>1604.8069260941108</v>
      </c>
      <c r="S9" s="20">
        <f t="shared" si="2"/>
        <v>4218.1207782823312</v>
      </c>
      <c r="T9" s="20">
        <f t="shared" si="1"/>
        <v>2258.1353891411654</v>
      </c>
      <c r="U9" s="16">
        <f t="shared" si="3"/>
        <v>6831.4346304705523</v>
      </c>
      <c r="V9" s="24">
        <f t="shared" si="4"/>
        <v>3564.792315235276</v>
      </c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23">
        <v>1700</v>
      </c>
      <c r="M10" s="15">
        <v>90.17</v>
      </c>
      <c r="N10" s="15">
        <v>37.03</v>
      </c>
      <c r="O10" s="15">
        <v>48.9</v>
      </c>
      <c r="P10" s="15">
        <v>59.31</v>
      </c>
      <c r="Q10" s="20">
        <f t="shared" si="0"/>
        <v>2871.5679907173817</v>
      </c>
      <c r="R10" s="20">
        <f t="shared" si="1"/>
        <v>1584.8589953586909</v>
      </c>
      <c r="S10" s="20">
        <f t="shared" si="2"/>
        <v>4158.2769860760718</v>
      </c>
      <c r="T10" s="20">
        <f t="shared" si="1"/>
        <v>2228.2134930380357</v>
      </c>
      <c r="U10" s="16">
        <f t="shared" si="3"/>
        <v>6731.6949767934539</v>
      </c>
      <c r="V10" s="24">
        <f t="shared" si="4"/>
        <v>3514.9224883967267</v>
      </c>
    </row>
    <row r="11" spans="1:22" ht="16.5" thickBot="1" x14ac:dyDescent="0.3">
      <c r="A11" s="1"/>
      <c r="B11" s="4"/>
      <c r="C11" s="4"/>
      <c r="D11" s="4"/>
      <c r="E11" s="4"/>
      <c r="F11" s="4"/>
      <c r="G11" s="4"/>
      <c r="I11" s="4"/>
      <c r="J11" s="4"/>
      <c r="K11" s="4"/>
      <c r="L11" s="25">
        <v>1800</v>
      </c>
      <c r="M11" s="14">
        <v>91.78</v>
      </c>
      <c r="N11" s="14">
        <v>37.29</v>
      </c>
      <c r="O11" s="14">
        <v>49.7</v>
      </c>
      <c r="P11" s="14">
        <v>59.73</v>
      </c>
      <c r="Q11" s="20">
        <f t="shared" si="0"/>
        <v>2836.547042087931</v>
      </c>
      <c r="R11" s="20">
        <f t="shared" si="1"/>
        <v>1567.3485210439655</v>
      </c>
      <c r="S11" s="20">
        <f t="shared" si="2"/>
        <v>4105.7455631318962</v>
      </c>
      <c r="T11" s="20">
        <f t="shared" si="1"/>
        <v>2201.9477815659479</v>
      </c>
      <c r="U11" s="16">
        <f t="shared" si="3"/>
        <v>6644.1426052198267</v>
      </c>
      <c r="V11" s="24">
        <f t="shared" si="4"/>
        <v>3471.1463026099132</v>
      </c>
    </row>
    <row r="12" spans="1:22" ht="59.1" customHeight="1" x14ac:dyDescent="0.25">
      <c r="A12" s="10" t="s">
        <v>30</v>
      </c>
      <c r="B12" s="10" t="s">
        <v>29</v>
      </c>
      <c r="C12" s="11" t="s">
        <v>11</v>
      </c>
      <c r="D12" s="4"/>
      <c r="E12" s="10" t="s">
        <v>36</v>
      </c>
      <c r="F12" s="7">
        <f>B18*E5</f>
        <v>53985.882844764616</v>
      </c>
      <c r="G12" s="4"/>
      <c r="H12" s="41" t="s">
        <v>56</v>
      </c>
      <c r="I12" s="42">
        <f>B3/(B6*B9)</f>
        <v>1.1841314120000166</v>
      </c>
      <c r="J12" s="50" t="s">
        <v>70</v>
      </c>
      <c r="K12" s="52">
        <f xml:space="preserve"> I18/(I12*I15)</f>
        <v>1.837292092166131E-5</v>
      </c>
      <c r="L12" s="47">
        <v>1900</v>
      </c>
      <c r="M12" s="15">
        <v>93.22</v>
      </c>
      <c r="N12" s="15">
        <v>37.79</v>
      </c>
      <c r="O12" s="15">
        <v>51.14</v>
      </c>
      <c r="P12" s="15">
        <v>60.43</v>
      </c>
      <c r="Q12" s="20">
        <f t="shared" si="0"/>
        <v>2785.4012671833084</v>
      </c>
      <c r="R12" s="20">
        <f t="shared" si="1"/>
        <v>1541.7756335916542</v>
      </c>
      <c r="S12" s="20">
        <f t="shared" si="2"/>
        <v>4029.0269007749616</v>
      </c>
      <c r="T12" s="20">
        <f t="shared" si="1"/>
        <v>2163.5884503874809</v>
      </c>
      <c r="U12" s="16">
        <f t="shared" si="3"/>
        <v>6516.2781679582695</v>
      </c>
      <c r="V12" s="24">
        <f t="shared" si="4"/>
        <v>3407.2140839791346</v>
      </c>
    </row>
    <row r="13" spans="1:22" ht="47.25" x14ac:dyDescent="0.25">
      <c r="A13" s="9" t="s">
        <v>13</v>
      </c>
      <c r="B13" s="7">
        <v>16</v>
      </c>
      <c r="C13" s="7">
        <f>B13*10^-3</f>
        <v>1.6E-2</v>
      </c>
      <c r="D13" s="4"/>
      <c r="E13" s="10" t="s">
        <v>32</v>
      </c>
      <c r="F13" s="7">
        <f>0.4*F12</f>
        <v>21594.353137905848</v>
      </c>
      <c r="G13" s="4"/>
      <c r="H13" s="43" t="s">
        <v>63</v>
      </c>
      <c r="I13" s="40">
        <v>35.14</v>
      </c>
      <c r="J13" s="39" t="s">
        <v>73</v>
      </c>
      <c r="K13" s="53">
        <f>B23*((F5)^B21)*((F4)^B22)*(B3*10^-3/(L9*B5))*EXP(-B19/(B5*L9))</f>
        <v>0.33045103377342777</v>
      </c>
      <c r="L13" s="48">
        <v>2000</v>
      </c>
      <c r="M13" s="15">
        <v>94.49</v>
      </c>
      <c r="N13" s="15">
        <v>37.79</v>
      </c>
      <c r="O13" s="15">
        <v>51.14</v>
      </c>
      <c r="P13" s="15">
        <v>60.43</v>
      </c>
      <c r="Q13" s="20">
        <f>$B$6+($F$13/(($I$5*M13)+($I$4*N13)+($I$6*O13)+($I$7*P13)))</f>
        <v>2777.5529832766392</v>
      </c>
      <c r="R13" s="20">
        <f t="shared" si="1"/>
        <v>1537.8514916383197</v>
      </c>
      <c r="S13" s="20">
        <f t="shared" si="2"/>
        <v>4017.2544749149588</v>
      </c>
      <c r="T13" s="20">
        <f t="shared" si="1"/>
        <v>2157.7022374574794</v>
      </c>
      <c r="U13" s="16">
        <f t="shared" si="3"/>
        <v>6496.6574581915975</v>
      </c>
      <c r="V13" s="24">
        <f t="shared" si="4"/>
        <v>3397.4037290957986</v>
      </c>
    </row>
    <row r="14" spans="1:22" ht="47.25" x14ac:dyDescent="0.25">
      <c r="A14" s="9" t="s">
        <v>15</v>
      </c>
      <c r="B14" s="8">
        <f>16*2</f>
        <v>32</v>
      </c>
      <c r="C14" s="7">
        <f t="shared" ref="C14:C16" si="5">B14*10^-3</f>
        <v>3.2000000000000001E-2</v>
      </c>
      <c r="D14" s="4"/>
      <c r="E14" s="10" t="s">
        <v>34</v>
      </c>
      <c r="F14" s="7">
        <f>F12*0.6</f>
        <v>32391.529706858768</v>
      </c>
      <c r="G14" s="4"/>
      <c r="H14" s="43" t="s">
        <v>64</v>
      </c>
      <c r="I14" s="40">
        <v>29.31</v>
      </c>
      <c r="J14" s="39" t="s">
        <v>57</v>
      </c>
      <c r="K14" s="53">
        <f>F5*B3*10^-3/(B6*B5)</f>
        <v>1.6830615676756651E-2</v>
      </c>
      <c r="L14" s="49">
        <v>2100</v>
      </c>
      <c r="M14" s="17">
        <v>95.62</v>
      </c>
      <c r="N14" s="17">
        <v>38.020000000000003</v>
      </c>
      <c r="O14" s="17">
        <v>51.78</v>
      </c>
      <c r="P14" s="17">
        <v>60.71</v>
      </c>
      <c r="Q14" s="20">
        <f t="shared" si="0"/>
        <v>2752.9732798923055</v>
      </c>
      <c r="R14" s="20">
        <f t="shared" si="1"/>
        <v>1525.5616399461528</v>
      </c>
      <c r="S14" s="17">
        <f>$B$6+($F$14/(($I$5*M14)+($I$4*N14)+($I$6*O14)+($I$7*P14)))</f>
        <v>3980.3849198384573</v>
      </c>
      <c r="T14" s="17">
        <f t="shared" si="1"/>
        <v>2139.2674599192287</v>
      </c>
      <c r="U14" s="16">
        <f t="shared" si="3"/>
        <v>6435.2081997307623</v>
      </c>
      <c r="V14" s="24">
        <f t="shared" si="4"/>
        <v>3366.679099865381</v>
      </c>
    </row>
    <row r="15" spans="1:22" ht="47.25" x14ac:dyDescent="0.25">
      <c r="A15" s="9" t="s">
        <v>16</v>
      </c>
      <c r="B15" s="7">
        <v>18</v>
      </c>
      <c r="C15" s="7">
        <f t="shared" si="5"/>
        <v>1.8000000000000002E-2</v>
      </c>
      <c r="D15" s="4"/>
      <c r="E15" s="10" t="s">
        <v>33</v>
      </c>
      <c r="F15" s="7">
        <f>B31+(3.6*10^(-4) * (F13/(B27*B29)))</f>
        <v>710.03706275811692</v>
      </c>
      <c r="G15" s="4"/>
      <c r="H15" s="44" t="s">
        <v>58</v>
      </c>
      <c r="I15" s="40">
        <f>(I13*(F5/C13))+(I14*(F4/C14))</f>
        <v>1443.125</v>
      </c>
      <c r="J15" s="39" t="s">
        <v>59</v>
      </c>
      <c r="K15" s="53">
        <f>F4*B3*10^-3/(B6*B5)</f>
        <v>2.4043736681080927E-2</v>
      </c>
      <c r="L15" s="48">
        <v>2200</v>
      </c>
      <c r="M15" s="15">
        <v>96.61</v>
      </c>
      <c r="N15" s="15">
        <v>38.25</v>
      </c>
      <c r="O15" s="15">
        <v>52.38</v>
      </c>
      <c r="P15" s="15">
        <v>60.96</v>
      </c>
      <c r="Q15" s="20">
        <f t="shared" si="0"/>
        <v>2730.8789976522521</v>
      </c>
      <c r="R15" s="20">
        <f t="shared" si="1"/>
        <v>1514.5144988261261</v>
      </c>
      <c r="S15" s="20">
        <f t="shared" si="2"/>
        <v>3947.2434964783779</v>
      </c>
      <c r="T15" s="20">
        <f t="shared" si="1"/>
        <v>2122.6967482391888</v>
      </c>
      <c r="U15" s="16">
        <f t="shared" si="3"/>
        <v>6379.9724941306295</v>
      </c>
      <c r="V15" s="24">
        <f t="shared" si="4"/>
        <v>3339.0612470653145</v>
      </c>
    </row>
    <row r="16" spans="1:22" ht="31.5" x14ac:dyDescent="0.25">
      <c r="A16" s="9" t="s">
        <v>17</v>
      </c>
      <c r="B16" s="7">
        <v>44</v>
      </c>
      <c r="C16" s="7">
        <f t="shared" si="5"/>
        <v>4.3999999999999997E-2</v>
      </c>
      <c r="D16" s="4"/>
      <c r="E16" s="10" t="s">
        <v>35</v>
      </c>
      <c r="F16" s="7">
        <f>(B20-SQRT(B20*B20-4*B20*F15))/2</f>
        <v>746.99931163415749</v>
      </c>
      <c r="G16" s="4"/>
      <c r="H16" s="44" t="s">
        <v>65</v>
      </c>
      <c r="I16" s="40">
        <f>-9.178*10^-3+(1.5964*10^-4)*B6-(3.4571*10^-8)*B6^2+(2.0839*10^-12)*B6^3</f>
        <v>3.5400762288441003E-2</v>
      </c>
      <c r="J16" s="39" t="s">
        <v>69</v>
      </c>
      <c r="K16" s="53">
        <f>(K14*10^-3)/K13</f>
        <v>5.0932253062026988E-5</v>
      </c>
      <c r="L16" s="47">
        <v>2300</v>
      </c>
      <c r="M16" s="15">
        <v>97.49</v>
      </c>
      <c r="N16" s="15">
        <v>38.47</v>
      </c>
      <c r="O16" s="15">
        <v>52.92</v>
      </c>
      <c r="P16" s="15">
        <v>61.18</v>
      </c>
      <c r="Q16" s="20">
        <f t="shared" si="0"/>
        <v>2711.4178254083058</v>
      </c>
      <c r="R16" s="20">
        <f t="shared" si="1"/>
        <v>1504.783912704153</v>
      </c>
      <c r="S16" s="20">
        <f t="shared" si="2"/>
        <v>3918.0517381124578</v>
      </c>
      <c r="T16" s="20">
        <f t="shared" si="1"/>
        <v>2108.1008690562289</v>
      </c>
      <c r="U16" s="16">
        <f t="shared" si="3"/>
        <v>6331.319563520763</v>
      </c>
      <c r="V16" s="24">
        <f t="shared" si="4"/>
        <v>3314.7347817603813</v>
      </c>
    </row>
    <row r="17" spans="1:22" ht="47.25" x14ac:dyDescent="0.25">
      <c r="B17" s="4"/>
      <c r="C17" s="4"/>
      <c r="D17" s="4"/>
      <c r="E17" s="10" t="s">
        <v>51</v>
      </c>
      <c r="F17" s="7">
        <f>$B$6+($F$13/(($I$5*M9)+($I$4*N9)+($I$6*O9)+($I$7*P9)))</f>
        <v>2911.4638521882216</v>
      </c>
      <c r="G17" s="4"/>
      <c r="H17" s="44" t="s">
        <v>66</v>
      </c>
      <c r="I17" s="40">
        <f>5.9101*10^-4+1.046*10^-4*B6-3.7985*10^-8*B6^2+7.272*10^-12*B6^3</f>
        <v>2.8593617335871926E-2</v>
      </c>
      <c r="J17" s="39" t="s">
        <v>60</v>
      </c>
      <c r="K17" s="53">
        <f>SQRT((K12/K16)*(F17-F16)/(F16-B6))</f>
        <v>1.3189174514311226</v>
      </c>
      <c r="L17" s="47">
        <v>2400</v>
      </c>
      <c r="M17" s="15">
        <v>98.26</v>
      </c>
      <c r="N17" s="15">
        <v>38.68</v>
      </c>
      <c r="O17" s="15">
        <v>53.43</v>
      </c>
      <c r="P17" s="15">
        <v>61.37</v>
      </c>
      <c r="Q17" s="20">
        <f t="shared" si="0"/>
        <v>2693.8518717328575</v>
      </c>
      <c r="R17" s="20">
        <f t="shared" si="1"/>
        <v>1496.0009358664288</v>
      </c>
      <c r="S17" s="20">
        <f t="shared" si="2"/>
        <v>3891.7028075992857</v>
      </c>
      <c r="T17" s="20">
        <f t="shared" si="1"/>
        <v>2094.9264037996427</v>
      </c>
      <c r="U17" s="16">
        <f t="shared" si="3"/>
        <v>6287.4046793321431</v>
      </c>
      <c r="V17" s="24">
        <f t="shared" si="4"/>
        <v>3292.7773396660714</v>
      </c>
    </row>
    <row r="18" spans="1:22" ht="32.25" thickBot="1" x14ac:dyDescent="0.3">
      <c r="A18" s="10" t="s">
        <v>37</v>
      </c>
      <c r="B18" s="7">
        <f>891*10^3</f>
        <v>891000</v>
      </c>
      <c r="E18" s="10" t="s">
        <v>43</v>
      </c>
      <c r="F18" s="7">
        <f>B5*F16*EXP(B19/((B21+B22)*B5*F16))*(((B27*C15*B5*(F16^2))/(B28*B19))/(F13*B23*(F5^B21)*(F4^B22)))</f>
        <v>58538.300189747504</v>
      </c>
      <c r="H18" s="45" t="s">
        <v>67</v>
      </c>
      <c r="I18" s="46">
        <f>I16*F5+I17*F4</f>
        <v>3.1396559375165077E-2</v>
      </c>
      <c r="J18" s="51" t="s">
        <v>68</v>
      </c>
      <c r="K18" s="54">
        <f>B30/K17</f>
        <v>0.15163951298315545</v>
      </c>
      <c r="L18" s="48">
        <v>2500</v>
      </c>
      <c r="M18" s="15">
        <v>98.94</v>
      </c>
      <c r="N18" s="15">
        <v>38.89</v>
      </c>
      <c r="O18" s="15">
        <v>53.9</v>
      </c>
      <c r="P18" s="15">
        <v>61.55</v>
      </c>
      <c r="Q18" s="20">
        <f t="shared" si="0"/>
        <v>2677.9691195188839</v>
      </c>
      <c r="R18" s="20">
        <f t="shared" si="1"/>
        <v>1488.059559759442</v>
      </c>
      <c r="S18" s="20">
        <f t="shared" si="2"/>
        <v>3867.8786792783253</v>
      </c>
      <c r="T18" s="20">
        <f t="shared" si="1"/>
        <v>2083.0143396391627</v>
      </c>
      <c r="U18" s="16">
        <f t="shared" si="3"/>
        <v>6247.6977987972086</v>
      </c>
      <c r="V18" s="24">
        <f t="shared" si="4"/>
        <v>3272.9238993986041</v>
      </c>
    </row>
    <row r="19" spans="1:22" x14ac:dyDescent="0.25">
      <c r="A19" s="9" t="s">
        <v>8</v>
      </c>
      <c r="B19" s="7">
        <f>30*4184</f>
        <v>125520</v>
      </c>
      <c r="E19" s="10" t="s">
        <v>53</v>
      </c>
      <c r="F19" s="7">
        <f>E6*B5*F17/B4</f>
        <v>989448.51525397121</v>
      </c>
      <c r="L19" s="23">
        <v>2600</v>
      </c>
      <c r="M19" s="15">
        <v>99.54</v>
      </c>
      <c r="N19" s="15">
        <v>39.090000000000003</v>
      </c>
      <c r="O19" s="15">
        <v>54.34</v>
      </c>
      <c r="P19" s="15">
        <v>61.7</v>
      </c>
      <c r="Q19" s="20">
        <f t="shared" si="0"/>
        <v>2663.6741841698122</v>
      </c>
      <c r="R19" s="20">
        <f t="shared" si="1"/>
        <v>1480.9120920849061</v>
      </c>
      <c r="S19" s="20">
        <f t="shared" si="2"/>
        <v>3846.436276254718</v>
      </c>
      <c r="T19" s="20">
        <f t="shared" si="1"/>
        <v>2072.2931381273588</v>
      </c>
      <c r="U19" s="16">
        <f t="shared" si="3"/>
        <v>6211.9604604245296</v>
      </c>
      <c r="V19" s="24">
        <f t="shared" si="4"/>
        <v>3255.0552302122646</v>
      </c>
    </row>
    <row r="20" spans="1:22" ht="16.5" thickBot="1" x14ac:dyDescent="0.3">
      <c r="A20" s="9" t="s">
        <v>31</v>
      </c>
      <c r="B20" s="7">
        <f>B19/B5</f>
        <v>15096.699701722315</v>
      </c>
      <c r="F20" s="34"/>
      <c r="L20" s="23">
        <v>2700</v>
      </c>
      <c r="M20" s="15">
        <v>100.08</v>
      </c>
      <c r="N20" s="15">
        <v>39.29</v>
      </c>
      <c r="O20" s="15">
        <v>54.74</v>
      </c>
      <c r="P20" s="15">
        <v>61.84</v>
      </c>
      <c r="Q20" s="20">
        <f t="shared" si="0"/>
        <v>2650.7806133115591</v>
      </c>
      <c r="R20" s="20">
        <f t="shared" si="1"/>
        <v>1474.4653066557796</v>
      </c>
      <c r="S20" s="20">
        <f t="shared" si="2"/>
        <v>3827.0959199673384</v>
      </c>
      <c r="T20" s="20">
        <f t="shared" si="1"/>
        <v>2062.6229599836693</v>
      </c>
      <c r="U20" s="16">
        <f t="shared" si="3"/>
        <v>6179.7265332788975</v>
      </c>
      <c r="V20" s="24">
        <f t="shared" si="4"/>
        <v>3238.9382666394486</v>
      </c>
    </row>
    <row r="21" spans="1:22" x14ac:dyDescent="0.25">
      <c r="A21" s="9" t="s">
        <v>10</v>
      </c>
      <c r="B21" s="7">
        <v>-0.3</v>
      </c>
      <c r="E21" s="35" t="s">
        <v>54</v>
      </c>
      <c r="F21" s="36">
        <f>F22/(B26*(F15-F17))</f>
        <v>0.35691138560083019</v>
      </c>
      <c r="L21" s="25">
        <v>2800</v>
      </c>
      <c r="M21" s="15">
        <v>100.55</v>
      </c>
      <c r="N21" s="15">
        <v>39.479999999999997</v>
      </c>
      <c r="O21" s="15">
        <v>55.11</v>
      </c>
      <c r="P21" s="15">
        <v>61.96</v>
      </c>
      <c r="Q21" s="20">
        <f t="shared" si="0"/>
        <v>2639.2234908715404</v>
      </c>
      <c r="R21" s="20">
        <f t="shared" si="1"/>
        <v>1468.6867454357703</v>
      </c>
      <c r="S21" s="20">
        <f t="shared" si="2"/>
        <v>3809.7602363073102</v>
      </c>
      <c r="T21" s="20">
        <f t="shared" si="1"/>
        <v>2053.9551181536549</v>
      </c>
      <c r="U21" s="16">
        <f t="shared" si="3"/>
        <v>6150.8337271788505</v>
      </c>
      <c r="V21" s="24">
        <f t="shared" si="4"/>
        <v>3224.4918635894251</v>
      </c>
    </row>
    <row r="22" spans="1:22" x14ac:dyDescent="0.25">
      <c r="A22" s="9" t="s">
        <v>12</v>
      </c>
      <c r="B22" s="7">
        <v>1.3</v>
      </c>
      <c r="E22" s="37" t="s">
        <v>55</v>
      </c>
      <c r="F22" s="38">
        <v>-27500</v>
      </c>
      <c r="L22" s="23">
        <v>2900</v>
      </c>
      <c r="M22" s="15">
        <v>100.98</v>
      </c>
      <c r="N22" s="15">
        <v>39.659999999999997</v>
      </c>
      <c r="O22" s="15">
        <v>55.46</v>
      </c>
      <c r="P22" s="15">
        <v>62.08</v>
      </c>
      <c r="Q22" s="20">
        <f t="shared" si="0"/>
        <v>2628.4103954598045</v>
      </c>
      <c r="R22" s="20">
        <f t="shared" si="1"/>
        <v>1463.2801977299023</v>
      </c>
      <c r="S22" s="20">
        <f t="shared" si="2"/>
        <v>3793.5405931897062</v>
      </c>
      <c r="T22" s="20">
        <f t="shared" si="1"/>
        <v>2045.8452965948532</v>
      </c>
      <c r="U22" s="16">
        <f t="shared" si="3"/>
        <v>6123.8009886495101</v>
      </c>
      <c r="V22" s="24">
        <f t="shared" si="4"/>
        <v>3210.9754943247549</v>
      </c>
    </row>
    <row r="23" spans="1:22" ht="24" customHeight="1" x14ac:dyDescent="0.25">
      <c r="A23" s="9" t="s">
        <v>14</v>
      </c>
      <c r="B23" s="7">
        <f>8.3*10^5</f>
        <v>830000.00000000012</v>
      </c>
      <c r="L23" s="25">
        <v>3000</v>
      </c>
      <c r="M23" s="15">
        <v>101.37</v>
      </c>
      <c r="N23" s="15">
        <v>39.840000000000003</v>
      </c>
      <c r="O23" s="15">
        <v>55.78</v>
      </c>
      <c r="P23" s="15">
        <v>62.19</v>
      </c>
      <c r="Q23" s="20">
        <f t="shared" si="0"/>
        <v>2618.5920654415117</v>
      </c>
      <c r="R23" s="20">
        <f t="shared" si="1"/>
        <v>1458.3710327207559</v>
      </c>
      <c r="S23" s="20">
        <f t="shared" si="2"/>
        <v>3778.8130981622676</v>
      </c>
      <c r="T23" s="20">
        <f t="shared" si="1"/>
        <v>2038.4815490811338</v>
      </c>
      <c r="U23" s="16">
        <f t="shared" si="3"/>
        <v>6099.2551636037788</v>
      </c>
      <c r="V23" s="24">
        <f t="shared" si="4"/>
        <v>3198.7025818018892</v>
      </c>
    </row>
    <row r="24" spans="1:22" ht="24" customHeight="1" x14ac:dyDescent="0.25">
      <c r="L24" s="23">
        <v>3100</v>
      </c>
      <c r="M24" s="15">
        <v>101.72</v>
      </c>
      <c r="N24" s="15">
        <v>40.020000000000003</v>
      </c>
      <c r="O24" s="15">
        <v>56.07</v>
      </c>
      <c r="P24" s="15">
        <v>62.3</v>
      </c>
      <c r="Q24" s="20">
        <f t="shared" si="0"/>
        <v>2609.6482696258918</v>
      </c>
      <c r="R24" s="20">
        <f t="shared" si="1"/>
        <v>1453.8991348129459</v>
      </c>
      <c r="S24" s="20">
        <f t="shared" si="2"/>
        <v>3765.3974044388369</v>
      </c>
      <c r="T24" s="20">
        <f t="shared" si="1"/>
        <v>2031.7737022194185</v>
      </c>
      <c r="U24" s="16">
        <f t="shared" si="3"/>
        <v>6076.8956740647282</v>
      </c>
      <c r="V24" s="24">
        <f t="shared" si="4"/>
        <v>3187.5228370323639</v>
      </c>
    </row>
    <row r="25" spans="1:22" x14ac:dyDescent="0.25">
      <c r="C25" s="1"/>
      <c r="D25" s="1"/>
      <c r="L25" s="27">
        <v>3200</v>
      </c>
      <c r="M25" s="17">
        <v>102.05</v>
      </c>
      <c r="N25" s="17">
        <v>40.19</v>
      </c>
      <c r="O25" s="17">
        <v>56.35</v>
      </c>
      <c r="P25" s="17">
        <v>62.4</v>
      </c>
      <c r="Q25" s="20">
        <f t="shared" si="0"/>
        <v>2601.1876524488662</v>
      </c>
      <c r="R25" s="20">
        <f t="shared" si="1"/>
        <v>1449.6688262244331</v>
      </c>
      <c r="S25" s="20">
        <f t="shared" si="2"/>
        <v>3752.706478673299</v>
      </c>
      <c r="T25" s="20">
        <f t="shared" si="1"/>
        <v>2025.4282393366495</v>
      </c>
      <c r="U25" s="18">
        <f t="shared" si="3"/>
        <v>6055.7441311221646</v>
      </c>
      <c r="V25" s="28">
        <f t="shared" si="4"/>
        <v>3176.9470655610821</v>
      </c>
    </row>
    <row r="26" spans="1:22" x14ac:dyDescent="0.25">
      <c r="A26" s="9" t="s">
        <v>2</v>
      </c>
      <c r="B26" s="7">
        <v>35</v>
      </c>
      <c r="C26" s="1"/>
      <c r="L26" s="23">
        <v>3300</v>
      </c>
      <c r="M26" s="15">
        <v>102.35</v>
      </c>
      <c r="N26" s="15">
        <v>40.36</v>
      </c>
      <c r="O26" s="15">
        <v>56.61</v>
      </c>
      <c r="P26" s="15">
        <v>62.51</v>
      </c>
      <c r="Q26" s="20">
        <f t="shared" si="0"/>
        <v>2593.2320432766883</v>
      </c>
      <c r="R26" s="20">
        <f t="shared" si="1"/>
        <v>1445.6910216383442</v>
      </c>
      <c r="S26" s="20">
        <f t="shared" si="2"/>
        <v>3740.7730649150321</v>
      </c>
      <c r="T26" s="20">
        <f t="shared" si="1"/>
        <v>2019.4615324575161</v>
      </c>
      <c r="U26" s="16">
        <f t="shared" si="3"/>
        <v>6035.8551081917203</v>
      </c>
      <c r="V26" s="24">
        <f t="shared" si="4"/>
        <v>3167.00255409586</v>
      </c>
    </row>
    <row r="27" spans="1:22" x14ac:dyDescent="0.25">
      <c r="A27" s="9" t="s">
        <v>3</v>
      </c>
      <c r="B27" s="7">
        <v>1</v>
      </c>
      <c r="C27" s="1"/>
      <c r="L27" s="23">
        <v>3400</v>
      </c>
      <c r="M27" s="15">
        <v>102.64</v>
      </c>
      <c r="N27" s="15">
        <v>40.520000000000003</v>
      </c>
      <c r="O27" s="15">
        <v>56.85</v>
      </c>
      <c r="P27" s="15">
        <v>62.61</v>
      </c>
      <c r="Q27" s="20">
        <f t="shared" si="0"/>
        <v>2585.8765170851348</v>
      </c>
      <c r="R27" s="20">
        <f t="shared" si="1"/>
        <v>1442.0132585425674</v>
      </c>
      <c r="S27" s="20">
        <f t="shared" si="2"/>
        <v>3729.7397756277019</v>
      </c>
      <c r="T27" s="20">
        <f t="shared" si="1"/>
        <v>2013.944887813851</v>
      </c>
      <c r="U27" s="16">
        <f t="shared" si="3"/>
        <v>6017.4662927128365</v>
      </c>
      <c r="V27" s="24">
        <f t="shared" si="4"/>
        <v>3157.8081463564181</v>
      </c>
    </row>
    <row r="28" spans="1:22" ht="16.5" thickBot="1" x14ac:dyDescent="0.3">
      <c r="A28" s="9" t="s">
        <v>4</v>
      </c>
      <c r="B28" s="7">
        <v>3.5999999999999999E-3</v>
      </c>
      <c r="C28" s="1"/>
      <c r="L28" s="29">
        <v>3500</v>
      </c>
      <c r="M28" s="30">
        <v>102.92</v>
      </c>
      <c r="N28" s="30">
        <v>40.68</v>
      </c>
      <c r="O28" s="30">
        <v>57.07</v>
      </c>
      <c r="P28" s="30">
        <v>62.72</v>
      </c>
      <c r="Q28" s="31">
        <f t="shared" si="0"/>
        <v>2578.901549866006</v>
      </c>
      <c r="R28" s="31">
        <f t="shared" si="1"/>
        <v>1438.525774933003</v>
      </c>
      <c r="S28" s="31">
        <f t="shared" si="2"/>
        <v>3719.277324799009</v>
      </c>
      <c r="T28" s="31">
        <f t="shared" si="1"/>
        <v>2008.7136623995045</v>
      </c>
      <c r="U28" s="32">
        <f t="shared" si="3"/>
        <v>6000.028874665014</v>
      </c>
      <c r="V28" s="33">
        <f t="shared" si="4"/>
        <v>3149.0894373325068</v>
      </c>
    </row>
    <row r="29" spans="1:22" x14ac:dyDescent="0.25">
      <c r="A29" s="9" t="s">
        <v>5</v>
      </c>
      <c r="B29" s="7">
        <f>B28/B30</f>
        <v>1.7999999999999999E-2</v>
      </c>
      <c r="C29" s="1"/>
    </row>
    <row r="30" spans="1:22" x14ac:dyDescent="0.25">
      <c r="A30" s="9" t="s">
        <v>6</v>
      </c>
      <c r="B30" s="7">
        <v>0.2</v>
      </c>
      <c r="C30" s="1"/>
    </row>
    <row r="31" spans="1:22" x14ac:dyDescent="0.25">
      <c r="A31" s="12" t="s">
        <v>38</v>
      </c>
      <c r="B31" s="7">
        <f>5+273.15</f>
        <v>278.14999999999998</v>
      </c>
    </row>
    <row r="34" spans="1:3" x14ac:dyDescent="0.25">
      <c r="C34" s="1"/>
    </row>
    <row r="35" spans="1:3" x14ac:dyDescent="0.25">
      <c r="A35" s="1"/>
      <c r="B35" s="1"/>
    </row>
  </sheetData>
  <mergeCells count="1">
    <mergeCell ref="L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9863-C477-4E42-96AC-3ED50EEFD9E1}">
  <dimension ref="A1:Y38"/>
  <sheetViews>
    <sheetView zoomScale="56" workbookViewId="0">
      <selection activeCell="E15" sqref="E15:F16"/>
    </sheetView>
  </sheetViews>
  <sheetFormatPr baseColWidth="10" defaultRowHeight="15.75" x14ac:dyDescent="0.25"/>
  <cols>
    <col min="1" max="1" width="19" customWidth="1"/>
    <col min="2" max="2" width="21.625" customWidth="1"/>
    <col min="3" max="3" width="22.375" customWidth="1"/>
    <col min="4" max="4" width="27.875" customWidth="1"/>
    <col min="5" max="5" width="41" customWidth="1"/>
    <col min="6" max="6" width="20.625" customWidth="1"/>
    <col min="7" max="7" width="19.125" customWidth="1"/>
    <col min="8" max="8" width="17.625" customWidth="1"/>
    <col min="9" max="9" width="23.5" customWidth="1"/>
    <col min="10" max="10" width="14.125" customWidth="1"/>
    <col min="11" max="11" width="14.625" customWidth="1"/>
    <col min="12" max="12" width="12.375" bestFit="1" customWidth="1"/>
    <col min="15" max="17" width="11.25" bestFit="1" customWidth="1"/>
    <col min="18" max="19" width="11.125" bestFit="1" customWidth="1"/>
    <col min="20" max="20" width="18" customWidth="1"/>
    <col min="21" max="21" width="16.875" customWidth="1"/>
    <col min="22" max="25" width="11.875" bestFit="1" customWidth="1"/>
  </cols>
  <sheetData>
    <row r="1" spans="1:25" ht="16.5" thickBot="1" x14ac:dyDescent="0.3">
      <c r="A1" s="55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25" ht="63" x14ac:dyDescent="0.25">
      <c r="A3" s="2" t="s">
        <v>74</v>
      </c>
      <c r="B3" s="3">
        <v>989448.51529999997</v>
      </c>
      <c r="C3" s="4"/>
      <c r="D3" s="5" t="s">
        <v>28</v>
      </c>
      <c r="E3" s="2" t="s">
        <v>76</v>
      </c>
      <c r="F3" s="2" t="s">
        <v>26</v>
      </c>
      <c r="G3" s="2" t="s">
        <v>0</v>
      </c>
      <c r="H3" s="4"/>
      <c r="I3" s="5" t="s">
        <v>23</v>
      </c>
      <c r="J3" s="2" t="s">
        <v>76</v>
      </c>
      <c r="K3" s="2" t="s">
        <v>26</v>
      </c>
      <c r="L3" s="2" t="s">
        <v>0</v>
      </c>
      <c r="O3" s="56" t="s">
        <v>52</v>
      </c>
      <c r="P3" s="56"/>
      <c r="Q3" s="56"/>
      <c r="R3" s="56"/>
      <c r="S3" s="56"/>
      <c r="T3" s="60"/>
      <c r="U3" s="61"/>
      <c r="V3" s="61"/>
      <c r="W3" s="61"/>
      <c r="X3" s="61"/>
      <c r="Y3" s="61"/>
    </row>
    <row r="4" spans="1:25" ht="31.5" x14ac:dyDescent="0.25">
      <c r="A4" s="2" t="s">
        <v>18</v>
      </c>
      <c r="B4" s="3">
        <v>3.5999999999999999E-3</v>
      </c>
      <c r="C4" s="4"/>
      <c r="D4" s="2" t="s">
        <v>21</v>
      </c>
      <c r="E4" s="6">
        <v>2</v>
      </c>
      <c r="F4" s="6">
        <f>$B$7/1.5</f>
        <v>0.67496178306690979</v>
      </c>
      <c r="G4" s="3">
        <f>F4/$B$7</f>
        <v>0.66666666666666663</v>
      </c>
      <c r="H4" s="4"/>
      <c r="I4" s="2" t="s">
        <v>7</v>
      </c>
      <c r="J4" s="6">
        <v>2</v>
      </c>
      <c r="K4" s="3">
        <f>$B$7*J4/J6</f>
        <v>0.67496178306690979</v>
      </c>
      <c r="L4" s="3">
        <f>K4/$K$6</f>
        <v>0.66666666666666663</v>
      </c>
      <c r="O4" s="57" t="s">
        <v>44</v>
      </c>
      <c r="P4" s="13" t="s">
        <v>39</v>
      </c>
      <c r="Q4" s="13" t="s">
        <v>40</v>
      </c>
      <c r="R4" s="13" t="s">
        <v>41</v>
      </c>
      <c r="S4" s="13" t="s">
        <v>42</v>
      </c>
      <c r="T4" s="19" t="s">
        <v>45</v>
      </c>
      <c r="U4" s="19" t="s">
        <v>46</v>
      </c>
      <c r="V4" s="19" t="s">
        <v>47</v>
      </c>
      <c r="W4" s="19" t="s">
        <v>48</v>
      </c>
      <c r="X4" s="19" t="s">
        <v>49</v>
      </c>
      <c r="Y4" s="22" t="s">
        <v>50</v>
      </c>
    </row>
    <row r="5" spans="1:25" x14ac:dyDescent="0.25">
      <c r="A5" s="2" t="s">
        <v>62</v>
      </c>
      <c r="B5" s="3">
        <f>8.3144</f>
        <v>8.3143999999999991</v>
      </c>
      <c r="C5" s="4"/>
      <c r="D5" s="2" t="s">
        <v>22</v>
      </c>
      <c r="E5" s="6">
        <v>1</v>
      </c>
      <c r="F5" s="6">
        <f>F4*0.5</f>
        <v>0.3374808915334549</v>
      </c>
      <c r="G5" s="3">
        <f>F5/$B$7</f>
        <v>0.33333333333333331</v>
      </c>
      <c r="H5" s="4"/>
      <c r="I5" s="2" t="s">
        <v>9</v>
      </c>
      <c r="J5" s="6">
        <v>1</v>
      </c>
      <c r="K5" s="3">
        <f>$B$7*J5/J6</f>
        <v>0.3374808915334549</v>
      </c>
      <c r="L5" s="3">
        <f>K5/K6</f>
        <v>0.33333333333333331</v>
      </c>
      <c r="O5" s="58">
        <v>200</v>
      </c>
      <c r="P5" s="14">
        <v>28.14</v>
      </c>
      <c r="Q5" s="14">
        <v>28.47</v>
      </c>
      <c r="R5" s="14">
        <v>32.25</v>
      </c>
      <c r="S5" s="14">
        <v>32.39</v>
      </c>
      <c r="T5" s="20">
        <f>$B$6+($B$17/(($K$4*R5)+($K$5*S5)))</f>
        <v>4101.5481835070696</v>
      </c>
      <c r="U5" s="20">
        <f>($B$6+T5)/2</f>
        <v>2262.3490917535346</v>
      </c>
      <c r="V5" s="20">
        <f t="shared" ref="V5:V38" si="0">$B$6+($B$18/(($K$4*R5)+($K$5*S5)))</f>
        <v>5940.7472752606036</v>
      </c>
      <c r="W5" s="20">
        <f>($B$6+V5)/2</f>
        <v>3181.9486376303016</v>
      </c>
      <c r="X5" s="20">
        <f t="shared" ref="X5:X38" si="1">$B$6+($B$16/(($K$4*R6)+($K$5*S6)))</f>
        <v>8972.3727979274609</v>
      </c>
      <c r="Y5" s="20">
        <f>($B$6+X5)/2</f>
        <v>4697.7613989637302</v>
      </c>
    </row>
    <row r="6" spans="1:25" ht="31.5" x14ac:dyDescent="0.25">
      <c r="A6" s="2" t="s">
        <v>75</v>
      </c>
      <c r="B6" s="3">
        <f>150+273.15</f>
        <v>423.15</v>
      </c>
      <c r="C6" s="4"/>
      <c r="D6" s="2" t="s">
        <v>25</v>
      </c>
      <c r="E6" s="6">
        <v>3</v>
      </c>
      <c r="F6" s="6">
        <f>SUM(F4:F5)</f>
        <v>1.0124426746003647</v>
      </c>
      <c r="G6" s="3">
        <f>SUM(G4:G5)</f>
        <v>1</v>
      </c>
      <c r="H6" s="4"/>
      <c r="I6" s="2" t="s">
        <v>25</v>
      </c>
      <c r="J6" s="6">
        <v>3</v>
      </c>
      <c r="K6" s="6">
        <f>SUM(K4:K5)</f>
        <v>1.0124426746003647</v>
      </c>
      <c r="L6" s="3">
        <f>SUM(L4:L5)</f>
        <v>1</v>
      </c>
      <c r="O6" s="59">
        <v>300</v>
      </c>
      <c r="P6" s="15">
        <v>35.26</v>
      </c>
      <c r="Q6" s="15">
        <v>29.33</v>
      </c>
      <c r="R6" s="15">
        <v>33.47</v>
      </c>
      <c r="S6" s="15">
        <v>37.28</v>
      </c>
      <c r="T6" s="20">
        <f t="shared" ref="T6:T38" si="2">$B$6+($B$17/(($K$4*R6)+($K$5*S6)))</f>
        <v>3842.8391191709843</v>
      </c>
      <c r="U6" s="20">
        <f t="shared" ref="U6:U38" si="3">($B$6+T6)/2</f>
        <v>2132.994559585492</v>
      </c>
      <c r="V6" s="20">
        <f t="shared" si="0"/>
        <v>5552.6836787564753</v>
      </c>
      <c r="W6" s="20">
        <f t="shared" ref="W6:W38" si="4">($B$6+V6)/2</f>
        <v>2987.9168393782375</v>
      </c>
      <c r="X6" s="20">
        <f t="shared" si="1"/>
        <v>8512.1195869269177</v>
      </c>
      <c r="Y6" s="20">
        <f t="shared" ref="Y6:Y38" si="5">($B$6+X6)/2</f>
        <v>4467.6347934634587</v>
      </c>
    </row>
    <row r="7" spans="1:25" ht="31.5" x14ac:dyDescent="0.25">
      <c r="A7" s="2" t="s">
        <v>88</v>
      </c>
      <c r="B7" s="3">
        <f>(B3*B4)/(B5*B6)</f>
        <v>1.0124426746003647</v>
      </c>
      <c r="C7" s="4"/>
      <c r="D7" s="4"/>
      <c r="E7" s="4"/>
      <c r="F7" s="4"/>
      <c r="G7" s="4"/>
      <c r="H7" s="4"/>
      <c r="I7" s="4"/>
      <c r="J7" s="4"/>
      <c r="K7" s="4"/>
      <c r="L7" s="4"/>
      <c r="O7" s="58">
        <v>400</v>
      </c>
      <c r="P7" s="15">
        <v>41.19</v>
      </c>
      <c r="Q7" s="15">
        <v>30.21</v>
      </c>
      <c r="R7" s="15">
        <v>34.44</v>
      </c>
      <c r="S7" s="15">
        <v>41.27</v>
      </c>
      <c r="T7" s="20">
        <f t="shared" si="2"/>
        <v>3658.7378347707672</v>
      </c>
      <c r="U7" s="20">
        <f t="shared" si="3"/>
        <v>2040.9439173853837</v>
      </c>
      <c r="V7" s="20">
        <f t="shared" si="0"/>
        <v>5276.5317521561501</v>
      </c>
      <c r="W7" s="20">
        <f t="shared" si="4"/>
        <v>2849.8408760780749</v>
      </c>
      <c r="X7" s="20">
        <f t="shared" si="1"/>
        <v>8154.1695227765713</v>
      </c>
      <c r="Y7" s="20">
        <f t="shared" si="5"/>
        <v>4288.6597613882859</v>
      </c>
    </row>
    <row r="8" spans="1:25" ht="31.5" x14ac:dyDescent="0.25">
      <c r="A8" s="2" t="s">
        <v>90</v>
      </c>
      <c r="B8" s="3">
        <f>B7</f>
        <v>1.0124426746003647</v>
      </c>
      <c r="C8" s="4"/>
      <c r="I8" s="4"/>
      <c r="O8" s="58">
        <v>500</v>
      </c>
      <c r="P8" s="15">
        <v>46.61</v>
      </c>
      <c r="Q8" s="15">
        <v>31.11</v>
      </c>
      <c r="R8" s="15">
        <v>35.340000000000003</v>
      </c>
      <c r="S8" s="15">
        <v>44.57</v>
      </c>
      <c r="T8" s="20">
        <f t="shared" si="2"/>
        <v>3515.5578091106286</v>
      </c>
      <c r="U8" s="20">
        <f t="shared" si="3"/>
        <v>1969.3539045553143</v>
      </c>
      <c r="V8" s="20">
        <f t="shared" si="0"/>
        <v>5061.7617136659419</v>
      </c>
      <c r="W8" s="20">
        <f t="shared" si="4"/>
        <v>2742.4558568329708</v>
      </c>
      <c r="X8" s="20">
        <f t="shared" si="1"/>
        <v>7854.9624947868861</v>
      </c>
      <c r="Y8" s="20">
        <f t="shared" si="5"/>
        <v>4139.0562473934433</v>
      </c>
    </row>
    <row r="9" spans="1:25" x14ac:dyDescent="0.25">
      <c r="A9" s="2" t="s">
        <v>61</v>
      </c>
      <c r="B9" s="3">
        <f>287</f>
        <v>287</v>
      </c>
      <c r="C9" s="4"/>
      <c r="I9" s="4"/>
      <c r="O9" s="59">
        <v>600</v>
      </c>
      <c r="P9" s="15">
        <v>51.93</v>
      </c>
      <c r="Q9" s="15">
        <v>32.03</v>
      </c>
      <c r="R9" s="15">
        <v>36.29</v>
      </c>
      <c r="S9" s="15">
        <v>47.31</v>
      </c>
      <c r="T9" s="20">
        <f t="shared" si="2"/>
        <v>3395.8749979147547</v>
      </c>
      <c r="U9" s="20">
        <f t="shared" si="3"/>
        <v>1909.5124989573774</v>
      </c>
      <c r="V9" s="20">
        <f t="shared" si="0"/>
        <v>4882.2374968721315</v>
      </c>
      <c r="W9" s="20">
        <f t="shared" si="4"/>
        <v>2652.6937484360656</v>
      </c>
      <c r="X9" s="20">
        <f t="shared" si="1"/>
        <v>7589.5619681492799</v>
      </c>
      <c r="Y9" s="20">
        <f t="shared" si="5"/>
        <v>4006.3559840746398</v>
      </c>
    </row>
    <row r="10" spans="1:25" ht="31.5" x14ac:dyDescent="0.25">
      <c r="A10" s="2" t="s">
        <v>18</v>
      </c>
      <c r="B10" s="3">
        <v>3.5999999999999999E-3</v>
      </c>
      <c r="O10" s="58">
        <v>700</v>
      </c>
      <c r="P10" s="15">
        <v>57.33</v>
      </c>
      <c r="Q10" s="15">
        <v>32.93</v>
      </c>
      <c r="R10" s="15">
        <v>37.36</v>
      </c>
      <c r="S10" s="15">
        <v>49.61</v>
      </c>
      <c r="T10" s="20">
        <f t="shared" si="2"/>
        <v>3289.714787259712</v>
      </c>
      <c r="U10" s="20">
        <f t="shared" si="3"/>
        <v>1856.4323936298561</v>
      </c>
      <c r="V10" s="20">
        <f t="shared" si="0"/>
        <v>4722.9971808895671</v>
      </c>
      <c r="W10" s="20">
        <f t="shared" si="4"/>
        <v>2573.0735904447833</v>
      </c>
      <c r="X10" s="20">
        <f t="shared" si="1"/>
        <v>7344.613528315077</v>
      </c>
      <c r="Y10" s="20">
        <f t="shared" si="5"/>
        <v>3883.8817641575383</v>
      </c>
    </row>
    <row r="11" spans="1:25" ht="31.5" x14ac:dyDescent="0.25">
      <c r="A11" s="2" t="s">
        <v>5</v>
      </c>
      <c r="B11" s="3">
        <f>0.018</f>
        <v>1.7999999999999999E-2</v>
      </c>
      <c r="O11" s="58">
        <v>800</v>
      </c>
      <c r="P11" s="15">
        <v>62.75</v>
      </c>
      <c r="Q11" s="15">
        <v>33.76</v>
      </c>
      <c r="R11" s="15">
        <v>38.590000000000003</v>
      </c>
      <c r="S11" s="15">
        <v>51.55</v>
      </c>
      <c r="T11" s="20">
        <f t="shared" si="2"/>
        <v>3191.7354113260312</v>
      </c>
      <c r="U11" s="20">
        <f t="shared" si="3"/>
        <v>1807.4427056630157</v>
      </c>
      <c r="V11" s="20">
        <f t="shared" si="0"/>
        <v>4576.0281169890459</v>
      </c>
      <c r="W11" s="20">
        <f t="shared" si="4"/>
        <v>2499.5890584945228</v>
      </c>
      <c r="X11" s="20">
        <f t="shared" si="1"/>
        <v>7122.9018610421826</v>
      </c>
      <c r="Y11" s="20">
        <f t="shared" si="5"/>
        <v>3773.0259305210911</v>
      </c>
    </row>
    <row r="12" spans="1:25" ht="31.5" x14ac:dyDescent="0.25">
      <c r="A12" s="2" t="s">
        <v>85</v>
      </c>
      <c r="B12" s="3">
        <f>0.3*10^-3</f>
        <v>2.9999999999999997E-4</v>
      </c>
      <c r="O12" s="59">
        <v>900</v>
      </c>
      <c r="P12" s="15">
        <v>67.88</v>
      </c>
      <c r="Q12" s="15">
        <v>34.450000000000003</v>
      </c>
      <c r="R12" s="15">
        <v>39.93</v>
      </c>
      <c r="S12" s="15">
        <v>53.13</v>
      </c>
      <c r="T12" s="20">
        <f t="shared" si="2"/>
        <v>3103.0507444168734</v>
      </c>
      <c r="U12" s="20">
        <f t="shared" si="3"/>
        <v>1763.1003722084367</v>
      </c>
      <c r="V12" s="20">
        <f t="shared" si="0"/>
        <v>4443.0011166253098</v>
      </c>
      <c r="W12" s="20">
        <f t="shared" si="4"/>
        <v>2433.0755583126547</v>
      </c>
      <c r="X12" s="20">
        <f t="shared" si="1"/>
        <v>6927.7492115637315</v>
      </c>
      <c r="Y12" s="20">
        <f t="shared" si="5"/>
        <v>3675.4496057818656</v>
      </c>
    </row>
    <row r="13" spans="1:25" ht="31.5" x14ac:dyDescent="0.25">
      <c r="A13" s="2" t="s">
        <v>89</v>
      </c>
      <c r="B13" s="3">
        <f>(B14*B12)/(B5*B6)</f>
        <v>6.7496178306690968E-2</v>
      </c>
      <c r="O13" s="58">
        <v>1000</v>
      </c>
      <c r="P13" s="15">
        <v>72.16</v>
      </c>
      <c r="Q13" s="15">
        <v>34.93</v>
      </c>
      <c r="R13" s="15">
        <v>41.31</v>
      </c>
      <c r="S13" s="15">
        <v>54.36</v>
      </c>
      <c r="T13" s="20">
        <f t="shared" si="2"/>
        <v>3024.9896846254928</v>
      </c>
      <c r="U13" s="20">
        <f t="shared" si="3"/>
        <v>1724.0698423127465</v>
      </c>
      <c r="V13" s="20">
        <f t="shared" si="0"/>
        <v>4325.9095269382387</v>
      </c>
      <c r="W13" s="20">
        <f t="shared" si="4"/>
        <v>2374.5297634691192</v>
      </c>
      <c r="X13" s="20">
        <f t="shared" si="1"/>
        <v>6759.8259120972898</v>
      </c>
      <c r="Y13" s="20">
        <f t="shared" si="5"/>
        <v>3591.4879560486447</v>
      </c>
    </row>
    <row r="14" spans="1:25" ht="31.5" x14ac:dyDescent="0.25">
      <c r="A14" s="66" t="s">
        <v>84</v>
      </c>
      <c r="B14" s="67">
        <f>0.8*B3</f>
        <v>791558.81224</v>
      </c>
      <c r="H14" s="39" t="s">
        <v>87</v>
      </c>
      <c r="I14" s="70">
        <v>50</v>
      </c>
      <c r="O14" s="58">
        <v>1100</v>
      </c>
      <c r="P14" s="15">
        <v>75.599999999999994</v>
      </c>
      <c r="Q14" s="15">
        <v>35.270000000000003</v>
      </c>
      <c r="R14" s="15">
        <v>42.64</v>
      </c>
      <c r="S14" s="15">
        <v>55.33</v>
      </c>
      <c r="T14" s="20">
        <f t="shared" si="2"/>
        <v>2957.8203648389162</v>
      </c>
      <c r="U14" s="20">
        <f t="shared" si="3"/>
        <v>1690.4851824194582</v>
      </c>
      <c r="V14" s="20">
        <f t="shared" si="0"/>
        <v>4225.1555472583732</v>
      </c>
      <c r="W14" s="20">
        <f t="shared" si="4"/>
        <v>2324.1527736291864</v>
      </c>
      <c r="X14" s="20">
        <f t="shared" si="1"/>
        <v>6613.2291996665272</v>
      </c>
      <c r="Y14" s="20">
        <f t="shared" si="5"/>
        <v>3518.1895998332634</v>
      </c>
    </row>
    <row r="15" spans="1:25" ht="31.5" x14ac:dyDescent="0.25">
      <c r="A15" s="10" t="s">
        <v>37</v>
      </c>
      <c r="B15" s="7">
        <f>891*10^3</f>
        <v>891000</v>
      </c>
      <c r="C15" s="10" t="s">
        <v>77</v>
      </c>
      <c r="D15" s="62">
        <f>T19</f>
        <v>2724.1377977919815</v>
      </c>
      <c r="E15" s="19" t="s">
        <v>79</v>
      </c>
      <c r="F15" s="77">
        <f>(F5*D18+F4*D19)*D17</f>
        <v>90815.601690315423</v>
      </c>
      <c r="H15" s="39" t="s">
        <v>82</v>
      </c>
      <c r="I15" s="70">
        <f>22500*10^-6</f>
        <v>2.2499999999999999E-2</v>
      </c>
      <c r="O15" s="59">
        <v>1200</v>
      </c>
      <c r="P15" s="15">
        <v>78.709999999999994</v>
      </c>
      <c r="Q15" s="15">
        <v>35.590000000000003</v>
      </c>
      <c r="R15" s="15">
        <v>43.87</v>
      </c>
      <c r="S15" s="15">
        <v>56.2</v>
      </c>
      <c r="T15" s="20">
        <f t="shared" si="2"/>
        <v>2899.1816798666109</v>
      </c>
      <c r="U15" s="20">
        <f t="shared" si="3"/>
        <v>1661.1658399333055</v>
      </c>
      <c r="V15" s="20">
        <f t="shared" si="0"/>
        <v>4137.1975197999154</v>
      </c>
      <c r="W15" s="20">
        <f t="shared" si="4"/>
        <v>2280.1737598999575</v>
      </c>
      <c r="X15" s="20">
        <f t="shared" si="1"/>
        <v>6483.5499455856334</v>
      </c>
      <c r="Y15" s="20">
        <f t="shared" si="5"/>
        <v>3453.3499727928165</v>
      </c>
    </row>
    <row r="16" spans="1:25" ht="47.25" x14ac:dyDescent="0.25">
      <c r="A16" s="10" t="s">
        <v>36</v>
      </c>
      <c r="B16" s="7">
        <f>F5*B15</f>
        <v>300695.47435630829</v>
      </c>
      <c r="C16" s="10" t="s">
        <v>78</v>
      </c>
      <c r="D16" s="62">
        <f>3*D15/5</f>
        <v>1634.4826786751887</v>
      </c>
      <c r="E16" s="19" t="s">
        <v>92</v>
      </c>
      <c r="F16" s="77">
        <f>10^5</f>
        <v>100000</v>
      </c>
      <c r="H16" s="39" t="s">
        <v>83</v>
      </c>
      <c r="I16" s="70">
        <f>I15/B11</f>
        <v>1.25</v>
      </c>
      <c r="O16" s="58">
        <v>1300</v>
      </c>
      <c r="P16" s="15">
        <v>81.52</v>
      </c>
      <c r="Q16" s="15">
        <v>35.9</v>
      </c>
      <c r="R16" s="15">
        <v>45.02</v>
      </c>
      <c r="S16" s="15">
        <v>56.98</v>
      </c>
      <c r="T16" s="20">
        <f t="shared" si="2"/>
        <v>2847.3099782342538</v>
      </c>
      <c r="U16" s="20">
        <f t="shared" si="3"/>
        <v>1635.2299891171269</v>
      </c>
      <c r="V16" s="20">
        <f t="shared" si="0"/>
        <v>4059.3899673513802</v>
      </c>
      <c r="W16" s="20">
        <f t="shared" si="4"/>
        <v>2241.2699836756901</v>
      </c>
      <c r="X16" s="20">
        <f t="shared" si="1"/>
        <v>6368.3024654700739</v>
      </c>
      <c r="Y16" s="20">
        <f t="shared" si="5"/>
        <v>3395.7262327350368</v>
      </c>
    </row>
    <row r="17" spans="1:25" ht="47.25" x14ac:dyDescent="0.25">
      <c r="A17" s="10" t="s">
        <v>32</v>
      </c>
      <c r="B17" s="7">
        <f>0.4*B16</f>
        <v>120278.18974252332</v>
      </c>
      <c r="C17" s="10" t="s">
        <v>91</v>
      </c>
      <c r="D17" s="7">
        <v>1650</v>
      </c>
      <c r="H17" s="39" t="s">
        <v>73</v>
      </c>
      <c r="I17" s="70">
        <f>B24*(G5^B22)*(G4^B23)*(B3/(B6*B5))*(EXP(-B20/(B6*B5)))</f>
        <v>6.1385103561296328E-8</v>
      </c>
      <c r="O17" s="58">
        <v>1400</v>
      </c>
      <c r="P17" s="15">
        <v>84.05</v>
      </c>
      <c r="Q17" s="15">
        <v>36.200000000000003</v>
      </c>
      <c r="R17" s="15">
        <v>46.1</v>
      </c>
      <c r="S17" s="15">
        <v>57.67</v>
      </c>
      <c r="T17" s="20">
        <f t="shared" si="2"/>
        <v>2801.2109861880299</v>
      </c>
      <c r="U17" s="20">
        <f t="shared" si="3"/>
        <v>1612.180493094015</v>
      </c>
      <c r="V17" s="20">
        <f t="shared" si="0"/>
        <v>3990.2414792820441</v>
      </c>
      <c r="W17" s="20">
        <f t="shared" si="4"/>
        <v>2206.6957396410221</v>
      </c>
      <c r="X17" s="20">
        <f t="shared" si="1"/>
        <v>6266.1560987605726</v>
      </c>
      <c r="Y17" s="20">
        <f t="shared" si="5"/>
        <v>3344.6530493802861</v>
      </c>
    </row>
    <row r="18" spans="1:25" ht="31.5" x14ac:dyDescent="0.25">
      <c r="A18" s="81" t="s">
        <v>34</v>
      </c>
      <c r="B18" s="82">
        <f>B16*0.6</f>
        <v>180417.28461378496</v>
      </c>
      <c r="C18" s="10" t="s">
        <v>81</v>
      </c>
      <c r="D18" s="7">
        <v>89.29</v>
      </c>
      <c r="H18" s="39" t="s">
        <v>57</v>
      </c>
      <c r="I18" s="70">
        <f>G5*B3*10^-3/(B6*B5)</f>
        <v>9.3744692092626342E-2</v>
      </c>
      <c r="O18" s="59">
        <v>1500</v>
      </c>
      <c r="P18" s="15">
        <v>86.32</v>
      </c>
      <c r="Q18" s="15">
        <v>36.49</v>
      </c>
      <c r="R18" s="15">
        <v>47.1</v>
      </c>
      <c r="S18" s="15">
        <v>58.29</v>
      </c>
      <c r="T18" s="20">
        <f t="shared" si="2"/>
        <v>2760.3524395042296</v>
      </c>
      <c r="U18" s="20">
        <f t="shared" si="3"/>
        <v>1591.7512197521148</v>
      </c>
      <c r="V18" s="20">
        <f t="shared" si="0"/>
        <v>3928.9536592563436</v>
      </c>
      <c r="W18" s="20">
        <f t="shared" si="4"/>
        <v>2176.0518296281716</v>
      </c>
      <c r="X18" s="20">
        <f t="shared" si="1"/>
        <v>6175.6194944799527</v>
      </c>
      <c r="Y18" s="20">
        <f t="shared" si="5"/>
        <v>3299.3847472399762</v>
      </c>
    </row>
    <row r="19" spans="1:25" ht="31.5" x14ac:dyDescent="0.25">
      <c r="A19" s="81"/>
      <c r="B19" s="82"/>
      <c r="C19" s="10" t="s">
        <v>80</v>
      </c>
      <c r="D19" s="7">
        <f>36.9</f>
        <v>36.9</v>
      </c>
      <c r="H19" s="39" t="s">
        <v>59</v>
      </c>
      <c r="I19" s="70">
        <f>G4*B3*10^-3/(B6*B5)</f>
        <v>0.18748938418525268</v>
      </c>
      <c r="O19" s="64">
        <v>1600</v>
      </c>
      <c r="P19" s="17">
        <v>88.35</v>
      </c>
      <c r="Q19" s="17">
        <v>36.770000000000003</v>
      </c>
      <c r="R19" s="17">
        <v>48.03</v>
      </c>
      <c r="S19" s="17">
        <v>58.83</v>
      </c>
      <c r="T19" s="17">
        <f t="shared" si="2"/>
        <v>2724.1377977919815</v>
      </c>
      <c r="U19" s="17">
        <f t="shared" si="3"/>
        <v>1573.6438988959908</v>
      </c>
      <c r="V19" s="20">
        <f t="shared" si="0"/>
        <v>3874.6316966879713</v>
      </c>
      <c r="W19" s="20">
        <f t="shared" si="4"/>
        <v>2148.8908483439855</v>
      </c>
      <c r="X19" s="20">
        <f t="shared" si="1"/>
        <v>6094.3357933931629</v>
      </c>
      <c r="Y19" s="20">
        <f t="shared" si="5"/>
        <v>3258.7428966965813</v>
      </c>
    </row>
    <row r="20" spans="1:25" ht="47.25" x14ac:dyDescent="0.25">
      <c r="A20" s="68" t="s">
        <v>8</v>
      </c>
      <c r="B20" s="69">
        <f>30*4184</f>
        <v>125520</v>
      </c>
      <c r="H20" s="39" t="s">
        <v>69</v>
      </c>
      <c r="I20" s="70">
        <f>(I18*10^-3)/I17</f>
        <v>1527.1570243262231</v>
      </c>
      <c r="O20" s="58">
        <v>1700</v>
      </c>
      <c r="P20" s="15">
        <v>90.17</v>
      </c>
      <c r="Q20" s="15">
        <v>37.03</v>
      </c>
      <c r="R20" s="15">
        <v>48.9</v>
      </c>
      <c r="S20" s="15">
        <v>59.31</v>
      </c>
      <c r="T20" s="20">
        <f t="shared" si="2"/>
        <v>2691.6243173572657</v>
      </c>
      <c r="U20" s="20">
        <f t="shared" si="3"/>
        <v>1557.3871586786329</v>
      </c>
      <c r="V20" s="20">
        <f t="shared" si="0"/>
        <v>3825.8614760358978</v>
      </c>
      <c r="W20" s="20">
        <f t="shared" si="4"/>
        <v>2124.5057380179487</v>
      </c>
      <c r="X20" s="20">
        <f t="shared" si="1"/>
        <v>6022.3456262175569</v>
      </c>
      <c r="Y20" s="20">
        <f t="shared" si="5"/>
        <v>3222.7478131087782</v>
      </c>
    </row>
    <row r="21" spans="1:25" ht="31.5" x14ac:dyDescent="0.25">
      <c r="A21" s="9" t="s">
        <v>31</v>
      </c>
      <c r="B21" s="7">
        <f>B20/B6</f>
        <v>296.63239985820633</v>
      </c>
      <c r="H21" s="39" t="s">
        <v>93</v>
      </c>
      <c r="I21" s="70">
        <f>I14*I16*I20</f>
        <v>95447.314020388949</v>
      </c>
      <c r="O21" s="59">
        <v>1800</v>
      </c>
      <c r="P21" s="14">
        <v>91.78</v>
      </c>
      <c r="Q21" s="14">
        <v>37.29</v>
      </c>
      <c r="R21" s="14">
        <v>49.7</v>
      </c>
      <c r="S21" s="14">
        <v>59.73</v>
      </c>
      <c r="T21" s="20">
        <f t="shared" si="2"/>
        <v>2662.8282504870231</v>
      </c>
      <c r="U21" s="20">
        <f t="shared" si="3"/>
        <v>1542.9891252435116</v>
      </c>
      <c r="V21" s="20">
        <f t="shared" si="0"/>
        <v>3782.6673757305339</v>
      </c>
      <c r="W21" s="20">
        <f t="shared" si="4"/>
        <v>2102.908687865267</v>
      </c>
      <c r="X21" s="20">
        <f t="shared" si="1"/>
        <v>5899.1502458361492</v>
      </c>
      <c r="Y21" s="20">
        <f t="shared" si="5"/>
        <v>3161.1501229180744</v>
      </c>
    </row>
    <row r="22" spans="1:25" ht="63.95" customHeight="1" x14ac:dyDescent="0.25">
      <c r="A22" s="9" t="s">
        <v>10</v>
      </c>
      <c r="B22" s="7">
        <v>-0.3</v>
      </c>
      <c r="H22" s="39" t="s">
        <v>94</v>
      </c>
      <c r="I22" s="70">
        <f>2*(SQRT(B11/3.14))</f>
        <v>0.15142633953752063</v>
      </c>
      <c r="O22" s="58">
        <v>1900</v>
      </c>
      <c r="P22" s="15">
        <v>93.22</v>
      </c>
      <c r="Q22" s="15">
        <v>37.79</v>
      </c>
      <c r="R22" s="15">
        <v>51.14</v>
      </c>
      <c r="S22" s="15">
        <v>60.43</v>
      </c>
      <c r="T22" s="20">
        <f t="shared" si="2"/>
        <v>2613.55009833446</v>
      </c>
      <c r="U22" s="20">
        <f t="shared" si="3"/>
        <v>1518.3500491672301</v>
      </c>
      <c r="V22" s="20">
        <f t="shared" si="0"/>
        <v>3708.7501475016898</v>
      </c>
      <c r="W22" s="20">
        <f t="shared" si="4"/>
        <v>2065.9500737508447</v>
      </c>
      <c r="X22" s="20">
        <f t="shared" si="1"/>
        <v>5899.1502458361492</v>
      </c>
      <c r="Y22" s="20">
        <f t="shared" si="5"/>
        <v>3161.1501229180744</v>
      </c>
    </row>
    <row r="23" spans="1:25" x14ac:dyDescent="0.25">
      <c r="A23" s="9" t="s">
        <v>12</v>
      </c>
      <c r="B23" s="7">
        <v>1.3</v>
      </c>
      <c r="O23" s="17">
        <v>2000</v>
      </c>
      <c r="P23" s="17">
        <v>94.49</v>
      </c>
      <c r="Q23" s="17">
        <v>37.79</v>
      </c>
      <c r="R23" s="17">
        <v>51.14</v>
      </c>
      <c r="S23" s="17">
        <v>60.43</v>
      </c>
      <c r="T23" s="20">
        <f t="shared" si="2"/>
        <v>2613.55009833446</v>
      </c>
      <c r="U23" s="20">
        <f t="shared" si="3"/>
        <v>1518.3500491672301</v>
      </c>
      <c r="V23" s="17">
        <f t="shared" si="0"/>
        <v>3708.7501475016898</v>
      </c>
      <c r="W23" s="17">
        <f t="shared" si="4"/>
        <v>2065.9500737508447</v>
      </c>
      <c r="X23" s="20">
        <f t="shared" si="1"/>
        <v>5847.1470779813708</v>
      </c>
      <c r="Y23" s="20">
        <f t="shared" si="5"/>
        <v>3135.1485389906852</v>
      </c>
    </row>
    <row r="24" spans="1:25" ht="31.5" x14ac:dyDescent="0.25">
      <c r="A24" s="9" t="s">
        <v>14</v>
      </c>
      <c r="B24" s="7">
        <f>8.3*10^5</f>
        <v>830000.00000000012</v>
      </c>
      <c r="O24" s="58">
        <v>2100</v>
      </c>
      <c r="P24" s="15">
        <v>95.62</v>
      </c>
      <c r="Q24" s="15">
        <v>38.020000000000003</v>
      </c>
      <c r="R24" s="15">
        <v>51.78</v>
      </c>
      <c r="S24" s="15">
        <v>60.71</v>
      </c>
      <c r="T24" s="20">
        <f t="shared" si="2"/>
        <v>2592.7488311925486</v>
      </c>
      <c r="U24" s="20">
        <f t="shared" si="3"/>
        <v>1507.9494155962743</v>
      </c>
      <c r="V24" s="20">
        <f t="shared" si="0"/>
        <v>3677.5482467888223</v>
      </c>
      <c r="W24" s="20">
        <f t="shared" si="4"/>
        <v>2050.349123394411</v>
      </c>
      <c r="X24" s="20">
        <f t="shared" si="1"/>
        <v>5799.6887400434462</v>
      </c>
      <c r="Y24" s="20">
        <f t="shared" si="5"/>
        <v>3111.4193700217229</v>
      </c>
    </row>
    <row r="25" spans="1:25" x14ac:dyDescent="0.25">
      <c r="O25" s="59">
        <v>2200</v>
      </c>
      <c r="P25" s="15">
        <v>96.61</v>
      </c>
      <c r="Q25" s="15">
        <v>38.25</v>
      </c>
      <c r="R25" s="15">
        <v>52.38</v>
      </c>
      <c r="S25" s="15">
        <v>60.96</v>
      </c>
      <c r="T25" s="20">
        <f t="shared" si="2"/>
        <v>2573.7654960173786</v>
      </c>
      <c r="U25" s="20">
        <f t="shared" si="3"/>
        <v>1498.4577480086894</v>
      </c>
      <c r="V25" s="20">
        <f t="shared" si="0"/>
        <v>3649.0732440260676</v>
      </c>
      <c r="W25" s="20">
        <f t="shared" si="4"/>
        <v>2036.1116220130339</v>
      </c>
      <c r="X25" s="20">
        <f t="shared" si="1"/>
        <v>5757.840456232786</v>
      </c>
      <c r="Y25" s="20">
        <f t="shared" si="5"/>
        <v>3090.4952281163928</v>
      </c>
    </row>
    <row r="26" spans="1:25" x14ac:dyDescent="0.25">
      <c r="O26" s="58">
        <v>2300</v>
      </c>
      <c r="P26" s="15">
        <v>97.49</v>
      </c>
      <c r="Q26" s="15">
        <v>38.47</v>
      </c>
      <c r="R26" s="15">
        <v>52.92</v>
      </c>
      <c r="S26" s="15">
        <v>61.18</v>
      </c>
      <c r="T26" s="20">
        <f t="shared" si="2"/>
        <v>2557.0261824931144</v>
      </c>
      <c r="U26" s="20">
        <f t="shared" si="3"/>
        <v>1490.0880912465573</v>
      </c>
      <c r="V26" s="20">
        <f t="shared" si="0"/>
        <v>3623.9642737396716</v>
      </c>
      <c r="W26" s="20">
        <f t="shared" si="4"/>
        <v>2023.5571368698359</v>
      </c>
      <c r="X26" s="20">
        <f t="shared" si="1"/>
        <v>5719.4705135825952</v>
      </c>
      <c r="Y26" s="20">
        <f t="shared" si="5"/>
        <v>3071.3102567912974</v>
      </c>
    </row>
    <row r="27" spans="1:25" x14ac:dyDescent="0.25">
      <c r="O27" s="58">
        <v>2400</v>
      </c>
      <c r="P27" s="15">
        <v>98.26</v>
      </c>
      <c r="Q27" s="15">
        <v>38.68</v>
      </c>
      <c r="R27" s="15">
        <v>53.43</v>
      </c>
      <c r="S27" s="15">
        <v>61.37</v>
      </c>
      <c r="T27" s="20">
        <f t="shared" si="2"/>
        <v>2541.6782054330383</v>
      </c>
      <c r="U27" s="20">
        <f t="shared" si="3"/>
        <v>1482.4141027165192</v>
      </c>
      <c r="V27" s="20">
        <f t="shared" si="0"/>
        <v>3600.942308149557</v>
      </c>
      <c r="W27" s="20">
        <f t="shared" si="4"/>
        <v>2012.0461540747785</v>
      </c>
      <c r="X27" s="20">
        <f t="shared" si="1"/>
        <v>5684.4431798051364</v>
      </c>
      <c r="Y27" s="20">
        <f t="shared" si="5"/>
        <v>3053.796589902568</v>
      </c>
    </row>
    <row r="28" spans="1:25" x14ac:dyDescent="0.25">
      <c r="O28" s="59">
        <v>2500</v>
      </c>
      <c r="P28" s="15">
        <v>98.94</v>
      </c>
      <c r="Q28" s="15">
        <v>38.89</v>
      </c>
      <c r="R28" s="15">
        <v>53.9</v>
      </c>
      <c r="S28" s="15">
        <v>61.55</v>
      </c>
      <c r="T28" s="20">
        <f t="shared" si="2"/>
        <v>2527.6672719220551</v>
      </c>
      <c r="U28" s="20">
        <f t="shared" si="3"/>
        <v>1475.4086359610276</v>
      </c>
      <c r="V28" s="20">
        <f t="shared" si="0"/>
        <v>3579.9259078830819</v>
      </c>
      <c r="W28" s="20">
        <f t="shared" si="4"/>
        <v>2001.537953941541</v>
      </c>
      <c r="X28" s="20">
        <f t="shared" si="1"/>
        <v>5652.6370289940123</v>
      </c>
      <c r="Y28" s="20">
        <f t="shared" si="5"/>
        <v>3037.893514497006</v>
      </c>
    </row>
    <row r="29" spans="1:25" x14ac:dyDescent="0.25">
      <c r="O29" s="58">
        <v>2600</v>
      </c>
      <c r="P29" s="15">
        <v>99.54</v>
      </c>
      <c r="Q29" s="15">
        <v>39.090000000000003</v>
      </c>
      <c r="R29" s="15">
        <v>54.34</v>
      </c>
      <c r="S29" s="15">
        <v>61.7</v>
      </c>
      <c r="T29" s="20">
        <f t="shared" si="2"/>
        <v>2514.9448115976052</v>
      </c>
      <c r="U29" s="20">
        <f t="shared" si="3"/>
        <v>1469.0474057988026</v>
      </c>
      <c r="V29" s="20">
        <f t="shared" si="0"/>
        <v>3560.8422173964077</v>
      </c>
      <c r="W29" s="20">
        <f t="shared" si="4"/>
        <v>1991.9961086982039</v>
      </c>
      <c r="X29" s="20">
        <f t="shared" si="1"/>
        <v>5623.9438360961931</v>
      </c>
      <c r="Y29" s="20">
        <f t="shared" si="5"/>
        <v>3023.5469180480964</v>
      </c>
    </row>
    <row r="30" spans="1:25" x14ac:dyDescent="0.25">
      <c r="O30" s="58">
        <v>2700</v>
      </c>
      <c r="P30" s="15">
        <v>100.08</v>
      </c>
      <c r="Q30" s="15">
        <v>39.29</v>
      </c>
      <c r="R30" s="15">
        <v>54.74</v>
      </c>
      <c r="S30" s="15">
        <v>61.84</v>
      </c>
      <c r="T30" s="20">
        <f t="shared" si="2"/>
        <v>2503.4675344384773</v>
      </c>
      <c r="U30" s="20">
        <f t="shared" si="3"/>
        <v>1463.3087672192387</v>
      </c>
      <c r="V30" s="20">
        <f t="shared" si="0"/>
        <v>3543.6263016577159</v>
      </c>
      <c r="W30" s="20">
        <f t="shared" si="4"/>
        <v>1983.388150828858</v>
      </c>
      <c r="X30" s="20">
        <f t="shared" si="1"/>
        <v>5597.9670519224055</v>
      </c>
      <c r="Y30" s="20">
        <f t="shared" si="5"/>
        <v>3010.5585259612026</v>
      </c>
    </row>
    <row r="31" spans="1:25" x14ac:dyDescent="0.25">
      <c r="O31" s="59">
        <v>2800</v>
      </c>
      <c r="P31" s="15">
        <v>100.55</v>
      </c>
      <c r="Q31" s="15">
        <v>39.479999999999997</v>
      </c>
      <c r="R31" s="15">
        <v>55.11</v>
      </c>
      <c r="S31" s="15">
        <v>61.96</v>
      </c>
      <c r="T31" s="20">
        <f t="shared" si="2"/>
        <v>2493.0768207689625</v>
      </c>
      <c r="U31" s="20">
        <f t="shared" si="3"/>
        <v>1458.1134103844813</v>
      </c>
      <c r="V31" s="20">
        <f t="shared" si="0"/>
        <v>3528.0402311534435</v>
      </c>
      <c r="W31" s="20">
        <f t="shared" si="4"/>
        <v>1975.5951155767218</v>
      </c>
      <c r="X31" s="20">
        <f t="shared" si="1"/>
        <v>5573.4390173410402</v>
      </c>
      <c r="Y31" s="20">
        <f t="shared" si="5"/>
        <v>2998.2945086705199</v>
      </c>
    </row>
    <row r="32" spans="1:25" x14ac:dyDescent="0.25">
      <c r="O32" s="58">
        <v>2900</v>
      </c>
      <c r="P32" s="15">
        <v>100.98</v>
      </c>
      <c r="Q32" s="15">
        <v>39.659999999999997</v>
      </c>
      <c r="R32" s="15">
        <v>55.46</v>
      </c>
      <c r="S32" s="15">
        <v>62.08</v>
      </c>
      <c r="T32" s="20">
        <f t="shared" si="2"/>
        <v>2483.2656069364161</v>
      </c>
      <c r="U32" s="20">
        <f t="shared" si="3"/>
        <v>1453.2078034682081</v>
      </c>
      <c r="V32" s="20">
        <f t="shared" si="0"/>
        <v>3513.3234104046242</v>
      </c>
      <c r="W32" s="20">
        <f t="shared" si="4"/>
        <v>1968.2367052023121</v>
      </c>
      <c r="X32" s="20">
        <f t="shared" si="1"/>
        <v>5551.2075539568341</v>
      </c>
      <c r="Y32" s="20">
        <f t="shared" si="5"/>
        <v>2987.1787769784169</v>
      </c>
    </row>
    <row r="33" spans="15:25" x14ac:dyDescent="0.25">
      <c r="O33" s="17">
        <v>3000</v>
      </c>
      <c r="P33" s="17">
        <v>101.37</v>
      </c>
      <c r="Q33" s="17">
        <v>39.840000000000003</v>
      </c>
      <c r="R33" s="17">
        <v>55.78</v>
      </c>
      <c r="S33" s="17">
        <v>62.19</v>
      </c>
      <c r="T33" s="20">
        <f t="shared" si="2"/>
        <v>2474.3730215827336</v>
      </c>
      <c r="U33" s="20">
        <f t="shared" si="3"/>
        <v>1448.7615107913668</v>
      </c>
      <c r="V33" s="20">
        <f t="shared" si="0"/>
        <v>3499.9845323741001</v>
      </c>
      <c r="W33" s="20">
        <f t="shared" si="4"/>
        <v>1961.5672661870501</v>
      </c>
      <c r="X33" s="17">
        <f t="shared" si="1"/>
        <v>5530.9234464572337</v>
      </c>
      <c r="Y33" s="17">
        <f t="shared" si="5"/>
        <v>2977.0367232286167</v>
      </c>
    </row>
    <row r="34" spans="15:25" x14ac:dyDescent="0.25">
      <c r="O34" s="58">
        <v>3100</v>
      </c>
      <c r="P34" s="15">
        <v>101.72</v>
      </c>
      <c r="Q34" s="15">
        <v>40.020000000000003</v>
      </c>
      <c r="R34" s="15">
        <v>56.07</v>
      </c>
      <c r="S34" s="15">
        <v>62.3</v>
      </c>
      <c r="T34" s="20">
        <f t="shared" si="2"/>
        <v>2466.2593785828935</v>
      </c>
      <c r="U34" s="20">
        <f t="shared" si="3"/>
        <v>1444.7046892914468</v>
      </c>
      <c r="V34" s="20">
        <f t="shared" si="0"/>
        <v>3487.8140678743403</v>
      </c>
      <c r="W34" s="20">
        <f t="shared" si="4"/>
        <v>1955.4820339371702</v>
      </c>
      <c r="X34" s="20">
        <f t="shared" si="1"/>
        <v>5511.6708452312951</v>
      </c>
      <c r="Y34" s="20">
        <f t="shared" si="5"/>
        <v>2967.4104226156473</v>
      </c>
    </row>
    <row r="35" spans="15:25" x14ac:dyDescent="0.25">
      <c r="O35" s="59">
        <v>3200</v>
      </c>
      <c r="P35" s="15">
        <v>102.05</v>
      </c>
      <c r="Q35" s="15">
        <v>40.19</v>
      </c>
      <c r="R35" s="15">
        <v>56.35</v>
      </c>
      <c r="S35" s="15">
        <v>62.4</v>
      </c>
      <c r="T35" s="20">
        <f t="shared" si="2"/>
        <v>2458.5583380925182</v>
      </c>
      <c r="U35" s="20">
        <f t="shared" si="3"/>
        <v>1440.8541690462591</v>
      </c>
      <c r="V35" s="20">
        <f t="shared" si="0"/>
        <v>3476.2625071387774</v>
      </c>
      <c r="W35" s="20">
        <f t="shared" si="4"/>
        <v>1949.7062535693888</v>
      </c>
      <c r="X35" s="20">
        <f t="shared" si="1"/>
        <v>5493.4282677971878</v>
      </c>
      <c r="Y35" s="20">
        <f t="shared" si="5"/>
        <v>2958.2891338985937</v>
      </c>
    </row>
    <row r="36" spans="15:25" x14ac:dyDescent="0.25">
      <c r="O36" s="58">
        <v>3300</v>
      </c>
      <c r="P36" s="15">
        <v>102.35</v>
      </c>
      <c r="Q36" s="15">
        <v>40.36</v>
      </c>
      <c r="R36" s="15">
        <v>56.61</v>
      </c>
      <c r="S36" s="15">
        <v>62.51</v>
      </c>
      <c r="T36" s="20">
        <f t="shared" si="2"/>
        <v>2451.2613071188753</v>
      </c>
      <c r="U36" s="20">
        <f t="shared" si="3"/>
        <v>1437.2056535594377</v>
      </c>
      <c r="V36" s="20">
        <f t="shared" si="0"/>
        <v>3465.3169606783126</v>
      </c>
      <c r="W36" s="20">
        <f t="shared" si="4"/>
        <v>1944.2334803391564</v>
      </c>
      <c r="X36" s="20">
        <f t="shared" si="1"/>
        <v>5476.7487748851445</v>
      </c>
      <c r="Y36" s="20">
        <f t="shared" si="5"/>
        <v>2949.9493874425721</v>
      </c>
    </row>
    <row r="37" spans="15:25" x14ac:dyDescent="0.25">
      <c r="O37" s="58">
        <v>3400</v>
      </c>
      <c r="P37" s="15">
        <v>102.64</v>
      </c>
      <c r="Q37" s="15">
        <v>40.520000000000003</v>
      </c>
      <c r="R37" s="15">
        <v>56.85</v>
      </c>
      <c r="S37" s="15">
        <v>62.61</v>
      </c>
      <c r="T37" s="20">
        <f t="shared" si="2"/>
        <v>2444.589509954058</v>
      </c>
      <c r="U37" s="20">
        <f t="shared" si="3"/>
        <v>1433.8697549770291</v>
      </c>
      <c r="V37" s="20">
        <f t="shared" si="0"/>
        <v>3455.309264931087</v>
      </c>
      <c r="W37" s="20">
        <f t="shared" si="4"/>
        <v>1939.2296324655435</v>
      </c>
      <c r="X37" s="20">
        <f t="shared" si="1"/>
        <v>5461.0330713558742</v>
      </c>
      <c r="Y37" s="20">
        <f t="shared" si="5"/>
        <v>2942.0915356779369</v>
      </c>
    </row>
    <row r="38" spans="15:25" x14ac:dyDescent="0.25">
      <c r="O38" s="59">
        <v>3500</v>
      </c>
      <c r="P38" s="15">
        <v>102.92</v>
      </c>
      <c r="Q38" s="15">
        <v>40.68</v>
      </c>
      <c r="R38" s="15">
        <v>57.07</v>
      </c>
      <c r="S38" s="15">
        <v>62.72</v>
      </c>
      <c r="T38" s="20">
        <f t="shared" si="2"/>
        <v>2438.3032285423501</v>
      </c>
      <c r="U38" s="20">
        <f t="shared" si="3"/>
        <v>1430.7266142711751</v>
      </c>
      <c r="V38" s="20">
        <f t="shared" si="0"/>
        <v>3445.8798428135246</v>
      </c>
      <c r="W38" s="20">
        <f t="shared" si="4"/>
        <v>1934.5149214067624</v>
      </c>
      <c r="X38" s="20" t="e">
        <f t="shared" si="1"/>
        <v>#DIV/0!</v>
      </c>
      <c r="Y38" s="20" t="e">
        <f t="shared" si="5"/>
        <v>#DIV/0!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4167-FB8E-1444-838E-50BAF5D505CE}">
  <dimension ref="A1:Y38"/>
  <sheetViews>
    <sheetView tabSelected="1" zoomScale="41" workbookViewId="0">
      <selection activeCell="I8" sqref="I8:L11"/>
    </sheetView>
  </sheetViews>
  <sheetFormatPr baseColWidth="10" defaultRowHeight="15.75" x14ac:dyDescent="0.25"/>
  <cols>
    <col min="1" max="1" width="16.375" customWidth="1"/>
    <col min="2" max="2" width="20.5" customWidth="1"/>
    <col min="3" max="3" width="16.5" customWidth="1"/>
    <col min="4" max="4" width="17.375" customWidth="1"/>
    <col min="5" max="5" width="40.625" customWidth="1"/>
    <col min="6" max="6" width="21.125" customWidth="1"/>
    <col min="7" max="7" width="23" customWidth="1"/>
    <col min="9" max="9" width="29.625" customWidth="1"/>
    <col min="10" max="10" width="20.5" customWidth="1"/>
    <col min="11" max="11" width="20.375" customWidth="1"/>
    <col min="12" max="12" width="21.5" customWidth="1"/>
    <col min="20" max="20" width="16.375" customWidth="1"/>
    <col min="21" max="21" width="24.625" customWidth="1"/>
    <col min="22" max="22" width="17.375" customWidth="1"/>
    <col min="23" max="23" width="17" customWidth="1"/>
    <col min="24" max="24" width="15.5" customWidth="1"/>
    <col min="25" max="25" width="21.875" customWidth="1"/>
  </cols>
  <sheetData>
    <row r="1" spans="1:25" ht="16.5" thickBot="1" x14ac:dyDescent="0.3">
      <c r="A1" s="55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5" ht="32.25" thickBot="1" x14ac:dyDescent="0.3">
      <c r="A2" s="2" t="s">
        <v>74</v>
      </c>
      <c r="B2" s="3">
        <v>989448.51529999997</v>
      </c>
      <c r="C2" s="4"/>
      <c r="D2" s="4"/>
      <c r="E2" s="4"/>
      <c r="F2" s="4"/>
      <c r="G2" s="4"/>
      <c r="H2" s="4"/>
      <c r="I2" s="4"/>
      <c r="J2" s="4"/>
      <c r="K2" s="4"/>
    </row>
    <row r="3" spans="1:25" ht="47.25" x14ac:dyDescent="0.25">
      <c r="A3" s="66" t="s">
        <v>84</v>
      </c>
      <c r="B3" s="67">
        <f>0.8*B2</f>
        <v>791558.81224</v>
      </c>
      <c r="C3" s="4"/>
      <c r="D3" s="5" t="s">
        <v>28</v>
      </c>
      <c r="E3" s="2" t="s">
        <v>76</v>
      </c>
      <c r="F3" s="2" t="s">
        <v>26</v>
      </c>
      <c r="G3" s="2" t="s">
        <v>0</v>
      </c>
      <c r="H3" s="4"/>
      <c r="I3" s="5" t="s">
        <v>23</v>
      </c>
      <c r="J3" s="2" t="s">
        <v>76</v>
      </c>
      <c r="K3" s="2" t="s">
        <v>26</v>
      </c>
      <c r="L3" s="2" t="s">
        <v>0</v>
      </c>
      <c r="O3" s="78" t="s">
        <v>52</v>
      </c>
      <c r="P3" s="79"/>
      <c r="Q3" s="79"/>
      <c r="R3" s="79"/>
      <c r="S3" s="79"/>
      <c r="T3" s="79"/>
      <c r="U3" s="79"/>
      <c r="V3" s="79"/>
      <c r="W3" s="79"/>
      <c r="X3" s="79"/>
      <c r="Y3" s="80"/>
    </row>
    <row r="4" spans="1:25" ht="31.5" x14ac:dyDescent="0.25">
      <c r="A4" s="2" t="s">
        <v>85</v>
      </c>
      <c r="B4" s="3">
        <f>0.3*10^-3</f>
        <v>2.9999999999999997E-4</v>
      </c>
      <c r="C4" s="4"/>
      <c r="D4" s="2" t="s">
        <v>21</v>
      </c>
      <c r="E4" s="6">
        <v>2</v>
      </c>
      <c r="F4" s="6">
        <f>$B$7/1.5</f>
        <v>4.4997452204460643E-2</v>
      </c>
      <c r="G4" s="3">
        <f>F4/$B$7</f>
        <v>0.66666666666666663</v>
      </c>
      <c r="H4" s="4"/>
      <c r="I4" s="2" t="s">
        <v>7</v>
      </c>
      <c r="J4" s="6">
        <v>2</v>
      </c>
      <c r="K4" s="3">
        <f>$B$7*J4/J6</f>
        <v>4.4997452204460643E-2</v>
      </c>
      <c r="L4" s="3">
        <f>K4/$K$6</f>
        <v>0.66666666666666663</v>
      </c>
      <c r="O4" s="21" t="s">
        <v>44</v>
      </c>
      <c r="P4" s="13" t="s">
        <v>39</v>
      </c>
      <c r="Q4" s="13" t="s">
        <v>40</v>
      </c>
      <c r="R4" s="13" t="s">
        <v>41</v>
      </c>
      <c r="S4" s="13" t="s">
        <v>42</v>
      </c>
      <c r="T4" s="19" t="s">
        <v>45</v>
      </c>
      <c r="U4" s="19" t="s">
        <v>46</v>
      </c>
      <c r="V4" s="19" t="s">
        <v>47</v>
      </c>
      <c r="W4" s="19" t="s">
        <v>48</v>
      </c>
      <c r="X4" s="19" t="s">
        <v>49</v>
      </c>
      <c r="Y4" s="22" t="s">
        <v>50</v>
      </c>
    </row>
    <row r="5" spans="1:25" ht="31.5" x14ac:dyDescent="0.25">
      <c r="A5" s="2" t="s">
        <v>62</v>
      </c>
      <c r="B5" s="3">
        <f>8.3144</f>
        <v>8.3143999999999991</v>
      </c>
      <c r="C5" s="4"/>
      <c r="D5" s="2" t="s">
        <v>22</v>
      </c>
      <c r="E5" s="6">
        <v>1</v>
      </c>
      <c r="F5" s="6">
        <f>F4*0.5</f>
        <v>2.2498726102230322E-2</v>
      </c>
      <c r="G5" s="3">
        <f>F5/$B$7</f>
        <v>0.33333333333333331</v>
      </c>
      <c r="H5" s="4"/>
      <c r="I5" s="2" t="s">
        <v>9</v>
      </c>
      <c r="J5" s="6">
        <v>1</v>
      </c>
      <c r="K5" s="3">
        <f>$B$7*J5/J6</f>
        <v>2.2498726102230322E-2</v>
      </c>
      <c r="L5" s="3">
        <f>K5/K6</f>
        <v>0.33333333333333331</v>
      </c>
      <c r="O5" s="23">
        <v>200</v>
      </c>
      <c r="P5" s="14">
        <v>28.14</v>
      </c>
      <c r="Q5" s="14">
        <v>28.47</v>
      </c>
      <c r="R5" s="14">
        <v>32.25</v>
      </c>
      <c r="S5" s="14">
        <v>32.39</v>
      </c>
      <c r="T5" s="20">
        <f>$B$6+($B$17/(($K$9*R5)+($K$10*S5)))</f>
        <v>667.71689563361622</v>
      </c>
      <c r="U5" s="20">
        <f>($B$6+T5)/2</f>
        <v>545.4334478168081</v>
      </c>
      <c r="V5" s="20">
        <f>$B$6+($B$18/(($K$9*R5)+($K$10*S5)))</f>
        <v>790.00034345042423</v>
      </c>
      <c r="W5" s="20">
        <f>($B$6+V5)/2</f>
        <v>606.57517172521216</v>
      </c>
      <c r="X5" s="20">
        <f>$B$6+($B$16/(($K$9*R6)+($K$10*S6)))</f>
        <v>956.68932382423725</v>
      </c>
      <c r="Y5" s="24">
        <f>($B$6+X5)/2</f>
        <v>689.91966191211861</v>
      </c>
    </row>
    <row r="6" spans="1:25" ht="31.5" x14ac:dyDescent="0.25">
      <c r="A6" s="2" t="s">
        <v>75</v>
      </c>
      <c r="B6" s="3">
        <f>150+273.15</f>
        <v>423.15</v>
      </c>
      <c r="C6" s="4"/>
      <c r="D6" s="2" t="s">
        <v>25</v>
      </c>
      <c r="E6" s="6">
        <v>3</v>
      </c>
      <c r="F6" s="6">
        <f>SUM(F4:F5)</f>
        <v>6.7496178306690968E-2</v>
      </c>
      <c r="G6" s="3">
        <f>SUM(G4:G5)</f>
        <v>1</v>
      </c>
      <c r="H6" s="4"/>
      <c r="I6" s="2" t="s">
        <v>25</v>
      </c>
      <c r="J6" s="6">
        <v>3</v>
      </c>
      <c r="K6" s="6">
        <f>SUM(K4:K5)</f>
        <v>6.7496178306690968E-2</v>
      </c>
      <c r="L6" s="3">
        <f>SUM(L4:L5)</f>
        <v>1</v>
      </c>
      <c r="O6" s="25">
        <v>300</v>
      </c>
      <c r="P6" s="15">
        <v>35.26</v>
      </c>
      <c r="Q6" s="15">
        <v>29.33</v>
      </c>
      <c r="R6" s="15">
        <v>33.47</v>
      </c>
      <c r="S6" s="15">
        <v>37.28</v>
      </c>
      <c r="T6" s="20">
        <f t="shared" ref="T6:T38" si="0">$B$6+($B$17/(($K$9*R6)+($K$10*S6)))</f>
        <v>636.56572952969486</v>
      </c>
      <c r="U6" s="20">
        <f t="shared" ref="U6:U38" si="1">($B$6+T6)/2</f>
        <v>529.85786476484736</v>
      </c>
      <c r="V6" s="20">
        <f t="shared" ref="V6:V38" si="2">$B$6+($B$18/(($K$9*R6)+($K$10*S6)))</f>
        <v>743.27359429454236</v>
      </c>
      <c r="W6" s="20">
        <f t="shared" ref="W6:W38" si="3">($B$6+V6)/2</f>
        <v>583.21179714727123</v>
      </c>
      <c r="X6" s="20">
        <f t="shared" ref="X6:X38" si="4">$B$6+($B$16/(($K$9*R7)+($K$10*S7)))</f>
        <v>906.47239393758548</v>
      </c>
      <c r="Y6" s="24">
        <f t="shared" ref="Y6:Y38" si="5">($B$6+X6)/2</f>
        <v>664.81119696879273</v>
      </c>
    </row>
    <row r="7" spans="1:25" ht="47.25" x14ac:dyDescent="0.25">
      <c r="A7" s="2" t="s">
        <v>95</v>
      </c>
      <c r="B7" s="3">
        <f>(B3*B4)/(B5*B6)</f>
        <v>6.7496178306690968E-2</v>
      </c>
      <c r="C7" s="4"/>
      <c r="D7" s="4"/>
      <c r="E7" s="4"/>
      <c r="F7" s="4"/>
      <c r="G7" s="4"/>
      <c r="H7" s="4"/>
      <c r="I7" s="4"/>
      <c r="J7" s="4"/>
      <c r="K7" s="4"/>
      <c r="L7" s="4"/>
      <c r="O7" s="23">
        <v>400</v>
      </c>
      <c r="P7" s="15">
        <v>41.19</v>
      </c>
      <c r="Q7" s="15">
        <v>30.21</v>
      </c>
      <c r="R7" s="15">
        <v>34.44</v>
      </c>
      <c r="S7" s="15">
        <v>41.27</v>
      </c>
      <c r="T7" s="20">
        <f t="shared" si="0"/>
        <v>616.4789575750342</v>
      </c>
      <c r="U7" s="20">
        <f t="shared" si="1"/>
        <v>519.81447878751715</v>
      </c>
      <c r="V7" s="20">
        <f t="shared" si="2"/>
        <v>713.14343636255126</v>
      </c>
      <c r="W7" s="20">
        <f t="shared" si="3"/>
        <v>568.14671818127567</v>
      </c>
      <c r="X7" s="20">
        <f t="shared" si="4"/>
        <v>871.52182151681495</v>
      </c>
      <c r="Y7" s="24">
        <f t="shared" si="5"/>
        <v>647.33591075840741</v>
      </c>
    </row>
    <row r="8" spans="1:25" ht="31.5" x14ac:dyDescent="0.25">
      <c r="A8" s="2" t="s">
        <v>96</v>
      </c>
      <c r="B8" s="3">
        <f>B7</f>
        <v>6.7496178306690968E-2</v>
      </c>
      <c r="C8" s="4"/>
      <c r="D8" s="73" t="s">
        <v>28</v>
      </c>
      <c r="E8" s="74" t="s">
        <v>76</v>
      </c>
      <c r="F8" s="74" t="s">
        <v>26</v>
      </c>
      <c r="G8" s="74" t="s">
        <v>0</v>
      </c>
      <c r="I8" s="73" t="s">
        <v>23</v>
      </c>
      <c r="J8" s="74" t="s">
        <v>76</v>
      </c>
      <c r="K8" s="74" t="s">
        <v>26</v>
      </c>
      <c r="L8" s="74" t="s">
        <v>0</v>
      </c>
      <c r="O8" s="26">
        <v>500</v>
      </c>
      <c r="P8" s="17">
        <v>46.61</v>
      </c>
      <c r="Q8" s="17">
        <v>31.11</v>
      </c>
      <c r="R8" s="17">
        <v>35.340000000000003</v>
      </c>
      <c r="S8" s="17">
        <v>44.57</v>
      </c>
      <c r="T8" s="17">
        <f t="shared" si="0"/>
        <v>602.49872860672599</v>
      </c>
      <c r="U8" s="17">
        <f t="shared" si="1"/>
        <v>512.82436430336293</v>
      </c>
      <c r="V8" s="20">
        <f t="shared" si="2"/>
        <v>692.17309291008894</v>
      </c>
      <c r="W8" s="20">
        <f t="shared" si="3"/>
        <v>557.66154645504446</v>
      </c>
      <c r="X8" s="20">
        <f t="shared" si="4"/>
        <v>846.04419101907513</v>
      </c>
      <c r="Y8" s="24">
        <f t="shared" si="5"/>
        <v>634.59709550953755</v>
      </c>
    </row>
    <row r="9" spans="1:25" ht="31.5" x14ac:dyDescent="0.25">
      <c r="A9" s="2" t="s">
        <v>61</v>
      </c>
      <c r="B9" s="3">
        <f>287</f>
        <v>287</v>
      </c>
      <c r="C9" s="4"/>
      <c r="D9" s="74" t="s">
        <v>21</v>
      </c>
      <c r="E9" s="75">
        <v>2</v>
      </c>
      <c r="F9" s="75">
        <f>$B$7/1.5</f>
        <v>4.4997452204460643E-2</v>
      </c>
      <c r="G9" s="76">
        <f>F9/$B$12</f>
        <v>4.4444444444444432E-2</v>
      </c>
      <c r="I9" s="74" t="s">
        <v>7</v>
      </c>
      <c r="J9" s="75">
        <v>2</v>
      </c>
      <c r="K9" s="75">
        <f>$B$7*J9/J11</f>
        <v>4.4997452204460643E-2</v>
      </c>
      <c r="L9" s="75">
        <f>K9/$K$11</f>
        <v>4.4444444444444432E-2</v>
      </c>
      <c r="O9" s="27">
        <v>600</v>
      </c>
      <c r="P9" s="17">
        <v>51.93</v>
      </c>
      <c r="Q9" s="17">
        <v>32.03</v>
      </c>
      <c r="R9" s="17">
        <v>36.29</v>
      </c>
      <c r="S9" s="17">
        <v>47.31</v>
      </c>
      <c r="T9" s="20">
        <f t="shared" si="0"/>
        <v>592.30767640763008</v>
      </c>
      <c r="U9" s="20">
        <f t="shared" si="1"/>
        <v>507.72883820381503</v>
      </c>
      <c r="V9" s="17">
        <f t="shared" si="2"/>
        <v>676.88651461144502</v>
      </c>
      <c r="W9" s="17">
        <f t="shared" si="3"/>
        <v>550.0182573057225</v>
      </c>
      <c r="X9" s="17">
        <f t="shared" si="4"/>
        <v>826.69174686926772</v>
      </c>
      <c r="Y9" s="28">
        <f t="shared" si="5"/>
        <v>624.9208734346339</v>
      </c>
    </row>
    <row r="10" spans="1:25" ht="31.5" x14ac:dyDescent="0.25">
      <c r="A10" s="2" t="s">
        <v>18</v>
      </c>
      <c r="B10" s="3">
        <v>3.5999999999999999E-3</v>
      </c>
      <c r="D10" s="74" t="s">
        <v>22</v>
      </c>
      <c r="E10" s="75">
        <v>1</v>
      </c>
      <c r="F10" s="75">
        <f>F9*0.5</f>
        <v>2.2498726102230322E-2</v>
      </c>
      <c r="G10" s="76">
        <f>F10/$B$12</f>
        <v>2.2222222222222216E-2</v>
      </c>
      <c r="I10" s="74" t="s">
        <v>9</v>
      </c>
      <c r="J10" s="75">
        <v>1</v>
      </c>
      <c r="K10" s="75">
        <f>F10+F11</f>
        <v>0.96744522239590414</v>
      </c>
      <c r="L10" s="75">
        <f>K10/K11</f>
        <v>0.9555555555555556</v>
      </c>
      <c r="O10" s="23">
        <v>700</v>
      </c>
      <c r="P10" s="15">
        <v>57.33</v>
      </c>
      <c r="Q10" s="15">
        <v>32.93</v>
      </c>
      <c r="R10" s="15">
        <v>37.36</v>
      </c>
      <c r="S10" s="15">
        <v>49.61</v>
      </c>
      <c r="T10" s="20">
        <f t="shared" si="0"/>
        <v>584.56669874770705</v>
      </c>
      <c r="U10" s="20">
        <f t="shared" si="1"/>
        <v>503.85834937385351</v>
      </c>
      <c r="V10" s="20">
        <f t="shared" si="2"/>
        <v>665.27504812156064</v>
      </c>
      <c r="W10" s="20">
        <f t="shared" si="3"/>
        <v>544.21252406078031</v>
      </c>
      <c r="X10" s="20">
        <f t="shared" si="4"/>
        <v>811.58331894691401</v>
      </c>
      <c r="Y10" s="24">
        <f t="shared" si="5"/>
        <v>617.36665947345705</v>
      </c>
    </row>
    <row r="11" spans="1:25" ht="31.5" x14ac:dyDescent="0.25">
      <c r="A11" s="2" t="s">
        <v>5</v>
      </c>
      <c r="B11" s="3">
        <f>0.018</f>
        <v>1.7999999999999999E-2</v>
      </c>
      <c r="D11" s="74" t="s">
        <v>86</v>
      </c>
      <c r="E11" s="75">
        <v>1</v>
      </c>
      <c r="F11" s="75">
        <f>B12-B8</f>
        <v>0.94494649629367378</v>
      </c>
      <c r="G11" s="76">
        <f>F11/$B$12</f>
        <v>0.93333333333333335</v>
      </c>
      <c r="I11" s="74" t="s">
        <v>25</v>
      </c>
      <c r="J11" s="75">
        <v>3</v>
      </c>
      <c r="K11" s="75">
        <f>SUM(K9:K10)</f>
        <v>1.0124426746003647</v>
      </c>
      <c r="L11" s="75">
        <f>SUM(L9:L10)</f>
        <v>1</v>
      </c>
      <c r="O11" s="23">
        <v>800</v>
      </c>
      <c r="P11" s="15">
        <v>62.75</v>
      </c>
      <c r="Q11" s="15">
        <v>33.76</v>
      </c>
      <c r="R11" s="15">
        <v>38.590000000000003</v>
      </c>
      <c r="S11" s="15">
        <v>51.55</v>
      </c>
      <c r="T11" s="20">
        <f t="shared" si="0"/>
        <v>578.52332757876559</v>
      </c>
      <c r="U11" s="20">
        <f t="shared" si="1"/>
        <v>500.83666378938278</v>
      </c>
      <c r="V11" s="20">
        <f t="shared" si="2"/>
        <v>656.20999136814839</v>
      </c>
      <c r="W11" s="20">
        <f t="shared" si="3"/>
        <v>539.67999568407413</v>
      </c>
      <c r="X11" s="20">
        <f t="shared" si="4"/>
        <v>799.98182135380307</v>
      </c>
      <c r="Y11" s="24">
        <f t="shared" si="5"/>
        <v>611.56591067690147</v>
      </c>
    </row>
    <row r="12" spans="1:25" ht="31.5" x14ac:dyDescent="0.25">
      <c r="A12" s="71" t="s">
        <v>90</v>
      </c>
      <c r="B12" s="72">
        <f>B10*B2/(B6*B5)</f>
        <v>1.0124426746003647</v>
      </c>
      <c r="D12" s="74" t="s">
        <v>25</v>
      </c>
      <c r="E12" s="75">
        <v>3</v>
      </c>
      <c r="F12" s="75">
        <f>SUM(F9:F11)</f>
        <v>1.0124426746003647</v>
      </c>
      <c r="G12" s="76">
        <f>SUM(G9:G11)</f>
        <v>1</v>
      </c>
      <c r="O12" s="25">
        <v>900</v>
      </c>
      <c r="P12" s="15">
        <v>67.88</v>
      </c>
      <c r="Q12" s="15">
        <v>34.450000000000003</v>
      </c>
      <c r="R12" s="15">
        <v>39.93</v>
      </c>
      <c r="S12" s="15">
        <v>53.13</v>
      </c>
      <c r="T12" s="20">
        <f t="shared" si="0"/>
        <v>573.88272854152126</v>
      </c>
      <c r="U12" s="20">
        <f t="shared" si="1"/>
        <v>498.51636427076062</v>
      </c>
      <c r="V12" s="20">
        <f t="shared" si="2"/>
        <v>649.24909281228179</v>
      </c>
      <c r="W12" s="20">
        <f t="shared" si="3"/>
        <v>536.19954640614083</v>
      </c>
      <c r="X12" s="20">
        <f t="shared" si="4"/>
        <v>791.3166046857566</v>
      </c>
      <c r="Y12" s="24">
        <f t="shared" si="5"/>
        <v>607.23330234287823</v>
      </c>
    </row>
    <row r="13" spans="1:25" x14ac:dyDescent="0.25">
      <c r="O13" s="23">
        <v>1000</v>
      </c>
      <c r="P13" s="15">
        <v>72.16</v>
      </c>
      <c r="Q13" s="15">
        <v>34.93</v>
      </c>
      <c r="R13" s="15">
        <v>41.31</v>
      </c>
      <c r="S13" s="15">
        <v>54.36</v>
      </c>
      <c r="T13" s="20">
        <f t="shared" si="0"/>
        <v>570.41664187430263</v>
      </c>
      <c r="U13" s="20">
        <f t="shared" si="1"/>
        <v>496.7833209371513</v>
      </c>
      <c r="V13" s="20">
        <f t="shared" si="2"/>
        <v>644.04996281145395</v>
      </c>
      <c r="W13" s="20">
        <f t="shared" si="3"/>
        <v>533.59998140572702</v>
      </c>
      <c r="X13" s="20">
        <f t="shared" si="4"/>
        <v>784.6881806230142</v>
      </c>
      <c r="Y13" s="24">
        <f t="shared" si="5"/>
        <v>603.91909031150703</v>
      </c>
    </row>
    <row r="14" spans="1:25" ht="48" thickBot="1" x14ac:dyDescent="0.3">
      <c r="H14" s="39" t="s">
        <v>87</v>
      </c>
      <c r="I14" s="70">
        <v>50</v>
      </c>
      <c r="O14" s="23">
        <v>1100</v>
      </c>
      <c r="P14" s="15">
        <v>75.599999999999994</v>
      </c>
      <c r="Q14" s="15">
        <v>35.270000000000003</v>
      </c>
      <c r="R14" s="15">
        <v>42.64</v>
      </c>
      <c r="S14" s="15">
        <v>55.33</v>
      </c>
      <c r="T14" s="20">
        <f t="shared" si="0"/>
        <v>567.76527224920562</v>
      </c>
      <c r="U14" s="20">
        <f t="shared" si="1"/>
        <v>495.4576361246028</v>
      </c>
      <c r="V14" s="20">
        <f t="shared" si="2"/>
        <v>640.07290837380845</v>
      </c>
      <c r="W14" s="20">
        <f t="shared" si="3"/>
        <v>531.61145418690421</v>
      </c>
      <c r="X14" s="20">
        <f t="shared" si="4"/>
        <v>778.9323618198805</v>
      </c>
      <c r="Y14" s="24">
        <f t="shared" si="5"/>
        <v>601.04118090994029</v>
      </c>
    </row>
    <row r="15" spans="1:25" ht="48" thickBot="1" x14ac:dyDescent="0.3">
      <c r="A15" s="10" t="s">
        <v>37</v>
      </c>
      <c r="B15" s="7">
        <f>891*10^3</f>
        <v>891000</v>
      </c>
      <c r="C15" s="10" t="s">
        <v>77</v>
      </c>
      <c r="D15" s="7">
        <f>T8</f>
        <v>602.49872860672599</v>
      </c>
      <c r="E15" s="65" t="s">
        <v>79</v>
      </c>
      <c r="F15" s="63">
        <f>(F5*D18+F4*D19+F11*D20)*D17</f>
        <v>13791.572858947526</v>
      </c>
      <c r="H15" s="39" t="s">
        <v>82</v>
      </c>
      <c r="I15" s="70">
        <f>22500*10^-6</f>
        <v>2.2499999999999999E-2</v>
      </c>
      <c r="O15" s="25">
        <v>1200</v>
      </c>
      <c r="P15" s="15">
        <v>78.709999999999994</v>
      </c>
      <c r="Q15" s="15">
        <v>35.590000000000003</v>
      </c>
      <c r="R15" s="15">
        <v>43.87</v>
      </c>
      <c r="S15" s="15">
        <v>56.2</v>
      </c>
      <c r="T15" s="20">
        <f t="shared" si="0"/>
        <v>565.46294472795216</v>
      </c>
      <c r="U15" s="20">
        <f t="shared" si="1"/>
        <v>494.30647236397607</v>
      </c>
      <c r="V15" s="20">
        <f t="shared" si="2"/>
        <v>636.61941709192831</v>
      </c>
      <c r="W15" s="20">
        <f t="shared" si="3"/>
        <v>529.88470854596414</v>
      </c>
      <c r="X15" s="20">
        <f t="shared" si="4"/>
        <v>773.91254438661815</v>
      </c>
      <c r="Y15" s="24">
        <f t="shared" si="5"/>
        <v>598.53127219330906</v>
      </c>
    </row>
    <row r="16" spans="1:25" ht="79.5" thickBot="1" x14ac:dyDescent="0.3">
      <c r="A16" s="10" t="s">
        <v>36</v>
      </c>
      <c r="B16" s="7">
        <f>F10*B15</f>
        <v>20046.364957087215</v>
      </c>
      <c r="C16" s="10" t="s">
        <v>78</v>
      </c>
      <c r="D16" s="7">
        <f>3*D15/5</f>
        <v>361.49923716403561</v>
      </c>
      <c r="E16" s="65" t="s">
        <v>92</v>
      </c>
      <c r="F16" s="63">
        <f>10^5</f>
        <v>100000</v>
      </c>
      <c r="H16" s="39" t="s">
        <v>83</v>
      </c>
      <c r="I16" s="70">
        <f>I15/B11</f>
        <v>1.25</v>
      </c>
      <c r="O16" s="23">
        <v>1300</v>
      </c>
      <c r="P16" s="15">
        <v>81.52</v>
      </c>
      <c r="Q16" s="15">
        <v>35.9</v>
      </c>
      <c r="R16" s="15">
        <v>45.02</v>
      </c>
      <c r="S16" s="15">
        <v>56.98</v>
      </c>
      <c r="T16" s="20">
        <f t="shared" si="0"/>
        <v>563.45501775464732</v>
      </c>
      <c r="U16" s="20">
        <f t="shared" si="1"/>
        <v>493.30250887732365</v>
      </c>
      <c r="V16" s="20">
        <f t="shared" si="2"/>
        <v>633.60752663197081</v>
      </c>
      <c r="W16" s="20">
        <f t="shared" si="3"/>
        <v>528.37876331598545</v>
      </c>
      <c r="X16" s="20">
        <f t="shared" si="4"/>
        <v>769.57167021123541</v>
      </c>
      <c r="Y16" s="24">
        <f t="shared" si="5"/>
        <v>596.36083510561775</v>
      </c>
    </row>
    <row r="17" spans="1:25" ht="63" x14ac:dyDescent="0.25">
      <c r="A17" s="10" t="s">
        <v>32</v>
      </c>
      <c r="B17" s="7">
        <f>0.4*B16</f>
        <v>8018.5459828348867</v>
      </c>
      <c r="C17" s="10" t="s">
        <v>91</v>
      </c>
      <c r="D17" s="7">
        <v>350</v>
      </c>
      <c r="H17" s="39" t="s">
        <v>73</v>
      </c>
      <c r="I17" s="70">
        <f>B24*(G10^B22)*(G9^B23)*(B3/(B6*B5))*(EXP(-B20/(B6*B5)))</f>
        <v>3.2738721899358034E-9</v>
      </c>
      <c r="O17" s="23">
        <v>1400</v>
      </c>
      <c r="P17" s="15">
        <v>84.05</v>
      </c>
      <c r="Q17" s="15">
        <v>36.200000000000003</v>
      </c>
      <c r="R17" s="15">
        <v>46.1</v>
      </c>
      <c r="S17" s="15">
        <v>57.67</v>
      </c>
      <c r="T17" s="20">
        <f t="shared" si="0"/>
        <v>561.7186680844942</v>
      </c>
      <c r="U17" s="20">
        <f t="shared" si="1"/>
        <v>492.43433404224709</v>
      </c>
      <c r="V17" s="20">
        <f t="shared" si="2"/>
        <v>631.00300212674119</v>
      </c>
      <c r="W17" s="20">
        <f t="shared" si="3"/>
        <v>527.07650106337064</v>
      </c>
      <c r="X17" s="20">
        <f t="shared" si="4"/>
        <v>765.75402127144139</v>
      </c>
      <c r="Y17" s="24">
        <f t="shared" si="5"/>
        <v>594.45201063572063</v>
      </c>
    </row>
    <row r="18" spans="1:25" ht="47.25" x14ac:dyDescent="0.25">
      <c r="A18" s="81" t="s">
        <v>34</v>
      </c>
      <c r="B18" s="82">
        <f>B16*0.6</f>
        <v>12027.818974252328</v>
      </c>
      <c r="C18" s="10" t="s">
        <v>97</v>
      </c>
      <c r="D18" s="7">
        <v>38.33</v>
      </c>
      <c r="H18" s="39" t="s">
        <v>57</v>
      </c>
      <c r="I18" s="70">
        <f>G10*B3*10^-3/(B6*B5)</f>
        <v>4.9997169116067375E-3</v>
      </c>
      <c r="O18" s="25">
        <v>1500</v>
      </c>
      <c r="P18" s="15">
        <v>86.32</v>
      </c>
      <c r="Q18" s="15">
        <v>36.49</v>
      </c>
      <c r="R18" s="15">
        <v>47.1</v>
      </c>
      <c r="S18" s="15">
        <v>58.29</v>
      </c>
      <c r="T18" s="20">
        <f t="shared" si="0"/>
        <v>560.19160850857656</v>
      </c>
      <c r="U18" s="20">
        <f t="shared" si="1"/>
        <v>491.67080425428827</v>
      </c>
      <c r="V18" s="20">
        <f t="shared" si="2"/>
        <v>628.7124127628648</v>
      </c>
      <c r="W18" s="20">
        <f t="shared" si="3"/>
        <v>525.93120638143239</v>
      </c>
      <c r="X18" s="20">
        <f t="shared" si="4"/>
        <v>762.48161953727492</v>
      </c>
      <c r="Y18" s="24">
        <f t="shared" si="5"/>
        <v>592.81580976863745</v>
      </c>
    </row>
    <row r="19" spans="1:25" ht="47.25" x14ac:dyDescent="0.25">
      <c r="A19" s="81"/>
      <c r="B19" s="82"/>
      <c r="C19" s="10" t="s">
        <v>98</v>
      </c>
      <c r="D19" s="7">
        <f>29.77</f>
        <v>29.77</v>
      </c>
      <c r="H19" s="39" t="s">
        <v>59</v>
      </c>
      <c r="I19" s="70">
        <f>G9*B3*10^-3/(B6*B5)</f>
        <v>9.9994338232134751E-3</v>
      </c>
      <c r="O19" s="26">
        <v>1600</v>
      </c>
      <c r="P19" s="17">
        <v>88.35</v>
      </c>
      <c r="Q19" s="17">
        <v>36.770000000000003</v>
      </c>
      <c r="R19" s="17">
        <v>48.03</v>
      </c>
      <c r="S19" s="17">
        <v>58.83</v>
      </c>
      <c r="T19" s="20">
        <f t="shared" si="0"/>
        <v>558.88264781491</v>
      </c>
      <c r="U19" s="20">
        <f t="shared" si="1"/>
        <v>491.01632390745499</v>
      </c>
      <c r="V19" s="20">
        <f t="shared" si="2"/>
        <v>626.7489717223649</v>
      </c>
      <c r="W19" s="20">
        <f t="shared" si="3"/>
        <v>524.94948586118244</v>
      </c>
      <c r="X19" s="20">
        <f t="shared" si="4"/>
        <v>759.61384429767406</v>
      </c>
      <c r="Y19" s="24">
        <f t="shared" si="5"/>
        <v>591.38192214883702</v>
      </c>
    </row>
    <row r="20" spans="1:25" ht="47.25" x14ac:dyDescent="0.25">
      <c r="A20" s="68" t="s">
        <v>8</v>
      </c>
      <c r="B20" s="69">
        <f>30*4184</f>
        <v>125520</v>
      </c>
      <c r="C20" s="10" t="s">
        <v>99</v>
      </c>
      <c r="D20" s="7">
        <f>39.37</f>
        <v>39.369999999999997</v>
      </c>
      <c r="H20" s="39" t="s">
        <v>69</v>
      </c>
      <c r="I20" s="70">
        <f>(I18*10^-3)/I17</f>
        <v>1527.1570243262233</v>
      </c>
      <c r="O20" s="23">
        <v>1700</v>
      </c>
      <c r="P20" s="15">
        <v>90.17</v>
      </c>
      <c r="Q20" s="15">
        <v>37.03</v>
      </c>
      <c r="R20" s="15">
        <v>48.9</v>
      </c>
      <c r="S20" s="15">
        <v>59.31</v>
      </c>
      <c r="T20" s="20">
        <f t="shared" si="0"/>
        <v>557.73553771906961</v>
      </c>
      <c r="U20" s="20">
        <f t="shared" si="1"/>
        <v>490.44276885953479</v>
      </c>
      <c r="V20" s="20">
        <f t="shared" si="2"/>
        <v>625.02830657860443</v>
      </c>
      <c r="W20" s="20">
        <f t="shared" si="3"/>
        <v>524.0891532893022</v>
      </c>
      <c r="X20" s="20">
        <f t="shared" si="4"/>
        <v>757.13430910978741</v>
      </c>
      <c r="Y20" s="24">
        <f t="shared" si="5"/>
        <v>590.14215455489375</v>
      </c>
    </row>
    <row r="21" spans="1:25" ht="47.25" x14ac:dyDescent="0.25">
      <c r="A21" s="9" t="s">
        <v>31</v>
      </c>
      <c r="B21" s="7">
        <f>B20/B6</f>
        <v>296.63239985820633</v>
      </c>
      <c r="H21" s="39" t="s">
        <v>93</v>
      </c>
      <c r="I21" s="70">
        <f>I14*I16*I20</f>
        <v>95447.314020388963</v>
      </c>
      <c r="O21" s="25">
        <v>1800</v>
      </c>
      <c r="P21" s="14">
        <v>91.78</v>
      </c>
      <c r="Q21" s="14">
        <v>37.29</v>
      </c>
      <c r="R21" s="14">
        <v>49.7</v>
      </c>
      <c r="S21" s="14">
        <v>59.73</v>
      </c>
      <c r="T21" s="20">
        <f t="shared" si="0"/>
        <v>556.7437236439149</v>
      </c>
      <c r="U21" s="20">
        <f t="shared" si="1"/>
        <v>489.94686182195744</v>
      </c>
      <c r="V21" s="20">
        <f t="shared" si="2"/>
        <v>623.54058546587237</v>
      </c>
      <c r="W21" s="20">
        <f t="shared" si="3"/>
        <v>523.34529273293617</v>
      </c>
      <c r="X21" s="20">
        <f t="shared" si="4"/>
        <v>753.05591572033154</v>
      </c>
      <c r="Y21" s="24">
        <f t="shared" si="5"/>
        <v>588.10295786016582</v>
      </c>
    </row>
    <row r="22" spans="1:25" ht="31.5" x14ac:dyDescent="0.25">
      <c r="A22" s="9" t="s">
        <v>10</v>
      </c>
      <c r="B22" s="7">
        <v>-0.3</v>
      </c>
      <c r="H22" s="39" t="s">
        <v>94</v>
      </c>
      <c r="I22" s="70">
        <f>2*(SQRT(B11/3.14))</f>
        <v>0.15142633953752063</v>
      </c>
      <c r="O22" s="23">
        <v>1900</v>
      </c>
      <c r="P22" s="14">
        <v>93.22</v>
      </c>
      <c r="Q22" s="14">
        <v>37.79</v>
      </c>
      <c r="R22" s="14">
        <v>51.14</v>
      </c>
      <c r="S22" s="14">
        <v>60.43</v>
      </c>
      <c r="T22" s="20">
        <f t="shared" si="0"/>
        <v>555.11236628813253</v>
      </c>
      <c r="U22" s="20">
        <f t="shared" si="1"/>
        <v>489.13118314406626</v>
      </c>
      <c r="V22" s="20">
        <f t="shared" si="2"/>
        <v>621.09354943219887</v>
      </c>
      <c r="W22" s="20">
        <f t="shared" si="3"/>
        <v>522.12177471609948</v>
      </c>
      <c r="X22" s="20">
        <f t="shared" si="4"/>
        <v>753.05591572033154</v>
      </c>
      <c r="Y22" s="24">
        <f t="shared" si="5"/>
        <v>588.10295786016582</v>
      </c>
    </row>
    <row r="23" spans="1:25" x14ac:dyDescent="0.25">
      <c r="A23" s="9" t="s">
        <v>12</v>
      </c>
      <c r="B23" s="7">
        <v>1.3</v>
      </c>
      <c r="O23" s="25">
        <v>2000</v>
      </c>
      <c r="P23" s="14">
        <v>94.49</v>
      </c>
      <c r="Q23" s="14">
        <v>37.79</v>
      </c>
      <c r="R23" s="14">
        <v>51.14</v>
      </c>
      <c r="S23" s="14">
        <v>60.43</v>
      </c>
      <c r="T23" s="20">
        <f t="shared" si="0"/>
        <v>555.11236628813253</v>
      </c>
      <c r="U23" s="20">
        <f t="shared" si="1"/>
        <v>489.13118314406626</v>
      </c>
      <c r="V23" s="20">
        <f t="shared" si="2"/>
        <v>621.09354943219887</v>
      </c>
      <c r="W23" s="20">
        <f t="shared" si="3"/>
        <v>522.12177471609948</v>
      </c>
      <c r="X23" s="20">
        <f t="shared" si="4"/>
        <v>751.43682910294046</v>
      </c>
      <c r="Y23" s="24">
        <f t="shared" si="5"/>
        <v>587.29341455147028</v>
      </c>
    </row>
    <row r="24" spans="1:25" ht="31.5" x14ac:dyDescent="0.25">
      <c r="A24" s="9" t="s">
        <v>14</v>
      </c>
      <c r="B24" s="7">
        <f>8.3*10^5</f>
        <v>830000.00000000012</v>
      </c>
      <c r="O24" s="23">
        <v>2100</v>
      </c>
      <c r="P24" s="14">
        <v>95.62</v>
      </c>
      <c r="Q24" s="14">
        <v>38.020000000000003</v>
      </c>
      <c r="R24" s="14">
        <v>51.78</v>
      </c>
      <c r="S24" s="14">
        <v>60.71</v>
      </c>
      <c r="T24" s="20">
        <f t="shared" si="0"/>
        <v>554.46473164117617</v>
      </c>
      <c r="U24" s="20">
        <f t="shared" si="1"/>
        <v>488.80736582058807</v>
      </c>
      <c r="V24" s="20">
        <f t="shared" si="2"/>
        <v>620.12209746176427</v>
      </c>
      <c r="W24" s="20">
        <f t="shared" si="3"/>
        <v>521.63604873088207</v>
      </c>
      <c r="X24" s="20">
        <f t="shared" si="4"/>
        <v>749.99773517629956</v>
      </c>
      <c r="Y24" s="24">
        <f t="shared" si="5"/>
        <v>586.57386758814982</v>
      </c>
    </row>
    <row r="25" spans="1:25" x14ac:dyDescent="0.25">
      <c r="O25" s="25">
        <v>2200</v>
      </c>
      <c r="P25" s="14">
        <v>96.61</v>
      </c>
      <c r="Q25" s="14">
        <v>38.25</v>
      </c>
      <c r="R25" s="14">
        <v>52.38</v>
      </c>
      <c r="S25" s="14">
        <v>60.96</v>
      </c>
      <c r="T25" s="20">
        <f t="shared" si="0"/>
        <v>553.88909407051983</v>
      </c>
      <c r="U25" s="20">
        <f t="shared" si="1"/>
        <v>488.5195470352599</v>
      </c>
      <c r="V25" s="20">
        <f t="shared" si="2"/>
        <v>619.2586411057797</v>
      </c>
      <c r="W25" s="20">
        <f t="shared" si="3"/>
        <v>521.20432055288984</v>
      </c>
      <c r="X25" s="20">
        <f t="shared" si="4"/>
        <v>748.73887370367379</v>
      </c>
      <c r="Y25" s="24">
        <f t="shared" si="5"/>
        <v>585.94443685183683</v>
      </c>
    </row>
    <row r="26" spans="1:25" x14ac:dyDescent="0.25">
      <c r="O26" s="23">
        <v>2300</v>
      </c>
      <c r="P26" s="14">
        <v>97.49</v>
      </c>
      <c r="Q26" s="14">
        <v>38.47</v>
      </c>
      <c r="R26" s="14">
        <v>52.92</v>
      </c>
      <c r="S26" s="14">
        <v>61.18</v>
      </c>
      <c r="T26" s="20">
        <f t="shared" si="0"/>
        <v>553.38554948146952</v>
      </c>
      <c r="U26" s="20">
        <f t="shared" si="1"/>
        <v>488.26777474073475</v>
      </c>
      <c r="V26" s="20">
        <f t="shared" si="2"/>
        <v>618.50332422220424</v>
      </c>
      <c r="W26" s="20">
        <f t="shared" si="3"/>
        <v>520.82666211110211</v>
      </c>
      <c r="X26" s="20">
        <f t="shared" si="4"/>
        <v>747.64913867512564</v>
      </c>
      <c r="Y26" s="24">
        <f t="shared" si="5"/>
        <v>585.39956933756275</v>
      </c>
    </row>
    <row r="27" spans="1:25" x14ac:dyDescent="0.25">
      <c r="O27" s="23">
        <v>2400</v>
      </c>
      <c r="P27" s="14">
        <v>98.26</v>
      </c>
      <c r="Q27" s="14">
        <v>38.68</v>
      </c>
      <c r="R27" s="14">
        <v>53.43</v>
      </c>
      <c r="S27" s="14">
        <v>61.37</v>
      </c>
      <c r="T27" s="20">
        <f t="shared" si="0"/>
        <v>552.94965547005017</v>
      </c>
      <c r="U27" s="20">
        <f t="shared" si="1"/>
        <v>488.04982773502508</v>
      </c>
      <c r="V27" s="20">
        <f t="shared" si="2"/>
        <v>617.84948320507533</v>
      </c>
      <c r="W27" s="20">
        <f t="shared" si="3"/>
        <v>520.4997416025376</v>
      </c>
      <c r="X27" s="20">
        <f t="shared" si="4"/>
        <v>746.62655611828109</v>
      </c>
      <c r="Y27" s="24">
        <f t="shared" si="5"/>
        <v>584.88827805914048</v>
      </c>
    </row>
    <row r="28" spans="1:25" x14ac:dyDescent="0.25">
      <c r="O28" s="25">
        <v>2500</v>
      </c>
      <c r="P28" s="14">
        <v>98.94</v>
      </c>
      <c r="Q28" s="14">
        <v>38.89</v>
      </c>
      <c r="R28" s="14">
        <v>53.9</v>
      </c>
      <c r="S28" s="14">
        <v>61.55</v>
      </c>
      <c r="T28" s="20">
        <f t="shared" si="0"/>
        <v>552.54062244731244</v>
      </c>
      <c r="U28" s="20">
        <f t="shared" si="1"/>
        <v>487.84531122365621</v>
      </c>
      <c r="V28" s="20">
        <f t="shared" si="2"/>
        <v>617.23593367096873</v>
      </c>
      <c r="W28" s="20">
        <f t="shared" si="3"/>
        <v>520.19296683548441</v>
      </c>
      <c r="X28" s="20">
        <f t="shared" si="4"/>
        <v>745.76802171063582</v>
      </c>
      <c r="Y28" s="24">
        <f t="shared" si="5"/>
        <v>584.45901085531796</v>
      </c>
    </row>
    <row r="29" spans="1:25" x14ac:dyDescent="0.25">
      <c r="O29" s="23">
        <v>2600</v>
      </c>
      <c r="P29" s="14">
        <v>99.54</v>
      </c>
      <c r="Q29" s="14">
        <v>39.090000000000003</v>
      </c>
      <c r="R29" s="14">
        <v>54.34</v>
      </c>
      <c r="S29" s="14">
        <v>61.7</v>
      </c>
      <c r="T29" s="20">
        <f t="shared" si="0"/>
        <v>552.19720868425429</v>
      </c>
      <c r="U29" s="20">
        <f t="shared" si="1"/>
        <v>487.67360434212713</v>
      </c>
      <c r="V29" s="20">
        <f t="shared" si="2"/>
        <v>616.72081302638139</v>
      </c>
      <c r="W29" s="20">
        <f t="shared" si="3"/>
        <v>519.93540651319063</v>
      </c>
      <c r="X29" s="20">
        <f t="shared" si="4"/>
        <v>744.97330419706691</v>
      </c>
      <c r="Y29" s="24">
        <f t="shared" si="5"/>
        <v>584.06165209853339</v>
      </c>
    </row>
    <row r="30" spans="1:25" x14ac:dyDescent="0.25">
      <c r="O30" s="23">
        <v>2700</v>
      </c>
      <c r="P30" s="14">
        <v>100.08</v>
      </c>
      <c r="Q30" s="14">
        <v>39.29</v>
      </c>
      <c r="R30" s="14">
        <v>54.74</v>
      </c>
      <c r="S30" s="14">
        <v>61.84</v>
      </c>
      <c r="T30" s="20">
        <f t="shared" si="0"/>
        <v>551.87932167882673</v>
      </c>
      <c r="U30" s="20">
        <f t="shared" si="1"/>
        <v>487.51466083941335</v>
      </c>
      <c r="V30" s="20">
        <f t="shared" si="2"/>
        <v>616.24398251824016</v>
      </c>
      <c r="W30" s="20">
        <f t="shared" si="3"/>
        <v>519.69699125912007</v>
      </c>
      <c r="X30" s="20">
        <f t="shared" si="4"/>
        <v>744.28894395386533</v>
      </c>
      <c r="Y30" s="24">
        <f t="shared" si="5"/>
        <v>583.71947197693271</v>
      </c>
    </row>
    <row r="31" spans="1:25" x14ac:dyDescent="0.25">
      <c r="O31" s="25">
        <v>2800</v>
      </c>
      <c r="P31" s="14">
        <v>100.55</v>
      </c>
      <c r="Q31" s="14">
        <v>39.479999999999997</v>
      </c>
      <c r="R31" s="14">
        <v>55.11</v>
      </c>
      <c r="S31" s="14">
        <v>61.96</v>
      </c>
      <c r="T31" s="20">
        <f t="shared" si="0"/>
        <v>551.60557758154619</v>
      </c>
      <c r="U31" s="20">
        <f t="shared" si="1"/>
        <v>487.37778879077308</v>
      </c>
      <c r="V31" s="20">
        <f t="shared" si="2"/>
        <v>615.83336637231923</v>
      </c>
      <c r="W31" s="20">
        <f t="shared" si="3"/>
        <v>519.49168318615966</v>
      </c>
      <c r="X31" s="20">
        <f t="shared" si="4"/>
        <v>743.6120984332963</v>
      </c>
      <c r="Y31" s="24">
        <f t="shared" si="5"/>
        <v>583.38104921664808</v>
      </c>
    </row>
    <row r="32" spans="1:25" x14ac:dyDescent="0.25">
      <c r="O32" s="23">
        <v>2900</v>
      </c>
      <c r="P32" s="14">
        <v>100.98</v>
      </c>
      <c r="Q32" s="14">
        <v>39.659999999999997</v>
      </c>
      <c r="R32" s="14">
        <v>55.46</v>
      </c>
      <c r="S32" s="14">
        <v>62.08</v>
      </c>
      <c r="T32" s="20">
        <f t="shared" si="0"/>
        <v>551.33483937331857</v>
      </c>
      <c r="U32" s="20">
        <f t="shared" si="1"/>
        <v>487.24241968665928</v>
      </c>
      <c r="V32" s="20">
        <f t="shared" si="2"/>
        <v>615.42725905997781</v>
      </c>
      <c r="W32" s="20">
        <f t="shared" si="3"/>
        <v>519.28862952998884</v>
      </c>
      <c r="X32" s="20">
        <f t="shared" si="4"/>
        <v>742.99434959597647</v>
      </c>
      <c r="Y32" s="24">
        <f t="shared" si="5"/>
        <v>583.07217479798828</v>
      </c>
    </row>
    <row r="33" spans="15:25" x14ac:dyDescent="0.25">
      <c r="O33" s="25">
        <v>3000</v>
      </c>
      <c r="P33" s="14">
        <v>101.37</v>
      </c>
      <c r="Q33" s="14">
        <v>39.840000000000003</v>
      </c>
      <c r="R33" s="14">
        <v>55.78</v>
      </c>
      <c r="S33" s="14">
        <v>62.19</v>
      </c>
      <c r="T33" s="20">
        <f t="shared" si="0"/>
        <v>551.08773983839058</v>
      </c>
      <c r="U33" s="20">
        <f t="shared" si="1"/>
        <v>487.11886991919528</v>
      </c>
      <c r="V33" s="20">
        <f t="shared" si="2"/>
        <v>615.05660975758587</v>
      </c>
      <c r="W33" s="20">
        <f t="shared" si="3"/>
        <v>519.10330487879287</v>
      </c>
      <c r="X33" s="20">
        <f t="shared" si="4"/>
        <v>742.38584040357705</v>
      </c>
      <c r="Y33" s="20">
        <f t="shared" si="5"/>
        <v>582.76792020178846</v>
      </c>
    </row>
    <row r="34" spans="15:25" x14ac:dyDescent="0.25">
      <c r="O34" s="23">
        <v>3100</v>
      </c>
      <c r="P34" s="14">
        <v>101.72</v>
      </c>
      <c r="Q34" s="14">
        <v>40.020000000000003</v>
      </c>
      <c r="R34" s="14">
        <v>56.07</v>
      </c>
      <c r="S34" s="14">
        <v>62.3</v>
      </c>
      <c r="T34" s="20">
        <f t="shared" si="0"/>
        <v>550.84433616143087</v>
      </c>
      <c r="U34" s="20">
        <f t="shared" si="1"/>
        <v>486.99716808071543</v>
      </c>
      <c r="V34" s="20">
        <f t="shared" si="2"/>
        <v>614.69150424214627</v>
      </c>
      <c r="W34" s="20">
        <f t="shared" si="3"/>
        <v>518.92075212107306</v>
      </c>
      <c r="X34" s="20">
        <f t="shared" si="4"/>
        <v>741.83092564111723</v>
      </c>
      <c r="Y34" s="24">
        <f t="shared" si="5"/>
        <v>582.49046282055861</v>
      </c>
    </row>
    <row r="35" spans="15:25" x14ac:dyDescent="0.25">
      <c r="O35" s="25">
        <v>3200</v>
      </c>
      <c r="P35" s="14">
        <v>102.05</v>
      </c>
      <c r="Q35" s="14">
        <v>40.19</v>
      </c>
      <c r="R35" s="14">
        <v>56.35</v>
      </c>
      <c r="S35" s="14">
        <v>62.4</v>
      </c>
      <c r="T35" s="20">
        <f t="shared" si="0"/>
        <v>550.62237025644686</v>
      </c>
      <c r="U35" s="20">
        <f t="shared" si="1"/>
        <v>486.88618512822342</v>
      </c>
      <c r="V35" s="20">
        <f t="shared" si="2"/>
        <v>614.35855538467035</v>
      </c>
      <c r="W35" s="20">
        <f t="shared" si="3"/>
        <v>518.75427769233511</v>
      </c>
      <c r="X35" s="20">
        <f t="shared" si="4"/>
        <v>741.23364421755332</v>
      </c>
      <c r="Y35" s="24">
        <f t="shared" si="5"/>
        <v>582.19182210877671</v>
      </c>
    </row>
    <row r="36" spans="15:25" x14ac:dyDescent="0.25">
      <c r="O36" s="23">
        <v>3300</v>
      </c>
      <c r="P36" s="14">
        <v>102.35</v>
      </c>
      <c r="Q36" s="14">
        <v>40.36</v>
      </c>
      <c r="R36" s="14">
        <v>56.61</v>
      </c>
      <c r="S36" s="14">
        <v>62.51</v>
      </c>
      <c r="T36" s="20">
        <f t="shared" si="0"/>
        <v>550.38345768702129</v>
      </c>
      <c r="U36" s="20">
        <f t="shared" si="1"/>
        <v>486.76672884351063</v>
      </c>
      <c r="V36" s="20">
        <f t="shared" si="2"/>
        <v>614.00018653053201</v>
      </c>
      <c r="W36" s="20">
        <f t="shared" si="3"/>
        <v>518.57509326526599</v>
      </c>
      <c r="X36" s="20">
        <f t="shared" si="4"/>
        <v>740.69177759245576</v>
      </c>
      <c r="Y36" s="24">
        <f t="shared" si="5"/>
        <v>581.92088879622793</v>
      </c>
    </row>
    <row r="37" spans="15:25" x14ac:dyDescent="0.25">
      <c r="O37" s="23">
        <v>3400</v>
      </c>
      <c r="P37" s="15">
        <v>102.64</v>
      </c>
      <c r="Q37" s="15">
        <v>40.520000000000003</v>
      </c>
      <c r="R37" s="15">
        <v>56.85</v>
      </c>
      <c r="S37" s="15">
        <v>62.61</v>
      </c>
      <c r="T37" s="20">
        <f t="shared" si="0"/>
        <v>550.16671103698229</v>
      </c>
      <c r="U37" s="20">
        <f t="shared" si="1"/>
        <v>486.65835551849113</v>
      </c>
      <c r="V37" s="20">
        <f t="shared" si="2"/>
        <v>613.67506655547345</v>
      </c>
      <c r="W37" s="20">
        <f t="shared" si="3"/>
        <v>518.41253327773666</v>
      </c>
      <c r="X37" s="20">
        <f t="shared" si="4"/>
        <v>740.1077745366581</v>
      </c>
      <c r="Y37" s="24">
        <f t="shared" si="5"/>
        <v>581.62888726832898</v>
      </c>
    </row>
    <row r="38" spans="15:25" ht="16.5" thickBot="1" x14ac:dyDescent="0.3">
      <c r="O38" s="29">
        <v>3500</v>
      </c>
      <c r="P38" s="30">
        <v>102.92</v>
      </c>
      <c r="Q38" s="30">
        <v>40.68</v>
      </c>
      <c r="R38" s="30">
        <v>57.07</v>
      </c>
      <c r="S38" s="30">
        <v>62.72</v>
      </c>
      <c r="T38" s="31">
        <f t="shared" si="0"/>
        <v>549.93310981466323</v>
      </c>
      <c r="U38" s="31">
        <f t="shared" si="1"/>
        <v>486.5415549073316</v>
      </c>
      <c r="V38" s="20">
        <f t="shared" si="2"/>
        <v>613.32466472199485</v>
      </c>
      <c r="W38" s="31">
        <f t="shared" si="3"/>
        <v>518.23733236099747</v>
      </c>
      <c r="X38" s="20" t="e">
        <f t="shared" si="4"/>
        <v>#DIV/0!</v>
      </c>
      <c r="Y38" s="33" t="e">
        <f t="shared" si="5"/>
        <v>#DIV/0!</v>
      </c>
    </row>
  </sheetData>
  <mergeCells count="3">
    <mergeCell ref="A18:A19"/>
    <mergeCell ref="B18:B19"/>
    <mergeCell ref="O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Arranque</vt:lpstr>
      <vt:lpstr>Estacionario sin recircular CO2</vt:lpstr>
      <vt:lpstr>Estacionario con recirculación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Paula Domínguez Morales</cp:lastModifiedBy>
  <dcterms:created xsi:type="dcterms:W3CDTF">2021-02-01T20:34:24Z</dcterms:created>
  <dcterms:modified xsi:type="dcterms:W3CDTF">2024-12-23T16:49:43Z</dcterms:modified>
</cp:coreProperties>
</file>