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ar\Documents\Projects\AccountingApp\frontend\src\assets\"/>
    </mc:Choice>
  </mc:AlternateContent>
  <xr:revisionPtr revIDLastSave="0" documentId="13_ncr:1_{5BB0F599-D20D-463F-8144-F71C3DD4BCB3}" xr6:coauthVersionLast="47" xr6:coauthVersionMax="47" xr10:uidLastSave="{00000000-0000-0000-0000-000000000000}"/>
  <bookViews>
    <workbookView xWindow="11424" yWindow="0" windowWidth="11712" windowHeight="14496" tabRatio="602" firstSheet="6" activeTab="7" xr2:uid="{D05AFC8D-2E38-46F3-85AA-EB376A9F6490}"/>
  </bookViews>
  <sheets>
    <sheet name="pemasukan BNI Agregator" sheetId="1" r:id="rId1"/>
    <sheet name="byr vendor plus pajak" sheetId="4" r:id="rId2"/>
    <sheet name="Biy Opr" sheetId="7" r:id="rId3"/>
    <sheet name="PO Keluar" sheetId="8" r:id="rId4"/>
    <sheet name="Project BNI" sheetId="13" r:id="rId5"/>
    <sheet name="kirim chip ke meco" sheetId="5" r:id="rId6"/>
    <sheet name="hitungan komersial " sheetId="6" r:id="rId7"/>
    <sheet name="distribusi fee" sheetId="3" r:id="rId8"/>
    <sheet name="Laporan Penjualan" sheetId="10" r:id="rId9"/>
    <sheet name="gaji" sheetId="12" r:id="rId10"/>
    <sheet name="Hpp" sheetId="11" r:id="rId11"/>
  </sheets>
  <externalReferences>
    <externalReference r:id="rId12"/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28" i="6" l="1"/>
  <c r="N427" i="6"/>
  <c r="N426" i="6"/>
  <c r="N425" i="6"/>
  <c r="N410" i="6"/>
  <c r="O392" i="6"/>
  <c r="N392" i="6"/>
  <c r="O391" i="6"/>
  <c r="N391" i="6"/>
  <c r="N390" i="6"/>
  <c r="F66" i="3"/>
  <c r="N416" i="6"/>
  <c r="O415" i="6"/>
  <c r="C66" i="3" s="1"/>
  <c r="N415" i="6"/>
  <c r="O425" i="6"/>
  <c r="O420" i="6"/>
  <c r="Q419" i="6" s="1"/>
  <c r="N418" i="6"/>
  <c r="N417" i="6"/>
  <c r="O417" i="6" s="1"/>
  <c r="Q416" i="6" s="1"/>
  <c r="O424" i="6"/>
  <c r="I69" i="1"/>
  <c r="H69" i="1"/>
  <c r="F69" i="1"/>
  <c r="F65" i="3"/>
  <c r="F64" i="3"/>
  <c r="F63" i="3"/>
  <c r="F62" i="3"/>
  <c r="N373" i="6"/>
  <c r="S416" i="6" l="1"/>
  <c r="S419" i="6"/>
  <c r="O416" i="6"/>
  <c r="N419" i="6"/>
  <c r="O419" i="6"/>
  <c r="N421" i="6"/>
  <c r="O418" i="6"/>
  <c r="J69" i="1"/>
  <c r="K69" i="1" s="1"/>
  <c r="N400" i="6"/>
  <c r="O399" i="6"/>
  <c r="N399" i="6"/>
  <c r="O404" i="6"/>
  <c r="N402" i="6"/>
  <c r="N401" i="6"/>
  <c r="N384" i="6"/>
  <c r="N383" i="6"/>
  <c r="N382" i="6"/>
  <c r="O381" i="6"/>
  <c r="C64" i="3" s="1"/>
  <c r="N381" i="6"/>
  <c r="O390" i="6"/>
  <c r="O386" i="6"/>
  <c r="N335" i="6"/>
  <c r="N364" i="6"/>
  <c r="O363" i="6"/>
  <c r="N363" i="6"/>
  <c r="N366" i="6"/>
  <c r="N365" i="6"/>
  <c r="O373" i="6" l="1"/>
  <c r="C63" i="3"/>
  <c r="Q403" i="6"/>
  <c r="S403" i="6"/>
  <c r="O408" i="6"/>
  <c r="C65" i="3"/>
  <c r="Q417" i="6"/>
  <c r="Q420" i="6" s="1"/>
  <c r="S417" i="6"/>
  <c r="S420" i="6" s="1"/>
  <c r="O382" i="6"/>
  <c r="P382" i="6" s="1"/>
  <c r="O384" i="6"/>
  <c r="Q384" i="6" s="1"/>
  <c r="P415" i="6"/>
  <c r="Q421" i="6" s="1"/>
  <c r="S422" i="6" s="1"/>
  <c r="R415" i="6"/>
  <c r="O401" i="6"/>
  <c r="N422" i="6"/>
  <c r="O422" i="6" s="1"/>
  <c r="O421" i="6"/>
  <c r="P420" i="6" s="1"/>
  <c r="O400" i="6"/>
  <c r="O383" i="6"/>
  <c r="Q383" i="6" s="1"/>
  <c r="N403" i="6"/>
  <c r="O403" i="6" s="1"/>
  <c r="O364" i="6"/>
  <c r="N405" i="6"/>
  <c r="O402" i="6"/>
  <c r="N385" i="6"/>
  <c r="O368" i="6"/>
  <c r="O372" i="6"/>
  <c r="O366" i="6"/>
  <c r="N367" i="6"/>
  <c r="O367" i="6" s="1"/>
  <c r="O365" i="6"/>
  <c r="J330" i="6"/>
  <c r="K329" i="6"/>
  <c r="J329" i="6"/>
  <c r="J338" i="6"/>
  <c r="K338" i="6" s="1"/>
  <c r="K339" i="6" s="1"/>
  <c r="K334" i="6"/>
  <c r="J332" i="6"/>
  <c r="K332" i="6" s="1"/>
  <c r="J331" i="6"/>
  <c r="J350" i="6"/>
  <c r="N333" i="6"/>
  <c r="N332" i="6"/>
  <c r="O330" i="6"/>
  <c r="N331" i="6"/>
  <c r="N330" i="6"/>
  <c r="N340" i="6"/>
  <c r="N423" i="6" l="1"/>
  <c r="Q401" i="6"/>
  <c r="S401" i="6"/>
  <c r="S421" i="6"/>
  <c r="S423" i="6" s="1"/>
  <c r="N407" i="6"/>
  <c r="O407" i="6" s="1"/>
  <c r="Q385" i="6"/>
  <c r="Q386" i="6" s="1"/>
  <c r="P399" i="6"/>
  <c r="R399" i="6"/>
  <c r="Q400" i="6"/>
  <c r="Q404" i="6" s="1"/>
  <c r="S400" i="6"/>
  <c r="S404" i="6" s="1"/>
  <c r="O423" i="6"/>
  <c r="Q366" i="6"/>
  <c r="S366" i="6"/>
  <c r="Q367" i="6"/>
  <c r="S367" i="6"/>
  <c r="Q369" i="6"/>
  <c r="S369" i="6"/>
  <c r="P365" i="6"/>
  <c r="R365" i="6"/>
  <c r="Q370" i="6"/>
  <c r="Q371" i="6" s="1"/>
  <c r="S372" i="6" s="1"/>
  <c r="O335" i="6"/>
  <c r="C62" i="3"/>
  <c r="O405" i="6"/>
  <c r="P404" i="6" s="1"/>
  <c r="N406" i="6"/>
  <c r="O406" i="6" s="1"/>
  <c r="O385" i="6"/>
  <c r="N387" i="6"/>
  <c r="N369" i="6"/>
  <c r="P341" i="6"/>
  <c r="K331" i="6"/>
  <c r="J339" i="6"/>
  <c r="J333" i="6"/>
  <c r="K330" i="6"/>
  <c r="K333" i="6"/>
  <c r="J335" i="6"/>
  <c r="N334" i="6"/>
  <c r="O334" i="6" s="1"/>
  <c r="O331" i="6"/>
  <c r="P331" i="6" s="1"/>
  <c r="P332" i="6" s="1"/>
  <c r="O332" i="6"/>
  <c r="O339" i="6"/>
  <c r="O340" i="6" s="1"/>
  <c r="O333" i="6"/>
  <c r="H65" i="1"/>
  <c r="J351" i="6"/>
  <c r="J358" i="6"/>
  <c r="J359" i="6" s="1"/>
  <c r="J352" i="6"/>
  <c r="H68" i="1"/>
  <c r="I68" i="1" s="1"/>
  <c r="F68" i="1"/>
  <c r="D68" i="1"/>
  <c r="L39" i="4"/>
  <c r="H64" i="1"/>
  <c r="U362" i="6"/>
  <c r="N350" i="6"/>
  <c r="O349" i="6"/>
  <c r="O354" i="6" s="1"/>
  <c r="N349" i="6"/>
  <c r="N352" i="6"/>
  <c r="S405" i="6" l="1"/>
  <c r="Q405" i="6"/>
  <c r="S406" i="6" s="1"/>
  <c r="N430" i="6"/>
  <c r="O426" i="6"/>
  <c r="O427" i="6"/>
  <c r="O430" i="6" s="1"/>
  <c r="O428" i="6"/>
  <c r="S370" i="6"/>
  <c r="S371" i="6" s="1"/>
  <c r="S373" i="6" s="1"/>
  <c r="Q335" i="6"/>
  <c r="R335" i="6" s="1"/>
  <c r="N388" i="6"/>
  <c r="O388" i="6" s="1"/>
  <c r="O387" i="6"/>
  <c r="P387" i="6" s="1"/>
  <c r="Q333" i="6"/>
  <c r="R333" i="6" s="1"/>
  <c r="O369" i="6"/>
  <c r="N370" i="6"/>
  <c r="O370" i="6" s="1"/>
  <c r="Q332" i="6"/>
  <c r="J336" i="6"/>
  <c r="K336" i="6" s="1"/>
  <c r="K335" i="6"/>
  <c r="O351" i="6"/>
  <c r="O352" i="6"/>
  <c r="N336" i="6"/>
  <c r="J68" i="1"/>
  <c r="K68" i="1" s="1"/>
  <c r="N353" i="6"/>
  <c r="N355" i="6" s="1"/>
  <c r="O350" i="6"/>
  <c r="S407" i="6" l="1"/>
  <c r="N429" i="6"/>
  <c r="N389" i="6"/>
  <c r="O389" i="6" s="1"/>
  <c r="N371" i="6"/>
  <c r="O371" i="6" s="1"/>
  <c r="O374" i="6"/>
  <c r="N409" i="6"/>
  <c r="N413" i="6" s="1"/>
  <c r="O409" i="6"/>
  <c r="Q336" i="6"/>
  <c r="Q337" i="6" s="1"/>
  <c r="R338" i="6" s="1"/>
  <c r="R332" i="6"/>
  <c r="R336" i="6" s="1"/>
  <c r="R337" i="6" s="1"/>
  <c r="K337" i="6"/>
  <c r="N337" i="6"/>
  <c r="O337" i="6" s="1"/>
  <c r="J337" i="6"/>
  <c r="J340" i="6" s="1"/>
  <c r="U360" i="6"/>
  <c r="Y360" i="6" s="1"/>
  <c r="O336" i="6"/>
  <c r="U359" i="6"/>
  <c r="Y359" i="6" s="1"/>
  <c r="O353" i="6"/>
  <c r="U358" i="6"/>
  <c r="N356" i="6"/>
  <c r="O356" i="6" s="1"/>
  <c r="O355" i="6"/>
  <c r="R339" i="6" l="1"/>
  <c r="O429" i="6"/>
  <c r="D66" i="3"/>
  <c r="E66" i="3" s="1"/>
  <c r="N338" i="6"/>
  <c r="O338" i="6" s="1"/>
  <c r="N374" i="6"/>
  <c r="N375" i="6" s="1"/>
  <c r="N411" i="6"/>
  <c r="O411" i="6" s="1"/>
  <c r="O410" i="6"/>
  <c r="O413" i="6" s="1"/>
  <c r="O341" i="6"/>
  <c r="P336" i="6"/>
  <c r="P337" i="6" s="1"/>
  <c r="U361" i="6"/>
  <c r="U363" i="6" s="1"/>
  <c r="N357" i="6"/>
  <c r="N358" i="6" s="1"/>
  <c r="N361" i="6" s="1"/>
  <c r="O357" i="6"/>
  <c r="N412" i="6" l="1"/>
  <c r="N378" i="6"/>
  <c r="N376" i="6"/>
  <c r="O376" i="6" s="1"/>
  <c r="N377" i="6"/>
  <c r="O375" i="6"/>
  <c r="O378" i="6" s="1"/>
  <c r="N393" i="6"/>
  <c r="N396" i="6" s="1"/>
  <c r="N394" i="6"/>
  <c r="O394" i="6" s="1"/>
  <c r="P339" i="6"/>
  <c r="N341" i="6"/>
  <c r="K341" i="6"/>
  <c r="K340" i="6"/>
  <c r="Z363" i="6"/>
  <c r="U364" i="6"/>
  <c r="Y361" i="6" s="1"/>
  <c r="N359" i="6"/>
  <c r="O359" i="6" s="1"/>
  <c r="O358" i="6"/>
  <c r="O361" i="6" s="1"/>
  <c r="O377" i="6" l="1"/>
  <c r="D63" i="3"/>
  <c r="E63" i="3" s="1"/>
  <c r="O412" i="6"/>
  <c r="D65" i="3"/>
  <c r="E65" i="3" s="1"/>
  <c r="O393" i="6"/>
  <c r="O396" i="6" s="1"/>
  <c r="N395" i="6"/>
  <c r="P342" i="6"/>
  <c r="N342" i="6"/>
  <c r="K342" i="6"/>
  <c r="J342" i="6"/>
  <c r="J343" i="6" s="1"/>
  <c r="N360" i="6"/>
  <c r="O360" i="6" s="1"/>
  <c r="O395" i="6" l="1"/>
  <c r="D64" i="3"/>
  <c r="E64" i="3" s="1"/>
  <c r="N343" i="6"/>
  <c r="N345" i="6"/>
  <c r="O342" i="6"/>
  <c r="O345" i="6" s="1"/>
  <c r="P429" i="6" s="1"/>
  <c r="J344" i="6"/>
  <c r="K344" i="6" s="1"/>
  <c r="K343" i="6"/>
  <c r="K346" i="6" s="1"/>
  <c r="J346" i="6"/>
  <c r="O343" i="6" l="1"/>
  <c r="N344" i="6"/>
  <c r="D62" i="3" s="1"/>
  <c r="J345" i="6"/>
  <c r="K345" i="6" s="1"/>
  <c r="O344" i="6" l="1"/>
  <c r="E62" i="3"/>
  <c r="E67" i="3" s="1"/>
  <c r="D63" i="7"/>
  <c r="D62" i="7"/>
  <c r="D47" i="7"/>
  <c r="A61" i="3" l="1"/>
  <c r="N297" i="6" l="1"/>
  <c r="K349" i="6"/>
  <c r="K359" i="6" s="1"/>
  <c r="J349" i="6"/>
  <c r="H67" i="1"/>
  <c r="I67" i="1"/>
  <c r="F67" i="1"/>
  <c r="D67" i="1"/>
  <c r="K351" i="6" l="1"/>
  <c r="K358" i="6"/>
  <c r="K354" i="6"/>
  <c r="J353" i="6"/>
  <c r="J355" i="6" s="1"/>
  <c r="K352" i="6"/>
  <c r="K350" i="6"/>
  <c r="J67" i="1"/>
  <c r="K67" i="1" s="1"/>
  <c r="K353" i="6" l="1"/>
  <c r="K355" i="6"/>
  <c r="J356" i="6"/>
  <c r="K356" i="6" s="1"/>
  <c r="K357" i="6" l="1"/>
  <c r="J357" i="6"/>
  <c r="J360" i="6" s="1"/>
  <c r="J361" i="6" s="1"/>
  <c r="K360" i="6" l="1"/>
  <c r="K361" i="6"/>
  <c r="J362" i="6" l="1"/>
  <c r="K362" i="6"/>
  <c r="J363" i="6" l="1"/>
  <c r="J366" i="6" s="1"/>
  <c r="C67" i="7"/>
  <c r="D67" i="7" s="1"/>
  <c r="D59" i="7"/>
  <c r="K66" i="1"/>
  <c r="J66" i="1"/>
  <c r="I66" i="1"/>
  <c r="H66" i="1"/>
  <c r="F66" i="1"/>
  <c r="D66" i="1"/>
  <c r="I64" i="1"/>
  <c r="J64" i="1" s="1"/>
  <c r="F64" i="1"/>
  <c r="D64" i="1"/>
  <c r="I65" i="1"/>
  <c r="J65" i="1" s="1"/>
  <c r="K65" i="1" s="1"/>
  <c r="D65" i="1"/>
  <c r="F65" i="1"/>
  <c r="M39" i="4"/>
  <c r="N39" i="4" s="1"/>
  <c r="O39" i="4" s="1"/>
  <c r="D49" i="7"/>
  <c r="I63" i="1"/>
  <c r="F63" i="1"/>
  <c r="D63" i="1"/>
  <c r="B62" i="1"/>
  <c r="I50" i="4"/>
  <c r="M50" i="4" s="1"/>
  <c r="A49" i="4"/>
  <c r="A51" i="7"/>
  <c r="I44" i="4"/>
  <c r="M44" i="4" s="1"/>
  <c r="F58" i="3"/>
  <c r="N315" i="6"/>
  <c r="N314" i="6"/>
  <c r="O312" i="6"/>
  <c r="O317" i="6" s="1"/>
  <c r="H57" i="1"/>
  <c r="I57" i="1" s="1"/>
  <c r="F57" i="1"/>
  <c r="N312" i="6" s="1"/>
  <c r="J364" i="6" l="1"/>
  <c r="K364" i="6" s="1"/>
  <c r="K363" i="6"/>
  <c r="K366" i="6" s="1"/>
  <c r="K64" i="1"/>
  <c r="E67" i="7"/>
  <c r="E69" i="7" s="1"/>
  <c r="E49" i="7"/>
  <c r="D50" i="7" s="1"/>
  <c r="O315" i="6"/>
  <c r="O314" i="6"/>
  <c r="J63" i="1"/>
  <c r="K63" i="1" s="1"/>
  <c r="C58" i="3"/>
  <c r="N313" i="6"/>
  <c r="O313" i="6" s="1"/>
  <c r="N50" i="4"/>
  <c r="O50" i="4" s="1"/>
  <c r="N44" i="4"/>
  <c r="O44" i="4" s="1"/>
  <c r="J57" i="1"/>
  <c r="K57" i="1" s="1"/>
  <c r="L57" i="1" s="1"/>
  <c r="L58" i="1" s="1"/>
  <c r="J365" i="6" l="1"/>
  <c r="K365" i="6" s="1"/>
  <c r="N316" i="6"/>
  <c r="N318" i="6" s="1"/>
  <c r="N319" i="6" s="1"/>
  <c r="O319" i="6" s="1"/>
  <c r="E68" i="7"/>
  <c r="O318" i="6" l="1"/>
  <c r="O320" i="6" s="1"/>
  <c r="O316" i="6"/>
  <c r="N320" i="6"/>
  <c r="N321" i="6" s="1"/>
  <c r="N324" i="6" l="1"/>
  <c r="N322" i="6"/>
  <c r="O322" i="6" s="1"/>
  <c r="O321" i="6"/>
  <c r="O324" i="6" s="1"/>
  <c r="O326" i="6" s="1"/>
  <c r="N323" i="6" l="1"/>
  <c r="O323" i="6" l="1"/>
  <c r="O325" i="6" s="1"/>
  <c r="D58" i="3"/>
  <c r="E58" i="3" s="1"/>
  <c r="I43" i="4"/>
  <c r="M43" i="4" s="1"/>
  <c r="O43" i="4" s="1"/>
  <c r="L42" i="4" l="1"/>
  <c r="M42" i="4" s="1"/>
  <c r="M41" i="4"/>
  <c r="L40" i="4"/>
  <c r="M40" i="4" s="1"/>
  <c r="F57" i="3"/>
  <c r="F56" i="3"/>
  <c r="F55" i="3"/>
  <c r="F54" i="3"/>
  <c r="F53" i="3"/>
  <c r="F52" i="3"/>
  <c r="F51" i="3"/>
  <c r="O298" i="6"/>
  <c r="C57" i="3" s="1"/>
  <c r="N303" i="6"/>
  <c r="N301" i="6"/>
  <c r="N300" i="6"/>
  <c r="F60" i="1"/>
  <c r="N298" i="6" s="1"/>
  <c r="H60" i="1"/>
  <c r="I60" i="1" s="1"/>
  <c r="N299" i="6" l="1"/>
  <c r="N302" i="6" s="1"/>
  <c r="O302" i="6" s="1"/>
  <c r="O300" i="6"/>
  <c r="O301" i="6"/>
  <c r="N42" i="4"/>
  <c r="O42" i="4" s="1"/>
  <c r="N41" i="4"/>
  <c r="O41" i="4" s="1"/>
  <c r="N40" i="4"/>
  <c r="O40" i="4" s="1"/>
  <c r="O303" i="6"/>
  <c r="J60" i="1"/>
  <c r="K60" i="1" s="1"/>
  <c r="O284" i="6"/>
  <c r="C56" i="3" s="1"/>
  <c r="N289" i="6"/>
  <c r="N287" i="6"/>
  <c r="N286" i="6"/>
  <c r="S284" i="6"/>
  <c r="C55" i="3" s="1"/>
  <c r="R284" i="6"/>
  <c r="R289" i="6"/>
  <c r="R287" i="6"/>
  <c r="R286" i="6"/>
  <c r="F59" i="1"/>
  <c r="N284" i="6" s="1"/>
  <c r="H59" i="1"/>
  <c r="N285" i="6" s="1"/>
  <c r="I59" i="1"/>
  <c r="F58" i="1"/>
  <c r="H58" i="1"/>
  <c r="I58" i="1" s="1"/>
  <c r="N273" i="6"/>
  <c r="N271" i="6"/>
  <c r="N270" i="6"/>
  <c r="S268" i="6"/>
  <c r="C53" i="3" s="1"/>
  <c r="R273" i="6"/>
  <c r="R271" i="6"/>
  <c r="R270" i="6"/>
  <c r="H55" i="1"/>
  <c r="I55" i="1" s="1"/>
  <c r="J55" i="1" s="1"/>
  <c r="F56" i="1"/>
  <c r="N268" i="6" s="1"/>
  <c r="F55" i="1"/>
  <c r="R268" i="6" s="1"/>
  <c r="H56" i="1"/>
  <c r="H54" i="1"/>
  <c r="I54" i="1" s="1"/>
  <c r="J54" i="1" s="1"/>
  <c r="K54" i="1" s="1"/>
  <c r="H53" i="1"/>
  <c r="I53" i="1" s="1"/>
  <c r="J53" i="1" s="1"/>
  <c r="G56" i="1"/>
  <c r="O268" i="6" s="1"/>
  <c r="C54" i="3" s="1"/>
  <c r="F45" i="3"/>
  <c r="F44" i="3"/>
  <c r="C52" i="3"/>
  <c r="C51" i="3"/>
  <c r="A50" i="3"/>
  <c r="Z293" i="6"/>
  <c r="Y289" i="6"/>
  <c r="Z289" i="6" s="1"/>
  <c r="Y287" i="6"/>
  <c r="Z287" i="6" s="1"/>
  <c r="Y286" i="6"/>
  <c r="Z286" i="6" s="1"/>
  <c r="Z276" i="6"/>
  <c r="Y272" i="6"/>
  <c r="Z272" i="6" s="1"/>
  <c r="Y270" i="6"/>
  <c r="Z270" i="6" s="1"/>
  <c r="Y269" i="6"/>
  <c r="C45" i="3"/>
  <c r="N245" i="6"/>
  <c r="O245" i="6" s="1"/>
  <c r="N247" i="6"/>
  <c r="O247" i="6" s="1"/>
  <c r="N244" i="6"/>
  <c r="O244" i="6" s="1"/>
  <c r="O243" i="6"/>
  <c r="F54" i="1"/>
  <c r="Y284" i="6" s="1"/>
  <c r="A37" i="7"/>
  <c r="A36" i="4"/>
  <c r="B52" i="1"/>
  <c r="I38" i="4"/>
  <c r="M38" i="4" s="1"/>
  <c r="F53" i="1"/>
  <c r="Y267" i="6" s="1"/>
  <c r="I37" i="4"/>
  <c r="M37" i="4" s="1"/>
  <c r="I50" i="1"/>
  <c r="K50" i="1" s="1"/>
  <c r="F50" i="1"/>
  <c r="N242" i="6" s="1"/>
  <c r="I33" i="4"/>
  <c r="M33" i="4" s="1"/>
  <c r="C44" i="3"/>
  <c r="S255" i="6"/>
  <c r="R251" i="6"/>
  <c r="S251" i="6" s="1"/>
  <c r="R249" i="6"/>
  <c r="R248" i="6"/>
  <c r="S248" i="6" s="1"/>
  <c r="S247" i="6"/>
  <c r="I49" i="1"/>
  <c r="J49" i="1" s="1"/>
  <c r="F49" i="1"/>
  <c r="D33" i="7"/>
  <c r="S289" i="6" l="1"/>
  <c r="S293" i="6"/>
  <c r="N288" i="6"/>
  <c r="O288" i="6" s="1"/>
  <c r="N304" i="6"/>
  <c r="N305" i="6" s="1"/>
  <c r="O305" i="6" s="1"/>
  <c r="O299" i="6"/>
  <c r="R250" i="6"/>
  <c r="R252" i="6" s="1"/>
  <c r="N246" i="6"/>
  <c r="N248" i="6" s="1"/>
  <c r="O248" i="6" s="1"/>
  <c r="R269" i="6"/>
  <c r="R272" i="6" s="1"/>
  <c r="R274" i="6" s="1"/>
  <c r="I56" i="1"/>
  <c r="J56" i="1" s="1"/>
  <c r="Y268" i="6"/>
  <c r="Z268" i="6" s="1"/>
  <c r="O286" i="6"/>
  <c r="O287" i="6"/>
  <c r="O289" i="6"/>
  <c r="R285" i="6"/>
  <c r="S285" i="6" s="1"/>
  <c r="S270" i="6"/>
  <c r="N269" i="6"/>
  <c r="O269" i="6" s="1"/>
  <c r="S273" i="6"/>
  <c r="Y285" i="6"/>
  <c r="Z285" i="6" s="1"/>
  <c r="S277" i="6"/>
  <c r="S286" i="6"/>
  <c r="O285" i="6"/>
  <c r="S287" i="6"/>
  <c r="J59" i="1"/>
  <c r="K59" i="1" s="1"/>
  <c r="J58" i="1"/>
  <c r="K58" i="1" s="1"/>
  <c r="O271" i="6"/>
  <c r="O273" i="6"/>
  <c r="O270" i="6"/>
  <c r="S271" i="6"/>
  <c r="K55" i="1"/>
  <c r="K56" i="1"/>
  <c r="K53" i="1"/>
  <c r="Z269" i="6"/>
  <c r="N249" i="6"/>
  <c r="O249" i="6" s="1"/>
  <c r="N38" i="4"/>
  <c r="O38" i="4" s="1"/>
  <c r="N37" i="4"/>
  <c r="O37" i="4" s="1"/>
  <c r="N33" i="4"/>
  <c r="O33" i="4" s="1"/>
  <c r="S249" i="6"/>
  <c r="K49" i="1"/>
  <c r="N290" i="6" l="1"/>
  <c r="N291" i="6" s="1"/>
  <c r="O291" i="6" s="1"/>
  <c r="S250" i="6"/>
  <c r="O304" i="6"/>
  <c r="O306" i="6" s="1"/>
  <c r="Y271" i="6"/>
  <c r="Y273" i="6" s="1"/>
  <c r="Y274" i="6" s="1"/>
  <c r="Z274" i="6" s="1"/>
  <c r="O246" i="6"/>
  <c r="S269" i="6"/>
  <c r="N272" i="6"/>
  <c r="Y288" i="6"/>
  <c r="Z288" i="6" s="1"/>
  <c r="R288" i="6"/>
  <c r="N306" i="6"/>
  <c r="S272" i="6"/>
  <c r="R275" i="6"/>
  <c r="S275" i="6" s="1"/>
  <c r="S274" i="6"/>
  <c r="O250" i="6"/>
  <c r="N250" i="6"/>
  <c r="R253" i="6"/>
  <c r="S253" i="6" s="1"/>
  <c r="S252" i="6"/>
  <c r="S254" i="6" l="1"/>
  <c r="S256" i="6" s="1"/>
  <c r="Z271" i="6"/>
  <c r="O290" i="6"/>
  <c r="O292" i="6" s="1"/>
  <c r="Z273" i="6"/>
  <c r="Z275" i="6" s="1"/>
  <c r="Z277" i="6" s="1"/>
  <c r="Y290" i="6"/>
  <c r="Y291" i="6" s="1"/>
  <c r="Z291" i="6" s="1"/>
  <c r="Y275" i="6"/>
  <c r="Y277" i="6" s="1"/>
  <c r="Y278" i="6" s="1"/>
  <c r="R290" i="6"/>
  <c r="S288" i="6"/>
  <c r="O272" i="6"/>
  <c r="N274" i="6"/>
  <c r="N307" i="6"/>
  <c r="N310" i="6" s="1"/>
  <c r="N292" i="6"/>
  <c r="R276" i="6"/>
  <c r="R278" i="6" s="1"/>
  <c r="S276" i="6"/>
  <c r="S278" i="6" s="1"/>
  <c r="N251" i="6"/>
  <c r="N254" i="6" s="1"/>
  <c r="R254" i="6"/>
  <c r="R256" i="6" s="1"/>
  <c r="R257" i="6" s="1"/>
  <c r="Z290" i="6" l="1"/>
  <c r="Z292" i="6" s="1"/>
  <c r="Z294" i="6" s="1"/>
  <c r="O274" i="6"/>
  <c r="N275" i="6"/>
  <c r="R291" i="6"/>
  <c r="S291" i="6" s="1"/>
  <c r="S290" i="6"/>
  <c r="O307" i="6"/>
  <c r="O310" i="6" s="1"/>
  <c r="N308" i="6"/>
  <c r="O308" i="6" s="1"/>
  <c r="N293" i="6"/>
  <c r="Y292" i="6"/>
  <c r="Y294" i="6" s="1"/>
  <c r="Y295" i="6" s="1"/>
  <c r="R279" i="6"/>
  <c r="Y279" i="6"/>
  <c r="Z279" i="6" s="1"/>
  <c r="Z278" i="6"/>
  <c r="Z281" i="6" s="1"/>
  <c r="Y281" i="6"/>
  <c r="N252" i="6"/>
  <c r="O252" i="6" s="1"/>
  <c r="O251" i="6"/>
  <c r="O254" i="6" s="1"/>
  <c r="R260" i="6"/>
  <c r="S292" i="6" l="1"/>
  <c r="S294" i="6" s="1"/>
  <c r="R292" i="6"/>
  <c r="R294" i="6" s="1"/>
  <c r="R295" i="6" s="1"/>
  <c r="R298" i="6" s="1"/>
  <c r="O275" i="6"/>
  <c r="O276" i="6" s="1"/>
  <c r="N276" i="6"/>
  <c r="N277" i="6" s="1"/>
  <c r="N280" i="6" s="1"/>
  <c r="N309" i="6"/>
  <c r="N294" i="6"/>
  <c r="O294" i="6" s="1"/>
  <c r="O293" i="6"/>
  <c r="O296" i="6" s="1"/>
  <c r="N296" i="6"/>
  <c r="N278" i="6"/>
  <c r="O278" i="6" s="1"/>
  <c r="O277" i="6"/>
  <c r="S279" i="6"/>
  <c r="S282" i="6" s="1"/>
  <c r="R280" i="6"/>
  <c r="S280" i="6" s="1"/>
  <c r="R282" i="6"/>
  <c r="Z295" i="6"/>
  <c r="Z298" i="6" s="1"/>
  <c r="Y296" i="6"/>
  <c r="Z296" i="6" s="1"/>
  <c r="Y297" i="6"/>
  <c r="Y298" i="6"/>
  <c r="Y280" i="6"/>
  <c r="D51" i="3" s="1"/>
  <c r="N253" i="6"/>
  <c r="S257" i="6"/>
  <c r="S260" i="6" s="1"/>
  <c r="R258" i="6"/>
  <c r="S258" i="6" s="1"/>
  <c r="S262" i="6" l="1"/>
  <c r="S261" i="6"/>
  <c r="O253" i="6"/>
  <c r="D45" i="3"/>
  <c r="E45" i="3" s="1"/>
  <c r="S295" i="6"/>
  <c r="S298" i="6" s="1"/>
  <c r="R296" i="6"/>
  <c r="S296" i="6" s="1"/>
  <c r="O309" i="6"/>
  <c r="D57" i="3"/>
  <c r="E57" i="3" s="1"/>
  <c r="O280" i="6"/>
  <c r="N295" i="6"/>
  <c r="Z297" i="6"/>
  <c r="D52" i="3"/>
  <c r="E52" i="3" s="1"/>
  <c r="Z280" i="6"/>
  <c r="E51" i="3"/>
  <c r="N279" i="6"/>
  <c r="R281" i="6"/>
  <c r="R259" i="6"/>
  <c r="S263" i="6" l="1"/>
  <c r="S264" i="6" s="1"/>
  <c r="S259" i="6"/>
  <c r="D44" i="3"/>
  <c r="E44" i="3" s="1"/>
  <c r="R297" i="6"/>
  <c r="O295" i="6"/>
  <c r="D56" i="3"/>
  <c r="E56" i="3" s="1"/>
  <c r="S281" i="6"/>
  <c r="D53" i="3"/>
  <c r="E53" i="3" s="1"/>
  <c r="O279" i="6"/>
  <c r="D54" i="3"/>
  <c r="E54" i="3" s="1"/>
  <c r="F43" i="3"/>
  <c r="F42" i="3"/>
  <c r="F41" i="3"/>
  <c r="F40" i="3"/>
  <c r="F39" i="3"/>
  <c r="M40" i="3"/>
  <c r="M39" i="3"/>
  <c r="K40" i="3"/>
  <c r="J40" i="3"/>
  <c r="K39" i="3"/>
  <c r="J39" i="3"/>
  <c r="T215" i="6"/>
  <c r="C43" i="3"/>
  <c r="C42" i="3"/>
  <c r="C41" i="3"/>
  <c r="C40" i="3"/>
  <c r="C39" i="3"/>
  <c r="A38" i="3"/>
  <c r="O231" i="6"/>
  <c r="O233" i="6"/>
  <c r="O230" i="6"/>
  <c r="O229" i="6"/>
  <c r="Z224" i="6"/>
  <c r="Y220" i="6"/>
  <c r="Z220" i="6" s="1"/>
  <c r="Y218" i="6"/>
  <c r="Y217" i="6"/>
  <c r="Z217" i="6" s="1"/>
  <c r="Z216" i="6"/>
  <c r="N219" i="6"/>
  <c r="O219" i="6" s="1"/>
  <c r="N217" i="6"/>
  <c r="O217" i="6" s="1"/>
  <c r="N216" i="6"/>
  <c r="O215" i="6"/>
  <c r="G48" i="1"/>
  <c r="I48" i="1" s="1"/>
  <c r="K48" i="1" s="1"/>
  <c r="F48" i="1"/>
  <c r="G46" i="1"/>
  <c r="I46" i="1" s="1"/>
  <c r="K46" i="1" s="1"/>
  <c r="F46" i="1"/>
  <c r="F47" i="1"/>
  <c r="M32" i="4"/>
  <c r="N32" i="4" s="1"/>
  <c r="O32" i="4" s="1"/>
  <c r="N218" i="6" l="1"/>
  <c r="N220" i="6" s="1"/>
  <c r="Y219" i="6"/>
  <c r="Z219" i="6" s="1"/>
  <c r="S297" i="6"/>
  <c r="D55" i="3"/>
  <c r="E55" i="3" s="1"/>
  <c r="E59" i="3" s="1"/>
  <c r="L40" i="3"/>
  <c r="L39" i="3"/>
  <c r="N232" i="6"/>
  <c r="Z218" i="6"/>
  <c r="O216" i="6"/>
  <c r="O218" i="6" l="1"/>
  <c r="Y221" i="6"/>
  <c r="Y222" i="6" s="1"/>
  <c r="Z222" i="6" s="1"/>
  <c r="N234" i="6"/>
  <c r="O232" i="6"/>
  <c r="N221" i="6"/>
  <c r="O221" i="6" s="1"/>
  <c r="O220" i="6"/>
  <c r="Z221" i="6" l="1"/>
  <c r="Z223" i="6" s="1"/>
  <c r="Z225" i="6" s="1"/>
  <c r="O222" i="6"/>
  <c r="N222" i="6"/>
  <c r="N223" i="6" s="1"/>
  <c r="O234" i="6"/>
  <c r="N235" i="6"/>
  <c r="O235" i="6" s="1"/>
  <c r="Y223" i="6"/>
  <c r="Y225" i="6" s="1"/>
  <c r="Y226" i="6" s="1"/>
  <c r="N236" i="6" l="1"/>
  <c r="N237" i="6" s="1"/>
  <c r="O236" i="6"/>
  <c r="N224" i="6"/>
  <c r="O224" i="6" s="1"/>
  <c r="O223" i="6"/>
  <c r="O226" i="6" s="1"/>
  <c r="N226" i="6"/>
  <c r="N238" i="6" l="1"/>
  <c r="O238" i="6" s="1"/>
  <c r="O237" i="6"/>
  <c r="O240" i="6" s="1"/>
  <c r="N240" i="6"/>
  <c r="Y227" i="6"/>
  <c r="Z227" i="6" s="1"/>
  <c r="Z226" i="6"/>
  <c r="Z229" i="6" s="1"/>
  <c r="Y229" i="6"/>
  <c r="N225" i="6"/>
  <c r="O225" i="6" l="1"/>
  <c r="D41" i="3"/>
  <c r="E41" i="3" s="1"/>
  <c r="N239" i="6"/>
  <c r="Y228" i="6"/>
  <c r="Z228" i="6" l="1"/>
  <c r="D42" i="3"/>
  <c r="E42" i="3" s="1"/>
  <c r="O239" i="6"/>
  <c r="D43" i="3"/>
  <c r="E43" i="3" s="1"/>
  <c r="L31" i="4"/>
  <c r="M31" i="4" s="1"/>
  <c r="N31" i="4" s="1"/>
  <c r="O31" i="4" s="1"/>
  <c r="L16" i="13"/>
  <c r="K15" i="13"/>
  <c r="J15" i="13"/>
  <c r="L6" i="13"/>
  <c r="K6" i="13"/>
  <c r="I6" i="13"/>
  <c r="I15" i="13" s="1"/>
  <c r="G6" i="13"/>
  <c r="G15" i="13" s="1"/>
  <c r="F15" i="13"/>
  <c r="D15" i="13"/>
  <c r="I47" i="1"/>
  <c r="K47" i="1" s="1"/>
  <c r="R232" i="6"/>
  <c r="R216" i="6"/>
  <c r="S216" i="6" s="1"/>
  <c r="S239" i="6"/>
  <c r="R235" i="6"/>
  <c r="S235" i="6" s="1"/>
  <c r="R233" i="6"/>
  <c r="S233" i="6" s="1"/>
  <c r="S232" i="6"/>
  <c r="S231" i="6"/>
  <c r="S223" i="6"/>
  <c r="R219" i="6"/>
  <c r="S219" i="6" s="1"/>
  <c r="R217" i="6"/>
  <c r="S215" i="6"/>
  <c r="I45" i="1"/>
  <c r="K45" i="1" s="1"/>
  <c r="L45" i="1"/>
  <c r="L46" i="1" s="1"/>
  <c r="F45" i="1"/>
  <c r="I44" i="1"/>
  <c r="K44" i="1" s="1"/>
  <c r="F44" i="1"/>
  <c r="B43" i="1"/>
  <c r="R218" i="6" l="1"/>
  <c r="R220" i="6" s="1"/>
  <c r="H6" i="13"/>
  <c r="H15" i="13" s="1"/>
  <c r="L15" i="13"/>
  <c r="R234" i="6"/>
  <c r="S217" i="6"/>
  <c r="D12" i="7"/>
  <c r="S218" i="6" l="1"/>
  <c r="R236" i="6"/>
  <c r="S234" i="6"/>
  <c r="R221" i="6"/>
  <c r="S221" i="6" s="1"/>
  <c r="S220" i="6"/>
  <c r="S236" i="6" l="1"/>
  <c r="R237" i="6"/>
  <c r="S237" i="6" s="1"/>
  <c r="R222" i="6"/>
  <c r="R224" i="6" s="1"/>
  <c r="R225" i="6" s="1"/>
  <c r="S222" i="6"/>
  <c r="S224" i="6" s="1"/>
  <c r="S238" i="6" l="1"/>
  <c r="S240" i="6" s="1"/>
  <c r="R238" i="6"/>
  <c r="R240" i="6" s="1"/>
  <c r="R241" i="6" s="1"/>
  <c r="R244" i="6" l="1"/>
  <c r="R226" i="6"/>
  <c r="S226" i="6" s="1"/>
  <c r="S225" i="6"/>
  <c r="S228" i="6" s="1"/>
  <c r="R228" i="6"/>
  <c r="R242" i="6" l="1"/>
  <c r="S242" i="6" s="1"/>
  <c r="S241" i="6"/>
  <c r="S244" i="6" s="1"/>
  <c r="R227" i="6"/>
  <c r="S227" i="6" l="1"/>
  <c r="D39" i="3"/>
  <c r="E39" i="3" s="1"/>
  <c r="R243" i="6"/>
  <c r="S243" i="6" l="1"/>
  <c r="D40" i="3"/>
  <c r="E40" i="3" s="1"/>
  <c r="E46" i="3" s="1"/>
  <c r="E47" i="3" s="1"/>
  <c r="C50" i="11"/>
  <c r="C54" i="11" s="1"/>
  <c r="B48" i="11"/>
  <c r="E52" i="11"/>
  <c r="I51" i="11"/>
  <c r="H51" i="11"/>
  <c r="D51" i="11"/>
  <c r="E51" i="11" s="1"/>
  <c r="G50" i="11"/>
  <c r="H50" i="11" s="1"/>
  <c r="H53" i="11" s="1"/>
  <c r="I30" i="4"/>
  <c r="M30" i="4" s="1"/>
  <c r="A29" i="4"/>
  <c r="A22" i="7"/>
  <c r="E5" i="12"/>
  <c r="D5" i="12"/>
  <c r="C5" i="12"/>
  <c r="C53" i="11" l="1"/>
  <c r="G53" i="11"/>
  <c r="D50" i="11"/>
  <c r="E50" i="11"/>
  <c r="I50" i="11"/>
  <c r="I53" i="11" s="1"/>
  <c r="N30" i="4"/>
  <c r="O30" i="4" s="1"/>
  <c r="E55" i="11" l="1"/>
  <c r="E53" i="11"/>
  <c r="D53" i="11"/>
  <c r="D54" i="11"/>
  <c r="E54" i="11" s="1"/>
  <c r="J46" i="10" l="1"/>
  <c r="E30" i="10"/>
  <c r="C7" i="10"/>
  <c r="K5" i="11"/>
  <c r="J5" i="11"/>
  <c r="O8" i="11"/>
  <c r="M5" i="11"/>
  <c r="M8" i="11" s="1"/>
  <c r="I8" i="11"/>
  <c r="H8" i="11"/>
  <c r="G8" i="11"/>
  <c r="H6" i="11"/>
  <c r="I6" i="11" s="1"/>
  <c r="G5" i="11"/>
  <c r="E10" i="11"/>
  <c r="E9" i="11"/>
  <c r="D9" i="11"/>
  <c r="C9" i="11"/>
  <c r="N5" i="11" l="1"/>
  <c r="N8" i="11" s="1"/>
  <c r="H5" i="11"/>
  <c r="I5" i="11" s="1"/>
  <c r="F36" i="3" l="1"/>
  <c r="I27" i="4"/>
  <c r="M27" i="4" s="1"/>
  <c r="O27" i="4" s="1"/>
  <c r="M60" i="4"/>
  <c r="M59" i="4"/>
  <c r="C36" i="3"/>
  <c r="N184" i="6"/>
  <c r="O184" i="6" s="1"/>
  <c r="N182" i="6"/>
  <c r="O182" i="6" s="1"/>
  <c r="N181" i="6"/>
  <c r="O180" i="6"/>
  <c r="F40" i="1"/>
  <c r="I40" i="1"/>
  <c r="K40" i="1" s="1"/>
  <c r="N6" i="12"/>
  <c r="N5" i="12"/>
  <c r="N4" i="12"/>
  <c r="M6" i="12"/>
  <c r="M5" i="12"/>
  <c r="M4" i="12"/>
  <c r="L6" i="12"/>
  <c r="L5" i="12"/>
  <c r="L4" i="12"/>
  <c r="E6" i="12"/>
  <c r="K6" i="12"/>
  <c r="H6" i="12"/>
  <c r="N183" i="6" l="1"/>
  <c r="N185" i="6" s="1"/>
  <c r="E9" i="12"/>
  <c r="E8" i="12"/>
  <c r="M61" i="4"/>
  <c r="O181" i="6"/>
  <c r="M31" i="3"/>
  <c r="L31" i="3"/>
  <c r="M30" i="3"/>
  <c r="M29" i="3"/>
  <c r="M28" i="3"/>
  <c r="M27" i="3"/>
  <c r="F35" i="3"/>
  <c r="C35" i="3"/>
  <c r="Z158" i="6"/>
  <c r="Y154" i="6"/>
  <c r="Z154" i="6" s="1"/>
  <c r="Y152" i="6"/>
  <c r="Z152" i="6" s="1"/>
  <c r="Y151" i="6"/>
  <c r="Z150" i="6"/>
  <c r="S205" i="6"/>
  <c r="R201" i="6"/>
  <c r="S201" i="6" s="1"/>
  <c r="R199" i="6"/>
  <c r="R198" i="6"/>
  <c r="S198" i="6" s="1"/>
  <c r="S197" i="6"/>
  <c r="I39" i="1"/>
  <c r="K39" i="1" s="1"/>
  <c r="F39" i="1"/>
  <c r="F38" i="1"/>
  <c r="I38" i="1"/>
  <c r="K38" i="1" s="1"/>
  <c r="K23" i="11"/>
  <c r="K32" i="11"/>
  <c r="K33" i="11" s="1"/>
  <c r="L22" i="11"/>
  <c r="M26" i="11"/>
  <c r="H41" i="11"/>
  <c r="H43" i="11" s="1"/>
  <c r="G36" i="11"/>
  <c r="G38" i="11" s="1"/>
  <c r="F31" i="11"/>
  <c r="F33" i="11" s="1"/>
  <c r="E26" i="11"/>
  <c r="E28" i="11" s="1"/>
  <c r="D21" i="11"/>
  <c r="D23" i="11" s="1"/>
  <c r="B3" i="11"/>
  <c r="E7" i="11"/>
  <c r="D6" i="11"/>
  <c r="C5" i="11"/>
  <c r="D5" i="11" s="1"/>
  <c r="C31" i="6"/>
  <c r="L30" i="3"/>
  <c r="L29" i="3"/>
  <c r="L28" i="3"/>
  <c r="F34" i="3"/>
  <c r="F33" i="3"/>
  <c r="F32" i="3"/>
  <c r="F31" i="3"/>
  <c r="F30" i="3"/>
  <c r="C34" i="3"/>
  <c r="C33" i="3"/>
  <c r="C32" i="3"/>
  <c r="C31" i="3"/>
  <c r="C30" i="3"/>
  <c r="N169" i="6"/>
  <c r="O169" i="6" s="1"/>
  <c r="N167" i="6"/>
  <c r="O167" i="6" s="1"/>
  <c r="N166" i="6"/>
  <c r="O165" i="6"/>
  <c r="N153" i="6"/>
  <c r="O153" i="6" s="1"/>
  <c r="N151" i="6"/>
  <c r="O151" i="6" s="1"/>
  <c r="N150" i="6"/>
  <c r="O149" i="6"/>
  <c r="N134" i="6"/>
  <c r="N168" i="6" l="1"/>
  <c r="N170" i="6" s="1"/>
  <c r="N152" i="6"/>
  <c r="O152" i="6" s="1"/>
  <c r="O183" i="6"/>
  <c r="Y153" i="6"/>
  <c r="Y155" i="6" s="1"/>
  <c r="R200" i="6"/>
  <c r="O185" i="6"/>
  <c r="N186" i="6"/>
  <c r="O186" i="6" s="1"/>
  <c r="Z153" i="6"/>
  <c r="Z151" i="6"/>
  <c r="R202" i="6"/>
  <c r="S200" i="6"/>
  <c r="S199" i="6"/>
  <c r="D8" i="11"/>
  <c r="C8" i="11"/>
  <c r="E6" i="11"/>
  <c r="E5" i="11"/>
  <c r="O166" i="6"/>
  <c r="O150" i="6"/>
  <c r="O168" i="6" l="1"/>
  <c r="N154" i="6"/>
  <c r="O154" i="6" s="1"/>
  <c r="N187" i="6"/>
  <c r="O187" i="6"/>
  <c r="Y156" i="6"/>
  <c r="Z156" i="6" s="1"/>
  <c r="Z155" i="6"/>
  <c r="R203" i="6"/>
  <c r="S203" i="6" s="1"/>
  <c r="S202" i="6"/>
  <c r="E8" i="11"/>
  <c r="C14" i="11" s="1"/>
  <c r="O170" i="6"/>
  <c r="N171" i="6"/>
  <c r="O171" i="6" s="1"/>
  <c r="Y157" i="6" l="1"/>
  <c r="Y159" i="6" s="1"/>
  <c r="Y160" i="6" s="1"/>
  <c r="Y163" i="6" s="1"/>
  <c r="Z157" i="6"/>
  <c r="Z159" i="6" s="1"/>
  <c r="N155" i="6"/>
  <c r="O155" i="6" s="1"/>
  <c r="O156" i="6" s="1"/>
  <c r="N188" i="6"/>
  <c r="R204" i="6"/>
  <c r="R206" i="6" s="1"/>
  <c r="S204" i="6"/>
  <c r="S206" i="6" s="1"/>
  <c r="C15" i="11"/>
  <c r="K14" i="11"/>
  <c r="K15" i="11" s="1"/>
  <c r="C20" i="11"/>
  <c r="C24" i="11" s="1"/>
  <c r="C25" i="11"/>
  <c r="C29" i="11" s="1"/>
  <c r="N172" i="6"/>
  <c r="O172" i="6"/>
  <c r="N156" i="6" l="1"/>
  <c r="N157" i="6" s="1"/>
  <c r="N158" i="6" s="1"/>
  <c r="O158" i="6" s="1"/>
  <c r="N189" i="6"/>
  <c r="O189" i="6" s="1"/>
  <c r="O188" i="6"/>
  <c r="O191" i="6" s="1"/>
  <c r="N191" i="6"/>
  <c r="Y161" i="6"/>
  <c r="Z161" i="6" s="1"/>
  <c r="Z160" i="6"/>
  <c r="Z163" i="6" s="1"/>
  <c r="R207" i="6"/>
  <c r="K24" i="11"/>
  <c r="K27" i="11" s="1"/>
  <c r="K20" i="11"/>
  <c r="C30" i="11"/>
  <c r="C34" i="11" s="1"/>
  <c r="C40" i="11"/>
  <c r="C44" i="11" s="1"/>
  <c r="C35" i="11"/>
  <c r="C39" i="11" s="1"/>
  <c r="N173" i="6"/>
  <c r="O157" i="6" l="1"/>
  <c r="O160" i="6" s="1"/>
  <c r="N160" i="6"/>
  <c r="N159" i="6"/>
  <c r="N190" i="6"/>
  <c r="Y162" i="6"/>
  <c r="Z162" i="6" s="1"/>
  <c r="R208" i="6"/>
  <c r="S208" i="6" s="1"/>
  <c r="S207" i="6"/>
  <c r="S210" i="6" s="1"/>
  <c r="R210" i="6"/>
  <c r="N174" i="6"/>
  <c r="O174" i="6" s="1"/>
  <c r="O173" i="6"/>
  <c r="O176" i="6" s="1"/>
  <c r="N176" i="6"/>
  <c r="O190" i="6" l="1"/>
  <c r="M63" i="4" s="1"/>
  <c r="M64" i="4" s="1"/>
  <c r="D36" i="3"/>
  <c r="E36" i="3" s="1"/>
  <c r="O159" i="6"/>
  <c r="D31" i="3"/>
  <c r="E31" i="3" s="1"/>
  <c r="R209" i="6"/>
  <c r="N175" i="6"/>
  <c r="O175" i="6" l="1"/>
  <c r="D32" i="3"/>
  <c r="E32" i="3" s="1"/>
  <c r="S209" i="6"/>
  <c r="D35" i="3"/>
  <c r="E35" i="3" s="1"/>
  <c r="S189" i="6"/>
  <c r="R185" i="6"/>
  <c r="S185" i="6" s="1"/>
  <c r="R183" i="6"/>
  <c r="S183" i="6" s="1"/>
  <c r="R182" i="6"/>
  <c r="S182" i="6" s="1"/>
  <c r="S181" i="6"/>
  <c r="S173" i="6"/>
  <c r="R169" i="6"/>
  <c r="S169" i="6" s="1"/>
  <c r="R167" i="6"/>
  <c r="S167" i="6" s="1"/>
  <c r="R166" i="6"/>
  <c r="S165" i="6"/>
  <c r="N137" i="6"/>
  <c r="O137" i="6" s="1"/>
  <c r="N135" i="6"/>
  <c r="O135" i="6" s="1"/>
  <c r="O133" i="6"/>
  <c r="N136" i="6" l="1"/>
  <c r="N138" i="6" s="1"/>
  <c r="R168" i="6"/>
  <c r="R170" i="6" s="1"/>
  <c r="R184" i="6"/>
  <c r="S166" i="6"/>
  <c r="O134" i="6"/>
  <c r="F37" i="1"/>
  <c r="I37" i="1"/>
  <c r="K37" i="1" s="1"/>
  <c r="T28" i="3"/>
  <c r="F36" i="1"/>
  <c r="I36" i="1"/>
  <c r="K36" i="1" s="1"/>
  <c r="F35" i="1"/>
  <c r="I35" i="1"/>
  <c r="K35" i="1" s="1"/>
  <c r="F34" i="1"/>
  <c r="I34" i="1"/>
  <c r="K34" i="1" s="1"/>
  <c r="I33" i="1"/>
  <c r="K33" i="1" s="1"/>
  <c r="F33" i="1"/>
  <c r="F32" i="1"/>
  <c r="K32" i="1"/>
  <c r="K31" i="1"/>
  <c r="F31" i="1"/>
  <c r="O136" i="6" l="1"/>
  <c r="S168" i="6"/>
  <c r="R186" i="6"/>
  <c r="S184" i="6"/>
  <c r="R171" i="6"/>
  <c r="S171" i="6" s="1"/>
  <c r="S170" i="6"/>
  <c r="R172" i="6"/>
  <c r="R174" i="6" s="1"/>
  <c r="N139" i="6"/>
  <c r="O139" i="6" s="1"/>
  <c r="O138" i="6"/>
  <c r="M26" i="4"/>
  <c r="O26" i="4" s="1"/>
  <c r="D15" i="7"/>
  <c r="D21" i="7" s="1"/>
  <c r="C4" i="10"/>
  <c r="C5" i="10"/>
  <c r="M25" i="4"/>
  <c r="F30" i="1"/>
  <c r="I30" i="1"/>
  <c r="K30" i="1" s="1"/>
  <c r="F29" i="3"/>
  <c r="Y141" i="6"/>
  <c r="Z141" i="6" s="1"/>
  <c r="L27" i="3"/>
  <c r="S157" i="6"/>
  <c r="R153" i="6"/>
  <c r="S153" i="6" s="1"/>
  <c r="R151" i="6"/>
  <c r="S151" i="6" s="1"/>
  <c r="R150" i="6"/>
  <c r="S149" i="6"/>
  <c r="S28" i="3"/>
  <c r="T27" i="3"/>
  <c r="S27" i="3"/>
  <c r="F28" i="3"/>
  <c r="F27" i="3"/>
  <c r="Y137" i="6"/>
  <c r="Z137" i="6" s="1"/>
  <c r="Y135" i="6"/>
  <c r="Y134" i="6"/>
  <c r="Z134" i="6" s="1"/>
  <c r="Z133" i="6"/>
  <c r="R135" i="6"/>
  <c r="S141" i="6"/>
  <c r="R137" i="6"/>
  <c r="S137" i="6" s="1"/>
  <c r="R134" i="6"/>
  <c r="S134" i="6" s="1"/>
  <c r="S133" i="6"/>
  <c r="A25" i="3"/>
  <c r="A13" i="7"/>
  <c r="A23" i="4"/>
  <c r="M24" i="4"/>
  <c r="I29" i="1"/>
  <c r="K29" i="1" s="1"/>
  <c r="F29" i="1"/>
  <c r="F28" i="1"/>
  <c r="I28" i="1"/>
  <c r="K28" i="1" s="1"/>
  <c r="D7" i="10" s="1"/>
  <c r="B27" i="1"/>
  <c r="S172" i="6" l="1"/>
  <c r="S174" i="6" s="1"/>
  <c r="O140" i="6"/>
  <c r="R187" i="6"/>
  <c r="S187" i="6" s="1"/>
  <c r="S186" i="6"/>
  <c r="R175" i="6"/>
  <c r="R178" i="6" s="1"/>
  <c r="N140" i="6"/>
  <c r="R152" i="6"/>
  <c r="R154" i="6" s="1"/>
  <c r="N25" i="4"/>
  <c r="O25" i="4" s="1"/>
  <c r="S150" i="6"/>
  <c r="Y136" i="6"/>
  <c r="Z136" i="6" s="1"/>
  <c r="Z135" i="6"/>
  <c r="R136" i="6"/>
  <c r="R138" i="6" s="1"/>
  <c r="S135" i="6"/>
  <c r="N24" i="4"/>
  <c r="O24" i="4" s="1"/>
  <c r="F23" i="3"/>
  <c r="N120" i="6"/>
  <c r="O120" i="6" s="1"/>
  <c r="N118" i="6"/>
  <c r="O118" i="6" s="1"/>
  <c r="N117" i="6"/>
  <c r="O116" i="6"/>
  <c r="F25" i="1"/>
  <c r="I25" i="1"/>
  <c r="K25" i="1" s="1"/>
  <c r="F22" i="3"/>
  <c r="N104" i="6"/>
  <c r="O104" i="6" s="1"/>
  <c r="N102" i="6"/>
  <c r="O102" i="6" s="1"/>
  <c r="N101" i="6"/>
  <c r="O100" i="6"/>
  <c r="F24" i="1"/>
  <c r="I24" i="1"/>
  <c r="K24" i="1" s="1"/>
  <c r="M18" i="3"/>
  <c r="L18" i="3"/>
  <c r="F21" i="3"/>
  <c r="R117" i="6"/>
  <c r="S117" i="6" s="1"/>
  <c r="R101" i="6"/>
  <c r="R85" i="6"/>
  <c r="S116" i="6"/>
  <c r="R118" i="6"/>
  <c r="S118" i="6" s="1"/>
  <c r="R120" i="6"/>
  <c r="S120" i="6" s="1"/>
  <c r="S124" i="6"/>
  <c r="F23" i="1"/>
  <c r="I23" i="1"/>
  <c r="K23" i="1" s="1"/>
  <c r="F20" i="3"/>
  <c r="N88" i="6"/>
  <c r="O88" i="6" s="1"/>
  <c r="N86" i="6"/>
  <c r="O86" i="6" s="1"/>
  <c r="N85" i="6"/>
  <c r="O84" i="6"/>
  <c r="A9" i="7"/>
  <c r="F22" i="1"/>
  <c r="I22" i="1"/>
  <c r="K22" i="1" s="1"/>
  <c r="M21" i="4"/>
  <c r="M20" i="4"/>
  <c r="F19" i="3"/>
  <c r="M17" i="3"/>
  <c r="L17" i="3"/>
  <c r="R104" i="6"/>
  <c r="S104" i="6" s="1"/>
  <c r="R102" i="6"/>
  <c r="S102" i="6" s="1"/>
  <c r="S108" i="6"/>
  <c r="F21" i="1"/>
  <c r="I21" i="1"/>
  <c r="K21" i="1" s="1"/>
  <c r="F6" i="3"/>
  <c r="C6" i="3"/>
  <c r="A5" i="3"/>
  <c r="A8" i="3"/>
  <c r="G7" i="7"/>
  <c r="I20" i="1"/>
  <c r="K20" i="1" s="1"/>
  <c r="F20" i="1"/>
  <c r="E29" i="6"/>
  <c r="C34" i="6"/>
  <c r="C37" i="6" s="1"/>
  <c r="E33" i="6"/>
  <c r="B33" i="6"/>
  <c r="D32" i="6"/>
  <c r="D31" i="6"/>
  <c r="S83" i="6"/>
  <c r="C6" i="10" s="1"/>
  <c r="C8" i="10" s="1"/>
  <c r="G19" i="1"/>
  <c r="I19" i="1" s="1"/>
  <c r="F18" i="3"/>
  <c r="M16" i="3"/>
  <c r="L16" i="3"/>
  <c r="F19" i="1"/>
  <c r="I73" i="1"/>
  <c r="I72" i="1"/>
  <c r="I74" i="1" s="1"/>
  <c r="M19" i="4"/>
  <c r="M18" i="4"/>
  <c r="O18" i="4" s="1"/>
  <c r="F17" i="3"/>
  <c r="A15" i="3"/>
  <c r="N69" i="6"/>
  <c r="Y138" i="6" l="1"/>
  <c r="Z138" i="6" s="1"/>
  <c r="S188" i="6"/>
  <c r="S190" i="6" s="1"/>
  <c r="R188" i="6"/>
  <c r="R190" i="6" s="1"/>
  <c r="R191" i="6" s="1"/>
  <c r="S136" i="6"/>
  <c r="B32" i="6"/>
  <c r="E32" i="6"/>
  <c r="R103" i="6"/>
  <c r="R105" i="6" s="1"/>
  <c r="N87" i="6"/>
  <c r="N89" i="6" s="1"/>
  <c r="R176" i="6"/>
  <c r="S176" i="6" s="1"/>
  <c r="S175" i="6"/>
  <c r="S178" i="6" s="1"/>
  <c r="N141" i="6"/>
  <c r="N144" i="6" s="1"/>
  <c r="S152" i="6"/>
  <c r="I76" i="1"/>
  <c r="N103" i="6"/>
  <c r="N105" i="6" s="1"/>
  <c r="R155" i="6"/>
  <c r="S155" i="6" s="1"/>
  <c r="S154" i="6"/>
  <c r="N119" i="6"/>
  <c r="O119" i="6" s="1"/>
  <c r="R139" i="6"/>
  <c r="S139" i="6" s="1"/>
  <c r="S138" i="6"/>
  <c r="O101" i="6"/>
  <c r="N19" i="4"/>
  <c r="O19" i="4" s="1"/>
  <c r="O117" i="6"/>
  <c r="R119" i="6"/>
  <c r="O85" i="6"/>
  <c r="N21" i="4"/>
  <c r="O21" i="4" s="1"/>
  <c r="N20" i="4"/>
  <c r="O20" i="4" s="1"/>
  <c r="S100" i="6"/>
  <c r="S101" i="6"/>
  <c r="D29" i="6"/>
  <c r="D34" i="6"/>
  <c r="B31" i="6"/>
  <c r="E31" i="6"/>
  <c r="K19" i="1"/>
  <c r="N72" i="6"/>
  <c r="O72" i="6" s="1"/>
  <c r="N70" i="6"/>
  <c r="O70" i="6" s="1"/>
  <c r="O68" i="6"/>
  <c r="F18" i="1"/>
  <c r="I18" i="1"/>
  <c r="K18" i="1" s="1"/>
  <c r="B17" i="1"/>
  <c r="B9" i="1"/>
  <c r="B5" i="1"/>
  <c r="Y139" i="6" l="1"/>
  <c r="Z139" i="6" s="1"/>
  <c r="Z140" i="6" s="1"/>
  <c r="Z142" i="6" s="1"/>
  <c r="N71" i="6"/>
  <c r="N73" i="6" s="1"/>
  <c r="S140" i="6"/>
  <c r="S142" i="6" s="1"/>
  <c r="S103" i="6"/>
  <c r="N121" i="6"/>
  <c r="O121" i="6" s="1"/>
  <c r="O87" i="6"/>
  <c r="R177" i="6"/>
  <c r="O103" i="6"/>
  <c r="I75" i="1" a="1"/>
  <c r="I75" i="1" s="1"/>
  <c r="R192" i="6"/>
  <c r="S192" i="6" s="1"/>
  <c r="S191" i="6"/>
  <c r="S194" i="6" s="1"/>
  <c r="R194" i="6"/>
  <c r="N142" i="6"/>
  <c r="O142" i="6" s="1"/>
  <c r="O141" i="6"/>
  <c r="O144" i="6" s="1"/>
  <c r="D6" i="10"/>
  <c r="R156" i="6"/>
  <c r="R158" i="6" s="1"/>
  <c r="S156" i="6"/>
  <c r="S158" i="6" s="1"/>
  <c r="R140" i="6"/>
  <c r="R142" i="6" s="1"/>
  <c r="D37" i="6"/>
  <c r="B29" i="6"/>
  <c r="N106" i="6"/>
  <c r="O106" i="6" s="1"/>
  <c r="O105" i="6"/>
  <c r="O107" i="6" s="1"/>
  <c r="S119" i="6"/>
  <c r="R121" i="6"/>
  <c r="O89" i="6"/>
  <c r="N90" i="6"/>
  <c r="O90" i="6" s="1"/>
  <c r="S105" i="6"/>
  <c r="R106" i="6"/>
  <c r="S106" i="6" s="1"/>
  <c r="E34" i="6"/>
  <c r="E37" i="6" s="1"/>
  <c r="B34" i="6"/>
  <c r="O69" i="6"/>
  <c r="M17" i="4"/>
  <c r="N17" i="4" s="1"/>
  <c r="F9" i="5"/>
  <c r="G9" i="5" s="1"/>
  <c r="F16" i="3"/>
  <c r="F13" i="3"/>
  <c r="A16" i="4"/>
  <c r="N56" i="6"/>
  <c r="O56" i="6" s="1"/>
  <c r="N54" i="6"/>
  <c r="O54" i="6" s="1"/>
  <c r="N53" i="6"/>
  <c r="O53" i="6" s="1"/>
  <c r="O52" i="6"/>
  <c r="I15" i="1"/>
  <c r="K15" i="1" s="1"/>
  <c r="F15" i="1"/>
  <c r="O71" i="6" l="1"/>
  <c r="Y140" i="6"/>
  <c r="Y142" i="6" s="1"/>
  <c r="Y143" i="6" s="1"/>
  <c r="Y146" i="6" s="1"/>
  <c r="N122" i="6"/>
  <c r="O122" i="6" s="1"/>
  <c r="O123" i="6" s="1"/>
  <c r="S177" i="6"/>
  <c r="D33" i="3"/>
  <c r="E33" i="3" s="1"/>
  <c r="N143" i="6"/>
  <c r="R193" i="6"/>
  <c r="R159" i="6"/>
  <c r="R143" i="6"/>
  <c r="B37" i="6"/>
  <c r="N107" i="6"/>
  <c r="R122" i="6"/>
  <c r="S122" i="6" s="1"/>
  <c r="S121" i="6"/>
  <c r="N91" i="6"/>
  <c r="O91" i="6"/>
  <c r="R107" i="6"/>
  <c r="R109" i="6" s="1"/>
  <c r="S107" i="6"/>
  <c r="S109" i="6" s="1"/>
  <c r="N74" i="6"/>
  <c r="O74" i="6" s="1"/>
  <c r="O73" i="6"/>
  <c r="O17" i="4"/>
  <c r="N55" i="6"/>
  <c r="N123" i="6" l="1"/>
  <c r="N124" i="6" s="1"/>
  <c r="O143" i="6"/>
  <c r="D30" i="3"/>
  <c r="E30" i="3" s="1"/>
  <c r="S193" i="6"/>
  <c r="D34" i="3"/>
  <c r="E34" i="3" s="1"/>
  <c r="R160" i="6"/>
  <c r="S160" i="6" s="1"/>
  <c r="S159" i="6"/>
  <c r="S162" i="6" s="1"/>
  <c r="R162" i="6"/>
  <c r="Z143" i="6"/>
  <c r="Z146" i="6" s="1"/>
  <c r="Y144" i="6"/>
  <c r="Z144" i="6" s="1"/>
  <c r="R144" i="6"/>
  <c r="S144" i="6" s="1"/>
  <c r="S143" i="6"/>
  <c r="S146" i="6" s="1"/>
  <c r="E7" i="10" s="1"/>
  <c r="F7" i="10" s="1"/>
  <c r="R146" i="6"/>
  <c r="O75" i="6"/>
  <c r="N108" i="6"/>
  <c r="S123" i="6"/>
  <c r="S125" i="6" s="1"/>
  <c r="R123" i="6"/>
  <c r="R125" i="6" s="1"/>
  <c r="N92" i="6"/>
  <c r="R110" i="6"/>
  <c r="R113" i="6" s="1"/>
  <c r="N75" i="6"/>
  <c r="N76" i="6" s="1"/>
  <c r="N57" i="6"/>
  <c r="O55" i="6"/>
  <c r="R161" i="6" l="1"/>
  <c r="Y145" i="6"/>
  <c r="R145" i="6"/>
  <c r="N125" i="6"/>
  <c r="O125" i="6" s="1"/>
  <c r="O124" i="6"/>
  <c r="O127" i="6" s="1"/>
  <c r="N127" i="6"/>
  <c r="N109" i="6"/>
  <c r="O109" i="6" s="1"/>
  <c r="O108" i="6"/>
  <c r="O111" i="6" s="1"/>
  <c r="N111" i="6"/>
  <c r="R126" i="6"/>
  <c r="N93" i="6"/>
  <c r="O93" i="6" s="1"/>
  <c r="O92" i="6"/>
  <c r="O95" i="6" s="1"/>
  <c r="N95" i="6"/>
  <c r="R111" i="6"/>
  <c r="S111" i="6" s="1"/>
  <c r="S110" i="6"/>
  <c r="S113" i="6" s="1"/>
  <c r="N77" i="6"/>
  <c r="O77" i="6" s="1"/>
  <c r="O76" i="6"/>
  <c r="O79" i="6" s="1"/>
  <c r="N79" i="6"/>
  <c r="N58" i="6"/>
  <c r="O58" i="6" s="1"/>
  <c r="O57" i="6"/>
  <c r="O59" i="6" s="1"/>
  <c r="S161" i="6" l="1"/>
  <c r="D29" i="3"/>
  <c r="E29" i="3" s="1"/>
  <c r="Z145" i="6"/>
  <c r="D28" i="3"/>
  <c r="E28" i="3" s="1"/>
  <c r="S145" i="6"/>
  <c r="D27" i="3"/>
  <c r="E27" i="3" s="1"/>
  <c r="N126" i="6"/>
  <c r="N110" i="6"/>
  <c r="R112" i="6"/>
  <c r="R127" i="6"/>
  <c r="S127" i="6" s="1"/>
  <c r="S126" i="6"/>
  <c r="S129" i="6" s="1"/>
  <c r="R129" i="6"/>
  <c r="N94" i="6"/>
  <c r="N78" i="6"/>
  <c r="N59" i="6"/>
  <c r="O94" i="6" l="1"/>
  <c r="D20" i="3"/>
  <c r="E20" i="3" s="1"/>
  <c r="O110" i="6"/>
  <c r="D22" i="3"/>
  <c r="E22" i="3" s="1"/>
  <c r="O78" i="6"/>
  <c r="D17" i="3"/>
  <c r="E17" i="3" s="1"/>
  <c r="O126" i="6"/>
  <c r="D23" i="3"/>
  <c r="E23" i="3" s="1"/>
  <c r="S112" i="6"/>
  <c r="D19" i="3"/>
  <c r="E19" i="3" s="1"/>
  <c r="R128" i="6"/>
  <c r="N60" i="6"/>
  <c r="S128" i="6" l="1"/>
  <c r="D21" i="3"/>
  <c r="E21" i="3" s="1"/>
  <c r="N61" i="6"/>
  <c r="O61" i="6" s="1"/>
  <c r="O60" i="6"/>
  <c r="O63" i="6" s="1"/>
  <c r="N63" i="6"/>
  <c r="N62" i="6" l="1"/>
  <c r="O62" i="6" s="1"/>
  <c r="Z28" i="6"/>
  <c r="Y24" i="6"/>
  <c r="Z24" i="6" s="1"/>
  <c r="Y22" i="6"/>
  <c r="Y21" i="6"/>
  <c r="Z21" i="6" s="1"/>
  <c r="Z20" i="6"/>
  <c r="F14" i="1"/>
  <c r="I14" i="1"/>
  <c r="K14" i="1" s="1"/>
  <c r="I13" i="1"/>
  <c r="K13" i="1" s="1"/>
  <c r="F13" i="1"/>
  <c r="S92" i="6"/>
  <c r="R88" i="6"/>
  <c r="S88" i="6" s="1"/>
  <c r="R86" i="6"/>
  <c r="S86" i="6" s="1"/>
  <c r="S85" i="6"/>
  <c r="S84" i="6"/>
  <c r="N41" i="6"/>
  <c r="O41" i="6" s="1"/>
  <c r="N39" i="6"/>
  <c r="O39" i="6" s="1"/>
  <c r="N38" i="6"/>
  <c r="O37" i="6"/>
  <c r="N40" i="6" l="1"/>
  <c r="N42" i="6" s="1"/>
  <c r="D16" i="3"/>
  <c r="E16" i="3" s="1"/>
  <c r="Y23" i="6"/>
  <c r="Z23" i="6" s="1"/>
  <c r="Z22" i="6"/>
  <c r="R87" i="6"/>
  <c r="O38" i="6"/>
  <c r="M13" i="4"/>
  <c r="K7" i="5"/>
  <c r="F4" i="5"/>
  <c r="F12" i="1"/>
  <c r="F12" i="3"/>
  <c r="M10" i="3"/>
  <c r="L10" i="3"/>
  <c r="S44" i="6"/>
  <c r="R40" i="6"/>
  <c r="S40" i="6" s="1"/>
  <c r="R38" i="6"/>
  <c r="S38" i="6" s="1"/>
  <c r="R37" i="6"/>
  <c r="S37" i="6" s="1"/>
  <c r="S36" i="6"/>
  <c r="F8" i="5"/>
  <c r="G8" i="5" s="1"/>
  <c r="I12" i="1"/>
  <c r="K12" i="1" s="1"/>
  <c r="M12" i="4"/>
  <c r="M11" i="4"/>
  <c r="F10" i="1"/>
  <c r="I10" i="4"/>
  <c r="M10" i="4" s="1"/>
  <c r="O10" i="4" s="1"/>
  <c r="F11" i="3"/>
  <c r="N24" i="6"/>
  <c r="O24" i="6" s="1"/>
  <c r="N22" i="6"/>
  <c r="O22" i="6" s="1"/>
  <c r="N21" i="6"/>
  <c r="O20" i="6"/>
  <c r="F6" i="5"/>
  <c r="G6" i="5" s="1"/>
  <c r="D6" i="5"/>
  <c r="F4" i="8"/>
  <c r="A8" i="4"/>
  <c r="A4" i="4"/>
  <c r="F11" i="1"/>
  <c r="I11" i="1"/>
  <c r="K11" i="1" s="1"/>
  <c r="A6" i="7"/>
  <c r="A3" i="7"/>
  <c r="O40" i="6" l="1"/>
  <c r="Y25" i="6"/>
  <c r="Y26" i="6" s="1"/>
  <c r="Z26" i="6" s="1"/>
  <c r="R39" i="6"/>
  <c r="R41" i="6" s="1"/>
  <c r="R89" i="6"/>
  <c r="S87" i="6"/>
  <c r="O42" i="6"/>
  <c r="N43" i="6"/>
  <c r="O43" i="6" s="1"/>
  <c r="N13" i="4"/>
  <c r="O13" i="4" s="1"/>
  <c r="N12" i="4"/>
  <c r="O12" i="4" s="1"/>
  <c r="N11" i="4"/>
  <c r="O11" i="4" s="1"/>
  <c r="N23" i="6"/>
  <c r="O23" i="6" s="1"/>
  <c r="O21" i="6"/>
  <c r="M9" i="4"/>
  <c r="N9" i="4" s="1"/>
  <c r="O9" i="4" s="1"/>
  <c r="F10" i="3"/>
  <c r="F9" i="3"/>
  <c r="M9" i="3"/>
  <c r="L9" i="3"/>
  <c r="L11" i="3" s="1"/>
  <c r="I10" i="1"/>
  <c r="K10" i="1" s="1"/>
  <c r="D5" i="10" s="1"/>
  <c r="R22" i="6"/>
  <c r="S22" i="6" s="1"/>
  <c r="R24" i="6"/>
  <c r="S24" i="6" s="1"/>
  <c r="R21" i="6"/>
  <c r="S21" i="6" s="1"/>
  <c r="S20" i="6"/>
  <c r="D4" i="8"/>
  <c r="D4" i="5"/>
  <c r="F3" i="8"/>
  <c r="D3" i="8"/>
  <c r="G4" i="5"/>
  <c r="K4" i="5" s="1"/>
  <c r="K5" i="5" s="1"/>
  <c r="K6" i="5" s="1"/>
  <c r="N8" i="6"/>
  <c r="O8" i="6" s="1"/>
  <c r="E10" i="6"/>
  <c r="N6" i="6"/>
  <c r="O6" i="6" s="1"/>
  <c r="N5" i="6"/>
  <c r="O4" i="6"/>
  <c r="M6" i="4"/>
  <c r="I7" i="1"/>
  <c r="D4" i="10" s="1"/>
  <c r="F7" i="1"/>
  <c r="M5" i="4"/>
  <c r="D8" i="10" l="1"/>
  <c r="Z25" i="6"/>
  <c r="Z27" i="6" s="1"/>
  <c r="Z29" i="6" s="1"/>
  <c r="S39" i="6"/>
  <c r="N25" i="6"/>
  <c r="N26" i="6" s="1"/>
  <c r="O26" i="6" s="1"/>
  <c r="O14" i="4"/>
  <c r="K7" i="1"/>
  <c r="K72" i="1" s="1"/>
  <c r="L15" i="1"/>
  <c r="Y27" i="6"/>
  <c r="Y29" i="6" s="1"/>
  <c r="R90" i="6"/>
  <c r="S90" i="6" s="1"/>
  <c r="S89" i="6"/>
  <c r="N44" i="6"/>
  <c r="N45" i="6" s="1"/>
  <c r="N46" i="6" s="1"/>
  <c r="O44" i="6"/>
  <c r="R42" i="6"/>
  <c r="S42" i="6" s="1"/>
  <c r="S41" i="6"/>
  <c r="R23" i="6"/>
  <c r="N7" i="6"/>
  <c r="O7" i="6" s="1"/>
  <c r="O5" i="6"/>
  <c r="N6" i="4"/>
  <c r="O6" i="4" s="1"/>
  <c r="N5" i="4"/>
  <c r="O25" i="6" l="1"/>
  <c r="O27" i="6" s="1"/>
  <c r="S91" i="6"/>
  <c r="S93" i="6" s="1"/>
  <c r="R91" i="6"/>
  <c r="R93" i="6" s="1"/>
  <c r="R43" i="6"/>
  <c r="R45" i="6" s="1"/>
  <c r="S43" i="6"/>
  <c r="S45" i="6" s="1"/>
  <c r="N27" i="6"/>
  <c r="N28" i="6" s="1"/>
  <c r="O5" i="4"/>
  <c r="O7" i="4" s="1"/>
  <c r="Q14" i="4" s="1"/>
  <c r="N15" i="4"/>
  <c r="R25" i="6"/>
  <c r="S23" i="6"/>
  <c r="N9" i="6"/>
  <c r="O9" i="6" s="1"/>
  <c r="R94" i="6" l="1"/>
  <c r="S94" i="6" s="1"/>
  <c r="N29" i="6"/>
  <c r="O29" i="6" s="1"/>
  <c r="Y31" i="6"/>
  <c r="Z31" i="6" s="1"/>
  <c r="Z30" i="6"/>
  <c r="Y33" i="6"/>
  <c r="Z33" i="6" s="1"/>
  <c r="O46" i="6"/>
  <c r="O45" i="6"/>
  <c r="O48" i="6" s="1"/>
  <c r="N48" i="6"/>
  <c r="R46" i="6"/>
  <c r="O28" i="6"/>
  <c r="N10" i="6"/>
  <c r="O10" i="6" s="1"/>
  <c r="O11" i="6" s="1"/>
  <c r="R26" i="6"/>
  <c r="S26" i="6" s="1"/>
  <c r="S25" i="6"/>
  <c r="H12" i="6"/>
  <c r="C11" i="6"/>
  <c r="H11" i="6" s="1"/>
  <c r="H10" i="6"/>
  <c r="I10" i="6"/>
  <c r="B10" i="6"/>
  <c r="G10" i="6" s="1"/>
  <c r="H9" i="6"/>
  <c r="D9" i="6"/>
  <c r="H8" i="6"/>
  <c r="D8" i="6"/>
  <c r="G5" i="6"/>
  <c r="C5" i="6"/>
  <c r="R97" i="6" l="1"/>
  <c r="N30" i="6"/>
  <c r="R95" i="6"/>
  <c r="S95" i="6" s="1"/>
  <c r="S97" i="6"/>
  <c r="E6" i="10" s="1"/>
  <c r="Y32" i="6"/>
  <c r="Z32" i="6" s="1"/>
  <c r="N47" i="6"/>
  <c r="R47" i="6"/>
  <c r="S47" i="6" s="1"/>
  <c r="S46" i="6"/>
  <c r="R49" i="6"/>
  <c r="S49" i="6" s="1"/>
  <c r="N11" i="6"/>
  <c r="N12" i="6" s="1"/>
  <c r="O12" i="6" s="1"/>
  <c r="O31" i="6"/>
  <c r="N31" i="6"/>
  <c r="S27" i="6"/>
  <c r="R27" i="6"/>
  <c r="C14" i="6"/>
  <c r="B8" i="6"/>
  <c r="G8" i="6" s="1"/>
  <c r="E8" i="6"/>
  <c r="B9" i="6"/>
  <c r="G9" i="6" s="1"/>
  <c r="E9" i="6"/>
  <c r="I8" i="6"/>
  <c r="H13" i="6"/>
  <c r="D11" i="6"/>
  <c r="I11" i="6" s="1"/>
  <c r="D5" i="6"/>
  <c r="I5" i="6" s="1"/>
  <c r="H5" i="6"/>
  <c r="I9" i="6"/>
  <c r="N13" i="6" l="1"/>
  <c r="O13" i="6" s="1"/>
  <c r="O16" i="6" s="1"/>
  <c r="D9" i="3"/>
  <c r="E9" i="3" s="1"/>
  <c r="F6" i="10"/>
  <c r="O47" i="6"/>
  <c r="D13" i="3"/>
  <c r="E13" i="3" s="1"/>
  <c r="N15" i="6"/>
  <c r="R96" i="6"/>
  <c r="O30" i="6"/>
  <c r="D11" i="3"/>
  <c r="R48" i="6"/>
  <c r="O15" i="6"/>
  <c r="E4" i="10" s="1"/>
  <c r="F4" i="10" s="1"/>
  <c r="S28" i="6"/>
  <c r="B11" i="6"/>
  <c r="B14" i="6" s="1"/>
  <c r="E11" i="6"/>
  <c r="E14" i="6" s="1"/>
  <c r="H14" i="6"/>
  <c r="I14" i="6"/>
  <c r="N14" i="6" l="1"/>
  <c r="O14" i="6" s="1"/>
  <c r="S96" i="6"/>
  <c r="T97" i="6" s="1"/>
  <c r="D18" i="3"/>
  <c r="E18" i="3" s="1"/>
  <c r="E24" i="3" s="1"/>
  <c r="S48" i="6"/>
  <c r="D12" i="3"/>
  <c r="E12" i="3" s="1"/>
  <c r="S29" i="6"/>
  <c r="R29" i="6"/>
  <c r="R30" i="6" s="1"/>
  <c r="G11" i="6"/>
  <c r="G14" i="6" s="1"/>
  <c r="E15" i="6"/>
  <c r="E16" i="6" s="1"/>
  <c r="F6" i="1"/>
  <c r="L4" i="3"/>
  <c r="D6" i="3" l="1"/>
  <c r="E6" i="3" s="1"/>
  <c r="E7" i="3" s="1"/>
  <c r="D10" i="3"/>
  <c r="E10" i="3" s="1"/>
  <c r="E14" i="3" s="1"/>
  <c r="R31" i="6"/>
  <c r="S31" i="6" s="1"/>
  <c r="S30" i="6"/>
  <c r="F18" i="6"/>
  <c r="E18" i="6"/>
  <c r="E19" i="6" s="1"/>
  <c r="E20" i="6" s="1"/>
  <c r="R32" i="6" l="1"/>
  <c r="S32" i="6" s="1"/>
  <c r="R33" i="6"/>
  <c r="S33" i="6" s="1"/>
  <c r="E5" i="10" s="1"/>
  <c r="F19" i="6"/>
  <c r="F20" i="6" s="1"/>
  <c r="G18" i="6"/>
  <c r="F5" i="10" l="1"/>
  <c r="E8" i="10"/>
  <c r="T19" i="4"/>
  <c r="F8" i="10" l="1"/>
  <c r="F10" i="10"/>
  <c r="E9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57" authorId="0" shapeId="0" xr:uid="{9CC6241C-E070-48C2-99CB-FC1C91E1CFF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18.800, ptong ppn 1.11, net 16937</t>
        </r>
      </text>
    </comment>
    <comment ref="K65" authorId="0" shapeId="0" xr:uid="{D70DDBA0-F94E-4744-B5F8-31794BA55C1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Apre Billy 5 jt
</t>
        </r>
      </text>
    </comment>
    <comment ref="B66" authorId="0" shapeId="0" xr:uid="{732CB36C-0D15-4F65-88E0-41CE86FEAAE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Jual tapcash 2500 hrg 20500, kompesasi emoney 500 pcs hrg 40 rb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19" authorId="0" shapeId="0" xr:uid="{D1A27B8D-A5E9-4C9A-90D0-372F68E4177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pby tgl 0208, ditalangin rekg mandiri
tgl 0708 trf ke rekg mandiri
meco beli 100k,
ASA (Agr) beli 30.434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3" authorId="0" shapeId="0" xr:uid="{BF3B5E38-8190-40ED-99C4-95046CEC73A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REAL KIRIM 11.729</t>
        </r>
      </text>
    </comment>
    <comment ref="E4" authorId="0" shapeId="0" xr:uid="{F9CE5EFE-E0C6-44C5-84D4-E499EF4C8F8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real 11.746 pcs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Y141" authorId="0" shapeId="0" xr:uid="{00446B98-5A4E-41C1-91FB-7A1B01F0182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org cab bni &amp; marno Meco
</t>
        </r>
      </text>
    </comment>
    <comment ref="Y158" authorId="0" shapeId="0" xr:uid="{E1CCDAE7-F6AF-4E37-9C02-DC85E06128D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org cab bni &amp; marno Meco
</t>
        </r>
      </text>
    </comment>
    <comment ref="R189" authorId="0" shapeId="0" xr:uid="{81DB0532-1DAD-43F0-A1CF-85B14A1164F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awal fee nya 1000, shrsnya 1500</t>
        </r>
      </text>
    </comment>
    <comment ref="S193" authorId="0" shapeId="0" xr:uid="{1BC4936B-0635-48CB-9BB8-0166FA9512A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ter trf 2.889.812</t>
        </r>
      </text>
    </comment>
    <comment ref="Y224" authorId="0" shapeId="0" xr:uid="{6FF73761-4E46-4935-BE67-864A86D574C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org cab bni &amp; marno Meco
</t>
        </r>
      </text>
    </comment>
    <comment ref="M228" authorId="0" shapeId="0" xr:uid="{B8EBD7C9-F1D1-44CD-BC80-1D97806F7BA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Jual krt Reject Meco</t>
        </r>
      </text>
    </comment>
    <comment ref="Y276" authorId="0" shapeId="0" xr:uid="{DC75BDD1-A7B9-4807-8873-8A39D6B2F97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org cab bni &amp; marno Meco
</t>
        </r>
      </text>
    </comment>
    <comment ref="Y293" authorId="0" shapeId="0" xr:uid="{C8A60FF9-E20C-4A4D-BBCB-2D9E940812F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org cab bni &amp; marno Meco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M9" authorId="0" shapeId="0" xr:uid="{8B388E66-E0E0-449B-B678-72F8661844D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Lgsg potong ybs dr penjualan </t>
        </r>
      </text>
    </comment>
    <comment ref="M10" authorId="0" shapeId="0" xr:uid="{56B6A5A9-34C0-4CFB-9610-6B56B93CF4E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Lgsg potong ybs dr penjualan </t>
        </r>
      </text>
    </comment>
    <comment ref="E11" authorId="0" shapeId="0" xr:uid="{E1549708-0025-4AD7-8603-B5973DB7172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hrsnya 9.848.591 kurani pph 5% plus  pph fee sblmnya, net jd 9,293.723 (kurang 554.869)</t>
        </r>
      </text>
    </comment>
    <comment ref="M16" authorId="0" shapeId="0" xr:uid="{CCEF4A7D-DB50-4F06-BA0F-00CF3263B21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Lgsg potong ybs dr penjualan </t>
        </r>
      </text>
    </comment>
    <comment ref="M17" authorId="0" shapeId="0" xr:uid="{7FD89654-ED38-4057-811D-52D9468C27C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Lgsg potong ybs dr penjualan </t>
        </r>
      </text>
    </comment>
    <comment ref="M18" authorId="0" shapeId="0" xr:uid="{BE7F5650-51FB-4617-9865-BE2086DADAE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Lgsg potong ybs dr penjualan </t>
        </r>
      </text>
    </comment>
    <comment ref="M27" authorId="0" shapeId="0" xr:uid="{DC725A26-7C51-4F36-A60F-A68C4A8B2EE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Lgsg potong ybs dr penjualan </t>
        </r>
      </text>
    </comment>
    <comment ref="M28" authorId="0" shapeId="0" xr:uid="{FB4DF82C-A85C-4568-9EBD-A618D4865DE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Lgsg potong ybs dr penjualan </t>
        </r>
      </text>
    </comment>
    <comment ref="M29" authorId="0" shapeId="0" xr:uid="{5398780F-2749-4A30-8C34-CE8F8DF74F7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Lgsg potong ybs dr penjualan </t>
        </r>
      </text>
    </comment>
    <comment ref="M30" authorId="0" shapeId="0" xr:uid="{0D29DFB5-B770-4AD9-AB16-250269BCFF7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Lgsg potong ybs dr penjualan </t>
        </r>
      </text>
    </comment>
    <comment ref="M31" authorId="0" shapeId="0" xr:uid="{96F0F1EC-5042-4F86-AABD-0DC39BF5B76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Lgsg potong ybs dr penjualan 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<sst xmlns="http://schemas.openxmlformats.org/spreadsheetml/2006/main" count="1405" uniqueCount="350">
  <si>
    <t>NO.</t>
  </si>
  <si>
    <t>CUSTOMER</t>
  </si>
  <si>
    <t>ITEM</t>
  </si>
  <si>
    <t>TGL.</t>
  </si>
  <si>
    <t>NO. INVOICE</t>
  </si>
  <si>
    <t>TGL PEMBAYARAN</t>
  </si>
  <si>
    <t>QTY</t>
  </si>
  <si>
    <t>INCOME</t>
  </si>
  <si>
    <t>PPN</t>
  </si>
  <si>
    <t>Total</t>
  </si>
  <si>
    <t>PER SATUAN</t>
  </si>
  <si>
    <t>TOTAL</t>
  </si>
  <si>
    <t>Supplier</t>
  </si>
  <si>
    <t>NO. PO</t>
  </si>
  <si>
    <t>NO INVOICE VENDOR</t>
  </si>
  <si>
    <t>Bank</t>
  </si>
  <si>
    <t>Norek</t>
  </si>
  <si>
    <t>HARGA</t>
  </si>
  <si>
    <t>TOTAL RP</t>
  </si>
  <si>
    <t>PPN 11 %</t>
  </si>
  <si>
    <t>Total  plus ppn</t>
  </si>
  <si>
    <t>USD</t>
  </si>
  <si>
    <t>Kurs</t>
  </si>
  <si>
    <t>RP</t>
  </si>
  <si>
    <t>Inv ASA</t>
  </si>
  <si>
    <t>krt</t>
  </si>
  <si>
    <t>fee</t>
  </si>
  <si>
    <t>pph 3%</t>
  </si>
  <si>
    <t>Fee ismet</t>
  </si>
  <si>
    <t>PT ASA</t>
  </si>
  <si>
    <t>Saldo Awal</t>
  </si>
  <si>
    <t>PENGELUARAN</t>
  </si>
  <si>
    <t>No</t>
  </si>
  <si>
    <t>Tgl/bln</t>
  </si>
  <si>
    <t>Jml kirim Chip</t>
  </si>
  <si>
    <t>Jml Prod Krt Meco</t>
  </si>
  <si>
    <t>Sisa</t>
  </si>
  <si>
    <t xml:space="preserve">HARGA </t>
  </si>
  <si>
    <t>DPP</t>
  </si>
  <si>
    <t>MPRO</t>
  </si>
  <si>
    <t>HPP</t>
  </si>
  <si>
    <t>Chip</t>
  </si>
  <si>
    <t>Cetak</t>
  </si>
  <si>
    <t>Fee BNI</t>
  </si>
  <si>
    <t>Sub total</t>
  </si>
  <si>
    <t>Biaya Opr</t>
  </si>
  <si>
    <t xml:space="preserve">      Perkiraan Modal</t>
  </si>
  <si>
    <t>Selisih</t>
  </si>
  <si>
    <t>No.</t>
  </si>
  <si>
    <t>Tgl</t>
  </si>
  <si>
    <t>Keterangan</t>
  </si>
  <si>
    <t>Nominal</t>
  </si>
  <si>
    <t>Mata Anggaran</t>
  </si>
  <si>
    <t>Paid</t>
  </si>
  <si>
    <t>Reimburs trans ISM krm krt ke Bintaro</t>
  </si>
  <si>
    <t>Adm dan Umum</t>
  </si>
  <si>
    <t>PT Sarana</t>
  </si>
  <si>
    <t>INV-20240613-02</t>
  </si>
  <si>
    <t>pembelian chp TMC 11k (ASA)</t>
  </si>
  <si>
    <t>OCBC</t>
  </si>
  <si>
    <t>544800010990</t>
  </si>
  <si>
    <t>ASA/06/PO.99/24</t>
  </si>
  <si>
    <t>PT Mecosuprin</t>
  </si>
  <si>
    <t>Pembuatan krt 10k</t>
  </si>
  <si>
    <t>ASA/06/PO.100/24</t>
  </si>
  <si>
    <t>margin</t>
  </si>
  <si>
    <t>Billy</t>
  </si>
  <si>
    <t xml:space="preserve">Hrg Jual per krt Excl Ppn </t>
  </si>
  <si>
    <t>Beli Chip THD 89 Incl Ppn</t>
  </si>
  <si>
    <t>Perhitungan per krt utk Agregator</t>
  </si>
  <si>
    <t>Margin ASA</t>
  </si>
  <si>
    <t>fee  BNI</t>
  </si>
  <si>
    <t>Biy Buat krt Meco incl ppn</t>
  </si>
  <si>
    <t xml:space="preserve">Range harga jual </t>
  </si>
  <si>
    <t>100 - 10.000</t>
  </si>
  <si>
    <t>&gt;10.000</t>
  </si>
  <si>
    <t>Hrg +PPn</t>
  </si>
  <si>
    <t>fee markt</t>
  </si>
  <si>
    <t xml:space="preserve">Margin </t>
  </si>
  <si>
    <t>Lilis</t>
  </si>
  <si>
    <t>Jumlah</t>
  </si>
  <si>
    <t>Ketrangan</t>
  </si>
  <si>
    <t>Waste 2%</t>
  </si>
  <si>
    <t>Net</t>
  </si>
  <si>
    <t>No PO</t>
  </si>
  <si>
    <t>Terima ASA</t>
  </si>
  <si>
    <t>ASA/06/PO.99/2024</t>
  </si>
  <si>
    <t>ASA/06/PO.100/2024</t>
  </si>
  <si>
    <t>ASA/06/PO.115/2024</t>
  </si>
  <si>
    <t>Tgl Byr</t>
  </si>
  <si>
    <t>Mpro</t>
  </si>
  <si>
    <t xml:space="preserve">Fee mrkt </t>
  </si>
  <si>
    <t>Biy Buat krt Meco incl ppn +STP</t>
  </si>
  <si>
    <t>Fee mrkt 35%</t>
  </si>
  <si>
    <t>Fee ISM 35%</t>
  </si>
  <si>
    <t>Lilis BNI</t>
  </si>
  <si>
    <t>55667/MG/SI/06/24</t>
  </si>
  <si>
    <t>Mandiri</t>
  </si>
  <si>
    <t>1250088889878</t>
  </si>
  <si>
    <t>ASA/07/PO.115/24</t>
  </si>
  <si>
    <t>INV-20240702-01</t>
  </si>
  <si>
    <t>Reimburs Lunch Meeting Mpr Agregator</t>
  </si>
  <si>
    <t>Jamuan Eksternal</t>
  </si>
  <si>
    <t>BIAYA OPERASIONAL Acct BNI</t>
  </si>
  <si>
    <t>pby ppn jun24</t>
  </si>
  <si>
    <t>ASA/07/PO.116/2024</t>
  </si>
  <si>
    <t>blm di byr</t>
  </si>
  <si>
    <t>pinjem rekg mandiri</t>
  </si>
  <si>
    <t>pph fee mrkt 5 %</t>
  </si>
  <si>
    <t>Net fee mrkt</t>
  </si>
  <si>
    <t>buat bukti potong</t>
  </si>
  <si>
    <t>BNI</t>
  </si>
  <si>
    <t>Biy Perso Tapcash</t>
  </si>
  <si>
    <t>INV/RPP/7.1/0131/VII/2023</t>
  </si>
  <si>
    <t>Lilis BNI (Wondr)</t>
  </si>
  <si>
    <t>Billy MPRO (reg)</t>
  </si>
  <si>
    <t>Pembuatan krt 1459 pcs</t>
  </si>
  <si>
    <t>ASA/06/PO.111/24</t>
  </si>
  <si>
    <t>55743/MG/SI/07/24</t>
  </si>
  <si>
    <t>INV-20240716-02</t>
  </si>
  <si>
    <t>pembelian chp TMC 11.795 (ASA)</t>
  </si>
  <si>
    <t>ASA/07/PO.127/24</t>
  </si>
  <si>
    <t>Lilis BNI  Reg</t>
  </si>
  <si>
    <t>Penjualan</t>
  </si>
  <si>
    <t>Pembuatan krt 10.000 pcs</t>
  </si>
  <si>
    <t>ASA/07/PO.116/24</t>
  </si>
  <si>
    <t>55778/MG/SI/07/24</t>
  </si>
  <si>
    <t>Sigit</t>
  </si>
  <si>
    <t>Fee mrkt 30%</t>
  </si>
  <si>
    <t>sigit</t>
  </si>
  <si>
    <t>Net fee mrkt ISM</t>
  </si>
  <si>
    <t>ASA/07/PO.136/24</t>
  </si>
  <si>
    <t>PO ke Sarana</t>
  </si>
  <si>
    <t>PO ke Meco</t>
  </si>
  <si>
    <t>Pembuatan krt 1500 pcs</t>
  </si>
  <si>
    <t>55955/MG/SI/07/24</t>
  </si>
  <si>
    <t>ppn msuk bln jul 24</t>
  </si>
  <si>
    <t>pembelian chp TMC 30.434 (ASA)</t>
  </si>
  <si>
    <t>INV/RPP/7.1/0154/VIII/2024</t>
  </si>
  <si>
    <t>Lilis (Wondr)</t>
  </si>
  <si>
    <t>new</t>
  </si>
  <si>
    <t>Yana</t>
  </si>
  <si>
    <t>Margin</t>
  </si>
  <si>
    <t>Fee mrkt ism 30%</t>
  </si>
  <si>
    <t>56092/MG/SI/08/24</t>
  </si>
  <si>
    <t>56091/MG/SI/08/24</t>
  </si>
  <si>
    <t>refund ke rekg mndiri</t>
  </si>
  <si>
    <t>Reimburs Transport Ismet</t>
  </si>
  <si>
    <t>Reimburs Yana</t>
  </si>
  <si>
    <t>cek ppn</t>
  </si>
  <si>
    <t>ok</t>
  </si>
  <si>
    <t>tbc bni</t>
  </si>
  <si>
    <t>msk ppn jul 24</t>
  </si>
  <si>
    <t>SMK</t>
  </si>
  <si>
    <t>pembelian chp TMC 35.385 (ASA)</t>
  </si>
  <si>
    <t>ASA/09/PO.156/24</t>
  </si>
  <si>
    <t>INV-20240904-01</t>
  </si>
  <si>
    <t>Marno Meco</t>
  </si>
  <si>
    <t>PIC Cab BNI</t>
  </si>
  <si>
    <t>Pembuatan krt 29.849 pcs</t>
  </si>
  <si>
    <t>17298/MG/SI/09/24</t>
  </si>
  <si>
    <t>Bln/Thn</t>
  </si>
  <si>
    <t>Qty</t>
  </si>
  <si>
    <t>Sales</t>
  </si>
  <si>
    <t>% Profit</t>
  </si>
  <si>
    <t>Net Profit</t>
  </si>
  <si>
    <t>Reimburs QQ</t>
  </si>
  <si>
    <t>INV/RPP/7/4370</t>
  </si>
  <si>
    <t>Agus Lutfi (modal)</t>
  </si>
  <si>
    <t>Lilis BNI (2x trf)</t>
  </si>
  <si>
    <t>Skema 1 Retail (Pakai Sales)</t>
  </si>
  <si>
    <t>Harga Jual</t>
  </si>
  <si>
    <t>Transport Sales</t>
  </si>
  <si>
    <t>HPP +PPN</t>
  </si>
  <si>
    <t>Tier 1 Jml kartu (300 - 500)</t>
  </si>
  <si>
    <t>Tier 2 Jml kartu (500 - 1000)</t>
  </si>
  <si>
    <t>Tier 3 Jml kartu (1000 - 5000)</t>
  </si>
  <si>
    <t>tier 1</t>
  </si>
  <si>
    <t>Tier 4 Jml kartu (5000 - 10000)</t>
  </si>
  <si>
    <t>Tier 5 Jml kartu (&gt; 10000)</t>
  </si>
  <si>
    <t>tier 2</t>
  </si>
  <si>
    <t>tier 3</t>
  </si>
  <si>
    <t>tier 4</t>
  </si>
  <si>
    <t>tier 5</t>
  </si>
  <si>
    <t>Total Biy Per Sales</t>
  </si>
  <si>
    <t>Komisi Sales per kartu</t>
  </si>
  <si>
    <t>Skema 2 Commercial</t>
  </si>
  <si>
    <t>Tier 2 Jml kartu (&gt;10000)</t>
  </si>
  <si>
    <t>Total biaya Sales</t>
  </si>
  <si>
    <t>Net Margin ASA</t>
  </si>
  <si>
    <t>Skema 3 Mpro</t>
  </si>
  <si>
    <t xml:space="preserve">Tier 1 Jml kartu </t>
  </si>
  <si>
    <t>Reimburs QQ : Papan Nama dan krt nama</t>
  </si>
  <si>
    <t>Reimburs QQ : Aqua Galon</t>
  </si>
  <si>
    <t>Reimburs QQ : Paket Data ORBIT</t>
  </si>
  <si>
    <t>Arie Muka Indo</t>
  </si>
  <si>
    <t>Arie Mukaindo</t>
  </si>
  <si>
    <t>Jml</t>
  </si>
  <si>
    <t>Okt</t>
  </si>
  <si>
    <t>Nov</t>
  </si>
  <si>
    <t>Des</t>
  </si>
  <si>
    <t>Bruto</t>
  </si>
  <si>
    <t>pph</t>
  </si>
  <si>
    <t>net</t>
  </si>
  <si>
    <t>bni</t>
  </si>
  <si>
    <t>meco</t>
  </si>
  <si>
    <t>sdo 260924</t>
  </si>
  <si>
    <t>est sdo</t>
  </si>
  <si>
    <t>smet</t>
  </si>
  <si>
    <t>INV/RPP/7.1/0201/IX/2024</t>
  </si>
  <si>
    <t>hrg mandiri</t>
  </si>
  <si>
    <t>HPP MDR</t>
  </si>
  <si>
    <t>Yana 55%</t>
  </si>
  <si>
    <t>Qq 45%</t>
  </si>
  <si>
    <t>Pembayaran Konsumsi Selamatan</t>
  </si>
  <si>
    <t>Jamuan Internal</t>
  </si>
  <si>
    <t>pjk sept</t>
  </si>
  <si>
    <t>Reimburs yana</t>
  </si>
  <si>
    <t>17544/MG/SI/10/24</t>
  </si>
  <si>
    <t>ASA/09/PO.164/24</t>
  </si>
  <si>
    <t>ism aggr</t>
  </si>
  <si>
    <t>Arie</t>
  </si>
  <si>
    <t>Pby Cleaning Service Sept 24</t>
  </si>
  <si>
    <t>Proyeksi Penjualan</t>
  </si>
  <si>
    <t>Tapcash</t>
  </si>
  <si>
    <t>Event</t>
  </si>
  <si>
    <t>PIC</t>
  </si>
  <si>
    <t>PO Sarana</t>
  </si>
  <si>
    <t>PO Meco</t>
  </si>
  <si>
    <t>PO BNI</t>
  </si>
  <si>
    <t>Jaklingko</t>
  </si>
  <si>
    <t>Asep/MDD</t>
  </si>
  <si>
    <t>- Per Minggu 10k</t>
  </si>
  <si>
    <t>Reguler</t>
  </si>
  <si>
    <t>qty</t>
  </si>
  <si>
    <t>hrg</t>
  </si>
  <si>
    <t>Total (Rp)</t>
  </si>
  <si>
    <t>qty net</t>
  </si>
  <si>
    <t>pembelian chp TMC 47.175 pcs</t>
  </si>
  <si>
    <t>ASA/10/PO.167/24</t>
  </si>
  <si>
    <t>INV-20241015-01</t>
  </si>
  <si>
    <t>Reimburs Qq Lunch Meeting</t>
  </si>
  <si>
    <t>CV Setia</t>
  </si>
  <si>
    <t>Pembelian chip fudan 12.485 pcs</t>
  </si>
  <si>
    <t>ASA/10/PO.175/24</t>
  </si>
  <si>
    <t>021/SETIA/INV/X/2024</t>
  </si>
  <si>
    <t>BCA</t>
  </si>
  <si>
    <t>4627270517</t>
  </si>
  <si>
    <t>Fee mrkt 20%</t>
  </si>
  <si>
    <t>Fee mrkt ism 20%</t>
  </si>
  <si>
    <t>Billy (reject meco)</t>
  </si>
  <si>
    <t>Billy (krt Reject Meco)</t>
  </si>
  <si>
    <t xml:space="preserve">Reimburs  Meterai ISM </t>
  </si>
  <si>
    <t>Reimburs QQ Lunch Meeting</t>
  </si>
  <si>
    <t>Salary Agus Luthfi</t>
  </si>
  <si>
    <t>PT Pura B</t>
  </si>
  <si>
    <t>DP buat krt E Money 12.236 pcs</t>
  </si>
  <si>
    <t>ASA/10/PO.178/24</t>
  </si>
  <si>
    <t>097/PBT-PST/FAO-PROINV/XI/2024</t>
  </si>
  <si>
    <t>1350004522007</t>
  </si>
  <si>
    <t>Salary Suryana</t>
  </si>
  <si>
    <t>Remburs Qq</t>
  </si>
  <si>
    <t xml:space="preserve">Billy </t>
  </si>
  <si>
    <t>ASA/00/PO.000/24</t>
  </si>
  <si>
    <t>17775/MG/SI/10/24</t>
  </si>
  <si>
    <t>Remburs Qq perkap kantor</t>
  </si>
  <si>
    <t>Lunas buat krt E Money 12.236 pcs</t>
  </si>
  <si>
    <t>Pembuatan krt Tapcsh 1995 pcs</t>
  </si>
  <si>
    <t xml:space="preserve">           kor kurang s.d Okt 24</t>
  </si>
  <si>
    <t>sdh byr 1810</t>
  </si>
  <si>
    <t>Pby Cleaning Service Okt 24</t>
  </si>
  <si>
    <t xml:space="preserve">Remburs Qq </t>
  </si>
  <si>
    <t>Kas Kecil p Adjio</t>
  </si>
  <si>
    <t>lap ppn okt 24</t>
  </si>
  <si>
    <t>ok, okt 24</t>
  </si>
  <si>
    <t>ppn ok okt</t>
  </si>
  <si>
    <t>Remburs Qq Jamuan Eksternal</t>
  </si>
  <si>
    <t>Apresiasi Mpro</t>
  </si>
  <si>
    <t>Remburs YN Meet Mpro</t>
  </si>
  <si>
    <t>Reimburs QQ meet Mpro dan MDD</t>
  </si>
  <si>
    <t>Remburs YN Meet Pura</t>
  </si>
  <si>
    <t>pembelian chp TMC 11.793 pcs</t>
  </si>
  <si>
    <t>INV-20241125-01</t>
  </si>
  <si>
    <t>ASA/11/PO.207/24</t>
  </si>
  <si>
    <t>Pembuatan krt Tapcsh 46.232 pcs</t>
  </si>
  <si>
    <t>ASA/10/PO.172/24</t>
  </si>
  <si>
    <t>18053/MG/SI/11/24</t>
  </si>
  <si>
    <t>Fee YHN 46.232 pcs Tapcash</t>
  </si>
  <si>
    <t>INV-20241126-02</t>
  </si>
  <si>
    <t>ASA/11/PO.210/24</t>
  </si>
  <si>
    <t>INV/RPP/7.1/0233/XI/2024</t>
  </si>
  <si>
    <t>Biy Perso Tapcash 26.232 pcs</t>
  </si>
  <si>
    <t>emoney</t>
  </si>
  <si>
    <t>Biy Buat krt Pura incl ppn</t>
  </si>
  <si>
    <t>Billy eMoney</t>
  </si>
  <si>
    <t>Pura</t>
  </si>
  <si>
    <t xml:space="preserve"> </t>
  </si>
  <si>
    <t xml:space="preserve">DP Cetak 12.248 pcs Member Card </t>
  </si>
  <si>
    <t>ASA/11/PO.202/24</t>
  </si>
  <si>
    <t>102/PB-PST/FAO-PROINV/XII/2024</t>
  </si>
  <si>
    <t>Remburs YN Meet BNI</t>
  </si>
  <si>
    <t>Remburs YN Beli Akrilik AC</t>
  </si>
  <si>
    <t>Perlengkapan kantor</t>
  </si>
  <si>
    <t>Pby Listrik Sep - Nov 24 ke Rek ASA MDR</t>
  </si>
  <si>
    <t>Pembelian Meterai 10 pcs</t>
  </si>
  <si>
    <t xml:space="preserve">Pelunasan Cetak 12.248 pcs Member Card </t>
  </si>
  <si>
    <t>107/PB-PST/FAO-PROINV/XII/2024</t>
  </si>
  <si>
    <t>Emoney</t>
  </si>
  <si>
    <t>ASA/11/INV.208/2024</t>
  </si>
  <si>
    <t>Pby Cleaning Service Nov 24</t>
  </si>
  <si>
    <t>ppn nov 24</t>
  </si>
  <si>
    <t>Pembelian Chip Fudan 12.498 pcs</t>
  </si>
  <si>
    <t>ASA/11/PO.197/24</t>
  </si>
  <si>
    <t>026/SETIA/INV/XI/2024</t>
  </si>
  <si>
    <t>OK</t>
  </si>
  <si>
    <t>no faktur</t>
  </si>
  <si>
    <t>Pembelian Printer Epson L3250</t>
  </si>
  <si>
    <t>Pembelian Kertas A4</t>
  </si>
  <si>
    <t>ASA/11/INV.217/2024</t>
  </si>
  <si>
    <t>MDD</t>
  </si>
  <si>
    <t>ASA/11/INV.214/2024</t>
  </si>
  <si>
    <t>Billy/ Agus Luthfi 2500 pcs</t>
  </si>
  <si>
    <t>Pembelian</t>
  </si>
  <si>
    <t>Beli E Money 500 pcs @ Rp 40.000 Incl ppn</t>
  </si>
  <si>
    <t>Reimburs YN, meet BNI</t>
  </si>
  <si>
    <t>ASA/12/INV.220/2024</t>
  </si>
  <si>
    <t>Salary Agus Luthfi Des 24</t>
  </si>
  <si>
    <t>Salary Suryana Des 24</t>
  </si>
  <si>
    <t>Reimburs QQ meet Mandiri</t>
  </si>
  <si>
    <t>Fee Mpro</t>
  </si>
  <si>
    <t>Billy/Mpro</t>
  </si>
  <si>
    <t>excl ppn</t>
  </si>
  <si>
    <t>incl ppn</t>
  </si>
  <si>
    <t>PPN 11%</t>
  </si>
  <si>
    <t>pph Mpro</t>
  </si>
  <si>
    <t>Beli Chip THD 89 Excl Ppn</t>
  </si>
  <si>
    <t>Biy Buat krt Meco Excl ppn</t>
  </si>
  <si>
    <t>Fee Marketing</t>
  </si>
  <si>
    <t>PPh fee mrkt 5%</t>
  </si>
  <si>
    <t>Reimburs QQ Year End Lunch time</t>
  </si>
  <si>
    <t>cad ppn Des</t>
  </si>
  <si>
    <t>Billy/PT BUDI MITRA SEJAHTERA</t>
  </si>
  <si>
    <t>Lilis/CV SEJIWA NIAGA BERJAYA</t>
  </si>
  <si>
    <t>ASA/12/INV.224/2024</t>
  </si>
  <si>
    <t>lap PPn Des</t>
  </si>
  <si>
    <t>Biy Buat krt Pura Excl ppn</t>
  </si>
  <si>
    <t>Fee mrkt 10%</t>
  </si>
  <si>
    <t>Fee MDD</t>
  </si>
  <si>
    <t>Blli/Mpro e Money</t>
  </si>
  <si>
    <t>margin asa Des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</si>
</sst>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_-* #,##0.00_-;\-* #,##0.00_-;_-* &quot;-&quot;_-;_-@_-"/>
    <numFmt numFmtId="168" formatCode="[$-409]dd\-mmm\-yy;@"/>
    <numFmt numFmtId="169" formatCode="[$-409]mmm\-yy;@"/>
    <numFmt numFmtId="170" formatCode="[$-409]d\-mmm\-yy;@"/>
    <numFmt numFmtId="171" formatCode="[$-409]d\-mmm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9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Dashed">
        <color rgb="FFFF0000"/>
      </left>
      <right style="thin">
        <color indexed="64"/>
      </right>
      <top style="mediumDashed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rgb="FFFF0000"/>
      </top>
      <bottom style="thin">
        <color indexed="64"/>
      </bottom>
      <diagonal/>
    </border>
    <border>
      <left style="thin">
        <color indexed="64"/>
      </left>
      <right style="mediumDashed">
        <color rgb="FFFF0000"/>
      </right>
      <top style="mediumDashed">
        <color rgb="FFFF0000"/>
      </top>
      <bottom style="thin">
        <color indexed="64"/>
      </bottom>
      <diagonal/>
    </border>
    <border>
      <left style="mediumDashed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rgb="FFFF0000"/>
      </right>
      <top style="thin">
        <color indexed="64"/>
      </top>
      <bottom style="thin">
        <color indexed="64"/>
      </bottom>
      <diagonal/>
    </border>
    <border>
      <left style="mediumDashed">
        <color rgb="FFFF0000"/>
      </left>
      <right style="thin">
        <color indexed="64"/>
      </right>
      <top style="thin">
        <color indexed="64"/>
      </top>
      <bottom style="mediumDashed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rgb="FFFF0000"/>
      </bottom>
      <diagonal/>
    </border>
    <border>
      <left style="thin">
        <color indexed="64"/>
      </left>
      <right style="mediumDashed">
        <color rgb="FFFF0000"/>
      </right>
      <top style="thin">
        <color indexed="64"/>
      </top>
      <bottom style="mediumDashed">
        <color rgb="FFFF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Dot">
        <color rgb="FFFF0000"/>
      </left>
      <right style="thin">
        <color indexed="64"/>
      </right>
      <top style="mediumDashDot">
        <color rgb="FFFF0000"/>
      </top>
      <bottom/>
      <diagonal/>
    </border>
    <border>
      <left style="thin">
        <color indexed="64"/>
      </left>
      <right style="thin">
        <color indexed="64"/>
      </right>
      <top style="mediumDashDot">
        <color rgb="FFFF0000"/>
      </top>
      <bottom style="thin">
        <color indexed="64"/>
      </bottom>
      <diagonal/>
    </border>
    <border>
      <left style="thin">
        <color indexed="64"/>
      </left>
      <right style="mediumDashDot">
        <color rgb="FFFF0000"/>
      </right>
      <top style="mediumDashDot">
        <color rgb="FFFF0000"/>
      </top>
      <bottom style="thin">
        <color indexed="64"/>
      </bottom>
      <diagonal/>
    </border>
    <border>
      <left style="mediumDashDot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rgb="FFFF0000"/>
      </right>
      <top style="thin">
        <color indexed="64"/>
      </top>
      <bottom style="thin">
        <color indexed="64"/>
      </bottom>
      <diagonal/>
    </border>
    <border>
      <left style="mediumDashDot">
        <color rgb="FFFF0000"/>
      </left>
      <right style="thin">
        <color auto="1"/>
      </right>
      <top style="thin">
        <color indexed="64"/>
      </top>
      <bottom style="mediumDashDot">
        <color rgb="FFFF0000"/>
      </bottom>
      <diagonal/>
    </border>
    <border>
      <left/>
      <right style="thin">
        <color indexed="64"/>
      </right>
      <top style="thin">
        <color indexed="64"/>
      </top>
      <bottom style="mediumDashDot">
        <color rgb="FFFF0000"/>
      </bottom>
      <diagonal/>
    </border>
    <border>
      <left style="thin">
        <color indexed="64"/>
      </left>
      <right style="mediumDashDot">
        <color rgb="FFFF0000"/>
      </right>
      <top style="thin">
        <color indexed="64"/>
      </top>
      <bottom style="mediumDashDot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/>
      <right style="thin">
        <color indexed="64"/>
      </right>
      <top style="mediumDashDot">
        <color rgb="FFFF0000"/>
      </top>
      <bottom/>
      <diagonal/>
    </border>
    <border>
      <left/>
      <right style="thin">
        <color indexed="64"/>
      </right>
      <top style="mediumDashed">
        <color rgb="FFFF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Dashed">
        <color rgb="FFFF0000"/>
      </bottom>
      <diagonal/>
    </border>
  </borders>
  <cellStyleXfs count="4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right" vertical="center" wrapText="1"/>
    </xf>
    <xf numFmtId="9" fontId="1" fillId="2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/>
    <xf numFmtId="0" fontId="0" fillId="0" borderId="2" xfId="0" applyBorder="1"/>
    <xf numFmtId="0" fontId="0" fillId="4" borderId="2" xfId="0" applyFill="1" applyBorder="1"/>
    <xf numFmtId="165" fontId="0" fillId="4" borderId="2" xfId="1" applyFont="1" applyFill="1" applyBorder="1"/>
    <xf numFmtId="0" fontId="1" fillId="0" borderId="0" xfId="0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right"/>
    </xf>
    <xf numFmtId="0" fontId="0" fillId="0" borderId="2" xfId="0" applyBorder="1" applyAlignment="1">
      <alignment horizontal="center"/>
    </xf>
    <xf numFmtId="166" fontId="0" fillId="0" borderId="2" xfId="1" applyNumberFormat="1" applyFont="1" applyBorder="1" applyAlignment="1">
      <alignment horizontal="center"/>
    </xf>
    <xf numFmtId="166" fontId="0" fillId="0" borderId="2" xfId="1" applyNumberFormat="1" applyFont="1" applyBorder="1"/>
    <xf numFmtId="166" fontId="0" fillId="0" borderId="0" xfId="1" applyNumberFormat="1" applyFont="1"/>
    <xf numFmtId="0" fontId="3" fillId="5" borderId="2" xfId="0" applyFont="1" applyFill="1" applyBorder="1"/>
    <xf numFmtId="0" fontId="3" fillId="5" borderId="4" xfId="0" applyFont="1" applyFill="1" applyBorder="1" applyAlignment="1">
      <alignment horizontal="center"/>
    </xf>
    <xf numFmtId="164" fontId="3" fillId="5" borderId="2" xfId="2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164" fontId="0" fillId="0" borderId="2" xfId="2" applyFont="1" applyBorder="1"/>
    <xf numFmtId="41" fontId="0" fillId="0" borderId="2" xfId="0" applyNumberFormat="1" applyBorder="1"/>
    <xf numFmtId="164" fontId="0" fillId="6" borderId="2" xfId="2" applyFont="1" applyFill="1" applyBorder="1"/>
    <xf numFmtId="164" fontId="0" fillId="0" borderId="0" xfId="2" applyFont="1" applyBorder="1"/>
    <xf numFmtId="41" fontId="0" fillId="0" borderId="0" xfId="0" applyNumberFormat="1"/>
    <xf numFmtId="164" fontId="0" fillId="0" borderId="0" xfId="2" applyFont="1"/>
    <xf numFmtId="0" fontId="0" fillId="7" borderId="2" xfId="0" applyFill="1" applyBorder="1"/>
    <xf numFmtId="41" fontId="0" fillId="7" borderId="2" xfId="0" applyNumberFormat="1" applyFill="1" applyBorder="1"/>
    <xf numFmtId="164" fontId="0" fillId="7" borderId="2" xfId="2" applyFont="1" applyFill="1" applyBorder="1"/>
    <xf numFmtId="0" fontId="1" fillId="3" borderId="2" xfId="0" applyFont="1" applyFill="1" applyBorder="1"/>
    <xf numFmtId="41" fontId="1" fillId="3" borderId="2" xfId="0" applyNumberFormat="1" applyFont="1" applyFill="1" applyBorder="1"/>
    <xf numFmtId="164" fontId="1" fillId="3" borderId="2" xfId="2" applyFont="1" applyFill="1" applyBorder="1"/>
    <xf numFmtId="164" fontId="1" fillId="6" borderId="2" xfId="2" applyFont="1" applyFill="1" applyBorder="1"/>
    <xf numFmtId="41" fontId="1" fillId="6" borderId="2" xfId="0" applyNumberFormat="1" applyFont="1" applyFill="1" applyBorder="1"/>
    <xf numFmtId="41" fontId="1" fillId="0" borderId="2" xfId="0" applyNumberFormat="1" applyFont="1" applyBorder="1"/>
    <xf numFmtId="167" fontId="0" fillId="0" borderId="0" xfId="2" applyNumberFormat="1" applyFont="1"/>
    <xf numFmtId="165" fontId="0" fillId="0" borderId="0" xfId="1" applyFont="1"/>
    <xf numFmtId="0" fontId="1" fillId="8" borderId="2" xfId="0" applyFont="1" applyFill="1" applyBorder="1" applyAlignment="1">
      <alignment horizontal="center"/>
    </xf>
    <xf numFmtId="165" fontId="1" fillId="8" borderId="2" xfId="1" applyFont="1" applyFill="1" applyBorder="1" applyAlignment="1">
      <alignment horizontal="center"/>
    </xf>
    <xf numFmtId="165" fontId="0" fillId="0" borderId="2" xfId="1" applyFont="1" applyBorder="1"/>
    <xf numFmtId="0" fontId="0" fillId="0" borderId="0" xfId="0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4" borderId="2" xfId="0" quotePrefix="1" applyFill="1" applyBorder="1"/>
    <xf numFmtId="166" fontId="0" fillId="4" borderId="2" xfId="1" applyNumberFormat="1" applyFont="1" applyFill="1" applyBorder="1"/>
    <xf numFmtId="15" fontId="0" fillId="4" borderId="2" xfId="0" applyNumberFormat="1" applyFill="1" applyBorder="1"/>
    <xf numFmtId="0" fontId="0" fillId="4" borderId="0" xfId="0" applyFill="1"/>
    <xf numFmtId="165" fontId="1" fillId="2" borderId="4" xfId="1" applyFont="1" applyFill="1" applyBorder="1" applyAlignment="1">
      <alignment horizontal="center" vertical="center"/>
    </xf>
    <xf numFmtId="165" fontId="0" fillId="0" borderId="0" xfId="0" applyNumberFormat="1"/>
    <xf numFmtId="9" fontId="0" fillId="0" borderId="0" xfId="0" applyNumberFormat="1"/>
    <xf numFmtId="9" fontId="0" fillId="0" borderId="0" xfId="3" applyFont="1"/>
    <xf numFmtId="166" fontId="0" fillId="0" borderId="0" xfId="0" applyNumberFormat="1"/>
    <xf numFmtId="41" fontId="0" fillId="10" borderId="2" xfId="0" applyNumberFormat="1" applyFill="1" applyBorder="1"/>
    <xf numFmtId="164" fontId="1" fillId="0" borderId="2" xfId="0" applyNumberFormat="1" applyFont="1" applyBorder="1"/>
    <xf numFmtId="0" fontId="4" fillId="0" borderId="2" xfId="0" applyFont="1" applyBorder="1"/>
    <xf numFmtId="9" fontId="0" fillId="9" borderId="0" xfId="0" applyNumberFormat="1" applyFill="1"/>
    <xf numFmtId="166" fontId="0" fillId="9" borderId="0" xfId="0" applyNumberFormat="1" applyFill="1"/>
    <xf numFmtId="0" fontId="0" fillId="4" borderId="1" xfId="0" applyFill="1" applyBorder="1"/>
    <xf numFmtId="15" fontId="0" fillId="4" borderId="1" xfId="0" applyNumberFormat="1" applyFill="1" applyBorder="1"/>
    <xf numFmtId="0" fontId="0" fillId="4" borderId="1" xfId="0" quotePrefix="1" applyFill="1" applyBorder="1"/>
    <xf numFmtId="166" fontId="0" fillId="4" borderId="1" xfId="1" applyNumberFormat="1" applyFont="1" applyFill="1" applyBorder="1"/>
    <xf numFmtId="165" fontId="0" fillId="4" borderId="1" xfId="1" applyFont="1" applyFill="1" applyBorder="1"/>
    <xf numFmtId="0" fontId="0" fillId="3" borderId="7" xfId="0" applyFill="1" applyBorder="1"/>
    <xf numFmtId="0" fontId="1" fillId="3" borderId="8" xfId="0" applyFont="1" applyFill="1" applyBorder="1"/>
    <xf numFmtId="0" fontId="0" fillId="0" borderId="4" xfId="0" applyBorder="1"/>
    <xf numFmtId="0" fontId="0" fillId="3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168" fontId="0" fillId="4" borderId="2" xfId="0" applyNumberFormat="1" applyFill="1" applyBorder="1"/>
    <xf numFmtId="0" fontId="0" fillId="4" borderId="1" xfId="0" applyFill="1" applyBorder="1" applyAlignment="1">
      <alignment vertical="center"/>
    </xf>
    <xf numFmtId="168" fontId="0" fillId="4" borderId="1" xfId="0" applyNumberFormat="1" applyFill="1" applyBorder="1" applyAlignment="1">
      <alignment vertical="center"/>
    </xf>
    <xf numFmtId="166" fontId="0" fillId="4" borderId="1" xfId="1" applyNumberFormat="1" applyFont="1" applyFill="1" applyBorder="1" applyAlignment="1">
      <alignment vertical="center"/>
    </xf>
    <xf numFmtId="166" fontId="0" fillId="4" borderId="2" xfId="0" applyNumberFormat="1" applyFill="1" applyBorder="1"/>
    <xf numFmtId="0" fontId="0" fillId="4" borderId="3" xfId="0" applyFill="1" applyBorder="1" applyAlignment="1">
      <alignment vertical="center"/>
    </xf>
    <xf numFmtId="168" fontId="0" fillId="4" borderId="3" xfId="0" applyNumberFormat="1" applyFill="1" applyBorder="1" applyAlignment="1">
      <alignment vertical="center"/>
    </xf>
    <xf numFmtId="166" fontId="0" fillId="4" borderId="3" xfId="1" applyNumberFormat="1" applyFont="1" applyFill="1" applyBorder="1" applyAlignment="1">
      <alignment vertical="center"/>
    </xf>
    <xf numFmtId="165" fontId="1" fillId="2" borderId="2" xfId="1" applyFont="1" applyFill="1" applyBorder="1" applyAlignment="1">
      <alignment horizontal="center" vertical="center"/>
    </xf>
    <xf numFmtId="165" fontId="0" fillId="3" borderId="2" xfId="1" applyFon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37" fontId="0" fillId="4" borderId="2" xfId="1" applyNumberFormat="1" applyFont="1" applyFill="1" applyBorder="1" applyAlignment="1">
      <alignment horizontal="center" vertical="top"/>
    </xf>
    <xf numFmtId="0" fontId="0" fillId="4" borderId="4" xfId="0" applyFill="1" applyBorder="1" applyAlignment="1">
      <alignment horizontal="center" vertical="center"/>
    </xf>
    <xf numFmtId="4" fontId="0" fillId="4" borderId="2" xfId="0" applyNumberFormat="1" applyFill="1" applyBorder="1" applyAlignment="1">
      <alignment horizontal="center"/>
    </xf>
    <xf numFmtId="168" fontId="0" fillId="4" borderId="2" xfId="0" applyNumberFormat="1" applyFill="1" applyBorder="1" applyAlignment="1">
      <alignment horizontal="center"/>
    </xf>
    <xf numFmtId="165" fontId="0" fillId="3" borderId="2" xfId="1" applyFont="1" applyFill="1" applyBorder="1"/>
    <xf numFmtId="0" fontId="0" fillId="3" borderId="0" xfId="0" applyFill="1"/>
    <xf numFmtId="165" fontId="0" fillId="3" borderId="0" xfId="0" applyNumberFormat="1" applyFill="1"/>
    <xf numFmtId="165" fontId="0" fillId="3" borderId="0" xfId="1" applyFont="1" applyFill="1" applyBorder="1"/>
    <xf numFmtId="9" fontId="0" fillId="3" borderId="0" xfId="0" applyNumberFormat="1" applyFill="1"/>
    <xf numFmtId="0" fontId="0" fillId="3" borderId="2" xfId="0" applyFill="1" applyBorder="1"/>
    <xf numFmtId="166" fontId="0" fillId="3" borderId="2" xfId="1" applyNumberFormat="1" applyFont="1" applyFill="1" applyBorder="1"/>
    <xf numFmtId="165" fontId="1" fillId="3" borderId="2" xfId="1" applyFont="1" applyFill="1" applyBorder="1" applyAlignment="1">
      <alignment horizontal="center"/>
    </xf>
    <xf numFmtId="169" fontId="1" fillId="3" borderId="2" xfId="0" applyNumberFormat="1" applyFont="1" applyFill="1" applyBorder="1" applyAlignment="1">
      <alignment horizontal="center" vertical="center"/>
    </xf>
    <xf numFmtId="170" fontId="0" fillId="4" borderId="2" xfId="0" applyNumberFormat="1" applyFill="1" applyBorder="1"/>
    <xf numFmtId="170" fontId="0" fillId="0" borderId="2" xfId="0" applyNumberFormat="1" applyBorder="1"/>
    <xf numFmtId="170" fontId="0" fillId="0" borderId="0" xfId="0" applyNumberFormat="1"/>
    <xf numFmtId="0" fontId="1" fillId="3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1" fontId="1" fillId="3" borderId="9" xfId="0" applyNumberFormat="1" applyFont="1" applyFill="1" applyBorder="1" applyAlignment="1">
      <alignment horizontal="right" vertical="center" wrapText="1"/>
    </xf>
    <xf numFmtId="166" fontId="1" fillId="3" borderId="9" xfId="1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5" fontId="1" fillId="3" borderId="10" xfId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169" fontId="1" fillId="3" borderId="0" xfId="0" applyNumberFormat="1" applyFont="1" applyFill="1" applyAlignment="1">
      <alignment horizontal="center" vertical="center"/>
    </xf>
    <xf numFmtId="15" fontId="0" fillId="3" borderId="2" xfId="0" applyNumberFormat="1" applyFill="1" applyBorder="1"/>
    <xf numFmtId="0" fontId="0" fillId="3" borderId="2" xfId="0" quotePrefix="1" applyFill="1" applyBorder="1"/>
    <xf numFmtId="0" fontId="0" fillId="11" borderId="2" xfId="0" applyFill="1" applyBorder="1"/>
    <xf numFmtId="166" fontId="0" fillId="11" borderId="2" xfId="1" applyNumberFormat="1" applyFont="1" applyFill="1" applyBorder="1"/>
    <xf numFmtId="0" fontId="0" fillId="11" borderId="0" xfId="0" applyFill="1"/>
    <xf numFmtId="166" fontId="0" fillId="3" borderId="0" xfId="1" applyNumberFormat="1" applyFont="1" applyFill="1" applyBorder="1"/>
    <xf numFmtId="166" fontId="0" fillId="3" borderId="0" xfId="0" applyNumberFormat="1" applyFill="1"/>
    <xf numFmtId="0" fontId="0" fillId="4" borderId="3" xfId="0" applyFill="1" applyBorder="1"/>
    <xf numFmtId="166" fontId="0" fillId="4" borderId="3" xfId="1" applyNumberFormat="1" applyFont="1" applyFill="1" applyBorder="1"/>
    <xf numFmtId="166" fontId="0" fillId="4" borderId="3" xfId="0" applyNumberFormat="1" applyFill="1" applyBorder="1"/>
    <xf numFmtId="0" fontId="0" fillId="4" borderId="11" xfId="0" applyFill="1" applyBorder="1"/>
    <xf numFmtId="166" fontId="0" fillId="4" borderId="12" xfId="1" applyNumberFormat="1" applyFont="1" applyFill="1" applyBorder="1"/>
    <xf numFmtId="166" fontId="0" fillId="4" borderId="13" xfId="1" applyNumberFormat="1" applyFont="1" applyFill="1" applyBorder="1"/>
    <xf numFmtId="0" fontId="0" fillId="4" borderId="14" xfId="0" applyFill="1" applyBorder="1"/>
    <xf numFmtId="166" fontId="0" fillId="4" borderId="15" xfId="1" applyNumberFormat="1" applyFont="1" applyFill="1" applyBorder="1"/>
    <xf numFmtId="166" fontId="0" fillId="4" borderId="6" xfId="0" applyNumberFormat="1" applyFill="1" applyBorder="1"/>
    <xf numFmtId="166" fontId="0" fillId="4" borderId="1" xfId="0" applyNumberFormat="1" applyFill="1" applyBorder="1"/>
    <xf numFmtId="166" fontId="0" fillId="4" borderId="19" xfId="0" applyNumberFormat="1" applyFill="1" applyBorder="1"/>
    <xf numFmtId="0" fontId="0" fillId="4" borderId="20" xfId="0" applyFill="1" applyBorder="1"/>
    <xf numFmtId="166" fontId="0" fillId="4" borderId="21" xfId="0" applyNumberFormat="1" applyFill="1" applyBorder="1"/>
    <xf numFmtId="166" fontId="0" fillId="4" borderId="22" xfId="0" applyNumberFormat="1" applyFill="1" applyBorder="1"/>
    <xf numFmtId="0" fontId="0" fillId="4" borderId="23" xfId="0" applyFill="1" applyBorder="1"/>
    <xf numFmtId="166" fontId="0" fillId="4" borderId="24" xfId="0" applyNumberFormat="1" applyFill="1" applyBorder="1"/>
    <xf numFmtId="0" fontId="7" fillId="4" borderId="16" xfId="0" applyFont="1" applyFill="1" applyBorder="1"/>
    <xf numFmtId="166" fontId="7" fillId="4" borderId="17" xfId="1" applyNumberFormat="1" applyFont="1" applyFill="1" applyBorder="1"/>
    <xf numFmtId="166" fontId="7" fillId="4" borderId="18" xfId="1" applyNumberFormat="1" applyFont="1" applyFill="1" applyBorder="1"/>
    <xf numFmtId="0" fontId="7" fillId="4" borderId="25" xfId="0" applyFont="1" applyFill="1" applyBorder="1"/>
    <xf numFmtId="166" fontId="7" fillId="4" borderId="26" xfId="0" applyNumberFormat="1" applyFont="1" applyFill="1" applyBorder="1"/>
    <xf numFmtId="166" fontId="7" fillId="4" borderId="27" xfId="0" applyNumberFormat="1" applyFont="1" applyFill="1" applyBorder="1"/>
    <xf numFmtId="166" fontId="7" fillId="0" borderId="0" xfId="0" applyNumberFormat="1" applyFont="1"/>
    <xf numFmtId="166" fontId="0" fillId="4" borderId="0" xfId="1" applyNumberFormat="1" applyFont="1" applyFill="1"/>
    <xf numFmtId="15" fontId="0" fillId="4" borderId="0" xfId="0" applyNumberFormat="1" applyFill="1"/>
    <xf numFmtId="0" fontId="0" fillId="4" borderId="0" xfId="0" quotePrefix="1" applyFill="1"/>
    <xf numFmtId="166" fontId="0" fillId="4" borderId="0" xfId="1" applyNumberFormat="1" applyFont="1" applyFill="1" applyBorder="1"/>
    <xf numFmtId="165" fontId="0" fillId="4" borderId="0" xfId="1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166" fontId="1" fillId="4" borderId="2" xfId="1" applyNumberFormat="1" applyFont="1" applyFill="1" applyBorder="1" applyAlignment="1">
      <alignment horizontal="center" vertical="center"/>
    </xf>
    <xf numFmtId="165" fontId="1" fillId="4" borderId="2" xfId="1" applyFont="1" applyFill="1" applyBorder="1" applyAlignment="1">
      <alignment horizontal="center" vertical="center"/>
    </xf>
    <xf numFmtId="169" fontId="1" fillId="4" borderId="2" xfId="0" applyNumberFormat="1" applyFont="1" applyFill="1" applyBorder="1" applyAlignment="1">
      <alignment horizontal="center" vertical="center"/>
    </xf>
    <xf numFmtId="169" fontId="1" fillId="0" borderId="0" xfId="0" applyNumberFormat="1" applyFont="1" applyAlignment="1">
      <alignment horizontal="center"/>
    </xf>
    <xf numFmtId="171" fontId="1" fillId="4" borderId="0" xfId="0" applyNumberFormat="1" applyFont="1" applyFill="1" applyAlignment="1">
      <alignment horizontal="center"/>
    </xf>
    <xf numFmtId="37" fontId="0" fillId="3" borderId="2" xfId="1" applyNumberFormat="1" applyFont="1" applyFill="1" applyBorder="1" applyAlignment="1">
      <alignment horizontal="center" vertical="top"/>
    </xf>
    <xf numFmtId="168" fontId="0" fillId="3" borderId="2" xfId="0" applyNumberFormat="1" applyFill="1" applyBorder="1"/>
    <xf numFmtId="0" fontId="0" fillId="3" borderId="4" xfId="0" applyFill="1" applyBorder="1"/>
    <xf numFmtId="169" fontId="1" fillId="3" borderId="2" xfId="0" applyNumberFormat="1" applyFont="1" applyFill="1" applyBorder="1"/>
    <xf numFmtId="0" fontId="0" fillId="0" borderId="0" xfId="0" applyAlignment="1">
      <alignment vertical="top"/>
    </xf>
    <xf numFmtId="164" fontId="0" fillId="11" borderId="2" xfId="2" applyFont="1" applyFill="1" applyBorder="1"/>
    <xf numFmtId="41" fontId="0" fillId="11" borderId="2" xfId="0" applyNumberFormat="1" applyFill="1" applyBorder="1"/>
    <xf numFmtId="164" fontId="1" fillId="3" borderId="0" xfId="2" applyFont="1" applyFill="1" applyBorder="1"/>
    <xf numFmtId="0" fontId="3" fillId="3" borderId="0" xfId="0" applyFont="1" applyFill="1" applyAlignment="1">
      <alignment horizontal="center"/>
    </xf>
    <xf numFmtId="164" fontId="3" fillId="3" borderId="0" xfId="2" applyFont="1" applyFill="1" applyBorder="1" applyAlignment="1">
      <alignment horizontal="center"/>
    </xf>
    <xf numFmtId="164" fontId="0" fillId="3" borderId="0" xfId="2" applyFont="1" applyFill="1" applyBorder="1"/>
    <xf numFmtId="41" fontId="1" fillId="3" borderId="0" xfId="0" applyNumberFormat="1" applyFont="1" applyFill="1"/>
    <xf numFmtId="0" fontId="1" fillId="3" borderId="0" xfId="0" applyFont="1" applyFill="1"/>
    <xf numFmtId="0" fontId="0" fillId="0" borderId="28" xfId="0" applyBorder="1"/>
    <xf numFmtId="166" fontId="0" fillId="12" borderId="2" xfId="1" applyNumberFormat="1" applyFont="1" applyFill="1" applyBorder="1"/>
    <xf numFmtId="166" fontId="0" fillId="12" borderId="0" xfId="1" applyNumberFormat="1" applyFont="1" applyFill="1" applyBorder="1"/>
    <xf numFmtId="4" fontId="0" fillId="0" borderId="2" xfId="0" applyNumberFormat="1" applyBorder="1"/>
    <xf numFmtId="0" fontId="1" fillId="4" borderId="2" xfId="0" applyFont="1" applyFill="1" applyBorder="1"/>
    <xf numFmtId="0" fontId="0" fillId="13" borderId="2" xfId="0" applyFill="1" applyBorder="1"/>
    <xf numFmtId="15" fontId="0" fillId="13" borderId="2" xfId="0" applyNumberFormat="1" applyFill="1" applyBorder="1"/>
    <xf numFmtId="0" fontId="0" fillId="13" borderId="2" xfId="0" quotePrefix="1" applyFill="1" applyBorder="1"/>
    <xf numFmtId="166" fontId="0" fillId="13" borderId="2" xfId="1" applyNumberFormat="1" applyFont="1" applyFill="1" applyBorder="1"/>
    <xf numFmtId="165" fontId="0" fillId="13" borderId="2" xfId="1" applyFont="1" applyFill="1" applyBorder="1"/>
    <xf numFmtId="0" fontId="0" fillId="13" borderId="0" xfId="0" applyFill="1"/>
    <xf numFmtId="0" fontId="0" fillId="12" borderId="2" xfId="0" applyFill="1" applyBorder="1"/>
    <xf numFmtId="171" fontId="1" fillId="4" borderId="2" xfId="0" applyNumberFormat="1" applyFont="1" applyFill="1" applyBorder="1" applyAlignment="1">
      <alignment horizontal="center"/>
    </xf>
    <xf numFmtId="171" fontId="1" fillId="3" borderId="0" xfId="0" applyNumberFormat="1" applyFont="1" applyFill="1" applyAlignment="1">
      <alignment horizontal="center"/>
    </xf>
    <xf numFmtId="165" fontId="0" fillId="4" borderId="2" xfId="1" applyFont="1" applyFill="1" applyBorder="1" applyAlignment="1">
      <alignment horizontal="center"/>
    </xf>
    <xf numFmtId="165" fontId="0" fillId="0" borderId="2" xfId="1" applyFont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7" fillId="4" borderId="2" xfId="0" applyFont="1" applyFill="1" applyBorder="1"/>
    <xf numFmtId="166" fontId="7" fillId="4" borderId="2" xfId="1" applyNumberFormat="1" applyFont="1" applyFill="1" applyBorder="1"/>
    <xf numFmtId="169" fontId="1" fillId="3" borderId="0" xfId="0" applyNumberFormat="1" applyFont="1" applyFill="1"/>
    <xf numFmtId="0" fontId="8" fillId="0" borderId="0" xfId="0" applyFont="1"/>
    <xf numFmtId="166" fontId="2" fillId="4" borderId="2" xfId="1" applyNumberFormat="1" applyFont="1" applyFill="1" applyBorder="1"/>
    <xf numFmtId="165" fontId="0" fillId="0" borderId="0" xfId="1" applyFont="1" applyAlignment="1">
      <alignment horizontal="center" vertical="center"/>
    </xf>
    <xf numFmtId="166" fontId="2" fillId="0" borderId="0" xfId="1" applyNumberFormat="1" applyFont="1" applyAlignment="1">
      <alignment horizontal="center"/>
    </xf>
    <xf numFmtId="165" fontId="0" fillId="0" borderId="0" xfId="1" applyFont="1" applyAlignment="1">
      <alignment horizontal="center"/>
    </xf>
    <xf numFmtId="166" fontId="0" fillId="0" borderId="0" xfId="1" applyNumberFormat="1" applyFont="1" applyAlignment="1">
      <alignment horizontal="center" vertical="center"/>
    </xf>
    <xf numFmtId="166" fontId="0" fillId="0" borderId="0" xfId="1" applyNumberFormat="1" applyFont="1" applyAlignment="1">
      <alignment horizontal="center"/>
    </xf>
    <xf numFmtId="166" fontId="0" fillId="7" borderId="0" xfId="1" applyNumberFormat="1" applyFont="1" applyFill="1"/>
    <xf numFmtId="10" fontId="0" fillId="0" borderId="0" xfId="3" applyNumberFormat="1" applyFont="1"/>
    <xf numFmtId="169" fontId="1" fillId="0" borderId="31" xfId="0" applyNumberFormat="1" applyFont="1" applyBorder="1" applyAlignment="1">
      <alignment horizontal="center"/>
    </xf>
    <xf numFmtId="165" fontId="0" fillId="0" borderId="0" xfId="1" applyFont="1" applyBorder="1"/>
    <xf numFmtId="10" fontId="0" fillId="0" borderId="28" xfId="3" applyNumberFormat="1" applyFont="1" applyBorder="1"/>
    <xf numFmtId="169" fontId="1" fillId="0" borderId="32" xfId="0" applyNumberFormat="1" applyFont="1" applyBorder="1" applyAlignment="1">
      <alignment horizontal="center"/>
    </xf>
    <xf numFmtId="10" fontId="0" fillId="0" borderId="19" xfId="3" applyNumberFormat="1" applyFont="1" applyBorder="1"/>
    <xf numFmtId="0" fontId="0" fillId="14" borderId="2" xfId="0" applyFill="1" applyBorder="1"/>
    <xf numFmtId="170" fontId="0" fillId="14" borderId="2" xfId="0" applyNumberFormat="1" applyFill="1" applyBorder="1"/>
    <xf numFmtId="166" fontId="0" fillId="14" borderId="2" xfId="1" applyNumberFormat="1" applyFont="1" applyFill="1" applyBorder="1"/>
    <xf numFmtId="165" fontId="0" fillId="14" borderId="2" xfId="1" applyFont="1" applyFill="1" applyBorder="1"/>
    <xf numFmtId="170" fontId="0" fillId="3" borderId="2" xfId="0" applyNumberFormat="1" applyFill="1" applyBorder="1"/>
    <xf numFmtId="1" fontId="0" fillId="4" borderId="2" xfId="0" applyNumberFormat="1" applyFill="1" applyBorder="1"/>
    <xf numFmtId="165" fontId="2" fillId="3" borderId="0" xfId="1" applyFont="1" applyFill="1"/>
    <xf numFmtId="169" fontId="1" fillId="0" borderId="0" xfId="0" applyNumberFormat="1" applyFont="1"/>
    <xf numFmtId="0" fontId="4" fillId="3" borderId="0" xfId="0" applyFont="1" applyFill="1"/>
    <xf numFmtId="41" fontId="0" fillId="3" borderId="0" xfId="0" applyNumberFormat="1" applyFill="1"/>
    <xf numFmtId="166" fontId="2" fillId="3" borderId="2" xfId="1" applyNumberFormat="1" applyFont="1" applyFill="1" applyBorder="1"/>
    <xf numFmtId="166" fontId="0" fillId="0" borderId="2" xfId="2" applyNumberFormat="1" applyFont="1" applyBorder="1"/>
    <xf numFmtId="166" fontId="0" fillId="7" borderId="2" xfId="0" applyNumberFormat="1" applyFill="1" applyBorder="1"/>
    <xf numFmtId="41" fontId="0" fillId="12" borderId="0" xfId="0" applyNumberFormat="1" applyFill="1"/>
    <xf numFmtId="0" fontId="0" fillId="12" borderId="0" xfId="0" applyFill="1"/>
    <xf numFmtId="0" fontId="0" fillId="12" borderId="2" xfId="0" applyFill="1" applyBorder="1" applyAlignment="1">
      <alignment horizontal="center"/>
    </xf>
    <xf numFmtId="166" fontId="0" fillId="12" borderId="1" xfId="1" applyNumberFormat="1" applyFont="1" applyFill="1" applyBorder="1"/>
    <xf numFmtId="0" fontId="0" fillId="15" borderId="2" xfId="0" applyFill="1" applyBorder="1"/>
    <xf numFmtId="166" fontId="0" fillId="15" borderId="2" xfId="1" applyNumberFormat="1" applyFont="1" applyFill="1" applyBorder="1"/>
    <xf numFmtId="0" fontId="0" fillId="15" borderId="2" xfId="0" applyFill="1" applyBorder="1" applyAlignment="1">
      <alignment horizontal="center"/>
    </xf>
    <xf numFmtId="0" fontId="0" fillId="16" borderId="2" xfId="0" applyFill="1" applyBorder="1"/>
    <xf numFmtId="166" fontId="0" fillId="16" borderId="2" xfId="1" applyNumberFormat="1" applyFont="1" applyFill="1" applyBorder="1"/>
    <xf numFmtId="166" fontId="0" fillId="16" borderId="2" xfId="0" applyNumberFormat="1" applyFill="1" applyBorder="1"/>
    <xf numFmtId="0" fontId="0" fillId="16" borderId="2" xfId="0" applyFill="1" applyBorder="1" applyAlignment="1">
      <alignment horizontal="center"/>
    </xf>
    <xf numFmtId="0" fontId="0" fillId="9" borderId="2" xfId="0" applyFill="1" applyBorder="1"/>
    <xf numFmtId="166" fontId="0" fillId="9" borderId="2" xfId="1" applyNumberFormat="1" applyFont="1" applyFill="1" applyBorder="1"/>
    <xf numFmtId="166" fontId="0" fillId="9" borderId="2" xfId="0" applyNumberFormat="1" applyFill="1" applyBorder="1"/>
    <xf numFmtId="41" fontId="0" fillId="4" borderId="6" xfId="0" applyNumberFormat="1" applyFill="1" applyBorder="1"/>
    <xf numFmtId="0" fontId="0" fillId="4" borderId="6" xfId="0" applyFill="1" applyBorder="1"/>
    <xf numFmtId="41" fontId="0" fillId="15" borderId="6" xfId="0" applyNumberFormat="1" applyFill="1" applyBorder="1"/>
    <xf numFmtId="0" fontId="0" fillId="15" borderId="6" xfId="0" applyFill="1" applyBorder="1"/>
    <xf numFmtId="41" fontId="0" fillId="16" borderId="6" xfId="0" applyNumberFormat="1" applyFill="1" applyBorder="1"/>
    <xf numFmtId="0" fontId="0" fillId="16" borderId="6" xfId="0" applyFill="1" applyBorder="1"/>
    <xf numFmtId="166" fontId="0" fillId="9" borderId="6" xfId="1" applyNumberFormat="1" applyFont="1" applyFill="1" applyBorder="1"/>
    <xf numFmtId="0" fontId="0" fillId="9" borderId="6" xfId="0" applyFill="1" applyBorder="1"/>
    <xf numFmtId="166" fontId="0" fillId="9" borderId="6" xfId="0" applyNumberFormat="1" applyFill="1" applyBorder="1"/>
    <xf numFmtId="0" fontId="0" fillId="9" borderId="2" xfId="0" applyFill="1" applyBorder="1" applyAlignment="1">
      <alignment horizontal="center"/>
    </xf>
    <xf numFmtId="0" fontId="0" fillId="17" borderId="2" xfId="0" applyFill="1" applyBorder="1"/>
    <xf numFmtId="41" fontId="0" fillId="17" borderId="2" xfId="0" applyNumberFormat="1" applyFill="1" applyBorder="1"/>
    <xf numFmtId="166" fontId="0" fillId="17" borderId="2" xfId="0" applyNumberFormat="1" applyFill="1" applyBorder="1"/>
    <xf numFmtId="0" fontId="0" fillId="17" borderId="2" xfId="0" applyFill="1" applyBorder="1" applyAlignment="1">
      <alignment horizontal="center"/>
    </xf>
    <xf numFmtId="166" fontId="0" fillId="17" borderId="2" xfId="1" applyNumberFormat="1" applyFont="1" applyFill="1" applyBorder="1"/>
    <xf numFmtId="0" fontId="0" fillId="18" borderId="2" xfId="0" applyFill="1" applyBorder="1"/>
    <xf numFmtId="41" fontId="0" fillId="18" borderId="2" xfId="0" applyNumberFormat="1" applyFill="1" applyBorder="1"/>
    <xf numFmtId="166" fontId="0" fillId="18" borderId="2" xfId="0" applyNumberFormat="1" applyFill="1" applyBorder="1"/>
    <xf numFmtId="0" fontId="0" fillId="18" borderId="2" xfId="0" applyFill="1" applyBorder="1" applyAlignment="1">
      <alignment horizontal="center"/>
    </xf>
    <xf numFmtId="166" fontId="0" fillId="18" borderId="2" xfId="1" applyNumberFormat="1" applyFont="1" applyFill="1" applyBorder="1"/>
    <xf numFmtId="165" fontId="0" fillId="0" borderId="2" xfId="0" applyNumberFormat="1" applyBorder="1"/>
    <xf numFmtId="166" fontId="0" fillId="3" borderId="2" xfId="0" applyNumberFormat="1" applyFill="1" applyBorder="1"/>
    <xf numFmtId="9" fontId="3" fillId="5" borderId="2" xfId="0" applyNumberFormat="1" applyFont="1" applyFill="1" applyBorder="1" applyAlignment="1">
      <alignment horizontal="center"/>
    </xf>
    <xf numFmtId="41" fontId="0" fillId="0" borderId="4" xfId="0" applyNumberFormat="1" applyBorder="1"/>
    <xf numFmtId="166" fontId="0" fillId="3" borderId="4" xfId="0" applyNumberFormat="1" applyFill="1" applyBorder="1"/>
    <xf numFmtId="165" fontId="0" fillId="0" borderId="31" xfId="1" applyFont="1" applyBorder="1"/>
    <xf numFmtId="166" fontId="0" fillId="0" borderId="28" xfId="1" applyNumberFormat="1" applyFont="1" applyBorder="1"/>
    <xf numFmtId="0" fontId="0" fillId="3" borderId="31" xfId="0" applyFill="1" applyBorder="1"/>
    <xf numFmtId="165" fontId="0" fillId="3" borderId="28" xfId="0" applyNumberFormat="1" applyFill="1" applyBorder="1"/>
    <xf numFmtId="0" fontId="0" fillId="3" borderId="28" xfId="0" applyFill="1" applyBorder="1"/>
    <xf numFmtId="165" fontId="0" fillId="3" borderId="32" xfId="0" applyNumberFormat="1" applyFill="1" applyBorder="1"/>
    <xf numFmtId="165" fontId="0" fillId="3" borderId="33" xfId="0" applyNumberFormat="1" applyFill="1" applyBorder="1"/>
    <xf numFmtId="165" fontId="0" fillId="3" borderId="19" xfId="0" applyNumberFormat="1" applyFill="1" applyBorder="1"/>
    <xf numFmtId="9" fontId="0" fillId="0" borderId="0" xfId="1" applyNumberFormat="1" applyFont="1"/>
    <xf numFmtId="10" fontId="0" fillId="0" borderId="0" xfId="3" applyNumberFormat="1" applyFont="1" applyBorder="1"/>
    <xf numFmtId="0" fontId="0" fillId="0" borderId="10" xfId="0" applyBorder="1" applyAlignment="1">
      <alignment horizontal="center" vertical="center"/>
    </xf>
    <xf numFmtId="166" fontId="0" fillId="0" borderId="29" xfId="1" applyNumberFormat="1" applyFont="1" applyBorder="1" applyAlignment="1">
      <alignment horizontal="center"/>
    </xf>
    <xf numFmtId="165" fontId="0" fillId="0" borderId="30" xfId="1" applyFont="1" applyBorder="1" applyAlignment="1">
      <alignment horizontal="center"/>
    </xf>
    <xf numFmtId="166" fontId="0" fillId="0" borderId="0" xfId="1" applyNumberFormat="1" applyFont="1" applyBorder="1"/>
    <xf numFmtId="166" fontId="0" fillId="0" borderId="33" xfId="1" applyNumberFormat="1" applyFont="1" applyBorder="1"/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165" fontId="0" fillId="0" borderId="28" xfId="1" applyFont="1" applyBorder="1"/>
    <xf numFmtId="0" fontId="1" fillId="0" borderId="4" xfId="0" applyFont="1" applyBorder="1" applyAlignment="1">
      <alignment horizontal="center" vertical="center"/>
    </xf>
    <xf numFmtId="166" fontId="0" fillId="0" borderId="5" xfId="1" applyNumberFormat="1" applyFont="1" applyBorder="1"/>
    <xf numFmtId="165" fontId="0" fillId="0" borderId="6" xfId="1" applyFont="1" applyBorder="1"/>
    <xf numFmtId="0" fontId="0" fillId="3" borderId="2" xfId="0" applyFill="1" applyBorder="1" applyAlignment="1">
      <alignment horizontal="center" vertical="center"/>
    </xf>
    <xf numFmtId="166" fontId="1" fillId="3" borderId="2" xfId="1" applyNumberFormat="1" applyFont="1" applyFill="1" applyBorder="1"/>
    <xf numFmtId="165" fontId="0" fillId="3" borderId="0" xfId="1" applyFont="1" applyFill="1"/>
    <xf numFmtId="0" fontId="0" fillId="0" borderId="0" xfId="0" applyAlignment="1">
      <alignment horizontal="left"/>
    </xf>
    <xf numFmtId="0" fontId="0" fillId="0" borderId="2" xfId="0" quotePrefix="1" applyBorder="1"/>
    <xf numFmtId="0" fontId="1" fillId="0" borderId="0" xfId="0" applyFont="1" applyAlignment="1">
      <alignment horizontal="left"/>
    </xf>
    <xf numFmtId="169" fontId="0" fillId="4" borderId="2" xfId="0" applyNumberFormat="1" applyFill="1" applyBorder="1" applyAlignment="1">
      <alignment horizontal="left" vertical="center"/>
    </xf>
    <xf numFmtId="0" fontId="0" fillId="0" borderId="29" xfId="0" applyBorder="1"/>
    <xf numFmtId="166" fontId="0" fillId="0" borderId="29" xfId="1" applyNumberFormat="1" applyFont="1" applyBorder="1"/>
    <xf numFmtId="165" fontId="0" fillId="0" borderId="29" xfId="1" applyFont="1" applyBorder="1"/>
    <xf numFmtId="0" fontId="0" fillId="0" borderId="30" xfId="0" applyBorder="1"/>
    <xf numFmtId="169" fontId="1" fillId="3" borderId="1" xfId="0" applyNumberFormat="1" applyFont="1" applyFill="1" applyBorder="1"/>
    <xf numFmtId="0" fontId="0" fillId="4" borderId="2" xfId="0" applyFill="1" applyBorder="1" applyAlignment="1">
      <alignment vertical="center"/>
    </xf>
    <xf numFmtId="4" fontId="9" fillId="4" borderId="0" xfId="0" applyNumberFormat="1" applyFont="1" applyFill="1"/>
    <xf numFmtId="4" fontId="9" fillId="3" borderId="0" xfId="0" applyNumberFormat="1" applyFont="1" applyFill="1"/>
    <xf numFmtId="0" fontId="0" fillId="0" borderId="1" xfId="0" applyBorder="1"/>
    <xf numFmtId="166" fontId="10" fillId="18" borderId="2" xfId="1" applyNumberFormat="1" applyFont="1" applyFill="1" applyBorder="1"/>
    <xf numFmtId="4" fontId="0" fillId="18" borderId="0" xfId="0" applyNumberFormat="1" applyFill="1"/>
    <xf numFmtId="0" fontId="0" fillId="18" borderId="0" xfId="0" applyFill="1"/>
    <xf numFmtId="166" fontId="0" fillId="18" borderId="0" xfId="1" applyNumberFormat="1" applyFont="1" applyFill="1"/>
    <xf numFmtId="169" fontId="1" fillId="3" borderId="1" xfId="0" applyNumberFormat="1" applyFont="1" applyFill="1" applyBorder="1" applyAlignment="1">
      <alignment horizontal="center" vertical="center"/>
    </xf>
    <xf numFmtId="15" fontId="0" fillId="3" borderId="1" xfId="0" applyNumberFormat="1" applyFill="1" applyBorder="1"/>
    <xf numFmtId="0" fontId="0" fillId="3" borderId="1" xfId="0" applyFill="1" applyBorder="1"/>
    <xf numFmtId="4" fontId="9" fillId="4" borderId="2" xfId="0" applyNumberFormat="1" applyFont="1" applyFill="1" applyBorder="1"/>
    <xf numFmtId="165" fontId="9" fillId="4" borderId="2" xfId="1" applyFont="1" applyFill="1" applyBorder="1"/>
    <xf numFmtId="165" fontId="0" fillId="18" borderId="1" xfId="0" applyNumberFormat="1" applyFill="1" applyBorder="1" applyAlignment="1">
      <alignment horizontal="left"/>
    </xf>
    <xf numFmtId="168" fontId="0" fillId="3" borderId="1" xfId="0" applyNumberFormat="1" applyFill="1" applyBorder="1"/>
    <xf numFmtId="168" fontId="0" fillId="3" borderId="0" xfId="0" applyNumberFormat="1" applyFill="1"/>
    <xf numFmtId="169" fontId="1" fillId="3" borderId="31" xfId="0" applyNumberFormat="1" applyFont="1" applyFill="1" applyBorder="1"/>
    <xf numFmtId="165" fontId="0" fillId="19" borderId="2" xfId="1" applyFont="1" applyFill="1" applyBorder="1"/>
    <xf numFmtId="166" fontId="0" fillId="19" borderId="2" xfId="0" applyNumberFormat="1" applyFill="1" applyBorder="1"/>
    <xf numFmtId="0" fontId="0" fillId="3" borderId="2" xfId="0" applyFill="1" applyBorder="1" applyAlignment="1">
      <alignment vertical="center"/>
    </xf>
    <xf numFmtId="1" fontId="0" fillId="4" borderId="2" xfId="1" applyNumberFormat="1" applyFont="1" applyFill="1" applyBorder="1"/>
    <xf numFmtId="165" fontId="1" fillId="0" borderId="0" xfId="1" applyFont="1"/>
    <xf numFmtId="165" fontId="0" fillId="4" borderId="20" xfId="1" applyFont="1" applyFill="1" applyBorder="1"/>
    <xf numFmtId="165" fontId="0" fillId="4" borderId="23" xfId="1" applyFont="1" applyFill="1" applyBorder="1"/>
    <xf numFmtId="165" fontId="7" fillId="4" borderId="25" xfId="1" applyFont="1" applyFill="1" applyBorder="1"/>
    <xf numFmtId="165" fontId="0" fillId="4" borderId="3" xfId="1" applyFont="1" applyFill="1" applyBorder="1"/>
    <xf numFmtId="165" fontId="0" fillId="11" borderId="2" xfId="1" applyFont="1" applyFill="1" applyBorder="1"/>
    <xf numFmtId="165" fontId="0" fillId="4" borderId="11" xfId="1" applyFont="1" applyFill="1" applyBorder="1"/>
    <xf numFmtId="165" fontId="0" fillId="4" borderId="14" xfId="1" applyFont="1" applyFill="1" applyBorder="1"/>
    <xf numFmtId="165" fontId="7" fillId="4" borderId="16" xfId="1" applyFont="1" applyFill="1" applyBorder="1"/>
    <xf numFmtId="165" fontId="0" fillId="12" borderId="2" xfId="1" applyFont="1" applyFill="1" applyBorder="1"/>
    <xf numFmtId="165" fontId="7" fillId="4" borderId="2" xfId="1" applyFont="1" applyFill="1" applyBorder="1"/>
    <xf numFmtId="1" fontId="7" fillId="4" borderId="18" xfId="1" applyNumberFormat="1" applyFont="1" applyFill="1" applyBorder="1"/>
    <xf numFmtId="0" fontId="0" fillId="4" borderId="0" xfId="0" applyFill="1" applyAlignment="1">
      <alignment vertical="center"/>
    </xf>
    <xf numFmtId="0" fontId="0" fillId="4" borderId="4" xfId="0" applyFill="1" applyBorder="1"/>
    <xf numFmtId="15" fontId="0" fillId="4" borderId="6" xfId="0" applyNumberFormat="1" applyFill="1" applyBorder="1"/>
    <xf numFmtId="15" fontId="0" fillId="3" borderId="6" xfId="0" applyNumberFormat="1" applyFill="1" applyBorder="1"/>
    <xf numFmtId="165" fontId="0" fillId="3" borderId="3" xfId="1" applyFont="1" applyFill="1" applyBorder="1"/>
    <xf numFmtId="0" fontId="0" fillId="3" borderId="3" xfId="0" applyFill="1" applyBorder="1"/>
    <xf numFmtId="165" fontId="0" fillId="4" borderId="34" xfId="1" applyFont="1" applyFill="1" applyBorder="1"/>
    <xf numFmtId="0" fontId="0" fillId="4" borderId="34" xfId="0" applyFill="1" applyBorder="1"/>
    <xf numFmtId="165" fontId="0" fillId="3" borderId="34" xfId="1" applyFont="1" applyFill="1" applyBorder="1"/>
    <xf numFmtId="165" fontId="0" fillId="3" borderId="34" xfId="0" applyNumberFormat="1" applyFill="1" applyBorder="1"/>
    <xf numFmtId="0" fontId="0" fillId="3" borderId="34" xfId="0" applyFill="1" applyBorder="1"/>
    <xf numFmtId="0" fontId="0" fillId="0" borderId="2" xfId="0" applyBorder="1" applyAlignment="1">
      <alignment vertical="center"/>
    </xf>
    <xf numFmtId="170" fontId="0" fillId="18" borderId="2" xfId="0" applyNumberFormat="1" applyFill="1" applyBorder="1"/>
    <xf numFmtId="165" fontId="0" fillId="18" borderId="2" xfId="1" applyFont="1" applyFill="1" applyBorder="1"/>
    <xf numFmtId="0" fontId="0" fillId="18" borderId="2" xfId="0" applyFill="1" applyBorder="1" applyAlignment="1">
      <alignment vertical="center"/>
    </xf>
    <xf numFmtId="15" fontId="0" fillId="18" borderId="2" xfId="0" applyNumberFormat="1" applyFill="1" applyBorder="1"/>
    <xf numFmtId="0" fontId="0" fillId="20" borderId="2" xfId="0" applyFill="1" applyBorder="1"/>
    <xf numFmtId="171" fontId="1" fillId="20" borderId="2" xfId="0" applyNumberFormat="1" applyFont="1" applyFill="1" applyBorder="1" applyAlignment="1">
      <alignment horizontal="center"/>
    </xf>
    <xf numFmtId="166" fontId="0" fillId="20" borderId="2" xfId="1" applyNumberFormat="1" applyFont="1" applyFill="1" applyBorder="1"/>
    <xf numFmtId="166" fontId="0" fillId="20" borderId="2" xfId="0" applyNumberFormat="1" applyFill="1" applyBorder="1"/>
    <xf numFmtId="166" fontId="0" fillId="20" borderId="0" xfId="1" applyNumberFormat="1" applyFont="1" applyFill="1"/>
    <xf numFmtId="0" fontId="0" fillId="20" borderId="1" xfId="0" applyFill="1" applyBorder="1"/>
    <xf numFmtId="166" fontId="0" fillId="20" borderId="1" xfId="1" applyNumberFormat="1" applyFont="1" applyFill="1" applyBorder="1"/>
    <xf numFmtId="0" fontId="0" fillId="20" borderId="11" xfId="0" applyFill="1" applyBorder="1"/>
    <xf numFmtId="166" fontId="0" fillId="20" borderId="12" xfId="1" applyNumberFormat="1" applyFont="1" applyFill="1" applyBorder="1"/>
    <xf numFmtId="166" fontId="0" fillId="20" borderId="13" xfId="1" applyNumberFormat="1" applyFont="1" applyFill="1" applyBorder="1"/>
    <xf numFmtId="0" fontId="0" fillId="20" borderId="14" xfId="0" applyFill="1" applyBorder="1"/>
    <xf numFmtId="166" fontId="0" fillId="20" borderId="15" xfId="1" applyNumberFormat="1" applyFont="1" applyFill="1" applyBorder="1"/>
    <xf numFmtId="0" fontId="7" fillId="20" borderId="16" xfId="0" applyFont="1" applyFill="1" applyBorder="1"/>
    <xf numFmtId="166" fontId="7" fillId="20" borderId="17" xfId="1" applyNumberFormat="1" applyFont="1" applyFill="1" applyBorder="1"/>
    <xf numFmtId="166" fontId="7" fillId="20" borderId="18" xfId="1" applyNumberFormat="1" applyFont="1" applyFill="1" applyBorder="1"/>
    <xf numFmtId="0" fontId="0" fillId="20" borderId="3" xfId="0" applyFill="1" applyBorder="1"/>
    <xf numFmtId="166" fontId="0" fillId="20" borderId="3" xfId="1" applyNumberFormat="1" applyFont="1" applyFill="1" applyBorder="1"/>
    <xf numFmtId="166" fontId="0" fillId="20" borderId="3" xfId="0" applyNumberFormat="1" applyFill="1" applyBorder="1"/>
    <xf numFmtId="0" fontId="0" fillId="4" borderId="35" xfId="0" applyFill="1" applyBorder="1"/>
    <xf numFmtId="0" fontId="7" fillId="4" borderId="26" xfId="0" applyFont="1" applyFill="1" applyBorder="1"/>
    <xf numFmtId="0" fontId="0" fillId="4" borderId="19" xfId="0" applyFill="1" applyBorder="1"/>
    <xf numFmtId="0" fontId="0" fillId="4" borderId="36" xfId="0" applyFill="1" applyBorder="1"/>
    <xf numFmtId="0" fontId="7" fillId="4" borderId="37" xfId="0" applyFont="1" applyFill="1" applyBorder="1"/>
    <xf numFmtId="0" fontId="0" fillId="10" borderId="2" xfId="0" applyFill="1" applyBorder="1"/>
    <xf numFmtId="171" fontId="1" fillId="10" borderId="2" xfId="0" applyNumberFormat="1" applyFont="1" applyFill="1" applyBorder="1" applyAlignment="1">
      <alignment horizontal="center"/>
    </xf>
    <xf numFmtId="166" fontId="0" fillId="10" borderId="2" xfId="1" applyNumberFormat="1" applyFont="1" applyFill="1" applyBorder="1"/>
    <xf numFmtId="166" fontId="0" fillId="10" borderId="2" xfId="0" applyNumberFormat="1" applyFill="1" applyBorder="1"/>
    <xf numFmtId="0" fontId="0" fillId="10" borderId="0" xfId="0" applyFill="1"/>
    <xf numFmtId="0" fontId="0" fillId="10" borderId="1" xfId="0" applyFill="1" applyBorder="1"/>
    <xf numFmtId="166" fontId="0" fillId="10" borderId="1" xfId="1" applyNumberFormat="1" applyFont="1" applyFill="1" applyBorder="1"/>
    <xf numFmtId="0" fontId="0" fillId="10" borderId="28" xfId="0" applyFill="1" applyBorder="1"/>
    <xf numFmtId="166" fontId="0" fillId="10" borderId="9" xfId="1" applyNumberFormat="1" applyFont="1" applyFill="1" applyBorder="1"/>
    <xf numFmtId="166" fontId="0" fillId="10" borderId="31" xfId="1" applyNumberFormat="1" applyFont="1" applyFill="1" applyBorder="1"/>
    <xf numFmtId="0" fontId="0" fillId="10" borderId="11" xfId="0" applyFill="1" applyBorder="1"/>
    <xf numFmtId="166" fontId="0" fillId="10" borderId="12" xfId="1" applyNumberFormat="1" applyFont="1" applyFill="1" applyBorder="1"/>
    <xf numFmtId="166" fontId="0" fillId="10" borderId="13" xfId="1" applyNumberFormat="1" applyFont="1" applyFill="1" applyBorder="1"/>
    <xf numFmtId="0" fontId="0" fillId="10" borderId="14" xfId="0" applyFill="1" applyBorder="1"/>
    <xf numFmtId="166" fontId="0" fillId="10" borderId="15" xfId="1" applyNumberFormat="1" applyFont="1" applyFill="1" applyBorder="1"/>
    <xf numFmtId="0" fontId="7" fillId="10" borderId="16" xfId="0" applyFont="1" applyFill="1" applyBorder="1"/>
    <xf numFmtId="166" fontId="7" fillId="10" borderId="17" xfId="1" applyNumberFormat="1" applyFont="1" applyFill="1" applyBorder="1"/>
    <xf numFmtId="166" fontId="7" fillId="10" borderId="18" xfId="1" applyNumberFormat="1" applyFont="1" applyFill="1" applyBorder="1"/>
    <xf numFmtId="0" fontId="0" fillId="10" borderId="3" xfId="0" applyFill="1" applyBorder="1"/>
    <xf numFmtId="166" fontId="0" fillId="10" borderId="3" xfId="1" applyNumberFormat="1" applyFont="1" applyFill="1" applyBorder="1"/>
    <xf numFmtId="166" fontId="0" fillId="10" borderId="3" xfId="0" applyNumberFormat="1" applyFill="1" applyBorder="1"/>
    <xf numFmtId="0" fontId="0" fillId="7" borderId="28" xfId="0" applyFill="1" applyBorder="1"/>
    <xf numFmtId="0" fontId="0" fillId="2" borderId="2" xfId="0" applyFill="1" applyBorder="1"/>
    <xf numFmtId="171" fontId="1" fillId="2" borderId="2" xfId="0" applyNumberFormat="1" applyFont="1" applyFill="1" applyBorder="1" applyAlignment="1">
      <alignment horizontal="center"/>
    </xf>
    <xf numFmtId="166" fontId="0" fillId="2" borderId="2" xfId="1" applyNumberFormat="1" applyFont="1" applyFill="1" applyBorder="1"/>
    <xf numFmtId="166" fontId="0" fillId="2" borderId="2" xfId="0" applyNumberFormat="1" applyFill="1" applyBorder="1"/>
    <xf numFmtId="0" fontId="0" fillId="2" borderId="0" xfId="0" applyFill="1"/>
    <xf numFmtId="0" fontId="0" fillId="2" borderId="1" xfId="0" applyFill="1" applyBorder="1"/>
    <xf numFmtId="166" fontId="0" fillId="2" borderId="1" xfId="1" applyNumberFormat="1" applyFont="1" applyFill="1" applyBorder="1"/>
    <xf numFmtId="0" fontId="0" fillId="2" borderId="11" xfId="0" applyFill="1" applyBorder="1"/>
    <xf numFmtId="166" fontId="0" fillId="2" borderId="12" xfId="1" applyNumberFormat="1" applyFont="1" applyFill="1" applyBorder="1"/>
    <xf numFmtId="166" fontId="0" fillId="2" borderId="13" xfId="1" applyNumberFormat="1" applyFont="1" applyFill="1" applyBorder="1"/>
    <xf numFmtId="0" fontId="0" fillId="2" borderId="14" xfId="0" applyFill="1" applyBorder="1"/>
    <xf numFmtId="166" fontId="0" fillId="2" borderId="15" xfId="1" applyNumberFormat="1" applyFont="1" applyFill="1" applyBorder="1"/>
    <xf numFmtId="0" fontId="7" fillId="2" borderId="16" xfId="0" applyFont="1" applyFill="1" applyBorder="1"/>
    <xf numFmtId="166" fontId="7" fillId="2" borderId="17" xfId="1" applyNumberFormat="1" applyFont="1" applyFill="1" applyBorder="1"/>
    <xf numFmtId="166" fontId="7" fillId="2" borderId="18" xfId="1" applyNumberFormat="1" applyFont="1" applyFill="1" applyBorder="1"/>
    <xf numFmtId="0" fontId="0" fillId="2" borderId="3" xfId="0" applyFill="1" applyBorder="1"/>
    <xf numFmtId="166" fontId="0" fillId="2" borderId="3" xfId="1" applyNumberFormat="1" applyFont="1" applyFill="1" applyBorder="1"/>
    <xf numFmtId="166" fontId="0" fillId="2" borderId="3" xfId="0" applyNumberFormat="1" applyFill="1" applyBorder="1"/>
    <xf numFmtId="166" fontId="0" fillId="7" borderId="2" xfId="1" applyNumberFormat="1" applyFont="1" applyFill="1" applyBorder="1"/>
    <xf numFmtId="165" fontId="0" fillId="7" borderId="0" xfId="1" applyFont="1" applyFill="1"/>
    <xf numFmtId="166" fontId="0" fillId="7" borderId="9" xfId="1" applyNumberFormat="1" applyFont="1" applyFill="1" applyBorder="1"/>
    <xf numFmtId="166" fontId="0" fillId="7" borderId="31" xfId="1" applyNumberFormat="1" applyFont="1" applyFill="1" applyBorder="1"/>
    <xf numFmtId="166" fontId="0" fillId="7" borderId="1" xfId="1" applyNumberFormat="1" applyFont="1" applyFill="1" applyBorder="1"/>
    <xf numFmtId="0" fontId="0" fillId="3" borderId="31" xfId="0" applyFill="1" applyBorder="1" applyAlignment="1">
      <alignment horizontal="left" vertical="center"/>
    </xf>
    <xf numFmtId="166" fontId="1" fillId="2" borderId="2" xfId="1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6" fontId="1" fillId="2" borderId="1" xfId="1" applyNumberFormat="1" applyFont="1" applyFill="1" applyBorder="1" applyAlignment="1">
      <alignment horizontal="center" vertical="center"/>
    </xf>
    <xf numFmtId="166" fontId="1" fillId="2" borderId="3" xfId="1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6" fontId="0" fillId="0" borderId="1" xfId="1" applyNumberFormat="1" applyFont="1" applyBorder="1" applyAlignment="1">
      <alignment horizontal="center" vertical="center"/>
    </xf>
    <xf numFmtId="166" fontId="0" fillId="0" borderId="9" xfId="1" applyNumberFormat="1" applyFont="1" applyBorder="1" applyAlignment="1">
      <alignment horizontal="center" vertical="center"/>
    </xf>
    <xf numFmtId="166" fontId="0" fillId="0" borderId="3" xfId="1" applyNumberFormat="1" applyFont="1" applyBorder="1" applyAlignment="1">
      <alignment horizontal="center" vertical="center"/>
    </xf>
    <xf numFmtId="166" fontId="0" fillId="0" borderId="31" xfId="1" applyNumberFormat="1" applyFont="1" applyBorder="1" applyAlignment="1">
      <alignment horizontal="center"/>
    </xf>
    <xf numFmtId="166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">
    <cellStyle name="Comma" xfId="1" builtinId="3"/>
    <cellStyle name="Comma [0]" xfId="2" builtinId="6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CC99FF"/>
      <color rgb="FF9966FF"/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sales- net profit- % profit</a:t>
            </a:r>
          </a:p>
        </c:rich>
      </c:tx>
      <c:layout>
        <c:manualLayout>
          <c:xMode val="edge"/>
          <c:yMode val="edge"/>
          <c:x val="0.4094930008748907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728157342777566"/>
          <c:y val="0.19486111111111112"/>
          <c:w val="0.704879265091863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'Laporan Penjualan'!$C$26</c:f>
              <c:strCache>
                <c:ptCount val="1"/>
                <c:pt idx="0">
                  <c:v> Sales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-8.6111111111111166E-2"/>
                  <c:y val="0.1666666666666666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B2C-4E4A-AED7-088588B5F05F}"/>
                </c:ext>
              </c:extLst>
            </c:dLbl>
            <c:dLbl>
              <c:idx val="2"/>
              <c:layout>
                <c:manualLayout>
                  <c:x val="-0.10833333333333334"/>
                  <c:y val="0.1296296296296296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B2C-4E4A-AED7-088588B5F0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'Laporan Penjualan'!$B$27:$B$30</c:f>
              <c:numCache>
                <c:formatCode>[$-409]mmm\-yy;@</c:formatCode>
                <c:ptCount val="4"/>
                <c:pt idx="0">
                  <c:v>45467</c:v>
                </c:pt>
                <c:pt idx="1">
                  <c:v>45497</c:v>
                </c:pt>
                <c:pt idx="2">
                  <c:v>45528</c:v>
                </c:pt>
                <c:pt idx="3">
                  <c:v>45559</c:v>
                </c:pt>
              </c:numCache>
            </c:numRef>
          </c:cat>
          <c:val>
            <c:numRef>
              <c:f>'Laporan Penjualan'!$C$27:$C$30</c:f>
              <c:numCache>
                <c:formatCode>_(* #,##0_);_(* \(#,##0\);_(* "-"??_);_(@_)</c:formatCode>
                <c:ptCount val="4"/>
                <c:pt idx="0">
                  <c:v>198200000</c:v>
                </c:pt>
                <c:pt idx="1">
                  <c:v>480000000</c:v>
                </c:pt>
                <c:pt idx="2">
                  <c:v>594059500</c:v>
                </c:pt>
                <c:pt idx="3">
                  <c:v>578890000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2C-4E4A-AED7-088588B5F05F}"/>
            </c:ext>
          </c:extLst>
        </c:ser>
        <c:ser>
          <c:idx val="1"/>
          <c:order val="1"/>
          <c:tx>
            <c:strRef>
              <c:f>'Laporan Penjualan'!$D$26</c:f>
              <c:strCache>
                <c:ptCount val="1"/>
                <c:pt idx="0">
                  <c:v> Net Profit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2.2222222222222223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B2C-4E4A-AED7-088588B5F05F}"/>
                </c:ext>
              </c:extLst>
            </c:dLbl>
            <c:dLbl>
              <c:idx val="1"/>
              <c:layout>
                <c:manualLayout>
                  <c:x val="4.4444444444444446E-2"/>
                  <c:y val="-1.38888888888888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B2C-4E4A-AED7-088588B5F05F}"/>
                </c:ext>
              </c:extLst>
            </c:dLbl>
            <c:dLbl>
              <c:idx val="2"/>
              <c:layout>
                <c:manualLayout>
                  <c:x val="3.5710896399958822E-2"/>
                  <c:y val="-3.24074074074074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B2C-4E4A-AED7-088588B5F05F}"/>
                </c:ext>
              </c:extLst>
            </c:dLbl>
            <c:dLbl>
              <c:idx val="3"/>
              <c:layout>
                <c:manualLayout>
                  <c:x val="2.4017467248908297E-2"/>
                  <c:y val="-3.24074074074074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A2C-45BB-8E4E-EFB671062A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'Laporan Penjualan'!$B$27:$B$30</c:f>
              <c:numCache>
                <c:formatCode>[$-409]mmm\-yy;@</c:formatCode>
                <c:ptCount val="4"/>
                <c:pt idx="0">
                  <c:v>45467</c:v>
                </c:pt>
                <c:pt idx="1">
                  <c:v>45497</c:v>
                </c:pt>
                <c:pt idx="2">
                  <c:v>45528</c:v>
                </c:pt>
                <c:pt idx="3">
                  <c:v>45559</c:v>
                </c:pt>
              </c:numCache>
            </c:numRef>
          </c:cat>
          <c:val>
            <c:numRef>
              <c:f>'Laporan Penjualan'!$D$27:$D$30</c:f>
              <c:numCache>
                <c:formatCode>_(* #,##0_);_(* \(#,##0\);_(* "-"??_);_(@_)</c:formatCode>
                <c:ptCount val="4"/>
                <c:pt idx="0">
                  <c:v>14965484.949999999</c:v>
                </c:pt>
                <c:pt idx="1">
                  <c:v>50513801.227499999</c:v>
                </c:pt>
                <c:pt idx="2">
                  <c:v>66698891.859999962</c:v>
                </c:pt>
                <c:pt idx="3">
                  <c:v>71412091.562599972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2C-4E4A-AED7-088588B5F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71886464"/>
        <c:axId val="2026109504"/>
      </c:barChart>
      <c:lineChart>
        <c:grouping val="standard"/>
        <c:varyColors val="0"/>
        <c:ser>
          <c:idx val="2"/>
          <c:order val="2"/>
          <c:tx>
            <c:strRef>
              <c:f>'Laporan Penjualan'!$E$26</c:f>
              <c:strCache>
                <c:ptCount val="1"/>
                <c:pt idx="0">
                  <c:v> % Profit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1.7467248908296904E-2"/>
                  <c:y val="5.55555555555555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A2C-45BB-8E4E-EFB671062A6A}"/>
                </c:ext>
              </c:extLst>
            </c:dLbl>
            <c:dLbl>
              <c:idx val="1"/>
              <c:layout>
                <c:manualLayout>
                  <c:x val="0"/>
                  <c:y val="9.25925925925925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A2C-45BB-8E4E-EFB671062A6A}"/>
                </c:ext>
              </c:extLst>
            </c:dLbl>
            <c:dLbl>
              <c:idx val="2"/>
              <c:layout>
                <c:manualLayout>
                  <c:x val="0"/>
                  <c:y val="5.09259259259259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A2C-45BB-8E4E-EFB671062A6A}"/>
                </c:ext>
              </c:extLst>
            </c:dLbl>
            <c:dLbl>
              <c:idx val="3"/>
              <c:layout>
                <c:manualLayout>
                  <c:x val="-2.1834061135371178E-3"/>
                  <c:y val="6.48148148148148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A2C-45BB-8E4E-EFB671062A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'Laporan Penjualan'!$B$27:$B$29</c:f>
              <c:numCache>
                <c:formatCode>[$-409]mmm\-yy;@</c:formatCode>
                <c:ptCount val="3"/>
                <c:pt idx="0">
                  <c:v>45467</c:v>
                </c:pt>
                <c:pt idx="1">
                  <c:v>45497</c:v>
                </c:pt>
                <c:pt idx="2">
                  <c:v>45528</c:v>
                </c:pt>
              </c:numCache>
            </c:numRef>
          </c:cat>
          <c:val>
            <c:numRef>
              <c:f>'Laporan Penjualan'!$E$27:$E$30</c:f>
              <c:numCache>
                <c:formatCode>0.00%</c:formatCode>
                <c:ptCount val="4"/>
                <c:pt idx="0">
                  <c:v>7.5506987638748732E-2</c:v>
                </c:pt>
                <c:pt idx="1">
                  <c:v>0.105237085890625</c:v>
                </c:pt>
                <c:pt idx="2">
                  <c:v>0.11227645018722866</c:v>
                </c:pt>
                <c:pt idx="3">
                  <c:v>0.12336038204598451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2C-4E4A-AED7-088588B5F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9214768"/>
        <c:axId val="639208528"/>
      </c:lineChart>
      <c:dateAx>
        <c:axId val="571886464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109504"/>
        <c:crosses val="autoZero"/>
        <c:auto val="1"/>
        <c:lblOffset val="100"/>
        <c:baseTimeUnit val="months"/>
      </c:dateAx>
      <c:valAx>
        <c:axId val="202610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886464"/>
        <c:crosses val="autoZero"/>
        <c:crossBetween val="between"/>
      </c:valAx>
      <c:valAx>
        <c:axId val="63920852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214768"/>
        <c:crosses val="max"/>
        <c:crossBetween val="between"/>
      </c:valAx>
      <c:dateAx>
        <c:axId val="639214768"/>
        <c:scaling>
          <c:orientation val="minMax"/>
        </c:scaling>
        <c:delete val="1"/>
        <c:axPos val="b"/>
        <c:numFmt formatCode="[$-409]mmm\-yy;@" sourceLinked="1"/>
        <c:majorTickMark val="out"/>
        <c:minorTickMark val="none"/>
        <c:tickLblPos val="nextTo"/>
        <c:crossAx val="639208528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Performace  Qty &amp; Sales </a:t>
            </a:r>
          </a:p>
          <a:p>
            <a:pPr>
              <a:defRPr/>
            </a:pPr>
            <a:r>
              <a:rPr lang="en-US"/>
              <a:t>Periode Bln Juni - Sept 2024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2511944444444444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'Laporan Penjualan'!$C$3</c:f>
              <c:strCache>
                <c:ptCount val="1"/>
                <c:pt idx="0">
                  <c:v> Qty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7.7777777777777724E-2"/>
                  <c:y val="0.1342592592592593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2C9-466B-965D-7DAB9E2A6A42}"/>
                </c:ext>
              </c:extLst>
            </c:dLbl>
            <c:dLbl>
              <c:idx val="1"/>
              <c:layout>
                <c:manualLayout>
                  <c:x val="6.6666666666666666E-2"/>
                  <c:y val="0.2361111111111110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2C9-466B-965D-7DAB9E2A6A42}"/>
                </c:ext>
              </c:extLst>
            </c:dLbl>
            <c:dLbl>
              <c:idx val="2"/>
              <c:layout>
                <c:manualLayout>
                  <c:x val="7.7777777777777779E-2"/>
                  <c:y val="0.26388888888888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2C9-466B-965D-7DAB9E2A6A42}"/>
                </c:ext>
              </c:extLst>
            </c:dLbl>
            <c:dLbl>
              <c:idx val="3"/>
              <c:layout>
                <c:manualLayout>
                  <c:x val="6.8153017874663102E-2"/>
                  <c:y val="0.236111111111111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2C9-466B-965D-7DAB9E2A6A4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'Laporan Penjualan'!$B$4:$B$7</c:f>
              <c:numCache>
                <c:formatCode>[$-409]mmm\-yy;@</c:formatCode>
                <c:ptCount val="4"/>
                <c:pt idx="0">
                  <c:v>45467</c:v>
                </c:pt>
                <c:pt idx="1">
                  <c:v>45497</c:v>
                </c:pt>
                <c:pt idx="2">
                  <c:v>45528</c:v>
                </c:pt>
                <c:pt idx="3">
                  <c:v>45559</c:v>
                </c:pt>
              </c:numCache>
            </c:numRef>
          </c:cat>
          <c:val>
            <c:numRef>
              <c:f>'Laporan Penjualan'!$C$4:$C$7</c:f>
              <c:numCache>
                <c:formatCode>_(* #,##0_);_(* \(#,##0\);_(* "-"??_);_(@_)</c:formatCode>
                <c:ptCount val="4"/>
                <c:pt idx="0">
                  <c:v>11500</c:v>
                </c:pt>
                <c:pt idx="1">
                  <c:v>22800</c:v>
                </c:pt>
                <c:pt idx="2">
                  <c:v>28500</c:v>
                </c:pt>
                <c:pt idx="3">
                  <c:v>26954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C9-466B-965D-7DAB9E2A6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33776"/>
        <c:axId val="10924176"/>
      </c:barChart>
      <c:lineChart>
        <c:grouping val="stacked"/>
        <c:varyColors val="0"/>
        <c:ser>
          <c:idx val="1"/>
          <c:order val="1"/>
          <c:tx>
            <c:strRef>
              <c:f>'Laporan Penjualan'!$D$3</c:f>
              <c:strCache>
                <c:ptCount val="1"/>
                <c:pt idx="0">
                  <c:v> Sales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3333333333333333E-2"/>
                  <c:y val="-0.1481481481481482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2C9-466B-965D-7DAB9E2A6A42}"/>
                </c:ext>
              </c:extLst>
            </c:dLbl>
            <c:dLbl>
              <c:idx val="1"/>
              <c:layout>
                <c:manualLayout>
                  <c:x val="-2.4999999999999949E-2"/>
                  <c:y val="-8.3333333333333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2C9-466B-965D-7DAB9E2A6A42}"/>
                </c:ext>
              </c:extLst>
            </c:dLbl>
            <c:dLbl>
              <c:idx val="2"/>
              <c:layout>
                <c:manualLayout>
                  <c:x val="-2.2522573672598325E-2"/>
                  <c:y val="-0.101851851851851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2C9-466B-965D-7DAB9E2A6A42}"/>
                </c:ext>
              </c:extLst>
            </c:dLbl>
            <c:dLbl>
              <c:idx val="3"/>
              <c:layout>
                <c:manualLayout>
                  <c:x val="-3.5420619860847567E-2"/>
                  <c:y val="-0.1203703703703703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2C9-466B-965D-7DAB9E2A6A4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'Laporan Penjualan'!$B$4:$B$7</c:f>
              <c:numCache>
                <c:formatCode>[$-409]mmm\-yy;@</c:formatCode>
                <c:ptCount val="4"/>
                <c:pt idx="0">
                  <c:v>45467</c:v>
                </c:pt>
                <c:pt idx="1">
                  <c:v>45497</c:v>
                </c:pt>
                <c:pt idx="2">
                  <c:v>45528</c:v>
                </c:pt>
                <c:pt idx="3">
                  <c:v>45559</c:v>
                </c:pt>
              </c:numCache>
            </c:numRef>
          </c:cat>
          <c:val>
            <c:numRef>
              <c:f>'Laporan Penjualan'!$D$4:$D$7</c:f>
              <c:numCache>
                <c:formatCode>_(* #,##0_);_(* \(#,##0\);_(* "-"??_);_(@_)</c:formatCode>
                <c:ptCount val="4"/>
                <c:pt idx="0">
                  <c:v>198200000</c:v>
                </c:pt>
                <c:pt idx="1">
                  <c:v>480000000</c:v>
                </c:pt>
                <c:pt idx="2">
                  <c:v>594059500</c:v>
                </c:pt>
                <c:pt idx="3">
                  <c:v>578890000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C9-466B-965D-7DAB9E2A6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43312"/>
        <c:axId val="19328432"/>
      </c:lineChart>
      <c:dateAx>
        <c:axId val="19343312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8432"/>
        <c:crosses val="autoZero"/>
        <c:auto val="1"/>
        <c:lblOffset val="100"/>
        <c:baseTimeUnit val="months"/>
      </c:dateAx>
      <c:valAx>
        <c:axId val="1932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3312"/>
        <c:crosses val="autoZero"/>
        <c:crossBetween val="between"/>
      </c:valAx>
      <c:valAx>
        <c:axId val="10924176"/>
        <c:scaling>
          <c:orientation val="minMax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3776"/>
        <c:crosses val="max"/>
        <c:crossBetween val="between"/>
      </c:valAx>
      <c:dateAx>
        <c:axId val="10933776"/>
        <c:scaling>
          <c:orientation val="minMax"/>
        </c:scaling>
        <c:delete val="1"/>
        <c:axPos val="b"/>
        <c:numFmt formatCode="[$-409]mmm\-yy;@" sourceLinked="1"/>
        <c:majorTickMark val="out"/>
        <c:minorTickMark val="none"/>
        <c:tickLblPos val="nextTo"/>
        <c:crossAx val="10924176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12</xdr:row>
      <xdr:rowOff>95250</xdr:rowOff>
    </xdr:from>
    <xdr:to>
      <xdr:col>9</xdr:col>
      <xdr:colOff>95250</xdr:colOff>
      <xdr:row>12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E57CD03-ED1B-432B-87E5-0181803FC490}"/>
            </a:ext>
          </a:extLst>
        </xdr:cNvPr>
        <xdr:cNvCxnSpPr/>
      </xdr:nvCxnSpPr>
      <xdr:spPr>
        <a:xfrm>
          <a:off x="5194300" y="2305050"/>
          <a:ext cx="863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35</xdr:row>
      <xdr:rowOff>95250</xdr:rowOff>
    </xdr:from>
    <xdr:to>
      <xdr:col>9</xdr:col>
      <xdr:colOff>95250</xdr:colOff>
      <xdr:row>35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1078DC5-3D5D-451B-A316-E6610F2FDA36}"/>
            </a:ext>
          </a:extLst>
        </xdr:cNvPr>
        <xdr:cNvCxnSpPr/>
      </xdr:nvCxnSpPr>
      <xdr:spPr>
        <a:xfrm>
          <a:off x="6305550" y="2311400"/>
          <a:ext cx="863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130175</xdr:colOff>
      <xdr:row>25</xdr:row>
      <xdr:rowOff>0</xdr:rowOff>
    </xdr:from>
    <xdr:to>
      <xdr:col>13</xdr:col>
      <xdr:colOff>434975</xdr:colOff>
      <xdr:row>39</xdr:row>
      <xdr:rowOff>165100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091D15B-A036-0CC2-771F-7A3482073D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460374</xdr:colOff>
      <xdr:row>0</xdr:row>
      <xdr:rowOff>101600</xdr:rowOff>
    </xdr:from>
    <xdr:to>
      <xdr:col>13</xdr:col>
      <xdr:colOff>146049</xdr:colOff>
      <xdr:row>15</xdr:row>
      <xdr:rowOff>82550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172F73F-62F5-2F99-3BE1-B4882DF808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acalapati\Yn_MONITORING%20Project%20KARTU%20TAPCASH_2025.xlsx" TargetMode="External"/><Relationship Id="rId1" Type="http://schemas.openxmlformats.org/officeDocument/2006/relationships/externalLinkPath" Target="file:///D:\acalapati\Yn_MONITORING%20Project%20KARTU%20TAPCASH_2025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acalapati\Acalapati%20Gaji-Kertas_Kerja_1721_I_Bulanan_&amp;_Tahunan_PP_58_Tahun_2025.xlsx" TargetMode="External"/><Relationship Id="rId1" Type="http://schemas.openxmlformats.org/officeDocument/2006/relationships/externalLinkPath" Target="file:///D:\acalapati\Acalapati%20Gaji-Kertas_Kerja_1721_I_Bulanan_&amp;_Tahunan_PP_58_Tahun_2025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acalapati\Gaji%20Acalapati%20dan%20Acalapati%20Aggregator.xlsx" TargetMode="External"/><Relationship Id="rId1" Type="http://schemas.openxmlformats.org/officeDocument/2006/relationships/externalLinkPath" Target="file:///D:\acalapati\Gaji%20Acalapati%20dan%20Acalapati%20Aggreg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emasukan Mandiri"/>
      <sheetName val="pemasukan BNI"/>
      <sheetName val="BNI bayar ke vendor-pajak_"/>
      <sheetName val="Biaya Opersional BNI"/>
      <sheetName val="Mandiri byr ke vendor-pajak"/>
      <sheetName val="Biy Opr Mandiri"/>
      <sheetName val="Cadangan "/>
      <sheetName val="gaji"/>
      <sheetName val="distribusi fee"/>
      <sheetName val="Pph fee"/>
      <sheetName val="Laba Rugi"/>
      <sheetName val="HPP"/>
      <sheetName val="estimasi pengeluaran"/>
      <sheetName val="hutang ppn"/>
      <sheetName val="new hpp bni"/>
      <sheetName val="keuangan"/>
      <sheetName val="Pinjaman Madin"/>
      <sheetName val="Pinjaman Ism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CA"/>
      <sheetName val="JAN"/>
      <sheetName val="PEB"/>
      <sheetName val="MAR"/>
      <sheetName val="APR"/>
      <sheetName val="MEI"/>
      <sheetName val="JUNI"/>
      <sheetName val="JUL"/>
      <sheetName val="AGS"/>
      <sheetName val="SEP"/>
      <sheetName val="OKT"/>
      <sheetName val="NOP"/>
      <sheetName val="DES"/>
      <sheetName val="Rekap"/>
      <sheetName val="21"/>
      <sheetName val="1721 - A1"/>
      <sheetName val="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7">
          <cell r="W17">
            <v>6716250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4"/>
      <sheetName val="2025"/>
      <sheetName val="Sheet1"/>
    </sheetNames>
    <sheetDataSet>
      <sheetData sheetId="0">
        <row r="14">
          <cell r="AN14">
            <v>6742500</v>
          </cell>
        </row>
        <row r="15">
          <cell r="AK15">
            <v>6750000</v>
          </cell>
          <cell r="AN15">
            <v>6750000</v>
          </cell>
        </row>
      </sheetData>
      <sheetData sheetId="1">
        <row r="4">
          <cell r="G4">
            <v>19140000</v>
          </cell>
        </row>
      </sheetData>
      <sheetData sheetId="2">
        <row r="5">
          <cell r="AH5">
            <v>15040000</v>
          </cell>
        </row>
      </sheetData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49A7-7644-4101-BD7F-24623E514536}">
  <dimension ref="A3:M76"/>
  <sheetViews>
    <sheetView workbookViewId="0">
      <pane xSplit="2" ySplit="4" topLeftCell="C61" activePane="bottomRight" state="frozen"/>
      <selection pane="topRight" activeCell="C1" sqref="C1"/>
      <selection pane="bottomLeft" activeCell="A5" sqref="A5"/>
      <selection pane="bottomRight" activeCell="C63" sqref="C63"/>
    </sheetView>
  </sheetViews>
  <sheetFormatPr defaultRowHeight="14.4" x14ac:dyDescent="0.3"/>
  <cols>
    <col min="2" max="2" width="27.77734375" bestFit="1" customWidth="1"/>
    <col min="4" max="4" width="9.5546875" bestFit="1" customWidth="1"/>
    <col min="5" max="5" width="19.21875" bestFit="1" customWidth="1"/>
    <col min="6" max="6" width="16.21875" bestFit="1" customWidth="1"/>
    <col min="7" max="7" width="10.109375" style="18" bestFit="1" customWidth="1"/>
    <col min="8" max="8" width="11.33203125" style="40" bestFit="1" customWidth="1"/>
    <col min="9" max="9" width="14.6640625" bestFit="1" customWidth="1"/>
    <col min="10" max="10" width="13.6640625" bestFit="1" customWidth="1"/>
    <col min="11" max="11" width="16.109375" bestFit="1" customWidth="1"/>
    <col min="12" max="12" width="14.6640625" bestFit="1" customWidth="1"/>
    <col min="13" max="13" width="10.109375" bestFit="1" customWidth="1"/>
  </cols>
  <sheetData>
    <row r="3" spans="1:13" x14ac:dyDescent="0.3">
      <c r="A3" s="407" t="s">
        <v>0</v>
      </c>
      <c r="B3" s="407" t="s">
        <v>1</v>
      </c>
      <c r="C3" s="407" t="s">
        <v>2</v>
      </c>
      <c r="D3" s="407" t="s">
        <v>3</v>
      </c>
      <c r="E3" s="407" t="s">
        <v>4</v>
      </c>
      <c r="F3" s="408" t="s">
        <v>5</v>
      </c>
      <c r="G3" s="406" t="s">
        <v>6</v>
      </c>
      <c r="H3" s="407" t="s">
        <v>7</v>
      </c>
      <c r="I3" s="407"/>
      <c r="J3" s="407" t="s">
        <v>8</v>
      </c>
      <c r="K3" s="407" t="s">
        <v>9</v>
      </c>
    </row>
    <row r="4" spans="1:13" x14ac:dyDescent="0.3">
      <c r="A4" s="407"/>
      <c r="B4" s="407"/>
      <c r="C4" s="407"/>
      <c r="D4" s="407"/>
      <c r="E4" s="407"/>
      <c r="F4" s="408"/>
      <c r="G4" s="406"/>
      <c r="H4" s="84" t="s">
        <v>10</v>
      </c>
      <c r="I4" s="2" t="s">
        <v>11</v>
      </c>
      <c r="J4" s="407"/>
      <c r="K4" s="407"/>
    </row>
    <row r="5" spans="1:13" s="51" customFormat="1" x14ac:dyDescent="0.3">
      <c r="A5" s="147"/>
      <c r="B5" s="151">
        <f>DATE(2024,6,1)</f>
        <v>45444</v>
      </c>
      <c r="C5" s="147"/>
      <c r="D5" s="147"/>
      <c r="E5" s="147"/>
      <c r="F5" s="148"/>
      <c r="G5" s="149"/>
      <c r="H5" s="150"/>
      <c r="I5" s="147"/>
      <c r="J5" s="147"/>
      <c r="K5" s="147"/>
    </row>
    <row r="6" spans="1:13" x14ac:dyDescent="0.3">
      <c r="A6" s="10">
        <v>1</v>
      </c>
      <c r="B6" s="10" t="s">
        <v>29</v>
      </c>
      <c r="C6" s="10"/>
      <c r="D6" s="10"/>
      <c r="E6" s="10" t="s">
        <v>30</v>
      </c>
      <c r="F6" s="100">
        <f>DATE(2024,6,12)</f>
        <v>45455</v>
      </c>
      <c r="G6" s="49"/>
      <c r="H6" s="11"/>
      <c r="I6" s="10"/>
      <c r="J6" s="10"/>
      <c r="K6" s="11">
        <v>10000000</v>
      </c>
    </row>
    <row r="7" spans="1:13" x14ac:dyDescent="0.3">
      <c r="A7" s="10">
        <v>2</v>
      </c>
      <c r="B7" s="10" t="s">
        <v>115</v>
      </c>
      <c r="C7" s="10"/>
      <c r="D7" s="10"/>
      <c r="E7" s="10"/>
      <c r="F7" s="100">
        <f>DATE(2024,6,25)</f>
        <v>45468</v>
      </c>
      <c r="G7" s="49">
        <v>10000</v>
      </c>
      <c r="H7" s="11">
        <v>19820</v>
      </c>
      <c r="I7" s="11">
        <f t="shared" ref="I7:I13" si="0">G7*H7</f>
        <v>198200000</v>
      </c>
      <c r="J7" s="11">
        <v>0</v>
      </c>
      <c r="K7" s="11">
        <f t="shared" ref="K7:K13" si="1">I7+J7</f>
        <v>198200000</v>
      </c>
    </row>
    <row r="8" spans="1:13" x14ac:dyDescent="0.3">
      <c r="A8" s="10"/>
      <c r="B8" s="10"/>
      <c r="C8" s="10"/>
      <c r="D8" s="10"/>
      <c r="E8" s="10"/>
      <c r="F8" s="100"/>
      <c r="G8" s="49"/>
      <c r="H8" s="11"/>
      <c r="I8" s="11"/>
      <c r="J8" s="11"/>
      <c r="K8" s="11"/>
    </row>
    <row r="9" spans="1:13" x14ac:dyDescent="0.3">
      <c r="A9" s="10"/>
      <c r="B9" s="151">
        <f>DATE(2024,7,1)</f>
        <v>45474</v>
      </c>
      <c r="C9" s="10"/>
      <c r="D9" s="10"/>
      <c r="E9" s="10"/>
      <c r="F9" s="100"/>
      <c r="G9" s="49"/>
      <c r="H9" s="11"/>
      <c r="I9" s="11"/>
      <c r="J9" s="11"/>
      <c r="K9" s="11"/>
    </row>
    <row r="10" spans="1:13" x14ac:dyDescent="0.3">
      <c r="A10" s="10">
        <v>3</v>
      </c>
      <c r="B10" s="10" t="s">
        <v>95</v>
      </c>
      <c r="C10" s="10"/>
      <c r="D10" s="10"/>
      <c r="E10" s="10"/>
      <c r="F10" s="100">
        <f>DATE(2024,7,2)</f>
        <v>45475</v>
      </c>
      <c r="G10" s="49">
        <v>1500</v>
      </c>
      <c r="H10" s="11">
        <v>25000</v>
      </c>
      <c r="I10" s="11">
        <f t="shared" si="0"/>
        <v>37500000</v>
      </c>
      <c r="J10" s="10">
        <v>0</v>
      </c>
      <c r="K10" s="11">
        <f t="shared" si="1"/>
        <v>37500000</v>
      </c>
      <c r="M10" s="194">
        <v>10000</v>
      </c>
    </row>
    <row r="11" spans="1:13" x14ac:dyDescent="0.3">
      <c r="A11" s="10">
        <v>4</v>
      </c>
      <c r="B11" s="10" t="s">
        <v>115</v>
      </c>
      <c r="C11" s="10"/>
      <c r="D11" s="10"/>
      <c r="E11" s="10"/>
      <c r="F11" s="100">
        <f>DATE(2024,7,8)</f>
        <v>45481</v>
      </c>
      <c r="G11" s="49">
        <v>10000</v>
      </c>
      <c r="H11" s="11">
        <v>20500</v>
      </c>
      <c r="I11" s="11">
        <f t="shared" si="0"/>
        <v>205000000</v>
      </c>
      <c r="J11" s="11">
        <v>0</v>
      </c>
      <c r="K11" s="11">
        <f t="shared" si="1"/>
        <v>205000000</v>
      </c>
      <c r="M11" s="194">
        <v>1500</v>
      </c>
    </row>
    <row r="12" spans="1:13" x14ac:dyDescent="0.3">
      <c r="A12" s="10">
        <v>5</v>
      </c>
      <c r="B12" s="10" t="s">
        <v>122</v>
      </c>
      <c r="C12" s="10"/>
      <c r="D12" s="10"/>
      <c r="E12" s="10"/>
      <c r="F12" s="100">
        <f>DATE(2024,7,17)</f>
        <v>45490</v>
      </c>
      <c r="G12" s="142">
        <v>1000</v>
      </c>
      <c r="H12" s="11">
        <v>25000</v>
      </c>
      <c r="I12" s="11">
        <f t="shared" si="0"/>
        <v>25000000</v>
      </c>
      <c r="J12" s="10"/>
      <c r="K12" s="11">
        <f t="shared" si="1"/>
        <v>25000000</v>
      </c>
      <c r="M12" s="18">
        <v>10000</v>
      </c>
    </row>
    <row r="13" spans="1:13" x14ac:dyDescent="0.3">
      <c r="A13" s="10">
        <v>6</v>
      </c>
      <c r="B13" s="10" t="s">
        <v>127</v>
      </c>
      <c r="C13" s="10"/>
      <c r="D13" s="10"/>
      <c r="E13" s="10"/>
      <c r="F13" s="100">
        <f>DATE(2024,7,27)</f>
        <v>45500</v>
      </c>
      <c r="G13" s="142">
        <v>300</v>
      </c>
      <c r="H13" s="11">
        <v>25000</v>
      </c>
      <c r="I13" s="11">
        <f t="shared" si="0"/>
        <v>7500000</v>
      </c>
      <c r="J13" s="10"/>
      <c r="K13" s="11">
        <f t="shared" si="1"/>
        <v>7500000</v>
      </c>
      <c r="M13" s="18">
        <v>1000</v>
      </c>
    </row>
    <row r="14" spans="1:13" x14ac:dyDescent="0.3">
      <c r="A14" s="10">
        <v>7</v>
      </c>
      <c r="B14" s="10" t="s">
        <v>115</v>
      </c>
      <c r="C14" s="10"/>
      <c r="D14" s="10"/>
      <c r="E14" s="10"/>
      <c r="F14" s="100">
        <f>DATE(2024,7,29)</f>
        <v>45502</v>
      </c>
      <c r="G14" s="49">
        <v>5000</v>
      </c>
      <c r="H14" s="11">
        <v>20500</v>
      </c>
      <c r="I14" s="11">
        <f t="shared" ref="I14" si="2">G14*H14</f>
        <v>102500000</v>
      </c>
      <c r="J14" s="11">
        <v>0</v>
      </c>
      <c r="K14" s="11">
        <f t="shared" ref="K14" si="3">I14+J14</f>
        <v>102500000</v>
      </c>
      <c r="M14" s="18">
        <v>5000</v>
      </c>
    </row>
    <row r="15" spans="1:13" x14ac:dyDescent="0.3">
      <c r="A15" s="10">
        <v>8</v>
      </c>
      <c r="B15" s="10" t="s">
        <v>115</v>
      </c>
      <c r="C15" s="10"/>
      <c r="D15" s="10"/>
      <c r="E15" s="10"/>
      <c r="F15" s="100">
        <f>DATE(2024,7,31)</f>
        <v>45504</v>
      </c>
      <c r="G15" s="49">
        <v>5000</v>
      </c>
      <c r="H15" s="11">
        <v>20500</v>
      </c>
      <c r="I15" s="11">
        <f t="shared" ref="I15" si="4">G15*H15</f>
        <v>102500000</v>
      </c>
      <c r="J15" s="11">
        <v>0</v>
      </c>
      <c r="K15" s="11">
        <f t="shared" ref="K15" si="5">I15+J15</f>
        <v>102500000</v>
      </c>
      <c r="L15" s="53">
        <f>SUM(I7:I15)</f>
        <v>678200000</v>
      </c>
    </row>
    <row r="16" spans="1:13" x14ac:dyDescent="0.3">
      <c r="A16" s="10"/>
      <c r="B16" s="10"/>
      <c r="C16" s="10"/>
      <c r="D16" s="10"/>
      <c r="E16" s="10"/>
      <c r="F16" s="100"/>
      <c r="G16" s="49"/>
      <c r="H16" s="11"/>
      <c r="I16" s="11"/>
      <c r="J16" s="11"/>
      <c r="K16" s="11"/>
    </row>
    <row r="17" spans="1:12" x14ac:dyDescent="0.3">
      <c r="A17" s="10"/>
      <c r="B17" s="151">
        <f>DATE(2024,8,1)</f>
        <v>45505</v>
      </c>
      <c r="C17" s="10"/>
      <c r="D17" s="10"/>
      <c r="E17" s="10"/>
      <c r="F17" s="100"/>
      <c r="G17" s="49"/>
      <c r="H17" s="11"/>
      <c r="I17" s="11"/>
      <c r="J17" s="11"/>
      <c r="K17" s="11"/>
    </row>
    <row r="18" spans="1:12" x14ac:dyDescent="0.3">
      <c r="A18" s="10">
        <v>1</v>
      </c>
      <c r="B18" s="10" t="s">
        <v>115</v>
      </c>
      <c r="C18" s="10"/>
      <c r="D18" s="10"/>
      <c r="E18" s="10"/>
      <c r="F18" s="100">
        <f>DATE(2024,8,6)</f>
        <v>45510</v>
      </c>
      <c r="G18" s="49">
        <v>6500</v>
      </c>
      <c r="H18" s="11">
        <v>20500</v>
      </c>
      <c r="I18" s="11">
        <f t="shared" ref="I18:I21" si="6">G18*H18</f>
        <v>133250000</v>
      </c>
      <c r="J18" s="11">
        <v>0</v>
      </c>
      <c r="K18" s="11">
        <f t="shared" ref="K18:K21" si="7">I18+J18</f>
        <v>133250000</v>
      </c>
      <c r="L18" t="s">
        <v>150</v>
      </c>
    </row>
    <row r="19" spans="1:12" x14ac:dyDescent="0.3">
      <c r="A19" s="10">
        <v>2</v>
      </c>
      <c r="B19" s="10" t="s">
        <v>139</v>
      </c>
      <c r="C19" s="10"/>
      <c r="D19" s="10"/>
      <c r="E19" s="10"/>
      <c r="F19" s="100">
        <f>DATE(2024,8,9)</f>
        <v>45513</v>
      </c>
      <c r="G19" s="49">
        <f>500+300</f>
        <v>800</v>
      </c>
      <c r="H19" s="11">
        <v>25000</v>
      </c>
      <c r="I19" s="11">
        <f t="shared" si="6"/>
        <v>20000000</v>
      </c>
      <c r="J19" s="11"/>
      <c r="K19" s="11">
        <f t="shared" si="7"/>
        <v>20000000</v>
      </c>
      <c r="L19" t="s">
        <v>150</v>
      </c>
    </row>
    <row r="20" spans="1:12" s="92" customFormat="1" x14ac:dyDescent="0.3">
      <c r="A20" s="10">
        <v>3</v>
      </c>
      <c r="B20" s="10" t="s">
        <v>141</v>
      </c>
      <c r="C20" s="10"/>
      <c r="D20" s="10"/>
      <c r="E20" s="10"/>
      <c r="F20" s="100">
        <f>DATE(2024,8,12)</f>
        <v>45516</v>
      </c>
      <c r="G20" s="49">
        <v>50</v>
      </c>
      <c r="H20" s="11">
        <v>16190</v>
      </c>
      <c r="I20" s="11">
        <f t="shared" si="6"/>
        <v>809500</v>
      </c>
      <c r="J20" s="11"/>
      <c r="K20" s="11">
        <f t="shared" si="7"/>
        <v>809500</v>
      </c>
      <c r="L20" s="92" t="s">
        <v>150</v>
      </c>
    </row>
    <row r="21" spans="1:12" s="92" customFormat="1" x14ac:dyDescent="0.3">
      <c r="A21" s="10">
        <v>4</v>
      </c>
      <c r="B21" s="10" t="s">
        <v>114</v>
      </c>
      <c r="C21" s="10"/>
      <c r="D21" s="10"/>
      <c r="E21" s="10"/>
      <c r="F21" s="100">
        <f>DATE(2024,8,12)</f>
        <v>45516</v>
      </c>
      <c r="G21" s="49">
        <v>200</v>
      </c>
      <c r="H21" s="11">
        <v>25000</v>
      </c>
      <c r="I21" s="11">
        <f t="shared" si="6"/>
        <v>5000000</v>
      </c>
      <c r="J21" s="10"/>
      <c r="K21" s="11">
        <f t="shared" si="7"/>
        <v>5000000</v>
      </c>
      <c r="L21" s="92" t="s">
        <v>150</v>
      </c>
    </row>
    <row r="22" spans="1:12" s="92" customFormat="1" x14ac:dyDescent="0.3">
      <c r="A22" s="10">
        <v>5</v>
      </c>
      <c r="B22" s="10" t="s">
        <v>115</v>
      </c>
      <c r="C22" s="10"/>
      <c r="D22" s="10"/>
      <c r="E22" s="10"/>
      <c r="F22" s="100">
        <f>DATE(2024,8,23)</f>
        <v>45527</v>
      </c>
      <c r="G22" s="49">
        <v>10000</v>
      </c>
      <c r="H22" s="11">
        <v>20500</v>
      </c>
      <c r="I22" s="11">
        <f t="shared" ref="I22:I23" si="8">G22*H22</f>
        <v>205000000</v>
      </c>
      <c r="J22" s="11">
        <v>0</v>
      </c>
      <c r="K22" s="11">
        <f t="shared" ref="K22:K23" si="9">I22+J22</f>
        <v>205000000</v>
      </c>
      <c r="L22" s="92" t="s">
        <v>150</v>
      </c>
    </row>
    <row r="23" spans="1:12" x14ac:dyDescent="0.3">
      <c r="A23" s="10">
        <v>6</v>
      </c>
      <c r="B23" s="10" t="s">
        <v>95</v>
      </c>
      <c r="C23" s="10"/>
      <c r="D23" s="10"/>
      <c r="E23" s="10"/>
      <c r="F23" s="100">
        <f>DATE(2024,8,27)</f>
        <v>45531</v>
      </c>
      <c r="G23" s="49">
        <v>1000</v>
      </c>
      <c r="H23" s="11">
        <v>25000</v>
      </c>
      <c r="I23" s="11">
        <f t="shared" si="8"/>
        <v>25000000</v>
      </c>
      <c r="J23" s="10"/>
      <c r="K23" s="11">
        <f t="shared" si="9"/>
        <v>25000000</v>
      </c>
    </row>
    <row r="24" spans="1:12" x14ac:dyDescent="0.3">
      <c r="A24" s="10">
        <v>7</v>
      </c>
      <c r="B24" s="10" t="s">
        <v>115</v>
      </c>
      <c r="C24" s="10"/>
      <c r="D24" s="10"/>
      <c r="E24" s="10"/>
      <c r="F24" s="100">
        <f>DATE(2024,8,28)</f>
        <v>45532</v>
      </c>
      <c r="G24" s="49">
        <v>3500</v>
      </c>
      <c r="H24" s="11">
        <v>20500</v>
      </c>
      <c r="I24" s="11">
        <f t="shared" ref="I24" si="10">G24*H24</f>
        <v>71750000</v>
      </c>
      <c r="J24" s="11">
        <v>0</v>
      </c>
      <c r="K24" s="11">
        <f t="shared" ref="K24" si="11">I24+J24</f>
        <v>71750000</v>
      </c>
    </row>
    <row r="25" spans="1:12" x14ac:dyDescent="0.3">
      <c r="A25" s="10">
        <v>8</v>
      </c>
      <c r="B25" s="10" t="s">
        <v>115</v>
      </c>
      <c r="C25" s="10"/>
      <c r="D25" s="10"/>
      <c r="E25" s="10"/>
      <c r="F25" s="100">
        <f>DATE(2024,8,30)</f>
        <v>45534</v>
      </c>
      <c r="G25" s="49">
        <v>6500</v>
      </c>
      <c r="H25" s="11">
        <v>20500</v>
      </c>
      <c r="I25" s="11">
        <f t="shared" ref="I25" si="12">G25*H25</f>
        <v>133250000</v>
      </c>
      <c r="J25" s="11">
        <v>0</v>
      </c>
      <c r="K25" s="11">
        <f t="shared" ref="K25" si="13">I25+J25</f>
        <v>133250000</v>
      </c>
    </row>
    <row r="26" spans="1:12" x14ac:dyDescent="0.3">
      <c r="A26" s="9"/>
      <c r="B26" s="9"/>
      <c r="C26" s="9"/>
      <c r="D26" s="9"/>
      <c r="E26" s="9"/>
      <c r="F26" s="101"/>
      <c r="G26" s="17"/>
      <c r="H26" s="43"/>
      <c r="I26" s="9"/>
      <c r="J26" s="9"/>
      <c r="K26" s="9"/>
    </row>
    <row r="27" spans="1:12" x14ac:dyDescent="0.3">
      <c r="A27" s="9"/>
      <c r="B27" s="99">
        <f>DATE(2024,9,1)</f>
        <v>45536</v>
      </c>
      <c r="C27" s="9"/>
      <c r="D27" s="9"/>
      <c r="E27" s="9"/>
      <c r="F27" s="101"/>
      <c r="G27" s="17"/>
      <c r="H27" s="43"/>
      <c r="I27" s="9"/>
      <c r="J27" s="9"/>
      <c r="K27" s="9"/>
    </row>
    <row r="28" spans="1:12" x14ac:dyDescent="0.3">
      <c r="A28" s="10">
        <v>1</v>
      </c>
      <c r="B28" s="10" t="s">
        <v>95</v>
      </c>
      <c r="C28" s="10"/>
      <c r="D28" s="10"/>
      <c r="E28" s="10"/>
      <c r="F28" s="100">
        <f>DATE(2024,9,2)</f>
        <v>45537</v>
      </c>
      <c r="G28" s="49">
        <v>500</v>
      </c>
      <c r="H28" s="11">
        <v>25000</v>
      </c>
      <c r="I28" s="11">
        <f t="shared" ref="I28" si="14">G28*H28</f>
        <v>12500000</v>
      </c>
      <c r="J28" s="10"/>
      <c r="K28" s="11">
        <f t="shared" ref="K28" si="15">I28+J28</f>
        <v>12500000</v>
      </c>
    </row>
    <row r="29" spans="1:12" x14ac:dyDescent="0.3">
      <c r="A29" s="10">
        <v>2</v>
      </c>
      <c r="B29" s="10" t="s">
        <v>153</v>
      </c>
      <c r="C29" s="10"/>
      <c r="D29" s="10"/>
      <c r="E29" s="10"/>
      <c r="F29" s="100">
        <f>DATE(2024,9,3)</f>
        <v>45538</v>
      </c>
      <c r="G29" s="49">
        <v>204</v>
      </c>
      <c r="H29" s="11">
        <v>35000</v>
      </c>
      <c r="I29" s="11">
        <f t="shared" ref="I29:I30" si="16">G29*H29</f>
        <v>7140000</v>
      </c>
      <c r="J29" s="10"/>
      <c r="K29" s="11">
        <f t="shared" ref="K29:K34" si="17">I29+J29</f>
        <v>7140000</v>
      </c>
    </row>
    <row r="30" spans="1:12" x14ac:dyDescent="0.3">
      <c r="A30" s="10">
        <v>3</v>
      </c>
      <c r="B30" s="10" t="s">
        <v>95</v>
      </c>
      <c r="C30" s="10"/>
      <c r="D30" s="10"/>
      <c r="E30" s="10"/>
      <c r="F30" s="100">
        <f>DATE(2024,9,7)</f>
        <v>45542</v>
      </c>
      <c r="G30" s="49">
        <v>500</v>
      </c>
      <c r="H30" s="11">
        <v>25000</v>
      </c>
      <c r="I30" s="11">
        <f t="shared" si="16"/>
        <v>12500000</v>
      </c>
      <c r="J30" s="10"/>
      <c r="K30" s="11">
        <f t="shared" si="17"/>
        <v>12500000</v>
      </c>
    </row>
    <row r="31" spans="1:12" x14ac:dyDescent="0.3">
      <c r="A31" s="201">
        <v>4</v>
      </c>
      <c r="B31" s="201" t="s">
        <v>168</v>
      </c>
      <c r="C31" s="201"/>
      <c r="D31" s="201"/>
      <c r="E31" s="201"/>
      <c r="F31" s="202">
        <f>DATE(2024,9,9)</f>
        <v>45544</v>
      </c>
      <c r="G31" s="203"/>
      <c r="H31" s="204"/>
      <c r="I31" s="204">
        <v>200000000</v>
      </c>
      <c r="J31" s="201"/>
      <c r="K31" s="204">
        <f t="shared" si="17"/>
        <v>200000000</v>
      </c>
    </row>
    <row r="32" spans="1:12" x14ac:dyDescent="0.3">
      <c r="A32" s="201">
        <v>5</v>
      </c>
      <c r="B32" s="201" t="s">
        <v>168</v>
      </c>
      <c r="C32" s="201"/>
      <c r="D32" s="201"/>
      <c r="E32" s="201"/>
      <c r="F32" s="202">
        <f>DATE(2024,9,10)</f>
        <v>45545</v>
      </c>
      <c r="G32" s="203"/>
      <c r="H32" s="204"/>
      <c r="I32" s="204">
        <v>100000000</v>
      </c>
      <c r="J32" s="201"/>
      <c r="K32" s="204">
        <f t="shared" ref="K32" si="18">I32+J32</f>
        <v>100000000</v>
      </c>
    </row>
    <row r="33" spans="1:12" x14ac:dyDescent="0.3">
      <c r="A33" s="10">
        <v>6</v>
      </c>
      <c r="B33" s="10" t="s">
        <v>95</v>
      </c>
      <c r="C33" s="10"/>
      <c r="D33" s="10"/>
      <c r="E33" s="10"/>
      <c r="F33" s="100">
        <f>DATE(2024,9,10)</f>
        <v>45545</v>
      </c>
      <c r="G33" s="49">
        <v>1000</v>
      </c>
      <c r="H33" s="11">
        <v>25000</v>
      </c>
      <c r="I33" s="11">
        <f t="shared" ref="I33:I34" si="19">G33*H33</f>
        <v>25000000</v>
      </c>
      <c r="J33" s="10"/>
      <c r="K33" s="11">
        <f t="shared" si="17"/>
        <v>25000000</v>
      </c>
    </row>
    <row r="34" spans="1:12" x14ac:dyDescent="0.3">
      <c r="A34" s="10">
        <v>7</v>
      </c>
      <c r="B34" s="10" t="s">
        <v>115</v>
      </c>
      <c r="C34" s="10"/>
      <c r="D34" s="10"/>
      <c r="E34" s="10"/>
      <c r="F34" s="100">
        <f>DATE(2024,9,11)</f>
        <v>45546</v>
      </c>
      <c r="G34" s="49">
        <v>1500</v>
      </c>
      <c r="H34" s="11">
        <v>20500</v>
      </c>
      <c r="I34" s="11">
        <f t="shared" si="19"/>
        <v>30750000</v>
      </c>
      <c r="J34" s="11">
        <v>0</v>
      </c>
      <c r="K34" s="11">
        <f t="shared" si="17"/>
        <v>30750000</v>
      </c>
    </row>
    <row r="35" spans="1:12" x14ac:dyDescent="0.3">
      <c r="A35" s="10">
        <v>8</v>
      </c>
      <c r="B35" s="10" t="s">
        <v>115</v>
      </c>
      <c r="C35" s="10"/>
      <c r="D35" s="10"/>
      <c r="E35" s="10"/>
      <c r="F35" s="100">
        <f>DATE(2024,9,12)</f>
        <v>45547</v>
      </c>
      <c r="G35" s="49">
        <v>5000</v>
      </c>
      <c r="H35" s="11">
        <v>20500</v>
      </c>
      <c r="I35" s="11">
        <f t="shared" ref="I35:I36" si="20">G35*H35</f>
        <v>102500000</v>
      </c>
      <c r="J35" s="11">
        <v>0</v>
      </c>
      <c r="K35" s="11">
        <f t="shared" ref="K35:K36" si="21">I35+J35</f>
        <v>102500000</v>
      </c>
    </row>
    <row r="36" spans="1:12" x14ac:dyDescent="0.3">
      <c r="A36" s="10">
        <v>9</v>
      </c>
      <c r="B36" s="10" t="s">
        <v>169</v>
      </c>
      <c r="C36" s="10"/>
      <c r="D36" s="10"/>
      <c r="E36" s="10"/>
      <c r="F36" s="100">
        <f>DATE(2024,9,17)</f>
        <v>45552</v>
      </c>
      <c r="G36" s="49">
        <v>1500</v>
      </c>
      <c r="H36" s="11">
        <v>25000</v>
      </c>
      <c r="I36" s="11">
        <f t="shared" si="20"/>
        <v>37500000</v>
      </c>
      <c r="J36" s="10"/>
      <c r="K36" s="11">
        <f t="shared" si="21"/>
        <v>37500000</v>
      </c>
    </row>
    <row r="37" spans="1:12" x14ac:dyDescent="0.3">
      <c r="A37" s="10">
        <v>10</v>
      </c>
      <c r="B37" s="10" t="s">
        <v>115</v>
      </c>
      <c r="C37" s="10"/>
      <c r="D37" s="10"/>
      <c r="E37" s="10"/>
      <c r="F37" s="100">
        <f>DATE(2024,9,17)</f>
        <v>45552</v>
      </c>
      <c r="G37" s="49">
        <v>5000</v>
      </c>
      <c r="H37" s="11">
        <v>20500</v>
      </c>
      <c r="I37" s="11">
        <f t="shared" ref="I37:I38" si="22">G37*H37</f>
        <v>102500000</v>
      </c>
      <c r="J37" s="11">
        <v>0</v>
      </c>
      <c r="K37" s="11">
        <f t="shared" ref="K37:K38" si="23">I37+J37</f>
        <v>102500000</v>
      </c>
    </row>
    <row r="38" spans="1:12" s="92" customFormat="1" x14ac:dyDescent="0.3">
      <c r="A38" s="10">
        <v>11</v>
      </c>
      <c r="B38" s="10" t="s">
        <v>95</v>
      </c>
      <c r="C38" s="10"/>
      <c r="D38" s="10"/>
      <c r="E38" s="10"/>
      <c r="F38" s="100">
        <f>DATE(2024,9,24)</f>
        <v>45559</v>
      </c>
      <c r="G38" s="49">
        <v>1500</v>
      </c>
      <c r="H38" s="11">
        <v>25000</v>
      </c>
      <c r="I38" s="11">
        <f t="shared" si="22"/>
        <v>37500000</v>
      </c>
      <c r="J38" s="10"/>
      <c r="K38" s="11">
        <f t="shared" si="23"/>
        <v>37500000</v>
      </c>
    </row>
    <row r="39" spans="1:12" s="92" customFormat="1" x14ac:dyDescent="0.3">
      <c r="A39" s="10">
        <v>12</v>
      </c>
      <c r="B39" s="10" t="s">
        <v>195</v>
      </c>
      <c r="C39" s="10"/>
      <c r="D39" s="10"/>
      <c r="E39" s="10"/>
      <c r="F39" s="100">
        <f>DATE(2024,9,24)</f>
        <v>45559</v>
      </c>
      <c r="G39" s="49">
        <v>250</v>
      </c>
      <c r="H39" s="11">
        <v>24000</v>
      </c>
      <c r="I39" s="11">
        <f t="shared" ref="I39:I40" si="24">G39*H39</f>
        <v>6000000</v>
      </c>
      <c r="J39" s="10"/>
      <c r="K39" s="11">
        <f t="shared" ref="K39:K40" si="25">I39+J39</f>
        <v>6000000</v>
      </c>
    </row>
    <row r="40" spans="1:12" s="92" customFormat="1" x14ac:dyDescent="0.3">
      <c r="A40" s="10">
        <v>13</v>
      </c>
      <c r="B40" s="10" t="s">
        <v>115</v>
      </c>
      <c r="C40" s="10"/>
      <c r="D40" s="10"/>
      <c r="E40" s="10"/>
      <c r="F40" s="100">
        <f>DATE(2024,9,25)</f>
        <v>45560</v>
      </c>
      <c r="G40" s="49">
        <v>10000</v>
      </c>
      <c r="H40" s="11">
        <v>20500</v>
      </c>
      <c r="I40" s="11">
        <f t="shared" si="24"/>
        <v>205000000</v>
      </c>
      <c r="J40" s="11">
        <v>0</v>
      </c>
      <c r="K40" s="11">
        <f t="shared" si="25"/>
        <v>205000000</v>
      </c>
    </row>
    <row r="41" spans="1:12" s="92" customFormat="1" x14ac:dyDescent="0.3">
      <c r="A41" s="96"/>
      <c r="B41" s="96"/>
      <c r="C41" s="96"/>
      <c r="D41" s="96"/>
      <c r="E41" s="96"/>
      <c r="F41" s="205"/>
      <c r="G41" s="97"/>
      <c r="H41" s="91"/>
      <c r="I41" s="91"/>
      <c r="J41" s="91"/>
      <c r="K41" s="91"/>
    </row>
    <row r="42" spans="1:12" s="92" customFormat="1" x14ac:dyDescent="0.3">
      <c r="A42" s="96"/>
      <c r="B42" s="96"/>
      <c r="C42" s="96"/>
      <c r="D42" s="96"/>
      <c r="E42" s="96"/>
      <c r="F42" s="205"/>
      <c r="G42" s="97"/>
      <c r="H42" s="91"/>
      <c r="I42" s="91"/>
      <c r="J42" s="91"/>
      <c r="K42" s="91"/>
    </row>
    <row r="43" spans="1:12" s="92" customFormat="1" x14ac:dyDescent="0.3">
      <c r="A43" s="96"/>
      <c r="B43" s="99">
        <f>DATE(2024,10,1)</f>
        <v>45566</v>
      </c>
      <c r="C43" s="96"/>
      <c r="D43" s="96"/>
      <c r="E43" s="96"/>
      <c r="F43" s="205"/>
      <c r="G43" s="97"/>
      <c r="H43" s="91"/>
      <c r="I43" s="91"/>
      <c r="J43" s="91"/>
      <c r="K43" s="91"/>
    </row>
    <row r="44" spans="1:12" s="92" customFormat="1" x14ac:dyDescent="0.3">
      <c r="A44" s="10">
        <v>1</v>
      </c>
      <c r="B44" s="10" t="s">
        <v>95</v>
      </c>
      <c r="C44" s="10"/>
      <c r="D44" s="10"/>
      <c r="E44" s="10"/>
      <c r="F44" s="100">
        <f>DATE(2024,10,1)</f>
        <v>45566</v>
      </c>
      <c r="G44" s="49">
        <v>300</v>
      </c>
      <c r="H44" s="11">
        <v>30000</v>
      </c>
      <c r="I44" s="11">
        <f t="shared" ref="I44:I48" si="26">G44*H44</f>
        <v>9000000</v>
      </c>
      <c r="J44" s="11"/>
      <c r="K44" s="11">
        <f t="shared" ref="K44:K50" si="27">I44+J44</f>
        <v>9000000</v>
      </c>
    </row>
    <row r="45" spans="1:12" s="92" customFormat="1" x14ac:dyDescent="0.3">
      <c r="A45" s="10">
        <v>2</v>
      </c>
      <c r="B45" s="10" t="s">
        <v>95</v>
      </c>
      <c r="C45" s="10"/>
      <c r="D45" s="10"/>
      <c r="E45" s="10"/>
      <c r="F45" s="100">
        <f>DATE(2024,10,4)</f>
        <v>45569</v>
      </c>
      <c r="G45" s="49">
        <v>1000</v>
      </c>
      <c r="H45" s="11">
        <v>23500</v>
      </c>
      <c r="I45" s="11">
        <f t="shared" si="26"/>
        <v>23500000</v>
      </c>
      <c r="J45" s="11"/>
      <c r="K45" s="11">
        <f t="shared" si="27"/>
        <v>23500000</v>
      </c>
      <c r="L45" s="278">
        <f>12500000+10000000</f>
        <v>22500000</v>
      </c>
    </row>
    <row r="46" spans="1:12" s="92" customFormat="1" x14ac:dyDescent="0.3">
      <c r="A46" s="10">
        <v>3</v>
      </c>
      <c r="B46" s="10" t="s">
        <v>66</v>
      </c>
      <c r="C46" s="10"/>
      <c r="D46" s="10"/>
      <c r="E46" s="10"/>
      <c r="F46" s="100">
        <f>DATE(2024,10,10)</f>
        <v>45575</v>
      </c>
      <c r="G46" s="49">
        <f>123000000/20500</f>
        <v>6000</v>
      </c>
      <c r="H46" s="11">
        <v>20500</v>
      </c>
      <c r="I46" s="11">
        <f t="shared" ref="I46" si="28">G46*H46</f>
        <v>123000000</v>
      </c>
      <c r="J46" s="11"/>
      <c r="K46" s="11">
        <f t="shared" ref="K46" si="29">I46+J46</f>
        <v>123000000</v>
      </c>
      <c r="L46" s="278">
        <f>L45/G45</f>
        <v>22500</v>
      </c>
    </row>
    <row r="47" spans="1:12" s="92" customFormat="1" x14ac:dyDescent="0.3">
      <c r="A47" s="10">
        <v>4</v>
      </c>
      <c r="B47" s="282" t="s">
        <v>221</v>
      </c>
      <c r="C47" s="10"/>
      <c r="D47" s="10"/>
      <c r="E47" s="10"/>
      <c r="F47" s="100">
        <f>DATE(2024,10,11)</f>
        <v>45576</v>
      </c>
      <c r="G47" s="49">
        <v>200</v>
      </c>
      <c r="H47" s="11">
        <v>24000</v>
      </c>
      <c r="I47" s="11">
        <f t="shared" si="26"/>
        <v>4800000</v>
      </c>
      <c r="J47" s="11"/>
      <c r="K47" s="11">
        <f t="shared" si="27"/>
        <v>4800000</v>
      </c>
    </row>
    <row r="48" spans="1:12" s="92" customFormat="1" x14ac:dyDescent="0.3">
      <c r="A48" s="10">
        <v>5</v>
      </c>
      <c r="B48" s="10" t="s">
        <v>250</v>
      </c>
      <c r="C48" s="10"/>
      <c r="D48" s="10"/>
      <c r="E48" s="10"/>
      <c r="F48" s="100">
        <f>DATE(2024,10,17)</f>
        <v>45582</v>
      </c>
      <c r="G48" s="49">
        <f>1995+5</f>
        <v>2000</v>
      </c>
      <c r="H48" s="11">
        <v>17500</v>
      </c>
      <c r="I48" s="11">
        <f t="shared" si="26"/>
        <v>35000000</v>
      </c>
      <c r="J48" s="11"/>
      <c r="K48" s="11">
        <f t="shared" si="27"/>
        <v>35000000</v>
      </c>
    </row>
    <row r="49" spans="1:12" s="92" customFormat="1" x14ac:dyDescent="0.3">
      <c r="A49" s="10">
        <v>6</v>
      </c>
      <c r="B49" s="10" t="s">
        <v>95</v>
      </c>
      <c r="C49" s="10"/>
      <c r="D49" s="10"/>
      <c r="E49" s="10"/>
      <c r="F49" s="100">
        <f>DATE(2024,10,26)</f>
        <v>45591</v>
      </c>
      <c r="G49" s="49">
        <v>1000</v>
      </c>
      <c r="H49" s="11">
        <v>21396.396400000001</v>
      </c>
      <c r="I49" s="49">
        <f>G49*H49</f>
        <v>21396396.400000002</v>
      </c>
      <c r="J49" s="49">
        <f>I49*11%</f>
        <v>2353603.6040000003</v>
      </c>
      <c r="K49" s="11">
        <f t="shared" si="27"/>
        <v>23750000.004000001</v>
      </c>
      <c r="L49" s="92" t="s">
        <v>275</v>
      </c>
    </row>
    <row r="50" spans="1:12" s="92" customFormat="1" x14ac:dyDescent="0.3">
      <c r="A50" s="10">
        <v>7</v>
      </c>
      <c r="B50" s="10" t="s">
        <v>262</v>
      </c>
      <c r="C50" s="10"/>
      <c r="D50" s="10"/>
      <c r="E50" s="10"/>
      <c r="F50" s="100">
        <f>DATE(2024,10,31)</f>
        <v>45596</v>
      </c>
      <c r="G50" s="49">
        <v>3000</v>
      </c>
      <c r="H50" s="11">
        <v>20500</v>
      </c>
      <c r="I50" s="11">
        <f>G50*H50</f>
        <v>61500000</v>
      </c>
      <c r="J50" s="11">
        <v>0</v>
      </c>
      <c r="K50" s="11">
        <f t="shared" si="27"/>
        <v>61500000</v>
      </c>
    </row>
    <row r="51" spans="1:12" s="92" customFormat="1" x14ac:dyDescent="0.3">
      <c r="A51" s="96"/>
      <c r="B51" s="96"/>
      <c r="C51" s="96"/>
      <c r="D51" s="96"/>
      <c r="E51" s="96"/>
      <c r="F51" s="205"/>
      <c r="G51" s="97"/>
      <c r="H51" s="91"/>
      <c r="I51" s="91"/>
      <c r="J51" s="91"/>
      <c r="K51" s="91"/>
    </row>
    <row r="52" spans="1:12" s="92" customFormat="1" x14ac:dyDescent="0.3">
      <c r="A52" s="96"/>
      <c r="B52" s="99">
        <f>DATE(2024,11,1)</f>
        <v>45597</v>
      </c>
      <c r="C52" s="96"/>
      <c r="D52" s="96"/>
      <c r="E52" s="96"/>
      <c r="F52" s="205"/>
      <c r="G52" s="97"/>
      <c r="H52" s="91"/>
      <c r="I52" s="91"/>
      <c r="J52" s="91"/>
      <c r="K52" s="91"/>
    </row>
    <row r="53" spans="1:12" s="92" customFormat="1" x14ac:dyDescent="0.3">
      <c r="A53" s="10">
        <v>1</v>
      </c>
      <c r="B53" s="10" t="s">
        <v>221</v>
      </c>
      <c r="C53" s="10"/>
      <c r="D53" s="10"/>
      <c r="E53" s="10"/>
      <c r="F53" s="100">
        <f>DATE(2024,11,4)</f>
        <v>45600</v>
      </c>
      <c r="G53" s="49">
        <v>250</v>
      </c>
      <c r="H53" s="49">
        <f>24000/1.11</f>
        <v>21621.62162162162</v>
      </c>
      <c r="I53" s="49">
        <f>G53*H53</f>
        <v>5405405.405405405</v>
      </c>
      <c r="J53" s="49">
        <f t="shared" ref="J53:J56" si="30">I53*11%</f>
        <v>594594.59459459456</v>
      </c>
      <c r="K53" s="11">
        <f t="shared" ref="K53" si="31">I53+J53</f>
        <v>6000000</v>
      </c>
    </row>
    <row r="54" spans="1:12" s="92" customFormat="1" x14ac:dyDescent="0.3">
      <c r="A54" s="10">
        <v>2</v>
      </c>
      <c r="B54" s="10" t="s">
        <v>221</v>
      </c>
      <c r="C54" s="10"/>
      <c r="D54" s="10"/>
      <c r="E54" s="10"/>
      <c r="F54" s="100">
        <f>DATE(2024,11,9)</f>
        <v>45605</v>
      </c>
      <c r="G54" s="49">
        <v>250</v>
      </c>
      <c r="H54" s="49">
        <f>24000/1.11</f>
        <v>21621.62162162162</v>
      </c>
      <c r="I54" s="49">
        <f>G54*H54</f>
        <v>5405405.405405405</v>
      </c>
      <c r="J54" s="49">
        <f t="shared" si="30"/>
        <v>594594.59459459456</v>
      </c>
      <c r="K54" s="11">
        <f t="shared" ref="K54:K56" si="32">I54+J54</f>
        <v>6000000</v>
      </c>
    </row>
    <row r="55" spans="1:12" s="92" customFormat="1" x14ac:dyDescent="0.3">
      <c r="A55" s="10">
        <v>3</v>
      </c>
      <c r="B55" s="10" t="s">
        <v>95</v>
      </c>
      <c r="C55" s="10"/>
      <c r="D55" s="10"/>
      <c r="E55" s="10"/>
      <c r="F55" s="100">
        <f>DATE(2024,11,13)</f>
        <v>45609</v>
      </c>
      <c r="G55" s="49">
        <v>1000</v>
      </c>
      <c r="H55" s="49">
        <f>23500/1.11</f>
        <v>21171.171171171169</v>
      </c>
      <c r="I55" s="11">
        <f t="shared" ref="I55" si="33">G55*H55</f>
        <v>21171171.17117117</v>
      </c>
      <c r="J55" s="49">
        <f t="shared" si="30"/>
        <v>2328828.8288288289</v>
      </c>
      <c r="K55" s="11">
        <f t="shared" si="32"/>
        <v>23500000</v>
      </c>
    </row>
    <row r="56" spans="1:12" s="92" customFormat="1" x14ac:dyDescent="0.3">
      <c r="A56" s="10">
        <v>4</v>
      </c>
      <c r="B56" s="10" t="s">
        <v>66</v>
      </c>
      <c r="C56" s="10"/>
      <c r="D56" s="10"/>
      <c r="E56" s="10"/>
      <c r="F56" s="100">
        <f>DATE(2024,11,14)</f>
        <v>45610</v>
      </c>
      <c r="G56" s="49">
        <f>123000000/20500</f>
        <v>6000</v>
      </c>
      <c r="H56" s="49">
        <f>20500/1.11</f>
        <v>18468.468468468465</v>
      </c>
      <c r="I56" s="49">
        <f t="shared" ref="I56:I58" si="34">G56*H56</f>
        <v>110810810.81081079</v>
      </c>
      <c r="J56" s="49">
        <f t="shared" si="30"/>
        <v>12189189.189189186</v>
      </c>
      <c r="K56" s="11">
        <f t="shared" si="32"/>
        <v>122999999.99999997</v>
      </c>
    </row>
    <row r="57" spans="1:12" s="92" customFormat="1" x14ac:dyDescent="0.3">
      <c r="A57" s="10">
        <v>5</v>
      </c>
      <c r="B57" s="10" t="s">
        <v>294</v>
      </c>
      <c r="C57" s="10"/>
      <c r="D57" s="10"/>
      <c r="E57" s="10"/>
      <c r="F57" s="100">
        <f>DATE(2024,11,15)</f>
        <v>45611</v>
      </c>
      <c r="G57" s="49">
        <v>10000</v>
      </c>
      <c r="H57" s="49">
        <f>18800/1.11</f>
        <v>16936.936936936934</v>
      </c>
      <c r="I57" s="49">
        <f t="shared" ref="I57" si="35">G57*H57</f>
        <v>169369369.36936933</v>
      </c>
      <c r="J57" s="49">
        <f t="shared" ref="J57" si="36">I57*11%</f>
        <v>18630630.630630627</v>
      </c>
      <c r="K57" s="11">
        <f>I57+J57</f>
        <v>187999999.99999994</v>
      </c>
      <c r="L57" s="93">
        <f>K57-'Biy Opr'!D43</f>
        <v>182999999.99999994</v>
      </c>
    </row>
    <row r="58" spans="1:12" s="92" customFormat="1" x14ac:dyDescent="0.3">
      <c r="A58" s="10">
        <v>6</v>
      </c>
      <c r="B58" s="10" t="s">
        <v>95</v>
      </c>
      <c r="C58" s="10"/>
      <c r="D58" s="10"/>
      <c r="E58" s="10"/>
      <c r="F58" s="100">
        <f>DATE(2024,11,17)</f>
        <v>45613</v>
      </c>
      <c r="G58" s="49">
        <v>1000</v>
      </c>
      <c r="H58" s="49">
        <f>23500/1.11</f>
        <v>21171.171171171169</v>
      </c>
      <c r="I58" s="49">
        <f t="shared" si="34"/>
        <v>21171171.17117117</v>
      </c>
      <c r="J58" s="49">
        <f t="shared" ref="J58:J59" si="37">I58*11%</f>
        <v>2328828.8288288289</v>
      </c>
      <c r="K58" s="11">
        <f t="shared" ref="K58:K59" si="38">I58+J58</f>
        <v>23500000</v>
      </c>
      <c r="L58" s="93">
        <f>L57/10000</f>
        <v>18299.999999999993</v>
      </c>
    </row>
    <row r="59" spans="1:12" s="92" customFormat="1" x14ac:dyDescent="0.3">
      <c r="A59" s="10">
        <v>7</v>
      </c>
      <c r="B59" s="10" t="s">
        <v>66</v>
      </c>
      <c r="C59" s="10"/>
      <c r="D59" s="10"/>
      <c r="E59" s="10"/>
      <c r="F59" s="100">
        <f>DATE(2024,11,18)</f>
        <v>45614</v>
      </c>
      <c r="G59" s="49">
        <v>2000</v>
      </c>
      <c r="H59" s="49">
        <f>20500/1.11</f>
        <v>18468.468468468465</v>
      </c>
      <c r="I59" s="49">
        <f t="shared" ref="I59" si="39">G59*H59</f>
        <v>36936936.93693693</v>
      </c>
      <c r="J59" s="49">
        <f t="shared" si="37"/>
        <v>4063063.0630630623</v>
      </c>
      <c r="K59" s="11">
        <f t="shared" si="38"/>
        <v>40999999.999999993</v>
      </c>
    </row>
    <row r="60" spans="1:12" s="92" customFormat="1" x14ac:dyDescent="0.3">
      <c r="A60" s="10">
        <v>8</v>
      </c>
      <c r="B60" s="10" t="s">
        <v>66</v>
      </c>
      <c r="C60" s="10"/>
      <c r="D60" s="10"/>
      <c r="E60" s="10"/>
      <c r="F60" s="100">
        <f>DATE(2024,11,19)</f>
        <v>45615</v>
      </c>
      <c r="G60" s="49">
        <v>5000</v>
      </c>
      <c r="H60" s="49">
        <f>20500/1.11</f>
        <v>18468.468468468465</v>
      </c>
      <c r="I60" s="49">
        <f t="shared" ref="I60" si="40">G60*H60</f>
        <v>92342342.342342332</v>
      </c>
      <c r="J60" s="49">
        <f t="shared" ref="J60" si="41">I60*11%</f>
        <v>10157657.657657657</v>
      </c>
      <c r="K60" s="11">
        <f t="shared" ref="K60" si="42">I60+J60</f>
        <v>102499999.99999999</v>
      </c>
    </row>
    <row r="61" spans="1:12" x14ac:dyDescent="0.3">
      <c r="A61" s="9"/>
      <c r="B61" s="9"/>
      <c r="C61" s="9"/>
      <c r="D61" s="9"/>
      <c r="E61" s="9"/>
      <c r="F61" s="101"/>
      <c r="G61" s="17"/>
      <c r="H61" s="43"/>
      <c r="I61" s="9"/>
      <c r="J61" s="9"/>
      <c r="K61" s="9"/>
    </row>
    <row r="62" spans="1:12" x14ac:dyDescent="0.3">
      <c r="A62" s="9"/>
      <c r="B62" s="99">
        <f>DATE(2024,12,1)</f>
        <v>45627</v>
      </c>
      <c r="C62" s="9"/>
      <c r="D62" s="9"/>
      <c r="E62" s="9"/>
      <c r="F62" s="101"/>
      <c r="G62" s="17"/>
      <c r="H62" s="43"/>
      <c r="I62" s="9"/>
      <c r="J62" s="9"/>
      <c r="K62" s="9"/>
      <c r="L62" t="s">
        <v>340</v>
      </c>
    </row>
    <row r="63" spans="1:12" x14ac:dyDescent="0.3">
      <c r="A63" s="10">
        <v>1</v>
      </c>
      <c r="B63" s="10" t="s">
        <v>255</v>
      </c>
      <c r="C63" s="10" t="s">
        <v>307</v>
      </c>
      <c r="D63" s="100">
        <f>DATE(2024,11,25)</f>
        <v>45621</v>
      </c>
      <c r="E63" s="10" t="s">
        <v>308</v>
      </c>
      <c r="F63" s="100">
        <f>DATE(2024,12,6)</f>
        <v>45632</v>
      </c>
      <c r="G63" s="49">
        <v>12498</v>
      </c>
      <c r="H63" s="11">
        <v>10500</v>
      </c>
      <c r="I63" s="49">
        <f t="shared" ref="I63:I65" si="43">G63*H63</f>
        <v>131229000</v>
      </c>
      <c r="J63" s="49">
        <f t="shared" ref="J63:J64" si="44">I63*11%</f>
        <v>14435190</v>
      </c>
      <c r="K63" s="11">
        <f t="shared" ref="K63" si="45">I63+J63</f>
        <v>145664190</v>
      </c>
    </row>
    <row r="64" spans="1:12" x14ac:dyDescent="0.3">
      <c r="A64" s="10">
        <v>2</v>
      </c>
      <c r="B64" s="10" t="s">
        <v>319</v>
      </c>
      <c r="C64" s="10" t="s">
        <v>224</v>
      </c>
      <c r="D64" s="100">
        <f>DATE(2024,12,8)</f>
        <v>45634</v>
      </c>
      <c r="E64" s="10" t="s">
        <v>320</v>
      </c>
      <c r="F64" s="100">
        <f>DATE(2024,12,10)</f>
        <v>45636</v>
      </c>
      <c r="G64" s="49">
        <v>500</v>
      </c>
      <c r="H64" s="49">
        <f>23000/1.11</f>
        <v>20720.720720720718</v>
      </c>
      <c r="I64" s="11">
        <f t="shared" ref="I64" si="46">G64*H64</f>
        <v>10360360.360360358</v>
      </c>
      <c r="J64" s="49">
        <f t="shared" si="44"/>
        <v>1139639.6396396393</v>
      </c>
      <c r="K64" s="11">
        <f>I64+J64+0.4</f>
        <v>11500000.399999997</v>
      </c>
      <c r="L64" t="s">
        <v>150</v>
      </c>
    </row>
    <row r="65" spans="1:12" s="92" customFormat="1" x14ac:dyDescent="0.3">
      <c r="A65" s="10">
        <v>3</v>
      </c>
      <c r="B65" s="10" t="s">
        <v>330</v>
      </c>
      <c r="C65" s="10" t="s">
        <v>307</v>
      </c>
      <c r="D65" s="100">
        <f>DATE(2024,12,13)</f>
        <v>45639</v>
      </c>
      <c r="E65" s="10" t="s">
        <v>318</v>
      </c>
      <c r="F65" s="100">
        <f>DATE(2024,12,16)</f>
        <v>45642</v>
      </c>
      <c r="G65" s="49">
        <v>10200</v>
      </c>
      <c r="H65" s="49">
        <f>(18800/1.11)</f>
        <v>16936.936936936934</v>
      </c>
      <c r="I65" s="49">
        <f t="shared" si="43"/>
        <v>172756756.75675672</v>
      </c>
      <c r="J65" s="49">
        <f t="shared" ref="J65" si="47">I65*11%</f>
        <v>19003243.24324324</v>
      </c>
      <c r="K65" s="11">
        <f t="shared" ref="K65:K66" si="48">I65+J65</f>
        <v>191759999.99999997</v>
      </c>
      <c r="L65" s="278" t="s">
        <v>150</v>
      </c>
    </row>
    <row r="66" spans="1:12" s="92" customFormat="1" x14ac:dyDescent="0.3">
      <c r="A66" s="243">
        <v>4</v>
      </c>
      <c r="B66" s="243" t="s">
        <v>321</v>
      </c>
      <c r="C66" s="10" t="s">
        <v>224</v>
      </c>
      <c r="D66" s="333">
        <f>DATE(2024,12,16)</f>
        <v>45642</v>
      </c>
      <c r="E66" s="243"/>
      <c r="F66" s="333">
        <f>DATE(2024,12,16)</f>
        <v>45642</v>
      </c>
      <c r="G66" s="247">
        <v>2500</v>
      </c>
      <c r="H66" s="334">
        <f>(26250000/G66)/1.11</f>
        <v>9459.4594594594582</v>
      </c>
      <c r="I66" s="247">
        <f>G66*H66</f>
        <v>23648648.648648646</v>
      </c>
      <c r="J66" s="247">
        <f>I66*11%</f>
        <v>2601351.351351351</v>
      </c>
      <c r="K66" s="334">
        <f t="shared" si="48"/>
        <v>26249999.999999996</v>
      </c>
      <c r="L66" s="405" t="s">
        <v>150</v>
      </c>
    </row>
    <row r="67" spans="1:12" s="92" customFormat="1" x14ac:dyDescent="0.3">
      <c r="A67" s="10">
        <v>5</v>
      </c>
      <c r="B67" s="10" t="s">
        <v>341</v>
      </c>
      <c r="C67" s="10" t="s">
        <v>224</v>
      </c>
      <c r="D67" s="100">
        <f>DATE(2024,12,18)</f>
        <v>45644</v>
      </c>
      <c r="E67" s="10" t="s">
        <v>325</v>
      </c>
      <c r="F67" s="100">
        <f>DATE(2024,12,18)</f>
        <v>45644</v>
      </c>
      <c r="G67" s="49">
        <v>15000</v>
      </c>
      <c r="H67" s="49">
        <f>20500/1.11</f>
        <v>18468.468468468465</v>
      </c>
      <c r="I67" s="49">
        <f t="shared" ref="I67" si="49">G67*H67</f>
        <v>277027027.02702695</v>
      </c>
      <c r="J67" s="49">
        <f t="shared" ref="J67" si="50">I67*11%</f>
        <v>30472972.972972963</v>
      </c>
      <c r="K67" s="11">
        <f t="shared" ref="K67" si="51">I67+J67</f>
        <v>307499999.99999994</v>
      </c>
      <c r="L67" s="405"/>
    </row>
    <row r="68" spans="1:12" s="92" customFormat="1" x14ac:dyDescent="0.3">
      <c r="A68" s="10">
        <v>6</v>
      </c>
      <c r="B68" s="10" t="s">
        <v>342</v>
      </c>
      <c r="C68" s="10" t="s">
        <v>224</v>
      </c>
      <c r="D68" s="100">
        <f>DATE(2024,12,25)</f>
        <v>45651</v>
      </c>
      <c r="E68" s="10" t="s">
        <v>343</v>
      </c>
      <c r="F68" s="100">
        <f>DATE(2024,12,26)</f>
        <v>45652</v>
      </c>
      <c r="G68" s="49">
        <v>500</v>
      </c>
      <c r="H68" s="49">
        <f>23500/1.11</f>
        <v>21171.171171171169</v>
      </c>
      <c r="I68" s="49">
        <f t="shared" ref="I68:I69" si="52">G68*H68</f>
        <v>10585585.585585585</v>
      </c>
      <c r="J68" s="49">
        <f t="shared" ref="J68:J69" si="53">I68*11%</f>
        <v>1164414.4144144144</v>
      </c>
      <c r="K68" s="11">
        <f t="shared" ref="K68" si="54">I68+J68</f>
        <v>11750000</v>
      </c>
      <c r="L68" s="278" t="s">
        <v>150</v>
      </c>
    </row>
    <row r="69" spans="1:12" s="92" customFormat="1" x14ac:dyDescent="0.3">
      <c r="A69" s="10">
        <v>7</v>
      </c>
      <c r="B69" s="10" t="s">
        <v>319</v>
      </c>
      <c r="C69" s="10" t="s">
        <v>224</v>
      </c>
      <c r="D69" s="100"/>
      <c r="E69" s="10"/>
      <c r="F69" s="100">
        <f>DATE(2024,12,31)</f>
        <v>45657</v>
      </c>
      <c r="G69" s="49">
        <v>1000</v>
      </c>
      <c r="H69" s="49">
        <f>23000/1.11</f>
        <v>20720.720720720718</v>
      </c>
      <c r="I69" s="11">
        <f t="shared" si="52"/>
        <v>20720720.720720716</v>
      </c>
      <c r="J69" s="49">
        <f t="shared" si="53"/>
        <v>2279279.2792792786</v>
      </c>
      <c r="K69" s="11">
        <f>I69+J69+0.4</f>
        <v>23000000.399999991</v>
      </c>
    </row>
    <row r="70" spans="1:12" s="92" customFormat="1" x14ac:dyDescent="0.3">
      <c r="A70" s="96"/>
      <c r="B70" s="96"/>
      <c r="C70" s="96"/>
      <c r="D70" s="205"/>
      <c r="E70" s="96"/>
      <c r="F70" s="205"/>
      <c r="G70" s="97"/>
      <c r="H70" s="91"/>
      <c r="I70" s="97"/>
      <c r="J70" s="97"/>
      <c r="K70" s="91"/>
    </row>
    <row r="71" spans="1:12" x14ac:dyDescent="0.3">
      <c r="A71" s="9"/>
      <c r="B71" s="9"/>
      <c r="C71" s="9"/>
      <c r="D71" s="9"/>
      <c r="E71" s="9"/>
      <c r="F71" s="101"/>
      <c r="G71" s="17"/>
      <c r="H71" s="43"/>
      <c r="I71" s="9"/>
      <c r="J71" s="9"/>
      <c r="K71" s="9"/>
    </row>
    <row r="72" spans="1:12" x14ac:dyDescent="0.3">
      <c r="F72" s="102"/>
      <c r="I72" s="40">
        <f>500*24000</f>
        <v>12000000</v>
      </c>
      <c r="K72" s="53">
        <f>K7+K11+K14+K15+K18+K22+K24+K25+K34+K35+K37+K40+K46+K48+K50</f>
        <v>1811700000</v>
      </c>
    </row>
    <row r="73" spans="1:12" x14ac:dyDescent="0.3">
      <c r="F73" s="102"/>
      <c r="I73" s="40">
        <f>30*24000</f>
        <v>720000</v>
      </c>
    </row>
    <row r="74" spans="1:12" x14ac:dyDescent="0.3">
      <c r="F74" s="102"/>
      <c r="I74" s="40">
        <f>I72+I73</f>
        <v>12720000</v>
      </c>
    </row>
    <row r="75" spans="1:12" x14ac:dyDescent="0.3">
      <c r="F75" s="102"/>
      <c r="I75" s="53" t="e" cm="1" vm="1">
        <f t="array" aca="1" ref="I75" ca="1">I18:I19</f>
        <v>#VALUE!</v>
      </c>
    </row>
    <row r="76" spans="1:12" x14ac:dyDescent="0.3">
      <c r="I76" s="53">
        <f>I19-I74</f>
        <v>7280000</v>
      </c>
    </row>
  </sheetData>
  <mergeCells count="11">
    <mergeCell ref="F3:F4"/>
    <mergeCell ref="A3:A4"/>
    <mergeCell ref="B3:B4"/>
    <mergeCell ref="C3:C4"/>
    <mergeCell ref="D3:D4"/>
    <mergeCell ref="E3:E4"/>
    <mergeCell ref="L66:L67"/>
    <mergeCell ref="G3:G4"/>
    <mergeCell ref="H3:I3"/>
    <mergeCell ref="J3:J4"/>
    <mergeCell ref="K3:K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F2A57-1B1C-468A-B4EC-7065FE20DED8}">
  <dimension ref="A1:T64"/>
  <sheetViews>
    <sheetView workbookViewId="0">
      <pane xSplit="2" ySplit="3" topLeftCell="H43" activePane="bottomRight" state="frozen"/>
      <selection pane="topRight" activeCell="C1" sqref="C1"/>
      <selection pane="bottomLeft" activeCell="A4" sqref="A4"/>
      <selection pane="bottomRight" activeCell="L41" sqref="L41"/>
    </sheetView>
  </sheetViews>
  <sheetFormatPr defaultRowHeight="14.4" x14ac:dyDescent="0.3"/>
  <cols>
    <col min="2" max="2" width="13.6640625" customWidth="1"/>
    <col min="3" max="3" width="36.6640625" bestFit="1" customWidth="1"/>
    <col min="4" max="4" width="9.33203125" bestFit="1" customWidth="1"/>
    <col min="5" max="5" width="17.77734375" customWidth="1"/>
    <col min="6" max="6" width="30.21875" bestFit="1" customWidth="1"/>
    <col min="8" max="8" width="13.88671875" bestFit="1" customWidth="1"/>
    <col min="9" max="9" width="10.109375" style="18" bestFit="1" customWidth="1"/>
    <col min="12" max="12" width="11.109375" style="40" bestFit="1" customWidth="1"/>
    <col min="13" max="13" width="14.6640625" bestFit="1" customWidth="1"/>
    <col min="14" max="14" width="13.6640625" bestFit="1" customWidth="1"/>
    <col min="15" max="15" width="15.6640625" bestFit="1" customWidth="1"/>
    <col min="16" max="16" width="9.21875" bestFit="1" customWidth="1"/>
    <col min="17" max="17" width="14.77734375" customWidth="1"/>
    <col min="18" max="18" width="12.5546875" bestFit="1" customWidth="1"/>
    <col min="20" max="20" width="14.6640625" bestFit="1" customWidth="1"/>
  </cols>
  <sheetData>
    <row r="1" spans="1:19" x14ac:dyDescent="0.3">
      <c r="A1" s="12" t="s">
        <v>31</v>
      </c>
      <c r="B1" s="12"/>
      <c r="C1" s="12"/>
      <c r="G1" s="13"/>
      <c r="H1" s="14"/>
    </row>
    <row r="2" spans="1:19" x14ac:dyDescent="0.3">
      <c r="A2" s="411" t="s">
        <v>0</v>
      </c>
      <c r="B2" s="411" t="s">
        <v>12</v>
      </c>
      <c r="C2" s="411" t="s">
        <v>2</v>
      </c>
      <c r="D2" s="411" t="s">
        <v>3</v>
      </c>
      <c r="E2" s="411" t="s">
        <v>13</v>
      </c>
      <c r="F2" s="409" t="s">
        <v>14</v>
      </c>
      <c r="G2" s="1" t="s">
        <v>15</v>
      </c>
      <c r="H2" s="4" t="s">
        <v>16</v>
      </c>
      <c r="I2" s="413" t="s">
        <v>6</v>
      </c>
      <c r="J2" s="415" t="s">
        <v>17</v>
      </c>
      <c r="K2" s="416"/>
      <c r="L2" s="416"/>
      <c r="M2" s="408" t="s">
        <v>18</v>
      </c>
      <c r="N2" s="5" t="s">
        <v>19</v>
      </c>
      <c r="O2" s="409" t="s">
        <v>20</v>
      </c>
      <c r="P2" s="408" t="s">
        <v>5</v>
      </c>
    </row>
    <row r="3" spans="1:19" x14ac:dyDescent="0.3">
      <c r="A3" s="412"/>
      <c r="B3" s="412"/>
      <c r="C3" s="412"/>
      <c r="D3" s="412"/>
      <c r="E3" s="412"/>
      <c r="F3" s="410"/>
      <c r="G3" s="3"/>
      <c r="H3" s="6"/>
      <c r="I3" s="414"/>
      <c r="J3" s="2" t="s">
        <v>21</v>
      </c>
      <c r="K3" s="2" t="s">
        <v>22</v>
      </c>
      <c r="L3" s="52" t="s">
        <v>23</v>
      </c>
      <c r="M3" s="408"/>
      <c r="N3" s="7">
        <v>0.11</v>
      </c>
      <c r="O3" s="410"/>
      <c r="P3" s="408"/>
    </row>
    <row r="4" spans="1:19" s="92" customFormat="1" x14ac:dyDescent="0.3">
      <c r="A4" s="111">
        <f>DATE(2024,6,1)</f>
        <v>45444</v>
      </c>
      <c r="B4" s="103"/>
      <c r="C4" s="103"/>
      <c r="D4" s="103"/>
      <c r="E4" s="103"/>
      <c r="F4" s="104"/>
      <c r="G4" s="104"/>
      <c r="H4" s="105"/>
      <c r="I4" s="106"/>
      <c r="J4" s="107"/>
      <c r="K4" s="107"/>
      <c r="L4" s="108"/>
      <c r="M4" s="109"/>
      <c r="N4" s="110"/>
      <c r="O4" s="104"/>
      <c r="P4" s="109"/>
    </row>
    <row r="5" spans="1:19" x14ac:dyDescent="0.3">
      <c r="A5" s="51">
        <v>1</v>
      </c>
      <c r="B5" s="62" t="s">
        <v>56</v>
      </c>
      <c r="C5" s="62" t="s">
        <v>58</v>
      </c>
      <c r="D5" s="63">
        <v>45454</v>
      </c>
      <c r="E5" s="62" t="s">
        <v>61</v>
      </c>
      <c r="F5" s="62" t="s">
        <v>57</v>
      </c>
      <c r="G5" s="62" t="s">
        <v>59</v>
      </c>
      <c r="H5" s="64" t="s">
        <v>60</v>
      </c>
      <c r="I5" s="65">
        <v>11729</v>
      </c>
      <c r="J5" s="62"/>
      <c r="K5" s="62"/>
      <c r="L5" s="66">
        <v>6031</v>
      </c>
      <c r="M5" s="66">
        <f>I5*L5</f>
        <v>70737599</v>
      </c>
      <c r="N5" s="66">
        <f>M5*11%</f>
        <v>7781135.8899999997</v>
      </c>
      <c r="O5" s="65">
        <f>M5+N5</f>
        <v>78518734.890000001</v>
      </c>
      <c r="P5" s="63">
        <v>45463</v>
      </c>
      <c r="Q5" t="s">
        <v>107</v>
      </c>
    </row>
    <row r="6" spans="1:19" x14ac:dyDescent="0.3">
      <c r="A6" s="10">
        <v>2</v>
      </c>
      <c r="B6" s="10" t="s">
        <v>62</v>
      </c>
      <c r="C6" s="10" t="s">
        <v>63</v>
      </c>
      <c r="D6" s="50">
        <v>45454</v>
      </c>
      <c r="E6" s="10" t="s">
        <v>64</v>
      </c>
      <c r="F6" s="10" t="s">
        <v>96</v>
      </c>
      <c r="G6" s="10" t="s">
        <v>97</v>
      </c>
      <c r="H6" s="48" t="s">
        <v>98</v>
      </c>
      <c r="I6" s="49">
        <v>10000</v>
      </c>
      <c r="J6" s="10"/>
      <c r="K6" s="10"/>
      <c r="L6" s="11">
        <v>3200</v>
      </c>
      <c r="M6" s="11">
        <f>I6*L6</f>
        <v>32000000</v>
      </c>
      <c r="N6" s="11">
        <f>M6*11%</f>
        <v>3520000</v>
      </c>
      <c r="O6" s="49">
        <f>M6+N6</f>
        <v>35520000</v>
      </c>
      <c r="P6" s="50">
        <v>45476</v>
      </c>
      <c r="Q6" t="s">
        <v>104</v>
      </c>
    </row>
    <row r="7" spans="1:19" s="92" customFormat="1" x14ac:dyDescent="0.3">
      <c r="A7" s="96"/>
      <c r="B7" s="96"/>
      <c r="C7" s="96"/>
      <c r="D7" s="112"/>
      <c r="E7" s="96"/>
      <c r="F7" s="96"/>
      <c r="G7" s="96"/>
      <c r="H7" s="113"/>
      <c r="I7" s="97"/>
      <c r="J7" s="96"/>
      <c r="K7" s="96"/>
      <c r="L7" s="91"/>
      <c r="M7" s="91"/>
      <c r="N7" s="91"/>
      <c r="O7" s="168">
        <f>SUM(O5:O6)</f>
        <v>114038734.89</v>
      </c>
      <c r="P7" s="112"/>
    </row>
    <row r="8" spans="1:19" s="92" customFormat="1" x14ac:dyDescent="0.3">
      <c r="A8" s="111">
        <f>DATE(2024,7,1)</f>
        <v>45474</v>
      </c>
      <c r="B8" s="96"/>
      <c r="C8" s="96"/>
      <c r="D8" s="112"/>
      <c r="E8" s="96"/>
      <c r="F8" s="96"/>
      <c r="G8" s="96"/>
      <c r="H8" s="113"/>
      <c r="I8" s="97"/>
      <c r="J8" s="96"/>
      <c r="K8" s="96"/>
      <c r="L8" s="91"/>
      <c r="M8" s="91"/>
      <c r="N8" s="91"/>
      <c r="O8" s="97"/>
      <c r="P8" s="112"/>
    </row>
    <row r="9" spans="1:19" x14ac:dyDescent="0.3">
      <c r="A9" s="10">
        <v>1</v>
      </c>
      <c r="B9" s="10" t="s">
        <v>56</v>
      </c>
      <c r="C9" s="10" t="s">
        <v>58</v>
      </c>
      <c r="D9" s="50">
        <v>45474</v>
      </c>
      <c r="E9" s="10" t="s">
        <v>99</v>
      </c>
      <c r="F9" s="10" t="s">
        <v>100</v>
      </c>
      <c r="G9" s="10" t="s">
        <v>59</v>
      </c>
      <c r="H9" s="48" t="s">
        <v>60</v>
      </c>
      <c r="I9" s="49">
        <v>11746</v>
      </c>
      <c r="J9" s="10"/>
      <c r="K9" s="10"/>
      <c r="L9" s="11">
        <v>6031</v>
      </c>
      <c r="M9" s="11">
        <f>I9*L9</f>
        <v>70840126</v>
      </c>
      <c r="N9" s="11">
        <f>M9*11%</f>
        <v>7792413.8600000003</v>
      </c>
      <c r="O9" s="49">
        <f>M9+N9</f>
        <v>78632539.859999999</v>
      </c>
      <c r="P9" s="50">
        <v>45477</v>
      </c>
      <c r="Q9" s="92"/>
    </row>
    <row r="10" spans="1:19" x14ac:dyDescent="0.3">
      <c r="A10" s="10">
        <v>2</v>
      </c>
      <c r="B10" s="10" t="s">
        <v>111</v>
      </c>
      <c r="C10" s="10" t="s">
        <v>112</v>
      </c>
      <c r="D10" s="10"/>
      <c r="E10" s="10"/>
      <c r="F10" s="10" t="s">
        <v>113</v>
      </c>
      <c r="G10" s="10" t="s">
        <v>111</v>
      </c>
      <c r="H10" s="10">
        <v>480466813</v>
      </c>
      <c r="I10" s="49">
        <f>10000+10000+1500+1450</f>
        <v>22950</v>
      </c>
      <c r="J10" s="10"/>
      <c r="K10" s="10"/>
      <c r="L10" s="11">
        <v>7200</v>
      </c>
      <c r="M10" s="11">
        <f>I10*L10</f>
        <v>165240000</v>
      </c>
      <c r="N10" s="10">
        <v>0</v>
      </c>
      <c r="O10" s="49">
        <f>M10+N10</f>
        <v>165240000</v>
      </c>
      <c r="P10" s="50">
        <v>45488</v>
      </c>
      <c r="Q10" s="92"/>
    </row>
    <row r="11" spans="1:19" s="92" customFormat="1" x14ac:dyDescent="0.3">
      <c r="A11" s="10">
        <v>3</v>
      </c>
      <c r="B11" s="10" t="s">
        <v>62</v>
      </c>
      <c r="C11" s="10" t="s">
        <v>116</v>
      </c>
      <c r="D11" s="50">
        <v>45454</v>
      </c>
      <c r="E11" s="10" t="s">
        <v>117</v>
      </c>
      <c r="F11" s="10" t="s">
        <v>118</v>
      </c>
      <c r="G11" s="10" t="s">
        <v>97</v>
      </c>
      <c r="H11" s="48" t="s">
        <v>98</v>
      </c>
      <c r="I11" s="49">
        <v>1459</v>
      </c>
      <c r="J11" s="10"/>
      <c r="K11" s="10"/>
      <c r="L11" s="11">
        <v>3200</v>
      </c>
      <c r="M11" s="11">
        <f>I11*L11</f>
        <v>4668800</v>
      </c>
      <c r="N11" s="11">
        <f>M11*11%</f>
        <v>513568</v>
      </c>
      <c r="O11" s="49">
        <f>M11+N11</f>
        <v>5182368</v>
      </c>
      <c r="P11" s="50">
        <v>45489</v>
      </c>
    </row>
    <row r="12" spans="1:19" x14ac:dyDescent="0.3">
      <c r="A12" s="10">
        <v>4</v>
      </c>
      <c r="B12" s="10" t="s">
        <v>56</v>
      </c>
      <c r="C12" s="10" t="s">
        <v>120</v>
      </c>
      <c r="D12" s="50">
        <v>45489</v>
      </c>
      <c r="E12" s="10" t="s">
        <v>121</v>
      </c>
      <c r="F12" s="10" t="s">
        <v>119</v>
      </c>
      <c r="G12" s="10" t="s">
        <v>59</v>
      </c>
      <c r="H12" s="48" t="s">
        <v>60</v>
      </c>
      <c r="I12" s="49">
        <v>11795</v>
      </c>
      <c r="J12" s="10"/>
      <c r="K12" s="10"/>
      <c r="L12" s="11">
        <v>6031</v>
      </c>
      <c r="M12" s="11">
        <f>I12*L12</f>
        <v>71135645</v>
      </c>
      <c r="N12" s="11">
        <f>M12*11%</f>
        <v>7824920.9500000002</v>
      </c>
      <c r="O12" s="49">
        <f>M12+N12</f>
        <v>78960565.950000003</v>
      </c>
      <c r="P12" s="50">
        <v>45489</v>
      </c>
      <c r="Q12" s="92"/>
    </row>
    <row r="13" spans="1:19" x14ac:dyDescent="0.3">
      <c r="A13" s="10">
        <v>5</v>
      </c>
      <c r="B13" s="10" t="s">
        <v>62</v>
      </c>
      <c r="C13" s="10" t="s">
        <v>124</v>
      </c>
      <c r="D13" s="50">
        <v>45474</v>
      </c>
      <c r="E13" s="10" t="s">
        <v>125</v>
      </c>
      <c r="F13" s="10" t="s">
        <v>126</v>
      </c>
      <c r="G13" s="10" t="s">
        <v>97</v>
      </c>
      <c r="H13" s="48" t="s">
        <v>98</v>
      </c>
      <c r="I13" s="49">
        <v>10000</v>
      </c>
      <c r="J13" s="10"/>
      <c r="K13" s="10"/>
      <c r="L13" s="11">
        <v>3200</v>
      </c>
      <c r="M13" s="11">
        <f>I13*L13</f>
        <v>32000000</v>
      </c>
      <c r="N13" s="11">
        <f>M13*11%</f>
        <v>3520000</v>
      </c>
      <c r="O13" s="49">
        <f>M13+N13</f>
        <v>35520000</v>
      </c>
      <c r="P13" s="50">
        <v>45492</v>
      </c>
      <c r="Q13" s="93"/>
    </row>
    <row r="14" spans="1:19" x14ac:dyDescent="0.3">
      <c r="A14" s="51"/>
      <c r="B14" s="51"/>
      <c r="C14" s="51"/>
      <c r="D14" s="143"/>
      <c r="E14" s="51"/>
      <c r="F14" s="51"/>
      <c r="G14" s="51"/>
      <c r="H14" s="144"/>
      <c r="I14" s="145"/>
      <c r="J14" s="51"/>
      <c r="K14" s="51"/>
      <c r="L14" s="146"/>
      <c r="M14" s="146"/>
      <c r="N14" s="146"/>
      <c r="O14" s="169">
        <f>SUM(O9:O13)</f>
        <v>363535473.81</v>
      </c>
      <c r="P14" s="143"/>
      <c r="Q14" s="93">
        <f>O7+O14</f>
        <v>477574208.69999999</v>
      </c>
    </row>
    <row r="15" spans="1:19" x14ac:dyDescent="0.3">
      <c r="N15" s="93">
        <f>SUM(N5:N9)</f>
        <v>19093549.75</v>
      </c>
      <c r="O15" s="94"/>
      <c r="P15" s="92"/>
      <c r="Q15" s="93"/>
    </row>
    <row r="16" spans="1:19" x14ac:dyDescent="0.3">
      <c r="A16" s="111">
        <f>DATE(2024,8,1)</f>
        <v>45505</v>
      </c>
      <c r="N16" s="95"/>
      <c r="O16" s="94"/>
      <c r="P16" s="92"/>
      <c r="Q16" s="93"/>
      <c r="S16" t="s">
        <v>149</v>
      </c>
    </row>
    <row r="17" spans="1:20" x14ac:dyDescent="0.3">
      <c r="A17" s="10">
        <v>2</v>
      </c>
      <c r="B17" s="10" t="s">
        <v>62</v>
      </c>
      <c r="C17" s="10" t="s">
        <v>134</v>
      </c>
      <c r="D17" s="50"/>
      <c r="E17" s="10"/>
      <c r="F17" s="10" t="s">
        <v>135</v>
      </c>
      <c r="G17" s="10" t="s">
        <v>97</v>
      </c>
      <c r="H17" s="48" t="s">
        <v>98</v>
      </c>
      <c r="I17" s="49">
        <v>1500</v>
      </c>
      <c r="J17" s="10"/>
      <c r="K17" s="10"/>
      <c r="L17" s="11">
        <v>3200</v>
      </c>
      <c r="M17" s="11">
        <f>I17*L17</f>
        <v>4800000</v>
      </c>
      <c r="N17" s="11">
        <f>M17*11%</f>
        <v>528000</v>
      </c>
      <c r="O17" s="49">
        <f>M17+N17</f>
        <v>5328000</v>
      </c>
      <c r="P17" s="50">
        <v>45509</v>
      </c>
      <c r="Q17" t="s">
        <v>136</v>
      </c>
      <c r="S17" t="s">
        <v>150</v>
      </c>
    </row>
    <row r="18" spans="1:20" x14ac:dyDescent="0.3">
      <c r="A18" s="10">
        <v>3</v>
      </c>
      <c r="B18" s="10" t="s">
        <v>111</v>
      </c>
      <c r="C18" s="10" t="s">
        <v>112</v>
      </c>
      <c r="D18" s="10"/>
      <c r="E18" s="10"/>
      <c r="F18" s="10" t="s">
        <v>138</v>
      </c>
      <c r="G18" s="10" t="s">
        <v>111</v>
      </c>
      <c r="H18" s="10">
        <v>480466813</v>
      </c>
      <c r="I18" s="49">
        <v>11500</v>
      </c>
      <c r="J18" s="10"/>
      <c r="K18" s="10"/>
      <c r="L18" s="11">
        <v>7200</v>
      </c>
      <c r="M18" s="11">
        <f>I18*L18</f>
        <v>82800000</v>
      </c>
      <c r="N18" s="10">
        <v>0</v>
      </c>
      <c r="O18" s="49">
        <f>M18+N18</f>
        <v>82800000</v>
      </c>
      <c r="P18" s="50">
        <v>45511</v>
      </c>
      <c r="Q18" t="s">
        <v>150</v>
      </c>
      <c r="S18" t="s">
        <v>151</v>
      </c>
    </row>
    <row r="19" spans="1:20" x14ac:dyDescent="0.3">
      <c r="A19" s="172">
        <v>1</v>
      </c>
      <c r="B19" s="172" t="s">
        <v>56</v>
      </c>
      <c r="C19" s="172" t="s">
        <v>137</v>
      </c>
      <c r="D19" s="173">
        <v>45504</v>
      </c>
      <c r="E19" s="172" t="s">
        <v>131</v>
      </c>
      <c r="F19" s="172" t="s">
        <v>119</v>
      </c>
      <c r="G19" s="172" t="s">
        <v>59</v>
      </c>
      <c r="H19" s="174" t="s">
        <v>60</v>
      </c>
      <c r="I19" s="175">
        <v>30434</v>
      </c>
      <c r="J19" s="172"/>
      <c r="K19" s="172"/>
      <c r="L19" s="176">
        <v>5790</v>
      </c>
      <c r="M19" s="176">
        <f>I19*L19</f>
        <v>176212860</v>
      </c>
      <c r="N19" s="176">
        <f>M19*11%</f>
        <v>19383414.600000001</v>
      </c>
      <c r="O19" s="175">
        <f>M19+N19</f>
        <v>195596274.59999999</v>
      </c>
      <c r="P19" s="173">
        <v>45506</v>
      </c>
      <c r="Q19" s="177" t="s">
        <v>146</v>
      </c>
      <c r="S19" t="s">
        <v>152</v>
      </c>
      <c r="T19" s="53">
        <f>M19+'[1]BNI bayar ke vendor-pajak_'!$M$106</f>
        <v>176212860</v>
      </c>
    </row>
    <row r="20" spans="1:20" x14ac:dyDescent="0.3">
      <c r="A20" s="10">
        <v>4</v>
      </c>
      <c r="B20" s="10" t="s">
        <v>62</v>
      </c>
      <c r="C20" s="10" t="s">
        <v>124</v>
      </c>
      <c r="D20" s="50"/>
      <c r="E20" s="10"/>
      <c r="F20" s="10" t="s">
        <v>144</v>
      </c>
      <c r="G20" s="10" t="s">
        <v>97</v>
      </c>
      <c r="H20" s="48" t="s">
        <v>98</v>
      </c>
      <c r="I20" s="49">
        <v>10000</v>
      </c>
      <c r="J20" s="10"/>
      <c r="K20" s="10"/>
      <c r="L20" s="11">
        <v>3200</v>
      </c>
      <c r="M20" s="11">
        <f>I20*L20</f>
        <v>32000000</v>
      </c>
      <c r="N20" s="11">
        <f>M20*11%</f>
        <v>3520000</v>
      </c>
      <c r="O20" s="11">
        <f>M20+N20</f>
        <v>35520000</v>
      </c>
      <c r="P20" s="50">
        <v>45524</v>
      </c>
      <c r="Q20" t="s">
        <v>150</v>
      </c>
      <c r="S20" t="s">
        <v>150</v>
      </c>
    </row>
    <row r="21" spans="1:20" x14ac:dyDescent="0.3">
      <c r="A21" s="10">
        <v>5</v>
      </c>
      <c r="B21" s="10" t="s">
        <v>62</v>
      </c>
      <c r="C21" s="10" t="s">
        <v>134</v>
      </c>
      <c r="D21" s="50"/>
      <c r="E21" s="10"/>
      <c r="F21" s="10" t="s">
        <v>145</v>
      </c>
      <c r="G21" s="10" t="s">
        <v>97</v>
      </c>
      <c r="H21" s="48" t="s">
        <v>98</v>
      </c>
      <c r="I21" s="49">
        <v>1500</v>
      </c>
      <c r="J21" s="10"/>
      <c r="K21" s="10"/>
      <c r="L21" s="11">
        <v>3200</v>
      </c>
      <c r="M21" s="11">
        <f>I21*L21</f>
        <v>4800000</v>
      </c>
      <c r="N21" s="11">
        <f>M21*11%</f>
        <v>528000</v>
      </c>
      <c r="O21" s="11">
        <f>M21+N21</f>
        <v>5328000</v>
      </c>
      <c r="P21" s="50">
        <v>45524</v>
      </c>
      <c r="Q21" t="s">
        <v>150</v>
      </c>
      <c r="S21" t="s">
        <v>150</v>
      </c>
    </row>
    <row r="22" spans="1:20" s="92" customFormat="1" x14ac:dyDescent="0.3">
      <c r="A22" s="96"/>
      <c r="B22" s="96"/>
      <c r="C22" s="96"/>
      <c r="D22" s="112"/>
      <c r="E22" s="96"/>
      <c r="F22" s="96"/>
      <c r="G22" s="96"/>
      <c r="H22" s="113"/>
      <c r="I22" s="97"/>
      <c r="J22" s="96"/>
      <c r="K22" s="96"/>
      <c r="L22" s="91"/>
      <c r="M22" s="91"/>
      <c r="N22" s="91"/>
      <c r="O22" s="91"/>
      <c r="P22" s="112"/>
    </row>
    <row r="23" spans="1:20" s="92" customFormat="1" x14ac:dyDescent="0.3">
      <c r="A23" s="111">
        <f>DATE(2024,9,1)</f>
        <v>45536</v>
      </c>
      <c r="B23" s="96"/>
      <c r="C23" s="96"/>
      <c r="D23" s="112"/>
      <c r="E23" s="96"/>
      <c r="F23" s="96"/>
      <c r="G23" s="96"/>
      <c r="H23" s="113"/>
      <c r="I23" s="97"/>
      <c r="J23" s="96"/>
      <c r="K23" s="96"/>
      <c r="L23" s="91"/>
      <c r="M23" s="91"/>
      <c r="N23" s="91"/>
      <c r="O23" s="91"/>
      <c r="P23" s="112"/>
      <c r="Q23" s="92" t="s">
        <v>216</v>
      </c>
    </row>
    <row r="24" spans="1:20" s="92" customFormat="1" x14ac:dyDescent="0.3">
      <c r="A24" s="10">
        <v>1</v>
      </c>
      <c r="B24" s="10" t="s">
        <v>56</v>
      </c>
      <c r="C24" s="10" t="s">
        <v>154</v>
      </c>
      <c r="D24" s="50">
        <v>45538</v>
      </c>
      <c r="E24" s="10" t="s">
        <v>155</v>
      </c>
      <c r="F24" s="10" t="s">
        <v>156</v>
      </c>
      <c r="G24" s="10" t="s">
        <v>59</v>
      </c>
      <c r="H24" s="48" t="s">
        <v>60</v>
      </c>
      <c r="I24" s="49">
        <v>35385</v>
      </c>
      <c r="J24" s="10"/>
      <c r="K24" s="10"/>
      <c r="L24" s="11">
        <v>5524</v>
      </c>
      <c r="M24" s="11">
        <f>I24*L24</f>
        <v>195466740</v>
      </c>
      <c r="N24" s="11">
        <f>M24*11%</f>
        <v>21501341.399999999</v>
      </c>
      <c r="O24" s="11">
        <f>M24+N24</f>
        <v>216968081.40000001</v>
      </c>
      <c r="P24" s="50">
        <v>45539</v>
      </c>
      <c r="Q24" s="92" t="s">
        <v>150</v>
      </c>
    </row>
    <row r="25" spans="1:20" x14ac:dyDescent="0.3">
      <c r="A25" s="10">
        <v>2</v>
      </c>
      <c r="B25" s="10" t="s">
        <v>62</v>
      </c>
      <c r="C25" s="10" t="s">
        <v>159</v>
      </c>
      <c r="D25" s="50"/>
      <c r="E25" s="10"/>
      <c r="F25" s="10" t="s">
        <v>160</v>
      </c>
      <c r="G25" s="10" t="s">
        <v>97</v>
      </c>
      <c r="H25" s="48" t="s">
        <v>98</v>
      </c>
      <c r="I25" s="49">
        <v>29849</v>
      </c>
      <c r="J25" s="10"/>
      <c r="K25" s="10"/>
      <c r="L25" s="11">
        <v>3200</v>
      </c>
      <c r="M25" s="11">
        <f>I25*L25</f>
        <v>95516800</v>
      </c>
      <c r="N25" s="11">
        <f>M25*11%</f>
        <v>10506848</v>
      </c>
      <c r="O25" s="11">
        <f>M25+N25</f>
        <v>106023648</v>
      </c>
      <c r="P25" s="50">
        <v>45552</v>
      </c>
      <c r="Q25" t="s">
        <v>150</v>
      </c>
    </row>
    <row r="26" spans="1:20" x14ac:dyDescent="0.3">
      <c r="A26" s="10">
        <v>3</v>
      </c>
      <c r="B26" s="10" t="s">
        <v>111</v>
      </c>
      <c r="C26" s="10" t="s">
        <v>112</v>
      </c>
      <c r="D26" s="10"/>
      <c r="E26" s="10"/>
      <c r="F26" s="10" t="s">
        <v>167</v>
      </c>
      <c r="G26" s="10" t="s">
        <v>111</v>
      </c>
      <c r="H26" s="10">
        <v>480466813</v>
      </c>
      <c r="I26" s="49">
        <v>29849</v>
      </c>
      <c r="J26" s="10"/>
      <c r="K26" s="10"/>
      <c r="L26" s="11">
        <v>7200</v>
      </c>
      <c r="M26" s="11">
        <f>I26*L26</f>
        <v>214912800</v>
      </c>
      <c r="N26" s="10">
        <v>0</v>
      </c>
      <c r="O26" s="11">
        <f>M26+N26</f>
        <v>214912800</v>
      </c>
      <c r="P26" s="50">
        <v>45552</v>
      </c>
    </row>
    <row r="27" spans="1:20" s="92" customFormat="1" x14ac:dyDescent="0.3">
      <c r="A27" s="229">
        <v>4</v>
      </c>
      <c r="B27" s="10" t="s">
        <v>111</v>
      </c>
      <c r="C27" s="10" t="s">
        <v>112</v>
      </c>
      <c r="D27" s="10"/>
      <c r="E27" s="10"/>
      <c r="F27" s="10" t="s">
        <v>209</v>
      </c>
      <c r="G27" s="10" t="s">
        <v>111</v>
      </c>
      <c r="H27" s="10">
        <v>480466813</v>
      </c>
      <c r="I27" s="49">
        <f>29667+4700+300</f>
        <v>34667</v>
      </c>
      <c r="J27" s="10"/>
      <c r="K27" s="10"/>
      <c r="L27" s="11">
        <v>7200</v>
      </c>
      <c r="M27" s="11">
        <f>I27*L27</f>
        <v>249602400</v>
      </c>
      <c r="N27" s="10">
        <v>0</v>
      </c>
      <c r="O27" s="11">
        <f>M27+N27</f>
        <v>249602400</v>
      </c>
      <c r="P27" s="50">
        <v>45565</v>
      </c>
    </row>
    <row r="29" spans="1:20" x14ac:dyDescent="0.3">
      <c r="A29" s="111">
        <f>DATE(2024,10,1)</f>
        <v>45566</v>
      </c>
      <c r="Q29" t="s">
        <v>273</v>
      </c>
    </row>
    <row r="30" spans="1:20" s="92" customFormat="1" x14ac:dyDescent="0.3">
      <c r="A30" s="10">
        <v>1</v>
      </c>
      <c r="B30" s="10" t="s">
        <v>62</v>
      </c>
      <c r="D30" s="50"/>
      <c r="E30" s="10" t="s">
        <v>219</v>
      </c>
      <c r="F30" s="10" t="s">
        <v>218</v>
      </c>
      <c r="G30" s="10" t="s">
        <v>97</v>
      </c>
      <c r="H30" s="48" t="s">
        <v>98</v>
      </c>
      <c r="I30" s="49">
        <f>5000+29677</f>
        <v>34677</v>
      </c>
      <c r="J30" s="10"/>
      <c r="K30" s="10"/>
      <c r="L30" s="11">
        <v>3200</v>
      </c>
      <c r="M30" s="11">
        <f>I30*L30</f>
        <v>110966400</v>
      </c>
      <c r="N30" s="11">
        <f>M30*11%</f>
        <v>12206304</v>
      </c>
      <c r="O30" s="11">
        <f>M30+N30</f>
        <v>123172704</v>
      </c>
      <c r="P30" s="50">
        <v>45569</v>
      </c>
      <c r="Q30" s="92" t="s">
        <v>150</v>
      </c>
    </row>
    <row r="31" spans="1:20" x14ac:dyDescent="0.3">
      <c r="A31" s="10">
        <v>2</v>
      </c>
      <c r="B31" s="10" t="s">
        <v>56</v>
      </c>
      <c r="C31" s="10" t="s">
        <v>238</v>
      </c>
      <c r="D31" s="50">
        <v>45579</v>
      </c>
      <c r="E31" s="10" t="s">
        <v>239</v>
      </c>
      <c r="F31" s="10" t="s">
        <v>240</v>
      </c>
      <c r="G31" s="10" t="s">
        <v>59</v>
      </c>
      <c r="H31" s="48" t="s">
        <v>60</v>
      </c>
      <c r="I31" s="49">
        <v>47175</v>
      </c>
      <c r="J31" s="10"/>
      <c r="K31" s="10"/>
      <c r="L31" s="11">
        <f>0.35*16000</f>
        <v>5600</v>
      </c>
      <c r="M31" s="11">
        <f>I31*L31</f>
        <v>264180000</v>
      </c>
      <c r="N31" s="11">
        <f>M31*11%</f>
        <v>29059800</v>
      </c>
      <c r="O31" s="11">
        <f>M31+N31</f>
        <v>293239800</v>
      </c>
      <c r="P31" s="50">
        <v>45580</v>
      </c>
      <c r="Q31" t="s">
        <v>150</v>
      </c>
    </row>
    <row r="32" spans="1:20" x14ac:dyDescent="0.3">
      <c r="A32" s="10">
        <v>3</v>
      </c>
      <c r="B32" s="10" t="s">
        <v>242</v>
      </c>
      <c r="C32" s="10" t="s">
        <v>243</v>
      </c>
      <c r="D32" s="50">
        <v>45582</v>
      </c>
      <c r="E32" s="10" t="s">
        <v>244</v>
      </c>
      <c r="F32" s="10" t="s">
        <v>245</v>
      </c>
      <c r="G32" s="10" t="s">
        <v>246</v>
      </c>
      <c r="H32" s="48" t="s">
        <v>247</v>
      </c>
      <c r="I32" s="49">
        <v>12485</v>
      </c>
      <c r="J32" s="80"/>
      <c r="K32" s="10"/>
      <c r="L32" s="11">
        <v>4800</v>
      </c>
      <c r="M32" s="11">
        <f>I32*L32</f>
        <v>59928000</v>
      </c>
      <c r="N32" s="11">
        <f>M32*11%</f>
        <v>6592080</v>
      </c>
      <c r="O32" s="11">
        <f>M32+N32</f>
        <v>66520080</v>
      </c>
      <c r="P32" s="50">
        <v>45583</v>
      </c>
      <c r="Q32" t="s">
        <v>150</v>
      </c>
    </row>
    <row r="33" spans="1:18" s="92" customFormat="1" x14ac:dyDescent="0.3">
      <c r="A33" s="10">
        <v>4</v>
      </c>
      <c r="B33" s="10" t="s">
        <v>255</v>
      </c>
      <c r="C33" s="10" t="s">
        <v>256</v>
      </c>
      <c r="D33" s="50">
        <v>45583</v>
      </c>
      <c r="E33" s="10" t="s">
        <v>257</v>
      </c>
      <c r="F33" s="48" t="s">
        <v>258</v>
      </c>
      <c r="G33" s="10" t="s">
        <v>97</v>
      </c>
      <c r="H33" s="48" t="s">
        <v>259</v>
      </c>
      <c r="I33" s="49">
        <f>12236/2</f>
        <v>6118</v>
      </c>
      <c r="J33" s="10"/>
      <c r="K33" s="10"/>
      <c r="L33" s="11">
        <v>3000</v>
      </c>
      <c r="M33" s="11">
        <f>I33*L33</f>
        <v>18354000</v>
      </c>
      <c r="N33" s="11">
        <f>M33*11%</f>
        <v>2018940</v>
      </c>
      <c r="O33" s="11">
        <f>M33+N33</f>
        <v>20372940</v>
      </c>
      <c r="P33" s="50">
        <v>45586</v>
      </c>
      <c r="Q33" s="92" t="s">
        <v>150</v>
      </c>
    </row>
    <row r="34" spans="1:18" s="92" customFormat="1" x14ac:dyDescent="0.3">
      <c r="A34" s="96"/>
      <c r="B34" s="96"/>
      <c r="D34" s="112"/>
      <c r="E34" s="96"/>
      <c r="F34" s="113"/>
      <c r="G34" s="96"/>
      <c r="H34" s="113"/>
      <c r="I34" s="97"/>
      <c r="J34" s="96"/>
      <c r="K34" s="96"/>
      <c r="L34" s="91"/>
      <c r="M34" s="91"/>
      <c r="N34" s="91"/>
      <c r="O34" s="91"/>
      <c r="P34" s="112"/>
    </row>
    <row r="35" spans="1:18" s="92" customFormat="1" x14ac:dyDescent="0.3">
      <c r="A35" s="96"/>
      <c r="B35" s="96"/>
      <c r="D35" s="112"/>
      <c r="E35" s="96"/>
      <c r="F35" s="113"/>
      <c r="G35" s="96"/>
      <c r="H35" s="113"/>
      <c r="I35" s="97"/>
      <c r="J35" s="96"/>
      <c r="K35" s="96"/>
      <c r="L35" s="91"/>
      <c r="M35" s="91"/>
      <c r="N35" s="91"/>
      <c r="O35" s="91"/>
      <c r="P35" s="112"/>
    </row>
    <row r="36" spans="1:18" s="92" customFormat="1" x14ac:dyDescent="0.3">
      <c r="A36" s="111">
        <f>DATE(2024,11,1)</f>
        <v>45597</v>
      </c>
      <c r="B36" s="96"/>
      <c r="D36" s="112"/>
      <c r="E36" s="96"/>
      <c r="F36" s="113"/>
      <c r="G36" s="96"/>
      <c r="H36" s="113"/>
      <c r="I36" s="97"/>
      <c r="J36" s="96"/>
      <c r="K36" s="96"/>
      <c r="L36" s="91"/>
      <c r="M36" s="91"/>
      <c r="N36" s="91"/>
      <c r="O36" s="91"/>
      <c r="P36" s="112"/>
    </row>
    <row r="37" spans="1:18" s="92" customFormat="1" x14ac:dyDescent="0.3">
      <c r="A37" s="10">
        <v>1</v>
      </c>
      <c r="B37" s="10" t="s">
        <v>62</v>
      </c>
      <c r="C37" s="51" t="s">
        <v>267</v>
      </c>
      <c r="D37" s="50"/>
      <c r="E37" s="10" t="s">
        <v>263</v>
      </c>
      <c r="F37" s="10" t="s">
        <v>264</v>
      </c>
      <c r="G37" s="10" t="s">
        <v>97</v>
      </c>
      <c r="H37" s="48" t="s">
        <v>98</v>
      </c>
      <c r="I37" s="49">
        <f>998+997</f>
        <v>1995</v>
      </c>
      <c r="J37" s="10"/>
      <c r="K37" s="10"/>
      <c r="L37" s="11">
        <v>10400</v>
      </c>
      <c r="M37" s="11">
        <f t="shared" ref="M37:M44" si="0">I37*L37</f>
        <v>20748000</v>
      </c>
      <c r="N37" s="11">
        <f t="shared" ref="N37:N42" si="1">M37*11%</f>
        <v>2282280</v>
      </c>
      <c r="O37" s="11">
        <f t="shared" ref="O37:O44" si="2">M37+N37</f>
        <v>23030280</v>
      </c>
      <c r="P37" s="50">
        <v>45600</v>
      </c>
      <c r="Q37" s="92" t="s">
        <v>274</v>
      </c>
    </row>
    <row r="38" spans="1:18" s="92" customFormat="1" x14ac:dyDescent="0.3">
      <c r="A38" s="10">
        <v>2</v>
      </c>
      <c r="B38" s="10" t="s">
        <v>255</v>
      </c>
      <c r="C38" s="10" t="s">
        <v>266</v>
      </c>
      <c r="D38" s="50">
        <v>45583</v>
      </c>
      <c r="E38" s="10" t="s">
        <v>257</v>
      </c>
      <c r="F38" s="48" t="s">
        <v>258</v>
      </c>
      <c r="G38" s="10" t="s">
        <v>97</v>
      </c>
      <c r="H38" s="48" t="s">
        <v>259</v>
      </c>
      <c r="I38" s="49">
        <f>12236/2</f>
        <v>6118</v>
      </c>
      <c r="J38" s="10"/>
      <c r="K38" s="10"/>
      <c r="L38" s="11">
        <v>3000</v>
      </c>
      <c r="M38" s="11">
        <f t="shared" si="0"/>
        <v>18354000</v>
      </c>
      <c r="N38" s="11">
        <f t="shared" si="1"/>
        <v>2018940</v>
      </c>
      <c r="O38" s="11">
        <f t="shared" si="2"/>
        <v>20372940</v>
      </c>
      <c r="P38" s="50">
        <v>45602</v>
      </c>
      <c r="Q38" s="92" t="s">
        <v>150</v>
      </c>
      <c r="R38" s="92" t="s">
        <v>310</v>
      </c>
    </row>
    <row r="39" spans="1:18" s="92" customFormat="1" x14ac:dyDescent="0.3">
      <c r="A39" s="10">
        <v>3</v>
      </c>
      <c r="B39" s="10" t="s">
        <v>242</v>
      </c>
      <c r="C39" s="10" t="s">
        <v>311</v>
      </c>
      <c r="D39" s="50">
        <v>45614</v>
      </c>
      <c r="E39" s="10" t="s">
        <v>312</v>
      </c>
      <c r="F39" s="48" t="s">
        <v>313</v>
      </c>
      <c r="G39" s="10" t="s">
        <v>246</v>
      </c>
      <c r="H39" s="48" t="s">
        <v>247</v>
      </c>
      <c r="I39" s="49">
        <v>12498</v>
      </c>
      <c r="J39" s="10"/>
      <c r="K39" s="10"/>
      <c r="L39" s="11">
        <f>0.3*16000</f>
        <v>4800</v>
      </c>
      <c r="M39" s="11">
        <f t="shared" ref="M39" si="3">I39*L39</f>
        <v>59990400</v>
      </c>
      <c r="N39" s="11">
        <f t="shared" si="1"/>
        <v>6598944</v>
      </c>
      <c r="O39" s="11">
        <f t="shared" ref="O39" si="4">M39+N39</f>
        <v>66589344</v>
      </c>
      <c r="P39" s="50">
        <v>45617</v>
      </c>
      <c r="Q39" s="92" t="s">
        <v>314</v>
      </c>
    </row>
    <row r="40" spans="1:18" s="92" customFormat="1" x14ac:dyDescent="0.3">
      <c r="A40" s="10">
        <v>4</v>
      </c>
      <c r="B40" s="10" t="s">
        <v>56</v>
      </c>
      <c r="C40" s="10" t="s">
        <v>281</v>
      </c>
      <c r="D40" s="50"/>
      <c r="E40" s="10" t="s">
        <v>283</v>
      </c>
      <c r="F40" s="10" t="s">
        <v>282</v>
      </c>
      <c r="G40" s="10" t="s">
        <v>59</v>
      </c>
      <c r="H40" s="48" t="s">
        <v>60</v>
      </c>
      <c r="I40" s="49">
        <v>11793</v>
      </c>
      <c r="J40" s="10"/>
      <c r="K40" s="10"/>
      <c r="L40" s="11">
        <f>0.35*16000</f>
        <v>5600</v>
      </c>
      <c r="M40" s="11">
        <f t="shared" si="0"/>
        <v>66040800</v>
      </c>
      <c r="N40" s="11">
        <f t="shared" si="1"/>
        <v>7264488</v>
      </c>
      <c r="O40" s="11">
        <f t="shared" si="2"/>
        <v>73305288</v>
      </c>
      <c r="P40" s="50">
        <v>45622</v>
      </c>
      <c r="Q40" s="92" t="s">
        <v>150</v>
      </c>
    </row>
    <row r="41" spans="1:18" x14ac:dyDescent="0.3">
      <c r="A41" s="10">
        <v>5</v>
      </c>
      <c r="B41" s="10" t="s">
        <v>62</v>
      </c>
      <c r="C41" s="51" t="s">
        <v>284</v>
      </c>
      <c r="D41" s="50">
        <v>45582</v>
      </c>
      <c r="E41" s="10" t="s">
        <v>285</v>
      </c>
      <c r="F41" s="10" t="s">
        <v>286</v>
      </c>
      <c r="G41" s="10" t="s">
        <v>97</v>
      </c>
      <c r="H41" s="48" t="s">
        <v>98</v>
      </c>
      <c r="I41" s="49">
        <v>46232</v>
      </c>
      <c r="J41" s="10"/>
      <c r="K41" s="10"/>
      <c r="L41" s="11">
        <v>2200</v>
      </c>
      <c r="M41" s="11">
        <f t="shared" si="0"/>
        <v>101710400</v>
      </c>
      <c r="N41" s="11">
        <f t="shared" si="1"/>
        <v>11188144</v>
      </c>
      <c r="O41" s="11">
        <f t="shared" si="2"/>
        <v>112898544</v>
      </c>
      <c r="P41" s="50">
        <v>45622</v>
      </c>
      <c r="Q41" t="s">
        <v>150</v>
      </c>
    </row>
    <row r="42" spans="1:18" s="92" customFormat="1" x14ac:dyDescent="0.3">
      <c r="A42" s="10">
        <v>6</v>
      </c>
      <c r="B42" s="10" t="s">
        <v>56</v>
      </c>
      <c r="C42" s="10" t="s">
        <v>281</v>
      </c>
      <c r="D42" s="50"/>
      <c r="E42" s="10" t="s">
        <v>289</v>
      </c>
      <c r="F42" s="10" t="s">
        <v>288</v>
      </c>
      <c r="G42" s="10" t="s">
        <v>59</v>
      </c>
      <c r="H42" s="48" t="s">
        <v>60</v>
      </c>
      <c r="I42" s="49">
        <v>11938</v>
      </c>
      <c r="J42" s="10"/>
      <c r="K42" s="10"/>
      <c r="L42" s="11">
        <f>0.35*16000</f>
        <v>5600</v>
      </c>
      <c r="M42" s="11">
        <f t="shared" si="0"/>
        <v>66852800</v>
      </c>
      <c r="N42" s="11">
        <f t="shared" si="1"/>
        <v>7353808</v>
      </c>
      <c r="O42" s="11">
        <f t="shared" si="2"/>
        <v>74206608</v>
      </c>
      <c r="P42" s="50">
        <v>45622</v>
      </c>
      <c r="Q42" s="92" t="s">
        <v>150</v>
      </c>
    </row>
    <row r="43" spans="1:18" s="92" customFormat="1" x14ac:dyDescent="0.3">
      <c r="A43" s="10">
        <v>7</v>
      </c>
      <c r="B43" s="10" t="s">
        <v>111</v>
      </c>
      <c r="C43" s="10" t="s">
        <v>291</v>
      </c>
      <c r="D43" s="10"/>
      <c r="E43" s="10"/>
      <c r="F43" s="10" t="s">
        <v>290</v>
      </c>
      <c r="G43" s="10" t="s">
        <v>111</v>
      </c>
      <c r="H43" s="10">
        <v>480466813</v>
      </c>
      <c r="I43" s="49">
        <f>21232+5000</f>
        <v>26232</v>
      </c>
      <c r="J43" s="10"/>
      <c r="K43" s="10"/>
      <c r="L43" s="11">
        <v>7200</v>
      </c>
      <c r="M43" s="11">
        <f t="shared" si="0"/>
        <v>188870400</v>
      </c>
      <c r="N43" s="10">
        <v>0</v>
      </c>
      <c r="O43" s="11">
        <f t="shared" si="2"/>
        <v>188870400</v>
      </c>
      <c r="P43" s="50">
        <v>45624</v>
      </c>
      <c r="Q43" s="92" t="s">
        <v>315</v>
      </c>
    </row>
    <row r="44" spans="1:18" x14ac:dyDescent="0.3">
      <c r="A44" s="10">
        <v>8</v>
      </c>
      <c r="B44" s="10" t="s">
        <v>295</v>
      </c>
      <c r="C44" s="10" t="s">
        <v>297</v>
      </c>
      <c r="D44" s="50">
        <v>45616</v>
      </c>
      <c r="E44" s="10" t="s">
        <v>298</v>
      </c>
      <c r="F44" s="10" t="s">
        <v>299</v>
      </c>
      <c r="G44" s="10" t="s">
        <v>97</v>
      </c>
      <c r="H44" s="48" t="s">
        <v>259</v>
      </c>
      <c r="I44" s="49">
        <f>50%*12248</f>
        <v>6124</v>
      </c>
      <c r="J44" s="10"/>
      <c r="K44" s="10"/>
      <c r="L44" s="11">
        <v>13500</v>
      </c>
      <c r="M44" s="10">
        <f t="shared" si="0"/>
        <v>82674000</v>
      </c>
      <c r="N44" s="11">
        <f>M44*11%</f>
        <v>9094140</v>
      </c>
      <c r="O44" s="11">
        <f t="shared" si="2"/>
        <v>91768140</v>
      </c>
      <c r="P44" s="50">
        <v>45625</v>
      </c>
      <c r="Q44" s="92" t="s">
        <v>150</v>
      </c>
    </row>
    <row r="45" spans="1:18" s="92" customFormat="1" x14ac:dyDescent="0.3">
      <c r="A45" s="96"/>
      <c r="B45" s="96"/>
      <c r="C45" s="96"/>
      <c r="D45" s="112"/>
      <c r="E45" s="96"/>
      <c r="F45" s="96"/>
      <c r="G45" s="96"/>
      <c r="H45" s="113"/>
      <c r="I45" s="97"/>
      <c r="J45" s="96"/>
      <c r="K45" s="96"/>
      <c r="L45" s="91"/>
      <c r="M45" s="96"/>
      <c r="N45" s="91"/>
      <c r="O45" s="91"/>
      <c r="P45" s="112"/>
    </row>
    <row r="46" spans="1:18" s="92" customFormat="1" x14ac:dyDescent="0.3">
      <c r="A46" s="96"/>
      <c r="B46" s="96"/>
      <c r="C46" s="96"/>
      <c r="D46" s="112"/>
      <c r="E46" s="96"/>
      <c r="F46" s="96"/>
      <c r="G46" s="96"/>
      <c r="H46" s="113"/>
      <c r="I46" s="97"/>
      <c r="J46" s="96"/>
      <c r="K46" s="96"/>
      <c r="L46" s="91"/>
      <c r="M46" s="96"/>
      <c r="N46" s="91"/>
      <c r="O46" s="91"/>
      <c r="P46" s="112"/>
    </row>
    <row r="47" spans="1:18" s="92" customFormat="1" x14ac:dyDescent="0.3">
      <c r="A47" s="96"/>
      <c r="B47" s="96"/>
      <c r="C47" s="96"/>
      <c r="D47" s="112"/>
      <c r="E47" s="96"/>
      <c r="F47" s="96"/>
      <c r="G47" s="96"/>
      <c r="H47" s="113"/>
      <c r="I47" s="97"/>
      <c r="J47" s="96"/>
      <c r="K47" s="96"/>
      <c r="L47" s="91"/>
      <c r="M47" s="96"/>
      <c r="N47" s="91"/>
      <c r="O47" s="91"/>
      <c r="P47" s="112"/>
    </row>
    <row r="48" spans="1:18" x14ac:dyDescent="0.3">
      <c r="A48" s="9"/>
      <c r="B48" s="9"/>
      <c r="C48" s="9"/>
      <c r="D48" s="9"/>
      <c r="E48" s="9"/>
      <c r="F48" s="9"/>
      <c r="G48" s="9"/>
      <c r="H48" s="9"/>
      <c r="I48" s="17"/>
      <c r="J48" s="9"/>
      <c r="K48" s="9"/>
      <c r="L48" s="43"/>
      <c r="M48" s="9"/>
      <c r="N48" s="9"/>
      <c r="O48" s="9"/>
      <c r="P48" s="9"/>
    </row>
    <row r="49" spans="1:18" x14ac:dyDescent="0.3">
      <c r="A49" s="111">
        <f>DATE(2024,12,1)</f>
        <v>45627</v>
      </c>
      <c r="B49" s="9"/>
      <c r="C49" s="9"/>
      <c r="D49" s="9"/>
      <c r="E49" s="9"/>
      <c r="F49" s="9"/>
      <c r="G49" s="9"/>
      <c r="H49" s="9"/>
      <c r="I49" s="17"/>
      <c r="J49" s="9"/>
      <c r="K49" s="9"/>
      <c r="L49" s="43"/>
      <c r="M49" s="9"/>
      <c r="N49" s="9"/>
      <c r="O49" s="9"/>
      <c r="P49" s="9"/>
      <c r="Q49" t="s">
        <v>344</v>
      </c>
    </row>
    <row r="50" spans="1:18" x14ac:dyDescent="0.3">
      <c r="A50" s="10">
        <v>1</v>
      </c>
      <c r="B50" s="10" t="s">
        <v>295</v>
      </c>
      <c r="C50" s="10" t="s">
        <v>305</v>
      </c>
      <c r="D50" s="50">
        <v>45616</v>
      </c>
      <c r="E50" s="10" t="s">
        <v>298</v>
      </c>
      <c r="F50" s="10" t="s">
        <v>306</v>
      </c>
      <c r="G50" s="10" t="s">
        <v>97</v>
      </c>
      <c r="H50" s="48" t="s">
        <v>259</v>
      </c>
      <c r="I50" s="49">
        <f>50%*12248</f>
        <v>6124</v>
      </c>
      <c r="J50" s="10"/>
      <c r="K50" s="10"/>
      <c r="L50" s="11">
        <v>13500</v>
      </c>
      <c r="M50" s="10">
        <f t="shared" ref="M50" si="5">I50*L50</f>
        <v>82674000</v>
      </c>
      <c r="N50" s="11">
        <f>M50*11%</f>
        <v>9094140</v>
      </c>
      <c r="O50" s="11">
        <f t="shared" ref="O50" si="6">M50+N50</f>
        <v>91768140</v>
      </c>
      <c r="P50" s="50">
        <v>45635</v>
      </c>
      <c r="Q50" s="53" t="s">
        <v>150</v>
      </c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17"/>
      <c r="J51" s="9"/>
      <c r="K51" s="9"/>
      <c r="L51" s="43"/>
      <c r="M51" s="9"/>
      <c r="N51" s="9"/>
      <c r="O51" s="9"/>
      <c r="P51" s="9"/>
      <c r="Q51" s="53"/>
      <c r="R51" s="53"/>
    </row>
    <row r="52" spans="1:18" x14ac:dyDescent="0.3">
      <c r="A52" s="9"/>
      <c r="B52" s="9"/>
      <c r="C52" s="9"/>
      <c r="D52" s="9"/>
      <c r="E52" s="9"/>
      <c r="F52" s="9"/>
      <c r="G52" s="9"/>
      <c r="H52" s="9"/>
      <c r="I52" s="17"/>
      <c r="J52" s="9"/>
      <c r="K52" s="9"/>
      <c r="L52" s="43"/>
      <c r="M52" s="9"/>
      <c r="N52" s="9"/>
      <c r="O52" s="9"/>
      <c r="P52" s="9"/>
      <c r="Q52" s="53"/>
    </row>
    <row r="53" spans="1:18" x14ac:dyDescent="0.3">
      <c r="A53" s="9"/>
      <c r="B53" s="9"/>
      <c r="C53" s="9"/>
      <c r="D53" s="9"/>
      <c r="E53" s="9"/>
      <c r="F53" s="9"/>
      <c r="G53" s="9"/>
      <c r="H53" s="9"/>
      <c r="I53" s="17"/>
      <c r="J53" s="9"/>
      <c r="K53" s="9"/>
      <c r="L53" s="43"/>
      <c r="M53" s="9"/>
      <c r="N53" s="9"/>
      <c r="O53" s="9"/>
      <c r="P53" s="9"/>
      <c r="Q53" s="53"/>
    </row>
    <row r="54" spans="1:18" x14ac:dyDescent="0.3">
      <c r="A54" s="9"/>
      <c r="B54" s="9"/>
      <c r="C54" s="9"/>
      <c r="D54" s="9"/>
      <c r="E54" s="9"/>
      <c r="F54" s="9"/>
      <c r="G54" s="9"/>
      <c r="H54" s="9"/>
      <c r="I54" s="17"/>
      <c r="J54" s="9"/>
      <c r="K54" s="9"/>
      <c r="L54" s="43"/>
      <c r="M54" s="9"/>
      <c r="N54" s="9"/>
      <c r="O54" s="9"/>
      <c r="P54" s="9"/>
    </row>
    <row r="55" spans="1:18" x14ac:dyDescent="0.3">
      <c r="A55" s="9"/>
      <c r="B55" s="9"/>
      <c r="C55" s="9"/>
      <c r="D55" s="9"/>
      <c r="E55" s="9"/>
      <c r="F55" s="9"/>
      <c r="G55" s="9"/>
      <c r="H55" s="9"/>
      <c r="I55" s="17"/>
      <c r="J55" s="9"/>
      <c r="K55" s="9"/>
      <c r="L55" s="43"/>
      <c r="M55" s="9"/>
      <c r="N55" s="9"/>
      <c r="O55" s="9"/>
      <c r="P55" s="9"/>
    </row>
    <row r="56" spans="1:18" x14ac:dyDescent="0.3">
      <c r="A56" s="9"/>
      <c r="B56" s="9"/>
      <c r="C56" s="9"/>
      <c r="D56" s="9"/>
      <c r="E56" s="9"/>
      <c r="F56" s="9"/>
      <c r="G56" s="9"/>
      <c r="H56" s="9"/>
      <c r="I56" s="17"/>
      <c r="J56" s="9"/>
      <c r="K56" s="9"/>
      <c r="L56" s="43"/>
      <c r="M56" s="9"/>
      <c r="N56" s="9"/>
      <c r="O56" s="9"/>
      <c r="P56" s="9"/>
    </row>
    <row r="59" spans="1:18" x14ac:dyDescent="0.3">
      <c r="H59" t="s">
        <v>204</v>
      </c>
      <c r="I59" s="18">
        <v>34667</v>
      </c>
      <c r="L59" s="40">
        <v>7200</v>
      </c>
      <c r="M59" s="40">
        <f>I59*L59</f>
        <v>249602400</v>
      </c>
    </row>
    <row r="60" spans="1:18" x14ac:dyDescent="0.3">
      <c r="H60" t="s">
        <v>205</v>
      </c>
      <c r="I60" s="18">
        <v>34667</v>
      </c>
      <c r="L60" s="40">
        <v>3200</v>
      </c>
      <c r="M60" s="40">
        <f>I60*L60</f>
        <v>110934400</v>
      </c>
    </row>
    <row r="61" spans="1:18" x14ac:dyDescent="0.3">
      <c r="M61" s="53">
        <f>M59+M60</f>
        <v>360536800</v>
      </c>
    </row>
    <row r="62" spans="1:18" x14ac:dyDescent="0.3">
      <c r="H62" t="s">
        <v>206</v>
      </c>
      <c r="M62" s="40">
        <v>818741108</v>
      </c>
    </row>
    <row r="63" spans="1:18" x14ac:dyDescent="0.3">
      <c r="H63" t="s">
        <v>208</v>
      </c>
      <c r="M63" s="40">
        <f>'hitungan komersial '!O190</f>
        <v>9422790.9749999959</v>
      </c>
    </row>
    <row r="64" spans="1:18" x14ac:dyDescent="0.3">
      <c r="H64" t="s">
        <v>207</v>
      </c>
      <c r="M64" s="40">
        <f>M62-M61-M63</f>
        <v>448781517.02499998</v>
      </c>
    </row>
  </sheetData>
  <mergeCells count="11">
    <mergeCell ref="I2:I3"/>
    <mergeCell ref="J2:L2"/>
    <mergeCell ref="M2:M3"/>
    <mergeCell ref="O2:O3"/>
    <mergeCell ref="P2:P3"/>
    <mergeCell ref="F2:F3"/>
    <mergeCell ref="A2:A3"/>
    <mergeCell ref="B2:B3"/>
    <mergeCell ref="C2:C3"/>
    <mergeCell ref="D2:D3"/>
    <mergeCell ref="E2:E3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B581-D973-4043-A436-8958EA7E1D81}">
  <dimension ref="A1:G69"/>
  <sheetViews>
    <sheetView topLeftCell="A54" workbookViewId="0">
      <selection activeCell="H62" sqref="H62"/>
    </sheetView>
  </sheetViews>
  <sheetFormatPr defaultRowHeight="14.4" x14ac:dyDescent="0.3"/>
  <cols>
    <col min="1" max="1" width="8.77734375" style="46"/>
    <col min="2" max="2" width="9.21875" bestFit="1" customWidth="1"/>
    <col min="3" max="3" width="36" bestFit="1" customWidth="1"/>
    <col min="4" max="4" width="20" style="40" customWidth="1"/>
    <col min="5" max="5" width="24.109375" customWidth="1"/>
    <col min="6" max="6" width="11.44140625" customWidth="1"/>
    <col min="7" max="7" width="11.109375" bestFit="1" customWidth="1"/>
  </cols>
  <sheetData>
    <row r="1" spans="1:7" x14ac:dyDescent="0.3">
      <c r="A1" s="46" t="s">
        <v>103</v>
      </c>
    </row>
    <row r="2" spans="1:7" x14ac:dyDescent="0.3">
      <c r="A2" s="45" t="s">
        <v>48</v>
      </c>
      <c r="B2" s="41" t="s">
        <v>49</v>
      </c>
      <c r="C2" s="41" t="s">
        <v>50</v>
      </c>
      <c r="D2" s="42" t="s">
        <v>51</v>
      </c>
      <c r="E2" s="41" t="s">
        <v>52</v>
      </c>
      <c r="F2" s="41" t="s">
        <v>53</v>
      </c>
    </row>
    <row r="3" spans="1:7" s="92" customFormat="1" x14ac:dyDescent="0.3">
      <c r="A3" s="99">
        <f>DATE(2024,6,1)</f>
        <v>45444</v>
      </c>
      <c r="B3" s="71"/>
      <c r="C3" s="71"/>
      <c r="D3" s="98"/>
      <c r="E3" s="71"/>
      <c r="F3" s="71"/>
    </row>
    <row r="4" spans="1:7" x14ac:dyDescent="0.3">
      <c r="A4" s="74">
        <v>1</v>
      </c>
      <c r="B4" s="50">
        <v>45468</v>
      </c>
      <c r="C4" s="10" t="s">
        <v>54</v>
      </c>
      <c r="D4" s="11">
        <v>200000</v>
      </c>
      <c r="E4" s="10" t="s">
        <v>55</v>
      </c>
      <c r="F4" s="50">
        <v>45470</v>
      </c>
    </row>
    <row r="5" spans="1:7" x14ac:dyDescent="0.3">
      <c r="A5" s="47"/>
      <c r="B5" s="9"/>
      <c r="C5" s="9"/>
      <c r="D5" s="43"/>
      <c r="E5" s="9"/>
      <c r="F5" s="9"/>
    </row>
    <row r="6" spans="1:7" x14ac:dyDescent="0.3">
      <c r="A6" s="99">
        <f>DATE(2024,7,1)</f>
        <v>45474</v>
      </c>
      <c r="B6" s="9"/>
      <c r="C6" s="9"/>
      <c r="D6" s="43"/>
      <c r="E6" s="9"/>
      <c r="F6" s="9"/>
    </row>
    <row r="7" spans="1:7" x14ac:dyDescent="0.3">
      <c r="A7" s="74">
        <v>1</v>
      </c>
      <c r="B7" s="50">
        <v>45477</v>
      </c>
      <c r="C7" s="10" t="s">
        <v>101</v>
      </c>
      <c r="D7" s="11">
        <v>579001</v>
      </c>
      <c r="E7" s="10" t="s">
        <v>102</v>
      </c>
      <c r="F7" s="50">
        <v>45477</v>
      </c>
      <c r="G7" s="53">
        <f>D4+D7</f>
        <v>779001</v>
      </c>
    </row>
    <row r="8" spans="1:7" x14ac:dyDescent="0.3">
      <c r="A8" s="47"/>
      <c r="B8" s="9"/>
      <c r="C8" s="9"/>
      <c r="D8" s="43"/>
      <c r="E8" s="9"/>
      <c r="F8" s="9"/>
    </row>
    <row r="9" spans="1:7" x14ac:dyDescent="0.3">
      <c r="A9" s="99">
        <f>DATE(2024,8,1)</f>
        <v>45505</v>
      </c>
      <c r="B9" s="9"/>
      <c r="C9" s="9"/>
      <c r="D9" s="43"/>
      <c r="E9" s="9"/>
      <c r="F9" s="9"/>
    </row>
    <row r="10" spans="1:7" x14ac:dyDescent="0.3">
      <c r="A10" s="74">
        <v>1</v>
      </c>
      <c r="B10" s="50">
        <v>45527</v>
      </c>
      <c r="C10" s="10" t="s">
        <v>147</v>
      </c>
      <c r="D10" s="11">
        <v>300000</v>
      </c>
      <c r="E10" s="10" t="s">
        <v>55</v>
      </c>
      <c r="F10" s="50">
        <v>45527</v>
      </c>
      <c r="G10" t="s">
        <v>150</v>
      </c>
    </row>
    <row r="11" spans="1:7" x14ac:dyDescent="0.3">
      <c r="A11" s="74">
        <v>2</v>
      </c>
      <c r="B11" s="50">
        <v>45530</v>
      </c>
      <c r="C11" s="10" t="s">
        <v>148</v>
      </c>
      <c r="D11" s="11">
        <v>278400</v>
      </c>
      <c r="E11" s="10" t="s">
        <v>102</v>
      </c>
      <c r="F11" s="50">
        <v>45531</v>
      </c>
    </row>
    <row r="12" spans="1:7" x14ac:dyDescent="0.3">
      <c r="A12" s="47"/>
      <c r="B12" s="9"/>
      <c r="C12" s="9"/>
      <c r="D12" s="43">
        <f>SUM(D10:D11)</f>
        <v>578400</v>
      </c>
      <c r="E12" s="9"/>
      <c r="F12" s="9"/>
    </row>
    <row r="13" spans="1:7" x14ac:dyDescent="0.3">
      <c r="A13" s="99">
        <f>DATE(2024,9,1)</f>
        <v>45536</v>
      </c>
      <c r="B13" s="9"/>
      <c r="C13" s="9"/>
      <c r="D13" s="43"/>
      <c r="E13" s="9"/>
      <c r="F13" s="9"/>
    </row>
    <row r="14" spans="1:7" x14ac:dyDescent="0.3">
      <c r="A14" s="74">
        <v>1</v>
      </c>
      <c r="B14" s="50">
        <v>45538</v>
      </c>
      <c r="C14" s="10" t="s">
        <v>148</v>
      </c>
      <c r="D14" s="11">
        <v>220000</v>
      </c>
      <c r="E14" s="10" t="s">
        <v>102</v>
      </c>
      <c r="F14" s="50">
        <v>45539</v>
      </c>
    </row>
    <row r="15" spans="1:7" x14ac:dyDescent="0.3">
      <c r="A15" s="74">
        <v>2</v>
      </c>
      <c r="B15" s="50">
        <v>45545</v>
      </c>
      <c r="C15" s="10" t="s">
        <v>166</v>
      </c>
      <c r="D15" s="11">
        <f>60000+291500</f>
        <v>351500</v>
      </c>
      <c r="E15" s="10" t="s">
        <v>55</v>
      </c>
      <c r="F15" s="50">
        <v>45553</v>
      </c>
    </row>
    <row r="16" spans="1:7" x14ac:dyDescent="0.3">
      <c r="A16" s="74">
        <v>3</v>
      </c>
      <c r="B16" s="50">
        <v>45554</v>
      </c>
      <c r="C16" s="10" t="s">
        <v>192</v>
      </c>
      <c r="D16" s="11">
        <v>850000</v>
      </c>
      <c r="E16" s="10" t="s">
        <v>55</v>
      </c>
      <c r="F16" s="50">
        <v>45555</v>
      </c>
    </row>
    <row r="17" spans="1:6" x14ac:dyDescent="0.3">
      <c r="A17" s="74">
        <v>4</v>
      </c>
      <c r="B17" s="50">
        <v>45555</v>
      </c>
      <c r="C17" s="10" t="s">
        <v>193</v>
      </c>
      <c r="D17" s="11">
        <v>25000</v>
      </c>
      <c r="E17" s="10" t="s">
        <v>55</v>
      </c>
      <c r="F17" s="50">
        <v>45555</v>
      </c>
    </row>
    <row r="18" spans="1:6" x14ac:dyDescent="0.3">
      <c r="A18" s="74">
        <v>5</v>
      </c>
      <c r="B18" s="50">
        <v>45555</v>
      </c>
      <c r="C18" s="10" t="s">
        <v>194</v>
      </c>
      <c r="D18" s="11">
        <v>81000</v>
      </c>
      <c r="E18" s="10" t="s">
        <v>55</v>
      </c>
      <c r="F18" s="50">
        <v>45555</v>
      </c>
    </row>
    <row r="19" spans="1:6" x14ac:dyDescent="0.3">
      <c r="A19" s="74">
        <v>6</v>
      </c>
      <c r="B19" s="50">
        <v>45555</v>
      </c>
      <c r="C19" s="10" t="s">
        <v>166</v>
      </c>
      <c r="D19" s="11">
        <v>219998</v>
      </c>
      <c r="E19" s="10" t="s">
        <v>102</v>
      </c>
      <c r="F19" s="50">
        <v>45557</v>
      </c>
    </row>
    <row r="20" spans="1:6" x14ac:dyDescent="0.3">
      <c r="A20" s="74">
        <v>7</v>
      </c>
      <c r="B20" s="50">
        <v>45559</v>
      </c>
      <c r="C20" s="10" t="s">
        <v>166</v>
      </c>
      <c r="D20" s="11">
        <v>247001</v>
      </c>
      <c r="E20" s="10" t="s">
        <v>102</v>
      </c>
      <c r="F20" s="50">
        <v>45565</v>
      </c>
    </row>
    <row r="21" spans="1:6" x14ac:dyDescent="0.3">
      <c r="A21" s="276"/>
      <c r="B21" s="112"/>
      <c r="C21" s="96"/>
      <c r="D21" s="91">
        <f>SUM(D14:D20)</f>
        <v>1994499</v>
      </c>
      <c r="E21" s="96"/>
      <c r="F21" s="112"/>
    </row>
    <row r="22" spans="1:6" x14ac:dyDescent="0.3">
      <c r="A22" s="99">
        <f>DATE(2024,10,1)</f>
        <v>45566</v>
      </c>
      <c r="B22" s="112"/>
      <c r="C22" s="96"/>
      <c r="D22" s="91"/>
      <c r="E22" s="96"/>
      <c r="F22" s="112"/>
    </row>
    <row r="23" spans="1:6" x14ac:dyDescent="0.3">
      <c r="A23" s="74">
        <v>1</v>
      </c>
      <c r="B23" s="50">
        <v>45566</v>
      </c>
      <c r="C23" s="10" t="s">
        <v>214</v>
      </c>
      <c r="D23" s="11">
        <v>1120200</v>
      </c>
      <c r="E23" s="10" t="s">
        <v>215</v>
      </c>
      <c r="F23" s="50">
        <v>45566</v>
      </c>
    </row>
    <row r="24" spans="1:6" x14ac:dyDescent="0.3">
      <c r="A24" s="74">
        <v>2</v>
      </c>
      <c r="B24" s="50">
        <v>45567</v>
      </c>
      <c r="C24" s="10" t="s">
        <v>194</v>
      </c>
      <c r="D24" s="11">
        <v>105000</v>
      </c>
      <c r="E24" s="10" t="s">
        <v>55</v>
      </c>
      <c r="F24" s="50">
        <v>45568</v>
      </c>
    </row>
    <row r="25" spans="1:6" x14ac:dyDescent="0.3">
      <c r="A25" s="74">
        <v>3</v>
      </c>
      <c r="B25" s="50">
        <v>45568</v>
      </c>
      <c r="C25" s="10" t="s">
        <v>166</v>
      </c>
      <c r="D25" s="11">
        <v>175001</v>
      </c>
      <c r="E25" s="10" t="s">
        <v>102</v>
      </c>
      <c r="F25" s="50">
        <v>45569</v>
      </c>
    </row>
    <row r="26" spans="1:6" x14ac:dyDescent="0.3">
      <c r="A26" s="74">
        <v>4</v>
      </c>
      <c r="B26" s="50">
        <v>45568</v>
      </c>
      <c r="C26" s="10" t="s">
        <v>217</v>
      </c>
      <c r="D26" s="11">
        <v>547100</v>
      </c>
      <c r="E26" s="10" t="s">
        <v>102</v>
      </c>
      <c r="F26" s="50">
        <v>45569</v>
      </c>
    </row>
    <row r="27" spans="1:6" x14ac:dyDescent="0.3">
      <c r="A27" s="74">
        <v>5</v>
      </c>
      <c r="B27" s="50">
        <v>45576</v>
      </c>
      <c r="C27" s="10" t="s">
        <v>222</v>
      </c>
      <c r="D27" s="11">
        <v>300000</v>
      </c>
      <c r="E27" s="10" t="s">
        <v>55</v>
      </c>
      <c r="F27" s="50">
        <v>45576</v>
      </c>
    </row>
    <row r="28" spans="1:6" x14ac:dyDescent="0.3">
      <c r="A28" s="74">
        <v>6</v>
      </c>
      <c r="B28" s="50">
        <v>45576</v>
      </c>
      <c r="C28" s="10" t="s">
        <v>166</v>
      </c>
      <c r="D28" s="11">
        <v>317000</v>
      </c>
      <c r="E28" s="10" t="s">
        <v>102</v>
      </c>
      <c r="F28" s="50">
        <v>45576</v>
      </c>
    </row>
    <row r="29" spans="1:6" x14ac:dyDescent="0.3">
      <c r="A29" s="74">
        <v>7</v>
      </c>
      <c r="B29" s="50">
        <v>45579</v>
      </c>
      <c r="C29" s="10" t="s">
        <v>241</v>
      </c>
      <c r="D29" s="11">
        <v>671055</v>
      </c>
      <c r="E29" s="10" t="s">
        <v>102</v>
      </c>
      <c r="F29" s="50">
        <v>45582</v>
      </c>
    </row>
    <row r="30" spans="1:6" x14ac:dyDescent="0.3">
      <c r="A30" s="74">
        <v>8</v>
      </c>
      <c r="B30" s="50">
        <v>45586</v>
      </c>
      <c r="C30" s="10" t="s">
        <v>252</v>
      </c>
      <c r="D30" s="11">
        <v>57500</v>
      </c>
      <c r="E30" s="10" t="s">
        <v>55</v>
      </c>
      <c r="F30" s="50">
        <v>45586</v>
      </c>
    </row>
    <row r="31" spans="1:6" x14ac:dyDescent="0.3">
      <c r="A31" s="74">
        <v>9</v>
      </c>
      <c r="B31" s="50">
        <v>45588</v>
      </c>
      <c r="C31" s="10" t="s">
        <v>253</v>
      </c>
      <c r="D31" s="11">
        <v>131001</v>
      </c>
      <c r="E31" s="10" t="s">
        <v>102</v>
      </c>
      <c r="F31" s="50">
        <v>45589</v>
      </c>
    </row>
    <row r="32" spans="1:6" x14ac:dyDescent="0.3">
      <c r="A32" s="74">
        <v>10</v>
      </c>
      <c r="B32" s="50">
        <v>45589</v>
      </c>
      <c r="C32" s="10" t="s">
        <v>194</v>
      </c>
      <c r="D32" s="11">
        <v>125000</v>
      </c>
      <c r="E32" s="10" t="s">
        <v>55</v>
      </c>
      <c r="F32" s="50">
        <v>45589</v>
      </c>
    </row>
    <row r="33" spans="1:6" x14ac:dyDescent="0.3">
      <c r="A33" s="74">
        <v>11</v>
      </c>
      <c r="B33" s="50">
        <v>45590</v>
      </c>
      <c r="C33" s="10" t="s">
        <v>254</v>
      </c>
      <c r="D33" s="11">
        <f>[2]OKT!$W$17</f>
        <v>6716250</v>
      </c>
      <c r="E33" s="10" t="s">
        <v>55</v>
      </c>
      <c r="F33" s="50">
        <v>45590</v>
      </c>
    </row>
    <row r="34" spans="1:6" x14ac:dyDescent="0.3">
      <c r="A34" s="74">
        <v>12</v>
      </c>
      <c r="B34" s="50">
        <v>45590</v>
      </c>
      <c r="C34" s="10" t="s">
        <v>260</v>
      </c>
      <c r="D34" s="11">
        <v>6742500</v>
      </c>
      <c r="E34" s="10" t="s">
        <v>55</v>
      </c>
      <c r="F34" s="50">
        <v>45590</v>
      </c>
    </row>
    <row r="35" spans="1:6" x14ac:dyDescent="0.3">
      <c r="A35" s="74">
        <v>13</v>
      </c>
      <c r="B35" s="50">
        <v>45596</v>
      </c>
      <c r="C35" s="10" t="s">
        <v>261</v>
      </c>
      <c r="D35" s="289">
        <v>652050</v>
      </c>
      <c r="E35" s="10" t="s">
        <v>102</v>
      </c>
      <c r="F35" s="50">
        <v>45596</v>
      </c>
    </row>
    <row r="36" spans="1:6" s="92" customFormat="1" x14ac:dyDescent="0.3">
      <c r="A36" s="276"/>
      <c r="B36" s="112"/>
      <c r="C36" s="96"/>
      <c r="D36" s="290"/>
      <c r="E36" s="96"/>
      <c r="F36" s="112"/>
    </row>
    <row r="37" spans="1:6" s="92" customFormat="1" x14ac:dyDescent="0.3">
      <c r="A37" s="296">
        <f>DATE(2024,11,1)</f>
        <v>45597</v>
      </c>
      <c r="B37" s="297"/>
      <c r="C37" s="298"/>
      <c r="D37" s="290"/>
      <c r="E37" s="298"/>
      <c r="F37" s="297"/>
    </row>
    <row r="38" spans="1:6" x14ac:dyDescent="0.3">
      <c r="A38" s="288">
        <v>1</v>
      </c>
      <c r="B38" s="50">
        <v>45600</v>
      </c>
      <c r="C38" s="10" t="s">
        <v>265</v>
      </c>
      <c r="D38" s="299">
        <v>240700</v>
      </c>
      <c r="E38" s="10" t="s">
        <v>55</v>
      </c>
      <c r="F38" s="50">
        <v>45600</v>
      </c>
    </row>
    <row r="39" spans="1:6" x14ac:dyDescent="0.3">
      <c r="A39" s="288">
        <v>2</v>
      </c>
      <c r="B39" s="50">
        <v>45603</v>
      </c>
      <c r="C39" s="10" t="s">
        <v>271</v>
      </c>
      <c r="D39" s="300">
        <v>172000</v>
      </c>
      <c r="E39" s="10" t="s">
        <v>102</v>
      </c>
      <c r="F39" s="50">
        <v>45608</v>
      </c>
    </row>
    <row r="40" spans="1:6" x14ac:dyDescent="0.3">
      <c r="A40" s="288">
        <v>3</v>
      </c>
      <c r="B40" s="50">
        <v>45608</v>
      </c>
      <c r="C40" s="10" t="s">
        <v>270</v>
      </c>
      <c r="D40" s="11">
        <v>300000</v>
      </c>
      <c r="E40" s="10" t="s">
        <v>55</v>
      </c>
      <c r="F40" s="50">
        <v>45608</v>
      </c>
    </row>
    <row r="41" spans="1:6" x14ac:dyDescent="0.3">
      <c r="A41" s="288">
        <v>4</v>
      </c>
      <c r="B41" s="50">
        <v>45608</v>
      </c>
      <c r="C41" s="10" t="s">
        <v>272</v>
      </c>
      <c r="D41" s="11">
        <v>1000000</v>
      </c>
      <c r="E41" s="10" t="s">
        <v>55</v>
      </c>
      <c r="F41" s="50">
        <v>45608</v>
      </c>
    </row>
    <row r="42" spans="1:6" x14ac:dyDescent="0.3">
      <c r="A42" s="288">
        <v>5</v>
      </c>
      <c r="B42" s="50">
        <v>45610</v>
      </c>
      <c r="C42" s="10" t="s">
        <v>276</v>
      </c>
      <c r="D42" s="300">
        <v>193600</v>
      </c>
      <c r="E42" s="10" t="s">
        <v>55</v>
      </c>
      <c r="F42" s="50">
        <v>45611</v>
      </c>
    </row>
    <row r="43" spans="1:6" x14ac:dyDescent="0.3">
      <c r="A43" s="288">
        <v>6</v>
      </c>
      <c r="B43" s="50">
        <v>45611</v>
      </c>
      <c r="C43" s="10" t="s">
        <v>277</v>
      </c>
      <c r="D43" s="11">
        <v>5000000</v>
      </c>
      <c r="E43" s="10" t="s">
        <v>55</v>
      </c>
      <c r="F43" s="50">
        <v>45611</v>
      </c>
    </row>
    <row r="44" spans="1:6" x14ac:dyDescent="0.3">
      <c r="A44" s="288">
        <v>7</v>
      </c>
      <c r="B44" s="50">
        <v>45611</v>
      </c>
      <c r="C44" s="10" t="s">
        <v>278</v>
      </c>
      <c r="D44" s="11">
        <v>210003</v>
      </c>
      <c r="E44" s="10" t="s">
        <v>102</v>
      </c>
      <c r="F44" s="50">
        <v>45614</v>
      </c>
    </row>
    <row r="45" spans="1:6" s="92" customFormat="1" x14ac:dyDescent="0.3">
      <c r="A45" s="288">
        <v>8</v>
      </c>
      <c r="B45" s="50">
        <v>45615</v>
      </c>
      <c r="C45" s="10" t="s">
        <v>279</v>
      </c>
      <c r="D45" s="11">
        <v>265650</v>
      </c>
      <c r="E45" s="10" t="s">
        <v>102</v>
      </c>
      <c r="F45" s="50">
        <v>45618</v>
      </c>
    </row>
    <row r="46" spans="1:6" s="92" customFormat="1" x14ac:dyDescent="0.3">
      <c r="A46" s="288">
        <v>9</v>
      </c>
      <c r="B46" s="50">
        <v>45618</v>
      </c>
      <c r="C46" s="10" t="s">
        <v>280</v>
      </c>
      <c r="D46" s="66">
        <v>442002</v>
      </c>
      <c r="E46" s="62" t="s">
        <v>102</v>
      </c>
      <c r="F46" s="50">
        <v>45618</v>
      </c>
    </row>
    <row r="47" spans="1:6" s="92" customFormat="1" ht="15" thickBot="1" x14ac:dyDescent="0.35">
      <c r="A47" s="288">
        <v>10</v>
      </c>
      <c r="B47" s="50">
        <v>45590</v>
      </c>
      <c r="C47" s="10" t="s">
        <v>254</v>
      </c>
      <c r="D47" s="11">
        <f>'[3]2024'!$AK$15</f>
        <v>6750000</v>
      </c>
      <c r="E47" s="10" t="s">
        <v>55</v>
      </c>
      <c r="F47" s="50">
        <v>45590</v>
      </c>
    </row>
    <row r="48" spans="1:6" s="92" customFormat="1" ht="15" thickBot="1" x14ac:dyDescent="0.35">
      <c r="A48" s="288">
        <v>11</v>
      </c>
      <c r="B48" s="50">
        <v>45622</v>
      </c>
      <c r="C48" s="322" t="s">
        <v>287</v>
      </c>
      <c r="D48" s="327">
        <v>45076200</v>
      </c>
      <c r="E48" s="328" t="s">
        <v>55</v>
      </c>
      <c r="F48" s="323">
        <v>45622</v>
      </c>
    </row>
    <row r="49" spans="1:6" s="92" customFormat="1" ht="15" thickBot="1" x14ac:dyDescent="0.35">
      <c r="A49" s="307"/>
      <c r="B49" s="112"/>
      <c r="C49" s="156"/>
      <c r="D49" s="329">
        <f>46232*1000</f>
        <v>46232000</v>
      </c>
      <c r="E49" s="330">
        <f>(D49*50%)*5%</f>
        <v>1155800</v>
      </c>
      <c r="F49" s="324"/>
    </row>
    <row r="50" spans="1:6" s="92" customFormat="1" ht="15" thickBot="1" x14ac:dyDescent="0.35">
      <c r="A50" s="307"/>
      <c r="B50" s="112"/>
      <c r="C50" s="156"/>
      <c r="D50" s="329">
        <f>D49-E49</f>
        <v>45076200</v>
      </c>
      <c r="E50" s="331"/>
      <c r="F50" s="324"/>
    </row>
    <row r="51" spans="1:6" s="92" customFormat="1" x14ac:dyDescent="0.3">
      <c r="A51" s="296">
        <f>DATE(2024,12,1)</f>
        <v>45627</v>
      </c>
      <c r="B51" s="112"/>
      <c r="C51" s="96"/>
      <c r="D51" s="325"/>
      <c r="E51" s="326"/>
      <c r="F51" s="112"/>
    </row>
    <row r="52" spans="1:6" s="92" customFormat="1" x14ac:dyDescent="0.3">
      <c r="A52" s="288">
        <v>1</v>
      </c>
      <c r="B52" s="50">
        <v>45609</v>
      </c>
      <c r="C52" s="10" t="s">
        <v>300</v>
      </c>
      <c r="D52" s="11">
        <v>149998</v>
      </c>
      <c r="E52" s="10" t="s">
        <v>102</v>
      </c>
      <c r="F52" s="50">
        <v>45628</v>
      </c>
    </row>
    <row r="53" spans="1:6" s="92" customFormat="1" x14ac:dyDescent="0.3">
      <c r="A53" s="288">
        <v>2</v>
      </c>
      <c r="B53" s="50">
        <v>45618</v>
      </c>
      <c r="C53" s="10" t="s">
        <v>301</v>
      </c>
      <c r="D53" s="11">
        <v>138150</v>
      </c>
      <c r="E53" s="10" t="s">
        <v>302</v>
      </c>
      <c r="F53" s="50">
        <v>45628</v>
      </c>
    </row>
    <row r="54" spans="1:6" s="92" customFormat="1" x14ac:dyDescent="0.3">
      <c r="A54" s="288">
        <v>3</v>
      </c>
      <c r="B54" s="50">
        <v>45628</v>
      </c>
      <c r="C54" s="10" t="s">
        <v>303</v>
      </c>
      <c r="D54" s="11">
        <v>744940</v>
      </c>
      <c r="E54" s="10" t="s">
        <v>55</v>
      </c>
      <c r="F54" s="50">
        <v>45628</v>
      </c>
    </row>
    <row r="55" spans="1:6" x14ac:dyDescent="0.3">
      <c r="A55" s="288">
        <v>4</v>
      </c>
      <c r="B55" s="50">
        <v>45628</v>
      </c>
      <c r="C55" s="10" t="s">
        <v>304</v>
      </c>
      <c r="D55" s="11">
        <v>100000</v>
      </c>
      <c r="E55" s="10" t="s">
        <v>55</v>
      </c>
      <c r="F55" s="50">
        <v>45628</v>
      </c>
    </row>
    <row r="56" spans="1:6" x14ac:dyDescent="0.3">
      <c r="A56" s="321">
        <v>5</v>
      </c>
      <c r="B56" s="63">
        <v>45636</v>
      </c>
      <c r="C56" s="62" t="s">
        <v>309</v>
      </c>
      <c r="D56" s="66">
        <v>300000</v>
      </c>
      <c r="E56" s="62" t="s">
        <v>55</v>
      </c>
      <c r="F56" s="63">
        <v>45636</v>
      </c>
    </row>
    <row r="57" spans="1:6" x14ac:dyDescent="0.3">
      <c r="A57" s="288">
        <v>6</v>
      </c>
      <c r="B57" s="50">
        <v>45639</v>
      </c>
      <c r="C57" s="10" t="s">
        <v>316</v>
      </c>
      <c r="D57" s="11">
        <v>2467800</v>
      </c>
      <c r="E57" s="10" t="s">
        <v>55</v>
      </c>
      <c r="F57" s="50">
        <v>45642</v>
      </c>
    </row>
    <row r="58" spans="1:6" x14ac:dyDescent="0.3">
      <c r="A58" s="288">
        <v>7</v>
      </c>
      <c r="B58" s="50">
        <v>45639</v>
      </c>
      <c r="C58" s="10" t="s">
        <v>317</v>
      </c>
      <c r="D58" s="11">
        <v>60000</v>
      </c>
      <c r="E58" s="10" t="s">
        <v>55</v>
      </c>
      <c r="F58" s="50">
        <v>45642</v>
      </c>
    </row>
    <row r="59" spans="1:6" x14ac:dyDescent="0.3">
      <c r="A59" s="335">
        <v>8</v>
      </c>
      <c r="B59" s="336">
        <v>45642</v>
      </c>
      <c r="C59" s="243" t="s">
        <v>323</v>
      </c>
      <c r="D59" s="334">
        <f>500*40000</f>
        <v>20000000</v>
      </c>
      <c r="E59" s="243" t="s">
        <v>322</v>
      </c>
      <c r="F59" s="336">
        <v>45613</v>
      </c>
    </row>
    <row r="60" spans="1:6" x14ac:dyDescent="0.3">
      <c r="A60" s="288">
        <v>9</v>
      </c>
      <c r="B60" s="50">
        <v>45643</v>
      </c>
      <c r="C60" s="10" t="s">
        <v>277</v>
      </c>
      <c r="D60" s="11">
        <v>5000000</v>
      </c>
      <c r="E60" s="10" t="s">
        <v>55</v>
      </c>
      <c r="F60" s="50">
        <v>45613</v>
      </c>
    </row>
    <row r="61" spans="1:6" x14ac:dyDescent="0.3">
      <c r="A61" s="288">
        <v>10</v>
      </c>
      <c r="B61" s="50">
        <v>45643</v>
      </c>
      <c r="C61" s="10" t="s">
        <v>324</v>
      </c>
      <c r="D61" s="11">
        <v>596850</v>
      </c>
      <c r="E61" s="10" t="s">
        <v>55</v>
      </c>
      <c r="F61" s="50">
        <v>45613</v>
      </c>
    </row>
    <row r="62" spans="1:6" x14ac:dyDescent="0.3">
      <c r="A62" s="288">
        <v>11</v>
      </c>
      <c r="B62" s="50">
        <v>45650</v>
      </c>
      <c r="C62" s="10" t="s">
        <v>326</v>
      </c>
      <c r="D62" s="11">
        <f>'[3]2024'!$AN$15</f>
        <v>6750000</v>
      </c>
      <c r="E62" s="10" t="s">
        <v>55</v>
      </c>
      <c r="F62" s="50">
        <v>45650</v>
      </c>
    </row>
    <row r="63" spans="1:6" x14ac:dyDescent="0.3">
      <c r="A63" s="288">
        <v>12</v>
      </c>
      <c r="B63" s="50">
        <v>45650</v>
      </c>
      <c r="C63" s="10" t="s">
        <v>327</v>
      </c>
      <c r="D63" s="11">
        <f>'[3]2024'!$AN$14</f>
        <v>6742500</v>
      </c>
      <c r="E63" s="10" t="s">
        <v>55</v>
      </c>
      <c r="F63" s="50">
        <v>45650</v>
      </c>
    </row>
    <row r="64" spans="1:6" x14ac:dyDescent="0.3">
      <c r="A64" s="288">
        <v>13</v>
      </c>
      <c r="B64" s="50">
        <v>45646</v>
      </c>
      <c r="C64" s="10" t="s">
        <v>328</v>
      </c>
      <c r="D64" s="11">
        <v>454400</v>
      </c>
      <c r="E64" s="10" t="s">
        <v>102</v>
      </c>
      <c r="F64" s="50">
        <v>45650</v>
      </c>
    </row>
    <row r="65" spans="1:6" x14ac:dyDescent="0.3">
      <c r="A65" s="288">
        <v>14</v>
      </c>
      <c r="B65" s="50">
        <v>45655</v>
      </c>
      <c r="C65" s="10" t="s">
        <v>339</v>
      </c>
      <c r="D65" s="11">
        <v>3139950</v>
      </c>
      <c r="E65" s="10" t="s">
        <v>215</v>
      </c>
      <c r="F65" s="50">
        <v>45656</v>
      </c>
    </row>
    <row r="66" spans="1:6" x14ac:dyDescent="0.3">
      <c r="A66" s="332"/>
      <c r="B66" s="9"/>
      <c r="C66" s="9"/>
      <c r="D66" s="43"/>
      <c r="E66" s="9"/>
      <c r="F66" s="9"/>
    </row>
    <row r="67" spans="1:6" x14ac:dyDescent="0.3">
      <c r="C67" s="18">
        <f>40000/1.11</f>
        <v>36036.036036036036</v>
      </c>
      <c r="D67" s="40">
        <f>C67*500</f>
        <v>18018018.018018018</v>
      </c>
      <c r="E67" s="18">
        <f>D67*11%</f>
        <v>1981981.981981982</v>
      </c>
      <c r="F67" s="53"/>
    </row>
    <row r="68" spans="1:6" x14ac:dyDescent="0.3">
      <c r="E68" s="53">
        <f>D67+E67</f>
        <v>20000000</v>
      </c>
    </row>
    <row r="69" spans="1:6" x14ac:dyDescent="0.3">
      <c r="E69" s="56">
        <f>E67+'pemasukan BNI Agregator'!J66</f>
        <v>4583333.333333333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5C51-CA5D-4B4D-9489-F95B03DC4E46}">
  <dimension ref="B2:G14"/>
  <sheetViews>
    <sheetView workbookViewId="0">
      <selection activeCell="F9" sqref="F9"/>
    </sheetView>
  </sheetViews>
  <sheetFormatPr defaultRowHeight="14.4" x14ac:dyDescent="0.3"/>
  <cols>
    <col min="2" max="2" width="8.77734375" style="13"/>
    <col min="3" max="3" width="21.21875" customWidth="1"/>
    <col min="4" max="4" width="9.44140625" bestFit="1" customWidth="1"/>
    <col min="5" max="5" width="10.109375" style="18" bestFit="1" customWidth="1"/>
    <col min="6" max="6" width="10.33203125" bestFit="1" customWidth="1"/>
    <col min="7" max="7" width="9.21875" bestFit="1" customWidth="1"/>
  </cols>
  <sheetData>
    <row r="2" spans="2:7" x14ac:dyDescent="0.3">
      <c r="B2" s="15" t="s">
        <v>32</v>
      </c>
      <c r="C2" s="15" t="s">
        <v>84</v>
      </c>
      <c r="D2" s="15" t="s">
        <v>49</v>
      </c>
      <c r="E2" s="16" t="s">
        <v>80</v>
      </c>
      <c r="F2" s="15" t="s">
        <v>85</v>
      </c>
      <c r="G2" s="15" t="s">
        <v>81</v>
      </c>
    </row>
    <row r="3" spans="2:7" x14ac:dyDescent="0.3">
      <c r="B3" s="75">
        <v>1</v>
      </c>
      <c r="C3" s="10" t="s">
        <v>86</v>
      </c>
      <c r="D3" s="76">
        <f>DATE(2024,6,11)</f>
        <v>45454</v>
      </c>
      <c r="E3" s="49">
        <v>10000</v>
      </c>
      <c r="F3" s="76">
        <f>DATE(2024,6,27)</f>
        <v>45470</v>
      </c>
      <c r="G3" s="10" t="s">
        <v>56</v>
      </c>
    </row>
    <row r="4" spans="2:7" x14ac:dyDescent="0.3">
      <c r="B4" s="75">
        <v>2</v>
      </c>
      <c r="C4" s="10" t="s">
        <v>88</v>
      </c>
      <c r="D4" s="76">
        <f>DATE(2024,7,1)</f>
        <v>45474</v>
      </c>
      <c r="E4" s="49">
        <v>10000</v>
      </c>
      <c r="F4" s="76">
        <f>DATE(2024,7,4)</f>
        <v>45477</v>
      </c>
      <c r="G4" s="10" t="s">
        <v>56</v>
      </c>
    </row>
    <row r="5" spans="2:7" x14ac:dyDescent="0.3">
      <c r="B5" s="15"/>
      <c r="C5" s="9"/>
      <c r="D5" s="9"/>
      <c r="E5" s="17"/>
      <c r="F5" s="9"/>
      <c r="G5" s="9"/>
    </row>
    <row r="6" spans="2:7" x14ac:dyDescent="0.3">
      <c r="B6" s="15"/>
      <c r="C6" s="9"/>
      <c r="D6" s="9"/>
      <c r="E6" s="17"/>
      <c r="F6" s="9"/>
      <c r="G6" s="9"/>
    </row>
    <row r="7" spans="2:7" x14ac:dyDescent="0.3">
      <c r="B7" s="15"/>
      <c r="C7" s="9"/>
      <c r="D7" s="9"/>
      <c r="E7" s="17"/>
      <c r="F7" s="9"/>
      <c r="G7" s="9"/>
    </row>
    <row r="8" spans="2:7" x14ac:dyDescent="0.3">
      <c r="B8" s="15"/>
      <c r="C8" s="9"/>
      <c r="D8" s="9"/>
      <c r="E8" s="17"/>
      <c r="F8" s="9"/>
      <c r="G8" s="9"/>
    </row>
    <row r="9" spans="2:7" x14ac:dyDescent="0.3">
      <c r="B9" s="15"/>
      <c r="C9" s="9"/>
      <c r="D9" s="9"/>
      <c r="E9" s="17"/>
      <c r="F9" s="9"/>
      <c r="G9" s="9"/>
    </row>
    <row r="10" spans="2:7" x14ac:dyDescent="0.3">
      <c r="B10" s="15"/>
      <c r="C10" s="9"/>
      <c r="D10" s="9"/>
      <c r="E10" s="17"/>
      <c r="F10" s="9"/>
      <c r="G10" s="9"/>
    </row>
    <row r="11" spans="2:7" x14ac:dyDescent="0.3">
      <c r="B11" s="15"/>
      <c r="C11" s="9"/>
      <c r="D11" s="9"/>
      <c r="E11" s="17"/>
      <c r="F11" s="9"/>
      <c r="G11" s="9"/>
    </row>
    <row r="12" spans="2:7" x14ac:dyDescent="0.3">
      <c r="B12" s="15"/>
      <c r="C12" s="9"/>
      <c r="D12" s="9"/>
      <c r="E12" s="17"/>
      <c r="F12" s="9"/>
      <c r="G12" s="9"/>
    </row>
    <row r="13" spans="2:7" x14ac:dyDescent="0.3">
      <c r="B13" s="15"/>
      <c r="C13" s="9"/>
      <c r="D13" s="9"/>
      <c r="E13" s="17"/>
      <c r="F13" s="9"/>
      <c r="G13" s="9"/>
    </row>
    <row r="14" spans="2:7" x14ac:dyDescent="0.3">
      <c r="B14" s="15"/>
      <c r="C14" s="9"/>
      <c r="D14" s="9"/>
      <c r="E14" s="17"/>
      <c r="F14" s="9"/>
      <c r="G14" s="9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D39DF-0EC0-4990-B821-8158FC58FA27}">
  <sheetPr>
    <pageSetUpPr fitToPage="1"/>
  </sheetPr>
  <dimension ref="B2:M16"/>
  <sheetViews>
    <sheetView workbookViewId="0">
      <selection activeCell="M12" sqref="M12"/>
    </sheetView>
  </sheetViews>
  <sheetFormatPr defaultRowHeight="14.4" x14ac:dyDescent="0.3"/>
  <cols>
    <col min="3" max="3" width="14.77734375" bestFit="1" customWidth="1"/>
    <col min="5" max="5" width="10" bestFit="1" customWidth="1"/>
    <col min="6" max="6" width="12" bestFit="1" customWidth="1"/>
    <col min="7" max="8" width="12" customWidth="1"/>
    <col min="9" max="9" width="12" bestFit="1" customWidth="1"/>
    <col min="10" max="11" width="12" customWidth="1"/>
    <col min="12" max="12" width="12" bestFit="1" customWidth="1"/>
  </cols>
  <sheetData>
    <row r="2" spans="2:13" x14ac:dyDescent="0.3">
      <c r="B2" s="279" t="s">
        <v>223</v>
      </c>
    </row>
    <row r="3" spans="2:13" x14ac:dyDescent="0.3">
      <c r="B3" s="281" t="s">
        <v>224</v>
      </c>
    </row>
    <row r="4" spans="2:13" x14ac:dyDescent="0.3">
      <c r="B4" s="15" t="s">
        <v>32</v>
      </c>
      <c r="C4" s="15" t="s">
        <v>225</v>
      </c>
      <c r="D4" s="15" t="s">
        <v>162</v>
      </c>
      <c r="E4" s="15" t="s">
        <v>226</v>
      </c>
      <c r="F4" s="420" t="s">
        <v>227</v>
      </c>
      <c r="G4" s="421"/>
      <c r="H4" s="422"/>
      <c r="I4" s="420" t="s">
        <v>228</v>
      </c>
      <c r="J4" s="421"/>
      <c r="K4" s="422"/>
      <c r="L4" s="15" t="s">
        <v>229</v>
      </c>
    </row>
    <row r="5" spans="2:13" x14ac:dyDescent="0.3">
      <c r="B5" s="15">
        <v>1</v>
      </c>
      <c r="C5" s="9" t="s">
        <v>230</v>
      </c>
      <c r="D5" s="17"/>
      <c r="E5" s="9" t="s">
        <v>231</v>
      </c>
      <c r="F5" s="15" t="s">
        <v>234</v>
      </c>
      <c r="G5" s="15" t="s">
        <v>235</v>
      </c>
      <c r="H5" s="15" t="s">
        <v>236</v>
      </c>
      <c r="I5" s="15" t="s">
        <v>237</v>
      </c>
      <c r="J5" s="15" t="s">
        <v>235</v>
      </c>
      <c r="K5" s="15" t="s">
        <v>236</v>
      </c>
      <c r="L5" s="9"/>
    </row>
    <row r="6" spans="2:13" x14ac:dyDescent="0.3">
      <c r="B6" s="15"/>
      <c r="C6" s="280" t="s">
        <v>232</v>
      </c>
      <c r="D6" s="17">
        <v>20000</v>
      </c>
      <c r="E6" s="9"/>
      <c r="F6" s="423">
        <v>47175</v>
      </c>
      <c r="G6" s="423">
        <f>0.35*16000</f>
        <v>5600</v>
      </c>
      <c r="H6" s="423">
        <f>F6*G6</f>
        <v>264180000</v>
      </c>
      <c r="I6" s="423">
        <f>F6-(F6*2%)</f>
        <v>46231.5</v>
      </c>
      <c r="J6" s="423">
        <v>3200</v>
      </c>
      <c r="K6" s="423">
        <f>I6*J6</f>
        <v>147940800</v>
      </c>
      <c r="L6" s="417">
        <f>I6*7200</f>
        <v>332866800</v>
      </c>
    </row>
    <row r="7" spans="2:13" x14ac:dyDescent="0.3">
      <c r="B7" s="15"/>
      <c r="C7" s="9"/>
      <c r="D7" s="17"/>
      <c r="E7" s="9"/>
      <c r="F7" s="424"/>
      <c r="G7" s="424"/>
      <c r="H7" s="424"/>
      <c r="I7" s="424"/>
      <c r="J7" s="424"/>
      <c r="K7" s="424"/>
      <c r="L7" s="418"/>
    </row>
    <row r="8" spans="2:13" x14ac:dyDescent="0.3">
      <c r="B8" s="15"/>
      <c r="C8" s="9"/>
      <c r="D8" s="17"/>
      <c r="E8" s="9"/>
      <c r="F8" s="424"/>
      <c r="G8" s="424"/>
      <c r="H8" s="424"/>
      <c r="I8" s="424"/>
      <c r="J8" s="424"/>
      <c r="K8" s="424"/>
      <c r="L8" s="418"/>
    </row>
    <row r="9" spans="2:13" x14ac:dyDescent="0.3">
      <c r="B9" s="15">
        <v>2</v>
      </c>
      <c r="C9" s="9" t="s">
        <v>233</v>
      </c>
      <c r="D9" s="17">
        <v>20000</v>
      </c>
      <c r="E9" s="9"/>
      <c r="F9" s="425"/>
      <c r="G9" s="425"/>
      <c r="H9" s="425"/>
      <c r="I9" s="425"/>
      <c r="J9" s="425"/>
      <c r="K9" s="425"/>
      <c r="L9" s="419"/>
    </row>
    <row r="10" spans="2:13" x14ac:dyDescent="0.3">
      <c r="B10" s="15"/>
      <c r="C10" s="9"/>
      <c r="D10" s="17"/>
      <c r="E10" s="9"/>
      <c r="F10" s="17"/>
      <c r="G10" s="17"/>
      <c r="H10" s="17"/>
      <c r="I10" s="17"/>
      <c r="J10" s="17"/>
      <c r="K10" s="17"/>
      <c r="L10" s="9"/>
    </row>
    <row r="11" spans="2:13" x14ac:dyDescent="0.3">
      <c r="B11" s="15"/>
      <c r="C11" s="9"/>
      <c r="D11" s="17"/>
      <c r="E11" s="9"/>
      <c r="F11" s="17"/>
      <c r="G11" s="17"/>
      <c r="H11" s="17"/>
      <c r="I11" s="17"/>
      <c r="J11" s="17"/>
      <c r="K11" s="17"/>
      <c r="L11" s="9"/>
    </row>
    <row r="12" spans="2:13" x14ac:dyDescent="0.3">
      <c r="B12" s="15"/>
      <c r="C12" s="9"/>
      <c r="D12" s="9"/>
      <c r="E12" s="9"/>
      <c r="F12" s="17"/>
      <c r="G12" s="17"/>
      <c r="H12" s="17"/>
      <c r="I12" s="17"/>
      <c r="J12" s="17"/>
      <c r="K12" s="17"/>
      <c r="L12" s="9"/>
      <c r="M12" t="s">
        <v>296</v>
      </c>
    </row>
    <row r="13" spans="2:13" x14ac:dyDescent="0.3">
      <c r="B13" s="15"/>
      <c r="C13" s="9"/>
      <c r="D13" s="9"/>
      <c r="E13" s="9"/>
      <c r="F13" s="17"/>
      <c r="G13" s="17"/>
      <c r="H13" s="17"/>
      <c r="I13" s="17"/>
      <c r="J13" s="17"/>
      <c r="K13" s="17"/>
      <c r="L13" s="9"/>
    </row>
    <row r="14" spans="2:13" x14ac:dyDescent="0.3">
      <c r="B14" s="15"/>
      <c r="C14" s="9"/>
      <c r="D14" s="9"/>
      <c r="E14" s="9"/>
      <c r="F14" s="17"/>
      <c r="G14" s="17"/>
      <c r="H14" s="17"/>
      <c r="I14" s="17"/>
      <c r="J14" s="17"/>
      <c r="K14" s="17"/>
      <c r="L14" s="9"/>
    </row>
    <row r="15" spans="2:13" x14ac:dyDescent="0.3">
      <c r="B15" s="15"/>
      <c r="C15" s="9"/>
      <c r="D15" s="17">
        <f>SUM(D6:D14)</f>
        <v>40000</v>
      </c>
      <c r="E15" s="9"/>
      <c r="F15" s="17">
        <f>SUM(F6:F14)</f>
        <v>47175</v>
      </c>
      <c r="G15" s="17">
        <f t="shared" ref="G15:H15" si="0">SUM(G6:G14)</f>
        <v>5600</v>
      </c>
      <c r="H15" s="17">
        <f t="shared" si="0"/>
        <v>264180000</v>
      </c>
      <c r="I15" s="17">
        <f>SUM(I6:I14)</f>
        <v>46231.5</v>
      </c>
      <c r="J15" s="17">
        <f t="shared" ref="J15:K15" si="1">SUM(J6:J14)</f>
        <v>3200</v>
      </c>
      <c r="K15" s="17">
        <f t="shared" si="1"/>
        <v>147940800</v>
      </c>
      <c r="L15" s="17">
        <f>SUM(L6:L14)</f>
        <v>332866800</v>
      </c>
    </row>
    <row r="16" spans="2:13" x14ac:dyDescent="0.3">
      <c r="B16" s="13"/>
      <c r="I16" s="56"/>
      <c r="J16" s="56"/>
      <c r="K16" s="56"/>
      <c r="L16" s="56">
        <f>H15+K15+L15</f>
        <v>744987600</v>
      </c>
    </row>
  </sheetData>
  <mergeCells count="9">
    <mergeCell ref="L6:L9"/>
    <mergeCell ref="I4:K4"/>
    <mergeCell ref="K6:K9"/>
    <mergeCell ref="F6:F9"/>
    <mergeCell ref="G6:G9"/>
    <mergeCell ref="F4:H4"/>
    <mergeCell ref="H6:H9"/>
    <mergeCell ref="I6:I9"/>
    <mergeCell ref="J6:J9"/>
  </mergeCells>
  <pageMargins left="0.7" right="0.7" top="0.75" bottom="0.75" header="0.3" footer="0.3"/>
  <pageSetup scale="6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27C09-A20D-4F89-B3B8-C63E5117ED83}">
  <dimension ref="B3:L17"/>
  <sheetViews>
    <sheetView workbookViewId="0">
      <selection activeCell="G13" sqref="G13"/>
    </sheetView>
  </sheetViews>
  <sheetFormatPr defaultRowHeight="14.4" x14ac:dyDescent="0.3"/>
  <cols>
    <col min="2" max="2" width="8.77734375" style="13"/>
    <col min="3" max="3" width="18.6640625" style="13" bestFit="1" customWidth="1"/>
    <col min="4" max="4" width="9.44140625" bestFit="1" customWidth="1"/>
    <col min="5" max="5" width="12.33203125" style="18" bestFit="1" customWidth="1"/>
    <col min="6" max="7" width="12.33203125" style="18" customWidth="1"/>
    <col min="8" max="8" width="16.5546875" style="18" bestFit="1" customWidth="1"/>
    <col min="9" max="9" width="17.21875" style="18" bestFit="1" customWidth="1"/>
    <col min="10" max="10" width="17.21875" style="18" customWidth="1"/>
    <col min="12" max="12" width="16" bestFit="1" customWidth="1"/>
  </cols>
  <sheetData>
    <row r="3" spans="2:12" x14ac:dyDescent="0.3">
      <c r="B3" s="15" t="s">
        <v>32</v>
      </c>
      <c r="C3" s="15" t="s">
        <v>132</v>
      </c>
      <c r="D3" s="15" t="s">
        <v>33</v>
      </c>
      <c r="E3" s="16" t="s">
        <v>34</v>
      </c>
      <c r="F3" s="16" t="s">
        <v>82</v>
      </c>
      <c r="G3" s="16" t="s">
        <v>83</v>
      </c>
      <c r="H3" s="15" t="s">
        <v>133</v>
      </c>
      <c r="I3" s="16" t="s">
        <v>35</v>
      </c>
      <c r="J3" s="16" t="s">
        <v>123</v>
      </c>
      <c r="K3" s="15" t="s">
        <v>36</v>
      </c>
      <c r="L3" s="15" t="s">
        <v>81</v>
      </c>
    </row>
    <row r="4" spans="2:12" x14ac:dyDescent="0.3">
      <c r="B4" s="75">
        <v>1</v>
      </c>
      <c r="C4" s="77" t="s">
        <v>87</v>
      </c>
      <c r="D4" s="78">
        <f>DATE(2024,6,11)</f>
        <v>45454</v>
      </c>
      <c r="E4" s="79">
        <v>11729</v>
      </c>
      <c r="F4" s="79">
        <f>(E4*2%)+50-15</f>
        <v>269.58000000000004</v>
      </c>
      <c r="G4" s="49">
        <f>E4-F4</f>
        <v>11459.42</v>
      </c>
      <c r="H4" s="49"/>
      <c r="I4" s="49">
        <v>10000</v>
      </c>
      <c r="J4" s="49">
        <v>10000</v>
      </c>
      <c r="K4" s="80">
        <f>G4-J4</f>
        <v>1459.42</v>
      </c>
      <c r="L4" s="10"/>
    </row>
    <row r="5" spans="2:12" x14ac:dyDescent="0.3">
      <c r="B5" s="75">
        <v>2</v>
      </c>
      <c r="C5" s="81"/>
      <c r="D5" s="82"/>
      <c r="E5" s="83"/>
      <c r="F5" s="83"/>
      <c r="G5" s="49"/>
      <c r="H5" s="49"/>
      <c r="I5" s="49">
        <v>1450</v>
      </c>
      <c r="J5" s="49">
        <v>1500</v>
      </c>
      <c r="K5" s="80">
        <f>K4-J5</f>
        <v>-40.579999999999927</v>
      </c>
      <c r="L5" s="10"/>
    </row>
    <row r="6" spans="2:12" x14ac:dyDescent="0.3">
      <c r="B6" s="75">
        <v>4</v>
      </c>
      <c r="C6" s="77" t="s">
        <v>105</v>
      </c>
      <c r="D6" s="78">
        <f>DATE(2024,7,1)</f>
        <v>45474</v>
      </c>
      <c r="E6" s="49">
        <v>11746</v>
      </c>
      <c r="F6" s="79">
        <f>E6*2%</f>
        <v>234.92000000000002</v>
      </c>
      <c r="G6" s="49">
        <f>E6-F6</f>
        <v>11511.08</v>
      </c>
      <c r="H6" s="49"/>
      <c r="I6" s="49">
        <v>10000</v>
      </c>
      <c r="J6" s="49">
        <v>10000</v>
      </c>
      <c r="K6" s="80">
        <f>K5+G6-J6</f>
        <v>1470.5</v>
      </c>
      <c r="L6" s="10"/>
    </row>
    <row r="7" spans="2:12" x14ac:dyDescent="0.3">
      <c r="B7" s="75"/>
      <c r="C7" s="77"/>
      <c r="D7" s="78"/>
      <c r="E7" s="49"/>
      <c r="F7" s="79"/>
      <c r="G7" s="49"/>
      <c r="H7" s="49"/>
      <c r="I7" s="49">
        <v>1000</v>
      </c>
      <c r="J7" s="49">
        <v>1000</v>
      </c>
      <c r="K7" s="80">
        <f>K6-J7</f>
        <v>470.5</v>
      </c>
      <c r="L7" s="10"/>
    </row>
    <row r="8" spans="2:12" x14ac:dyDescent="0.3">
      <c r="B8" s="75">
        <v>5</v>
      </c>
      <c r="C8" s="10" t="s">
        <v>121</v>
      </c>
      <c r="D8" s="50">
        <v>45489</v>
      </c>
      <c r="E8" s="49">
        <v>11795</v>
      </c>
      <c r="F8" s="79">
        <f>E8*2%</f>
        <v>235.9</v>
      </c>
      <c r="G8" s="49">
        <f>E8-F8</f>
        <v>11559.1</v>
      </c>
      <c r="H8" s="10" t="s">
        <v>121</v>
      </c>
      <c r="I8" s="49">
        <v>10000</v>
      </c>
      <c r="J8" s="17"/>
      <c r="K8" s="9"/>
      <c r="L8" s="9"/>
    </row>
    <row r="9" spans="2:12" x14ac:dyDescent="0.3">
      <c r="B9" s="75">
        <v>6</v>
      </c>
      <c r="C9" s="10" t="s">
        <v>131</v>
      </c>
      <c r="D9" s="50">
        <v>45504</v>
      </c>
      <c r="E9" s="49">
        <v>30434</v>
      </c>
      <c r="F9" s="79">
        <f>E9*2%</f>
        <v>608.68000000000006</v>
      </c>
      <c r="G9" s="49">
        <f>E9-F9</f>
        <v>29825.32</v>
      </c>
      <c r="H9" s="49"/>
      <c r="I9" s="49"/>
      <c r="J9" s="17"/>
      <c r="K9" s="9"/>
      <c r="L9" s="9"/>
    </row>
    <row r="10" spans="2:12" x14ac:dyDescent="0.3">
      <c r="B10" s="15"/>
      <c r="C10" s="15"/>
      <c r="D10" s="9"/>
      <c r="E10" s="17"/>
      <c r="F10" s="17"/>
      <c r="G10" s="17"/>
      <c r="H10" s="17"/>
      <c r="I10" s="17"/>
      <c r="J10" s="17"/>
      <c r="K10" s="9"/>
      <c r="L10" s="9"/>
    </row>
    <row r="11" spans="2:12" x14ac:dyDescent="0.3">
      <c r="B11" s="15"/>
      <c r="C11" s="15"/>
      <c r="D11" s="9"/>
      <c r="E11" s="17"/>
      <c r="F11" s="17"/>
      <c r="G11" s="17"/>
      <c r="H11" s="17"/>
      <c r="I11" s="17"/>
      <c r="J11" s="17"/>
      <c r="K11" s="9"/>
      <c r="L11" s="9"/>
    </row>
    <row r="12" spans="2:12" x14ac:dyDescent="0.3">
      <c r="B12" s="15"/>
      <c r="C12" s="15"/>
      <c r="D12" s="9"/>
      <c r="E12" s="17"/>
      <c r="F12" s="17"/>
      <c r="G12" s="17"/>
      <c r="H12" s="17"/>
      <c r="I12" s="17"/>
      <c r="J12" s="17"/>
      <c r="K12" s="9"/>
      <c r="L12" s="9"/>
    </row>
    <row r="13" spans="2:12" x14ac:dyDescent="0.3">
      <c r="B13" s="15"/>
      <c r="C13" s="15"/>
      <c r="D13" s="9"/>
      <c r="E13" s="17"/>
      <c r="F13" s="17"/>
      <c r="G13" s="17"/>
      <c r="H13" s="17"/>
      <c r="I13" s="17"/>
      <c r="J13" s="17"/>
      <c r="K13" s="9"/>
      <c r="L13" s="9"/>
    </row>
    <row r="14" spans="2:12" x14ac:dyDescent="0.3">
      <c r="B14" s="15"/>
      <c r="C14" s="15"/>
      <c r="D14" s="9"/>
      <c r="E14" s="17"/>
      <c r="F14" s="17"/>
      <c r="G14" s="17"/>
      <c r="H14" s="17"/>
      <c r="I14" s="17"/>
      <c r="J14" s="17"/>
      <c r="K14" s="9"/>
      <c r="L14" s="9"/>
    </row>
    <row r="15" spans="2:12" x14ac:dyDescent="0.3">
      <c r="B15" s="15"/>
      <c r="C15" s="15"/>
      <c r="D15" s="9"/>
      <c r="E15" s="17"/>
      <c r="F15" s="17"/>
      <c r="G15" s="17"/>
      <c r="H15" s="17"/>
      <c r="I15" s="17"/>
      <c r="J15" s="17"/>
      <c r="K15" s="9"/>
      <c r="L15" s="9"/>
    </row>
    <row r="16" spans="2:12" x14ac:dyDescent="0.3">
      <c r="B16" s="15"/>
      <c r="C16" s="15"/>
      <c r="D16" s="9"/>
      <c r="E16" s="17"/>
      <c r="F16" s="17"/>
      <c r="G16" s="17"/>
      <c r="H16" s="17"/>
      <c r="I16" s="17"/>
      <c r="J16" s="17"/>
      <c r="K16" s="9"/>
      <c r="L16" s="9"/>
    </row>
    <row r="17" spans="2:12" x14ac:dyDescent="0.3">
      <c r="B17" s="15"/>
      <c r="C17" s="15"/>
      <c r="D17" s="9"/>
      <c r="E17" s="17"/>
      <c r="F17" s="17"/>
      <c r="G17" s="17"/>
      <c r="H17" s="17"/>
      <c r="I17" s="17"/>
      <c r="J17" s="17"/>
      <c r="K17" s="9"/>
      <c r="L17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3A94-3FC6-488B-A860-5787E378DA53}">
  <dimension ref="A1:Z430"/>
  <sheetViews>
    <sheetView topLeftCell="K400" workbookViewId="0">
      <selection activeCell="N428" sqref="N428"/>
    </sheetView>
  </sheetViews>
  <sheetFormatPr defaultRowHeight="14.4" x14ac:dyDescent="0.3"/>
  <cols>
    <col min="1" max="1" width="11.5546875" bestFit="1" customWidth="1"/>
    <col min="3" max="3" width="10.21875" bestFit="1" customWidth="1"/>
    <col min="5" max="5" width="11" bestFit="1" customWidth="1"/>
    <col min="6" max="6" width="13.6640625" bestFit="1" customWidth="1"/>
    <col min="7" max="8" width="12.77734375" bestFit="1" customWidth="1"/>
    <col min="9" max="9" width="29" bestFit="1" customWidth="1"/>
    <col min="10" max="10" width="10.5546875" bestFit="1" customWidth="1"/>
    <col min="11" max="11" width="12" bestFit="1" customWidth="1"/>
    <col min="13" max="13" width="29" bestFit="1" customWidth="1"/>
    <col min="14" max="14" width="10.109375" bestFit="1" customWidth="1"/>
    <col min="15" max="15" width="13.6640625" bestFit="1" customWidth="1"/>
    <col min="16" max="16" width="15.77734375" bestFit="1" customWidth="1"/>
    <col min="17" max="17" width="29" style="40" bestFit="1" customWidth="1"/>
    <col min="18" max="18" width="33" customWidth="1"/>
    <col min="19" max="19" width="16.77734375" bestFit="1" customWidth="1"/>
    <col min="20" max="20" width="15.77734375" style="18" bestFit="1" customWidth="1"/>
    <col min="21" max="21" width="29" bestFit="1" customWidth="1"/>
    <col min="22" max="24" width="29" customWidth="1"/>
    <col min="25" max="25" width="16" customWidth="1"/>
    <col min="26" max="26" width="11" bestFit="1" customWidth="1"/>
  </cols>
  <sheetData>
    <row r="1" spans="1:24" x14ac:dyDescent="0.3">
      <c r="M1" s="152">
        <v>45467</v>
      </c>
    </row>
    <row r="2" spans="1:24" x14ac:dyDescent="0.3">
      <c r="M2" s="12" t="s">
        <v>90</v>
      </c>
      <c r="Q2" s="309" t="s">
        <v>79</v>
      </c>
      <c r="U2" s="12" t="s">
        <v>129</v>
      </c>
      <c r="V2" s="12"/>
      <c r="W2" s="12"/>
      <c r="X2" s="12"/>
    </row>
    <row r="3" spans="1:24" x14ac:dyDescent="0.3">
      <c r="M3" s="10" t="s">
        <v>69</v>
      </c>
      <c r="N3" s="49"/>
      <c r="O3" s="49">
        <v>10000</v>
      </c>
      <c r="Q3" s="309"/>
    </row>
    <row r="4" spans="1:24" x14ac:dyDescent="0.3">
      <c r="A4" s="19"/>
      <c r="B4" s="20" t="s">
        <v>37</v>
      </c>
      <c r="C4" s="21" t="s">
        <v>38</v>
      </c>
      <c r="D4" s="22" t="s">
        <v>8</v>
      </c>
      <c r="E4" s="22" t="s">
        <v>76</v>
      </c>
      <c r="F4" s="23" t="s">
        <v>6</v>
      </c>
      <c r="G4" s="23" t="s">
        <v>37</v>
      </c>
      <c r="H4" s="21" t="s">
        <v>38</v>
      </c>
      <c r="I4" s="23" t="s">
        <v>8</v>
      </c>
      <c r="J4" s="13"/>
      <c r="M4" s="10" t="s">
        <v>67</v>
      </c>
      <c r="N4" s="49">
        <v>19820</v>
      </c>
      <c r="O4" s="80">
        <f>N4*O3</f>
        <v>198200000</v>
      </c>
      <c r="Q4" s="309"/>
    </row>
    <row r="5" spans="1:24" x14ac:dyDescent="0.3">
      <c r="A5" s="59" t="s">
        <v>39</v>
      </c>
      <c r="B5" s="24">
        <v>22000</v>
      </c>
      <c r="C5" s="24">
        <f>B5/1.11</f>
        <v>19819.819819819819</v>
      </c>
      <c r="D5" s="25">
        <f>C5*11%</f>
        <v>2180.1801801801803</v>
      </c>
      <c r="E5" s="25"/>
      <c r="F5" s="24">
        <v>10000</v>
      </c>
      <c r="G5" s="24">
        <f>F5*B5</f>
        <v>220000000</v>
      </c>
      <c r="H5" s="26">
        <f>C5*F5</f>
        <v>198198198.1981982</v>
      </c>
      <c r="I5" s="24">
        <f>F5*D5</f>
        <v>21801801.801801804</v>
      </c>
      <c r="M5" s="10" t="s">
        <v>68</v>
      </c>
      <c r="N5" s="49">
        <f>6031*111%</f>
        <v>6694.4100000000008</v>
      </c>
      <c r="O5" s="80">
        <f>N5*O3</f>
        <v>66944100.000000007</v>
      </c>
      <c r="Q5" s="309"/>
    </row>
    <row r="6" spans="1:24" x14ac:dyDescent="0.3">
      <c r="B6" s="27"/>
      <c r="C6" s="27"/>
      <c r="D6" s="28"/>
      <c r="E6" s="28"/>
      <c r="F6" s="29"/>
      <c r="G6" s="29"/>
      <c r="H6" s="29"/>
      <c r="I6" s="29"/>
      <c r="M6" s="10" t="s">
        <v>72</v>
      </c>
      <c r="N6" s="49">
        <f>3200*111%</f>
        <v>3552.0000000000005</v>
      </c>
      <c r="O6" s="49">
        <f>N6*O3</f>
        <v>35520000.000000007</v>
      </c>
      <c r="Q6" s="309"/>
    </row>
    <row r="7" spans="1:24" x14ac:dyDescent="0.3">
      <c r="A7" s="12" t="s">
        <v>40</v>
      </c>
      <c r="D7" s="53"/>
      <c r="F7" s="29"/>
      <c r="G7" s="29"/>
      <c r="H7" s="29"/>
      <c r="I7" s="29"/>
      <c r="M7" s="10" t="s">
        <v>70</v>
      </c>
      <c r="N7" s="49">
        <f>N4-N5-N6</f>
        <v>9573.59</v>
      </c>
      <c r="O7" s="49">
        <f>N7*O3</f>
        <v>95735900</v>
      </c>
      <c r="Q7" s="309"/>
    </row>
    <row r="8" spans="1:24" x14ac:dyDescent="0.3">
      <c r="A8" s="9" t="s">
        <v>41</v>
      </c>
      <c r="B8" s="25">
        <f>C8+D8</f>
        <v>6694.41</v>
      </c>
      <c r="C8" s="24">
        <v>6031</v>
      </c>
      <c r="D8" s="25">
        <f t="shared" ref="D8:D9" si="0">C8*11%</f>
        <v>663.41</v>
      </c>
      <c r="E8" s="25">
        <f>C8+D8</f>
        <v>6694.41</v>
      </c>
      <c r="F8" s="24">
        <v>10000</v>
      </c>
      <c r="G8" s="24">
        <f t="shared" ref="G8:G11" si="1">F8*B8</f>
        <v>66944100</v>
      </c>
      <c r="H8" s="26">
        <f t="shared" ref="H8:H11" si="2">C8*F8</f>
        <v>60310000</v>
      </c>
      <c r="I8" s="24">
        <f t="shared" ref="I8:I11" si="3">F8*D8</f>
        <v>6634100</v>
      </c>
      <c r="M8" s="10" t="s">
        <v>71</v>
      </c>
      <c r="N8" s="49">
        <f>7200</f>
        <v>7200</v>
      </c>
      <c r="O8" s="49">
        <f>N8*O3</f>
        <v>72000000</v>
      </c>
      <c r="Q8" s="309"/>
    </row>
    <row r="9" spans="1:24" x14ac:dyDescent="0.3">
      <c r="A9" s="9" t="s">
        <v>42</v>
      </c>
      <c r="B9" s="25">
        <f t="shared" ref="B9:B10" si="4">C9+D9</f>
        <v>3552</v>
      </c>
      <c r="C9" s="24">
        <v>3200</v>
      </c>
      <c r="D9" s="25">
        <f t="shared" si="0"/>
        <v>352</v>
      </c>
      <c r="E9" s="25">
        <f>C9+D9</f>
        <v>3552</v>
      </c>
      <c r="F9" s="24">
        <v>10000</v>
      </c>
      <c r="G9" s="24">
        <f t="shared" si="1"/>
        <v>35520000</v>
      </c>
      <c r="H9" s="26">
        <f t="shared" si="2"/>
        <v>32000000</v>
      </c>
      <c r="I9" s="24">
        <f t="shared" si="3"/>
        <v>3520000</v>
      </c>
      <c r="M9" s="10" t="s">
        <v>70</v>
      </c>
      <c r="N9" s="49">
        <f>N7-N8</f>
        <v>2373.59</v>
      </c>
      <c r="O9" s="49">
        <f>N9*O3</f>
        <v>23735900</v>
      </c>
      <c r="Q9" s="309"/>
    </row>
    <row r="10" spans="1:24" x14ac:dyDescent="0.3">
      <c r="A10" s="9" t="s">
        <v>43</v>
      </c>
      <c r="B10" s="25">
        <f t="shared" si="4"/>
        <v>7200</v>
      </c>
      <c r="C10" s="24">
        <v>7200</v>
      </c>
      <c r="D10" s="57">
        <v>0</v>
      </c>
      <c r="E10" s="25">
        <f>C10+D10</f>
        <v>7200</v>
      </c>
      <c r="F10" s="24">
        <v>10000</v>
      </c>
      <c r="G10" s="24">
        <f t="shared" si="1"/>
        <v>72000000</v>
      </c>
      <c r="H10" s="26">
        <f t="shared" si="2"/>
        <v>72000000</v>
      </c>
      <c r="I10" s="24">
        <f t="shared" si="3"/>
        <v>0</v>
      </c>
      <c r="M10" s="10" t="s">
        <v>27</v>
      </c>
      <c r="N10" s="49">
        <f>N9*3%</f>
        <v>71.207700000000003</v>
      </c>
      <c r="O10" s="49">
        <f>N10*10000</f>
        <v>712077</v>
      </c>
      <c r="Q10" s="309"/>
    </row>
    <row r="11" spans="1:24" ht="15" thickBot="1" x14ac:dyDescent="0.35">
      <c r="A11" s="30" t="s">
        <v>44</v>
      </c>
      <c r="B11" s="31">
        <f>SUM(B8:B10)</f>
        <v>17446.41</v>
      </c>
      <c r="C11" s="31">
        <f>SUM(C8:C10)</f>
        <v>16431</v>
      </c>
      <c r="D11" s="31">
        <f>SUM(D8:D10)</f>
        <v>1015.41</v>
      </c>
      <c r="E11" s="31">
        <f>SUM(E8:E10)</f>
        <v>17446.41</v>
      </c>
      <c r="F11" s="32">
        <v>10000</v>
      </c>
      <c r="G11" s="32">
        <f t="shared" si="1"/>
        <v>174464100</v>
      </c>
      <c r="H11" s="32">
        <f t="shared" si="2"/>
        <v>164310000</v>
      </c>
      <c r="I11" s="32">
        <f t="shared" si="3"/>
        <v>10154100</v>
      </c>
      <c r="M11" s="62" t="s">
        <v>70</v>
      </c>
      <c r="N11" s="65">
        <f>N9-N10</f>
        <v>2302.3823000000002</v>
      </c>
      <c r="O11" s="65">
        <f>O9-O10</f>
        <v>23023823</v>
      </c>
      <c r="Q11" s="309"/>
    </row>
    <row r="12" spans="1:24" x14ac:dyDescent="0.3">
      <c r="A12" s="33" t="s">
        <v>45</v>
      </c>
      <c r="B12" s="34"/>
      <c r="C12" s="34"/>
      <c r="D12" s="34"/>
      <c r="E12" s="34"/>
      <c r="F12" s="35">
        <v>10000</v>
      </c>
      <c r="G12" s="35">
        <v>100</v>
      </c>
      <c r="H12" s="36">
        <f>F12*G12</f>
        <v>1000000</v>
      </c>
      <c r="I12" s="35"/>
      <c r="M12" s="122" t="s">
        <v>93</v>
      </c>
      <c r="N12" s="123">
        <f>N11*35%</f>
        <v>805.83380499999998</v>
      </c>
      <c r="O12" s="124">
        <f>N12*O3</f>
        <v>8058338.0499999998</v>
      </c>
      <c r="Q12" s="309"/>
    </row>
    <row r="13" spans="1:24" x14ac:dyDescent="0.3">
      <c r="A13" s="9" t="s">
        <v>9</v>
      </c>
      <c r="B13" s="9"/>
      <c r="C13" s="9"/>
      <c r="D13" s="9"/>
      <c r="E13" s="9"/>
      <c r="F13" s="9"/>
      <c r="G13" s="9"/>
      <c r="H13" s="37">
        <f>H11+H12</f>
        <v>165310000</v>
      </c>
      <c r="I13" s="9"/>
      <c r="J13" t="s">
        <v>46</v>
      </c>
      <c r="M13" s="125" t="s">
        <v>108</v>
      </c>
      <c r="N13" s="49">
        <f>N12*5%</f>
        <v>40.291690250000002</v>
      </c>
      <c r="O13" s="126">
        <f>N13*O3</f>
        <v>402916.90250000003</v>
      </c>
      <c r="P13" t="s">
        <v>110</v>
      </c>
      <c r="Q13" s="309"/>
    </row>
    <row r="14" spans="1:24" ht="15" thickBot="1" x14ac:dyDescent="0.35">
      <c r="A14" s="8" t="s">
        <v>47</v>
      </c>
      <c r="B14" s="38">
        <f>B5-B11</f>
        <v>4553.59</v>
      </c>
      <c r="C14" s="38">
        <f>C5-C11</f>
        <v>3388.8198198198188</v>
      </c>
      <c r="D14" s="8"/>
      <c r="E14" s="58">
        <f>C5-E11</f>
        <v>2373.4098198198189</v>
      </c>
      <c r="F14" s="8"/>
      <c r="G14" s="38">
        <f>G5-G11</f>
        <v>45535900</v>
      </c>
      <c r="H14" s="37">
        <f>H5-H13</f>
        <v>32888198.198198199</v>
      </c>
      <c r="I14" s="38">
        <f>I5-I11</f>
        <v>11647701.801801804</v>
      </c>
      <c r="M14" s="135" t="s">
        <v>109</v>
      </c>
      <c r="N14" s="136">
        <f>N12-N13</f>
        <v>765.54211475</v>
      </c>
      <c r="O14" s="137">
        <f>N14*O3</f>
        <v>7655421.1475</v>
      </c>
      <c r="Q14" s="309"/>
    </row>
    <row r="15" spans="1:24" x14ac:dyDescent="0.3">
      <c r="B15" s="54"/>
      <c r="C15" s="53"/>
      <c r="D15" t="s">
        <v>27</v>
      </c>
      <c r="E15" s="18">
        <f>E14*3%</f>
        <v>71.202294594594562</v>
      </c>
      <c r="M15" s="119" t="s">
        <v>70</v>
      </c>
      <c r="N15" s="120">
        <f>N11-N12</f>
        <v>1496.5484950000002</v>
      </c>
      <c r="O15" s="121">
        <f>O11-O12</f>
        <v>14965484.949999999</v>
      </c>
      <c r="Q15" s="309"/>
    </row>
    <row r="16" spans="1:24" x14ac:dyDescent="0.3">
      <c r="A16" s="29"/>
      <c r="B16" s="55"/>
      <c r="C16" s="53"/>
      <c r="D16" t="s">
        <v>65</v>
      </c>
      <c r="E16" s="18">
        <f>E14-E15</f>
        <v>2302.2075252252243</v>
      </c>
      <c r="M16" s="92"/>
      <c r="N16" s="117"/>
      <c r="O16" s="118">
        <f>O13</f>
        <v>402916.90250000003</v>
      </c>
      <c r="Q16" s="309"/>
    </row>
    <row r="17" spans="1:26" x14ac:dyDescent="0.3">
      <c r="A17" s="29"/>
      <c r="B17" s="28"/>
      <c r="D17" t="s">
        <v>77</v>
      </c>
      <c r="E17" s="55">
        <v>0.3</v>
      </c>
      <c r="F17" s="60">
        <v>0.4</v>
      </c>
      <c r="N17" s="56"/>
      <c r="O17" s="53"/>
      <c r="Q17" s="309"/>
    </row>
    <row r="18" spans="1:26" x14ac:dyDescent="0.3">
      <c r="A18" s="29"/>
      <c r="D18" s="54"/>
      <c r="E18" s="18">
        <f>E16*E17</f>
        <v>690.66225756756728</v>
      </c>
      <c r="F18" s="61">
        <f>E16*F17</f>
        <v>920.88301009008978</v>
      </c>
      <c r="G18" s="53">
        <f>F18*10000</f>
        <v>9208830.1009008978</v>
      </c>
      <c r="M18" s="152">
        <v>45497</v>
      </c>
      <c r="N18" s="56"/>
      <c r="Q18" s="309"/>
    </row>
    <row r="19" spans="1:26" x14ac:dyDescent="0.3">
      <c r="A19" s="29"/>
      <c r="D19" s="54" t="s">
        <v>78</v>
      </c>
      <c r="E19" s="18">
        <f>E16-E18</f>
        <v>1611.545267657657</v>
      </c>
      <c r="F19" s="61">
        <f>E16-F18</f>
        <v>1381.3245151351346</v>
      </c>
      <c r="M19" s="10" t="s">
        <v>69</v>
      </c>
      <c r="N19" s="49"/>
      <c r="O19" s="49">
        <v>10000</v>
      </c>
      <c r="Q19" s="11" t="s">
        <v>69</v>
      </c>
      <c r="R19" s="49"/>
      <c r="S19" s="49">
        <v>1500</v>
      </c>
      <c r="U19" s="10" t="s">
        <v>69</v>
      </c>
      <c r="V19" s="10"/>
      <c r="W19" s="10"/>
      <c r="X19" s="10"/>
      <c r="Y19" s="49"/>
      <c r="Z19" s="49">
        <v>300</v>
      </c>
    </row>
    <row r="20" spans="1:26" x14ac:dyDescent="0.3">
      <c r="A20" s="29"/>
      <c r="E20" s="18">
        <f>E19*10000</f>
        <v>16115452.67657657</v>
      </c>
      <c r="F20" s="61">
        <f>F19*10000</f>
        <v>13813245.151351346</v>
      </c>
      <c r="G20" s="39"/>
      <c r="H20" s="39"/>
      <c r="I20" s="39"/>
      <c r="J20" s="39"/>
      <c r="M20" s="10" t="s">
        <v>67</v>
      </c>
      <c r="N20" s="49">
        <v>20500</v>
      </c>
      <c r="O20" s="80">
        <f>N20*O19</f>
        <v>205000000</v>
      </c>
      <c r="Q20" s="11" t="s">
        <v>67</v>
      </c>
      <c r="R20" s="49">
        <v>25000</v>
      </c>
      <c r="S20" s="80">
        <f>R20*S19</f>
        <v>37500000</v>
      </c>
      <c r="U20" s="10" t="s">
        <v>67</v>
      </c>
      <c r="V20" s="10"/>
      <c r="W20" s="10"/>
      <c r="X20" s="10"/>
      <c r="Y20" s="49">
        <v>25000</v>
      </c>
      <c r="Z20" s="80">
        <f>Y20*Z19</f>
        <v>7500000</v>
      </c>
    </row>
    <row r="21" spans="1:26" x14ac:dyDescent="0.3">
      <c r="A21" s="29"/>
      <c r="E21" s="18"/>
      <c r="G21" s="39"/>
      <c r="H21" s="39"/>
      <c r="I21" s="39"/>
      <c r="J21" s="39"/>
      <c r="M21" s="10" t="s">
        <v>68</v>
      </c>
      <c r="N21" s="49">
        <f>6031*111%</f>
        <v>6694.4100000000008</v>
      </c>
      <c r="O21" s="80">
        <f>N21*O19</f>
        <v>66944100.000000007</v>
      </c>
      <c r="Q21" s="11" t="s">
        <v>68</v>
      </c>
      <c r="R21" s="49">
        <f>6031*111%</f>
        <v>6694.4100000000008</v>
      </c>
      <c r="S21" s="80">
        <f>R21*S19</f>
        <v>10041615.000000002</v>
      </c>
      <c r="U21" s="10" t="s">
        <v>68</v>
      </c>
      <c r="V21" s="10"/>
      <c r="W21" s="10"/>
      <c r="X21" s="10"/>
      <c r="Y21" s="49">
        <f>6031*111%</f>
        <v>6694.4100000000008</v>
      </c>
      <c r="Z21" s="80">
        <f>Y21*Z19</f>
        <v>2008323.0000000002</v>
      </c>
    </row>
    <row r="22" spans="1:26" x14ac:dyDescent="0.3">
      <c r="A22" s="29"/>
      <c r="D22" s="10" t="s">
        <v>73</v>
      </c>
      <c r="E22" s="10"/>
      <c r="F22" s="10"/>
      <c r="M22" s="10" t="s">
        <v>72</v>
      </c>
      <c r="N22" s="49">
        <f>3200*111%</f>
        <v>3552.0000000000005</v>
      </c>
      <c r="O22" s="49">
        <f>N22*O19</f>
        <v>35520000.000000007</v>
      </c>
      <c r="Q22" s="11" t="s">
        <v>92</v>
      </c>
      <c r="R22" s="49">
        <f>3700*111%</f>
        <v>4107</v>
      </c>
      <c r="S22" s="49">
        <f>R22*S19</f>
        <v>6160500</v>
      </c>
      <c r="U22" s="10" t="s">
        <v>92</v>
      </c>
      <c r="V22" s="10"/>
      <c r="W22" s="10"/>
      <c r="X22" s="10"/>
      <c r="Y22" s="49">
        <f>3700*111%</f>
        <v>4107</v>
      </c>
      <c r="Z22" s="49">
        <f>Y22*Z19</f>
        <v>1232100</v>
      </c>
    </row>
    <row r="23" spans="1:26" x14ac:dyDescent="0.3">
      <c r="A23" s="29"/>
      <c r="D23" s="48" t="s">
        <v>74</v>
      </c>
      <c r="E23" s="10"/>
      <c r="F23" s="11">
        <v>25000</v>
      </c>
      <c r="M23" s="10" t="s">
        <v>70</v>
      </c>
      <c r="N23" s="49">
        <f>N20-N21-N22</f>
        <v>10253.59</v>
      </c>
      <c r="O23" s="49">
        <f>N23*O19</f>
        <v>102535900</v>
      </c>
      <c r="Q23" s="11" t="s">
        <v>70</v>
      </c>
      <c r="R23" s="49">
        <f>R20-R21-R22</f>
        <v>14198.59</v>
      </c>
      <c r="S23" s="49">
        <f>R23*S19</f>
        <v>21297885</v>
      </c>
      <c r="U23" s="10" t="s">
        <v>70</v>
      </c>
      <c r="V23" s="10"/>
      <c r="W23" s="10"/>
      <c r="X23" s="10"/>
      <c r="Y23" s="49">
        <f>Y20-Y21-Y22</f>
        <v>14198.59</v>
      </c>
      <c r="Z23" s="49">
        <f>Y23*Z19</f>
        <v>4259577</v>
      </c>
    </row>
    <row r="24" spans="1:26" x14ac:dyDescent="0.3">
      <c r="A24" s="29"/>
      <c r="D24" s="48" t="s">
        <v>75</v>
      </c>
      <c r="E24" s="10"/>
      <c r="F24" s="11">
        <v>24000</v>
      </c>
      <c r="M24" s="10" t="s">
        <v>71</v>
      </c>
      <c r="N24" s="49">
        <f>7200</f>
        <v>7200</v>
      </c>
      <c r="O24" s="49">
        <f>N24*O19</f>
        <v>72000000</v>
      </c>
      <c r="Q24" s="11" t="s">
        <v>71</v>
      </c>
      <c r="R24" s="49">
        <f>7200</f>
        <v>7200</v>
      </c>
      <c r="S24" s="49">
        <f>R24*S19</f>
        <v>10800000</v>
      </c>
      <c r="U24" s="10" t="s">
        <v>71</v>
      </c>
      <c r="V24" s="10"/>
      <c r="W24" s="10"/>
      <c r="X24" s="10"/>
      <c r="Y24" s="49">
        <f>7200</f>
        <v>7200</v>
      </c>
      <c r="Z24" s="49">
        <f>Y24*Z19</f>
        <v>2160000</v>
      </c>
    </row>
    <row r="25" spans="1:26" x14ac:dyDescent="0.3">
      <c r="A25" s="29"/>
      <c r="M25" s="10" t="s">
        <v>70</v>
      </c>
      <c r="N25" s="49">
        <f>N23-N24</f>
        <v>3053.59</v>
      </c>
      <c r="O25" s="49">
        <f>N25*O19</f>
        <v>30535900</v>
      </c>
      <c r="Q25" s="11" t="s">
        <v>70</v>
      </c>
      <c r="R25" s="49">
        <f>R23-R24</f>
        <v>6998.59</v>
      </c>
      <c r="S25" s="49">
        <f>R25*S19</f>
        <v>10497885</v>
      </c>
      <c r="U25" s="10" t="s">
        <v>70</v>
      </c>
      <c r="V25" s="10"/>
      <c r="W25" s="10"/>
      <c r="X25" s="10"/>
      <c r="Y25" s="49">
        <f>Y23-Y24</f>
        <v>6998.59</v>
      </c>
      <c r="Z25" s="49">
        <f>Y25*Z19</f>
        <v>2099577</v>
      </c>
    </row>
    <row r="26" spans="1:26" x14ac:dyDescent="0.3">
      <c r="M26" s="10" t="s">
        <v>27</v>
      </c>
      <c r="N26" s="49">
        <f>N25*3%</f>
        <v>91.607699999999994</v>
      </c>
      <c r="O26" s="49">
        <f>N26*10000</f>
        <v>916076.99999999988</v>
      </c>
      <c r="Q26" s="11" t="s">
        <v>27</v>
      </c>
      <c r="R26" s="49">
        <f>R25*3%</f>
        <v>209.95769999999999</v>
      </c>
      <c r="S26" s="49">
        <f>R26*S19</f>
        <v>314936.55</v>
      </c>
      <c r="U26" s="10" t="s">
        <v>27</v>
      </c>
      <c r="V26" s="10"/>
      <c r="W26" s="10"/>
      <c r="X26" s="10"/>
      <c r="Y26" s="49">
        <f>Y25*3%</f>
        <v>209.95769999999999</v>
      </c>
      <c r="Z26" s="49">
        <f>Y26*Z19</f>
        <v>62987.31</v>
      </c>
    </row>
    <row r="27" spans="1:26" ht="15" thickBot="1" x14ac:dyDescent="0.35">
      <c r="A27" s="12" t="s">
        <v>140</v>
      </c>
      <c r="M27" s="62" t="s">
        <v>70</v>
      </c>
      <c r="N27" s="65">
        <f>N25-N26</f>
        <v>2961.9823000000001</v>
      </c>
      <c r="O27" s="65">
        <f>O25-O26</f>
        <v>29619823</v>
      </c>
      <c r="Q27" s="11" t="s">
        <v>70</v>
      </c>
      <c r="R27" s="49">
        <f>R25-R26</f>
        <v>6788.6323000000002</v>
      </c>
      <c r="S27" s="49">
        <f>S25-S26</f>
        <v>10182948.449999999</v>
      </c>
      <c r="U27" s="10" t="s">
        <v>70</v>
      </c>
      <c r="V27" s="10"/>
      <c r="W27" s="10"/>
      <c r="X27" s="10"/>
      <c r="Y27" s="49">
        <f>Y25-Y26</f>
        <v>6788.6323000000002</v>
      </c>
      <c r="Z27" s="49">
        <f>Z25-Z26</f>
        <v>2036589.69</v>
      </c>
    </row>
    <row r="28" spans="1:26" x14ac:dyDescent="0.3">
      <c r="A28" s="19"/>
      <c r="B28" s="20" t="s">
        <v>37</v>
      </c>
      <c r="C28" s="21" t="s">
        <v>38</v>
      </c>
      <c r="D28" s="22" t="s">
        <v>8</v>
      </c>
      <c r="E28" s="22" t="s">
        <v>76</v>
      </c>
      <c r="F28" s="162"/>
      <c r="G28" s="162"/>
      <c r="H28" s="163"/>
      <c r="I28" s="162"/>
      <c r="M28" s="122" t="s">
        <v>93</v>
      </c>
      <c r="N28" s="123">
        <f>N27*35%</f>
        <v>1036.6938049999999</v>
      </c>
      <c r="O28" s="124">
        <f>N28*O19</f>
        <v>10366938.049999999</v>
      </c>
      <c r="Q28" s="11" t="s">
        <v>91</v>
      </c>
      <c r="R28" s="49">
        <v>1000</v>
      </c>
      <c r="S28" s="49">
        <f>R28*S19</f>
        <v>1500000</v>
      </c>
      <c r="U28" s="10" t="s">
        <v>91</v>
      </c>
      <c r="V28" s="10"/>
      <c r="W28" s="10"/>
      <c r="X28" s="10"/>
      <c r="Y28" s="49">
        <v>0</v>
      </c>
      <c r="Z28" s="49">
        <f>Y28*Z19</f>
        <v>0</v>
      </c>
    </row>
    <row r="29" spans="1:26" ht="15" thickBot="1" x14ac:dyDescent="0.35">
      <c r="A29" s="59" t="s">
        <v>39</v>
      </c>
      <c r="B29" s="24">
        <f>C29+D29</f>
        <v>22755</v>
      </c>
      <c r="C29" s="159">
        <v>20500</v>
      </c>
      <c r="D29" s="25">
        <f>C29*11%</f>
        <v>2255</v>
      </c>
      <c r="E29" s="160">
        <f>C29</f>
        <v>20500</v>
      </c>
      <c r="F29" s="164"/>
      <c r="G29" s="164"/>
      <c r="H29" s="164"/>
      <c r="I29" s="164"/>
      <c r="M29" s="125" t="s">
        <v>108</v>
      </c>
      <c r="N29" s="49">
        <f>N28*5%</f>
        <v>51.834690249999994</v>
      </c>
      <c r="O29" s="126">
        <f>N29*O19</f>
        <v>518346.90249999997</v>
      </c>
      <c r="P29" t="s">
        <v>110</v>
      </c>
      <c r="Q29" s="66" t="s">
        <v>70</v>
      </c>
      <c r="R29" s="65">
        <f>R27-R28</f>
        <v>5788.6323000000002</v>
      </c>
      <c r="S29" s="128">
        <f>S27-S28</f>
        <v>8682948.4499999993</v>
      </c>
      <c r="U29" s="62" t="s">
        <v>70</v>
      </c>
      <c r="V29" s="62"/>
      <c r="W29" s="62"/>
      <c r="X29" s="62"/>
      <c r="Y29" s="65">
        <f>Y27-Y28</f>
        <v>6788.6323000000002</v>
      </c>
      <c r="Z29" s="128">
        <f>Z27-Z28</f>
        <v>2036589.69</v>
      </c>
    </row>
    <row r="30" spans="1:26" ht="15" thickBot="1" x14ac:dyDescent="0.35">
      <c r="A30" s="12" t="s">
        <v>40</v>
      </c>
      <c r="E30" s="167"/>
      <c r="F30" s="164"/>
      <c r="G30" s="164"/>
      <c r="H30" s="164"/>
      <c r="I30" s="164"/>
      <c r="M30" s="135" t="s">
        <v>109</v>
      </c>
      <c r="N30" s="136">
        <f>N28-N29</f>
        <v>984.85911474999989</v>
      </c>
      <c r="O30" s="137">
        <f>N30*O19</f>
        <v>9848591.147499999</v>
      </c>
      <c r="Q30" s="310" t="s">
        <v>94</v>
      </c>
      <c r="R30" s="131">
        <f>R29*35%</f>
        <v>2026.021305</v>
      </c>
      <c r="S30" s="132">
        <f>R30*S19</f>
        <v>3039031.9575</v>
      </c>
      <c r="U30" s="130" t="s">
        <v>94</v>
      </c>
      <c r="V30" s="355"/>
      <c r="W30" s="355"/>
      <c r="X30" s="355"/>
      <c r="Y30" s="131">
        <v>0</v>
      </c>
      <c r="Z30" s="132">
        <f>Y30*Z19</f>
        <v>0</v>
      </c>
    </row>
    <row r="31" spans="1:26" x14ac:dyDescent="0.3">
      <c r="A31" s="9" t="s">
        <v>41</v>
      </c>
      <c r="B31" s="25">
        <f>C31+D31</f>
        <v>6304.8</v>
      </c>
      <c r="C31" s="207">
        <f>(0.355*16000)</f>
        <v>5680</v>
      </c>
      <c r="D31" s="25">
        <f t="shared" ref="D31:D32" si="5">C31*11%</f>
        <v>624.79999999999995</v>
      </c>
      <c r="E31" s="25">
        <f>C31+D31</f>
        <v>6304.8</v>
      </c>
      <c r="F31" s="164"/>
      <c r="G31" s="164"/>
      <c r="H31" s="164"/>
      <c r="I31" s="164"/>
      <c r="M31" s="119" t="s">
        <v>70</v>
      </c>
      <c r="N31" s="120">
        <f>N27-N28</f>
        <v>1925.2884950000002</v>
      </c>
      <c r="O31" s="121">
        <f>O27-O28</f>
        <v>19252884.950000003</v>
      </c>
      <c r="Q31" s="311" t="s">
        <v>108</v>
      </c>
      <c r="R31" s="127">
        <f>R30*5%</f>
        <v>101.30106525000001</v>
      </c>
      <c r="S31" s="134">
        <f>R31*S19</f>
        <v>151951.59787500001</v>
      </c>
      <c r="T31" s="18" t="s">
        <v>110</v>
      </c>
      <c r="U31" s="133" t="s">
        <v>108</v>
      </c>
      <c r="V31" s="229"/>
      <c r="W31" s="229"/>
      <c r="X31" s="229"/>
      <c r="Y31" s="127">
        <f>Y30*5%</f>
        <v>0</v>
      </c>
      <c r="Z31" s="134">
        <f>Y31*Z19</f>
        <v>0</v>
      </c>
    </row>
    <row r="32" spans="1:26" ht="15" thickBot="1" x14ac:dyDescent="0.35">
      <c r="A32" s="9" t="s">
        <v>42</v>
      </c>
      <c r="B32" s="25">
        <f t="shared" ref="B32:B33" si="6">C32+D32</f>
        <v>3552</v>
      </c>
      <c r="C32" s="24">
        <v>3200</v>
      </c>
      <c r="D32" s="25">
        <f t="shared" si="5"/>
        <v>352</v>
      </c>
      <c r="E32" s="25">
        <f>C32+D32</f>
        <v>3552</v>
      </c>
      <c r="F32" s="164"/>
      <c r="G32" s="164"/>
      <c r="H32" s="164"/>
      <c r="I32" s="164"/>
      <c r="M32" s="116"/>
      <c r="N32" t="s">
        <v>106</v>
      </c>
      <c r="O32" s="56"/>
      <c r="P32" s="141"/>
      <c r="Q32" s="312" t="s">
        <v>109</v>
      </c>
      <c r="R32" s="139">
        <f>R30-R31</f>
        <v>1924.72023975</v>
      </c>
      <c r="S32" s="140">
        <f>R32*S19</f>
        <v>2887080.359625</v>
      </c>
      <c r="U32" s="138" t="s">
        <v>109</v>
      </c>
      <c r="V32" s="356"/>
      <c r="W32" s="356"/>
      <c r="X32" s="356"/>
      <c r="Y32" s="139">
        <f>Y30-Y31</f>
        <v>0</v>
      </c>
      <c r="Z32" s="140">
        <f>Y32*Z19</f>
        <v>0</v>
      </c>
    </row>
    <row r="33" spans="1:26" x14ac:dyDescent="0.3">
      <c r="A33" s="9" t="s">
        <v>43</v>
      </c>
      <c r="B33" s="25">
        <f t="shared" si="6"/>
        <v>7200</v>
      </c>
      <c r="C33" s="24">
        <v>7200</v>
      </c>
      <c r="D33" s="57">
        <v>0</v>
      </c>
      <c r="E33" s="25">
        <f>C33+D33</f>
        <v>7200</v>
      </c>
      <c r="F33" s="164"/>
      <c r="G33" s="164"/>
      <c r="H33" s="164"/>
      <c r="I33" s="164"/>
      <c r="P33" s="56"/>
      <c r="Q33" s="313" t="s">
        <v>70</v>
      </c>
      <c r="R33" s="129">
        <f>R29-R30</f>
        <v>3762.610995</v>
      </c>
      <c r="S33" s="120">
        <f>R33*S19</f>
        <v>5643916.4924999997</v>
      </c>
      <c r="U33" s="119" t="s">
        <v>70</v>
      </c>
      <c r="V33" s="357"/>
      <c r="W33" s="357"/>
      <c r="X33" s="357"/>
      <c r="Y33" s="129">
        <f>Y29-Y30</f>
        <v>6788.6323000000002</v>
      </c>
      <c r="Z33" s="120">
        <f>Y33*Z19</f>
        <v>2036589.6900000002</v>
      </c>
    </row>
    <row r="34" spans="1:26" x14ac:dyDescent="0.3">
      <c r="A34" s="30" t="s">
        <v>44</v>
      </c>
      <c r="B34" s="31">
        <f>SUM(B31:B33)</f>
        <v>17056.8</v>
      </c>
      <c r="C34" s="31">
        <f>SUM(C31:C33)</f>
        <v>16080</v>
      </c>
      <c r="D34" s="31">
        <f>SUM(D31:D33)</f>
        <v>976.8</v>
      </c>
      <c r="E34" s="31">
        <f>SUM(E31:E33)</f>
        <v>17056.8</v>
      </c>
      <c r="F34" s="164"/>
      <c r="G34" s="164"/>
      <c r="H34" s="164"/>
      <c r="I34" s="164"/>
      <c r="P34" s="56"/>
      <c r="R34" s="55"/>
      <c r="S34" s="56"/>
    </row>
    <row r="35" spans="1:26" x14ac:dyDescent="0.3">
      <c r="A35" s="33" t="s">
        <v>45</v>
      </c>
      <c r="B35" s="34"/>
      <c r="C35" s="34"/>
      <c r="D35" s="34"/>
      <c r="E35" s="34"/>
      <c r="F35" s="161"/>
      <c r="G35" s="161"/>
      <c r="H35" s="161"/>
      <c r="I35" s="161"/>
      <c r="Q35" s="11" t="s">
        <v>69</v>
      </c>
      <c r="R35" s="49"/>
      <c r="S35" s="49">
        <v>1000</v>
      </c>
    </row>
    <row r="36" spans="1:26" x14ac:dyDescent="0.3">
      <c r="A36" s="9" t="s">
        <v>9</v>
      </c>
      <c r="B36" s="9"/>
      <c r="C36" s="9"/>
      <c r="D36" s="9"/>
      <c r="E36" s="9"/>
      <c r="F36" s="92"/>
      <c r="G36" s="92"/>
      <c r="H36" s="165"/>
      <c r="I36" s="92"/>
      <c r="M36" s="10" t="s">
        <v>69</v>
      </c>
      <c r="N36" s="49"/>
      <c r="O36" s="49">
        <v>5000</v>
      </c>
      <c r="P36" s="92"/>
      <c r="Q36" s="11" t="s">
        <v>67</v>
      </c>
      <c r="R36" s="49">
        <v>25000</v>
      </c>
      <c r="S36" s="80">
        <f>R36*S35</f>
        <v>25000000</v>
      </c>
    </row>
    <row r="37" spans="1:26" x14ac:dyDescent="0.3">
      <c r="A37" s="8" t="s">
        <v>47</v>
      </c>
      <c r="B37" s="38">
        <f>B29-B34</f>
        <v>5698.2000000000007</v>
      </c>
      <c r="C37" s="38">
        <f>C29-C34</f>
        <v>4420</v>
      </c>
      <c r="D37" s="38">
        <f>D29-D34</f>
        <v>1278.2</v>
      </c>
      <c r="E37" s="58">
        <f>E29-E34</f>
        <v>3443.2000000000007</v>
      </c>
      <c r="F37" s="166"/>
      <c r="G37" s="165"/>
      <c r="H37" s="165"/>
      <c r="I37" s="165"/>
      <c r="M37" s="10" t="s">
        <v>67</v>
      </c>
      <c r="N37" s="49">
        <v>20500</v>
      </c>
      <c r="O37" s="80">
        <f>N37*O36</f>
        <v>102500000</v>
      </c>
      <c r="P37" s="92"/>
      <c r="Q37" s="11" t="s">
        <v>68</v>
      </c>
      <c r="R37" s="49">
        <f>6031*111%</f>
        <v>6694.4100000000008</v>
      </c>
      <c r="S37" s="80">
        <f>R37*S35</f>
        <v>6694410.0000000009</v>
      </c>
    </row>
    <row r="38" spans="1:26" x14ac:dyDescent="0.3">
      <c r="M38" s="10" t="s">
        <v>68</v>
      </c>
      <c r="N38" s="49">
        <f>6031*111%</f>
        <v>6694.4100000000008</v>
      </c>
      <c r="O38" s="80">
        <f>N38*O36</f>
        <v>33472050.000000004</v>
      </c>
      <c r="P38" s="92"/>
      <c r="Q38" s="11" t="s">
        <v>92</v>
      </c>
      <c r="R38" s="49">
        <f>3700*111%</f>
        <v>4107</v>
      </c>
      <c r="S38" s="49">
        <f>R38*S35</f>
        <v>4107000</v>
      </c>
    </row>
    <row r="39" spans="1:26" x14ac:dyDescent="0.3">
      <c r="C39" s="28"/>
      <c r="M39" s="114" t="s">
        <v>72</v>
      </c>
      <c r="N39" s="115">
        <f>3200*111%</f>
        <v>3552.0000000000005</v>
      </c>
      <c r="O39" s="115">
        <f>N39*O36</f>
        <v>17760000.000000004</v>
      </c>
      <c r="Q39" s="11" t="s">
        <v>70</v>
      </c>
      <c r="R39" s="49">
        <f>R36-R37-R38</f>
        <v>14198.59</v>
      </c>
      <c r="S39" s="49">
        <f>R39*S35</f>
        <v>14198590</v>
      </c>
    </row>
    <row r="40" spans="1:26" x14ac:dyDescent="0.3">
      <c r="M40" s="10" t="s">
        <v>70</v>
      </c>
      <c r="N40" s="49">
        <f>N37-N38-N39</f>
        <v>10253.59</v>
      </c>
      <c r="O40" s="49">
        <f>N40*O36</f>
        <v>51267950</v>
      </c>
      <c r="Q40" s="11" t="s">
        <v>71</v>
      </c>
      <c r="R40" s="49">
        <f>7200</f>
        <v>7200</v>
      </c>
      <c r="S40" s="49">
        <f>R40*S35</f>
        <v>7200000</v>
      </c>
    </row>
    <row r="41" spans="1:26" x14ac:dyDescent="0.3">
      <c r="M41" s="10" t="s">
        <v>71</v>
      </c>
      <c r="N41" s="49">
        <f>7200</f>
        <v>7200</v>
      </c>
      <c r="O41" s="49">
        <f>N41*O36</f>
        <v>36000000</v>
      </c>
      <c r="Q41" s="11" t="s">
        <v>70</v>
      </c>
      <c r="R41" s="49">
        <f>R39-R40</f>
        <v>6998.59</v>
      </c>
      <c r="S41" s="49">
        <f>R41*S35</f>
        <v>6998590</v>
      </c>
    </row>
    <row r="42" spans="1:26" x14ac:dyDescent="0.3">
      <c r="M42" s="10" t="s">
        <v>70</v>
      </c>
      <c r="N42" s="49">
        <f>N40-N41</f>
        <v>3053.59</v>
      </c>
      <c r="O42" s="49">
        <f>N42*O36</f>
        <v>15267950</v>
      </c>
      <c r="Q42" s="11" t="s">
        <v>27</v>
      </c>
      <c r="R42" s="49">
        <f>R41*3%</f>
        <v>209.95769999999999</v>
      </c>
      <c r="S42" s="49">
        <f>R42*S35</f>
        <v>209957.69999999998</v>
      </c>
    </row>
    <row r="43" spans="1:26" x14ac:dyDescent="0.3">
      <c r="M43" s="10" t="s">
        <v>27</v>
      </c>
      <c r="N43" s="49">
        <f>N42*3%</f>
        <v>91.607699999999994</v>
      </c>
      <c r="O43" s="49">
        <f>N43*10000</f>
        <v>916076.99999999988</v>
      </c>
      <c r="Q43" s="11" t="s">
        <v>70</v>
      </c>
      <c r="R43" s="49">
        <f>R41-R42</f>
        <v>6788.6323000000002</v>
      </c>
      <c r="S43" s="49">
        <f>S41-S42</f>
        <v>6788632.2999999998</v>
      </c>
    </row>
    <row r="44" spans="1:26" ht="15" thickBot="1" x14ac:dyDescent="0.35">
      <c r="M44" s="62" t="s">
        <v>70</v>
      </c>
      <c r="N44" s="65">
        <f>N42-N43</f>
        <v>2961.9823000000001</v>
      </c>
      <c r="O44" s="65">
        <f>O42-O43</f>
        <v>14351873</v>
      </c>
      <c r="Q44" s="11" t="s">
        <v>91</v>
      </c>
      <c r="R44" s="49">
        <v>1000</v>
      </c>
      <c r="S44" s="49">
        <f>R44*S35</f>
        <v>1000000</v>
      </c>
    </row>
    <row r="45" spans="1:26" ht="15" thickBot="1" x14ac:dyDescent="0.35">
      <c r="M45" s="122" t="s">
        <v>128</v>
      </c>
      <c r="N45" s="123">
        <f>N44*30%</f>
        <v>888.59469000000001</v>
      </c>
      <c r="O45" s="124">
        <f>N45*O36</f>
        <v>4442973.45</v>
      </c>
      <c r="Q45" s="66" t="s">
        <v>70</v>
      </c>
      <c r="R45" s="65">
        <f>R43-R44</f>
        <v>5788.6323000000002</v>
      </c>
      <c r="S45" s="128">
        <f>S43-S44</f>
        <v>5788632.2999999998</v>
      </c>
    </row>
    <row r="46" spans="1:26" x14ac:dyDescent="0.3">
      <c r="M46" s="125" t="s">
        <v>108</v>
      </c>
      <c r="N46" s="49">
        <f>(50%*N45)*5%</f>
        <v>22.214867250000001</v>
      </c>
      <c r="O46" s="126">
        <f>N46*O36</f>
        <v>111074.33625000001</v>
      </c>
      <c r="Q46" s="310" t="s">
        <v>94</v>
      </c>
      <c r="R46" s="131">
        <f>R45*35%</f>
        <v>2026.021305</v>
      </c>
      <c r="S46" s="132">
        <f>R46*S35</f>
        <v>2026021.3049999999</v>
      </c>
    </row>
    <row r="47" spans="1:26" ht="15" thickBot="1" x14ac:dyDescent="0.35">
      <c r="M47" s="135" t="s">
        <v>130</v>
      </c>
      <c r="N47" s="136">
        <f>N45-N46</f>
        <v>866.37982275000002</v>
      </c>
      <c r="O47" s="137">
        <f>N47*O36</f>
        <v>4331899.1137500005</v>
      </c>
      <c r="Q47" s="311" t="s">
        <v>108</v>
      </c>
      <c r="R47" s="127">
        <f>R46*5%</f>
        <v>101.30106525000001</v>
      </c>
      <c r="S47" s="134">
        <f>R47*S35</f>
        <v>101301.06525000001</v>
      </c>
    </row>
    <row r="48" spans="1:26" ht="15" thickBot="1" x14ac:dyDescent="0.35">
      <c r="M48" s="119" t="s">
        <v>70</v>
      </c>
      <c r="N48" s="120">
        <f>N44-N45</f>
        <v>2073.3876100000002</v>
      </c>
      <c r="O48" s="121">
        <f>O44-O45</f>
        <v>9908899.5500000007</v>
      </c>
      <c r="Q48" s="312" t="s">
        <v>109</v>
      </c>
      <c r="R48" s="139">
        <f>R46-R47</f>
        <v>1924.72023975</v>
      </c>
      <c r="S48" s="140">
        <f>R48*S35</f>
        <v>1924720.2397499999</v>
      </c>
    </row>
    <row r="49" spans="13:19" x14ac:dyDescent="0.3">
      <c r="M49" s="116"/>
      <c r="N49" t="s">
        <v>106</v>
      </c>
      <c r="O49" s="56"/>
      <c r="Q49" s="313" t="s">
        <v>70</v>
      </c>
      <c r="R49" s="129">
        <f>R45-R46</f>
        <v>3762.610995</v>
      </c>
      <c r="S49" s="120">
        <f>R49*S35</f>
        <v>3762610.9950000001</v>
      </c>
    </row>
    <row r="51" spans="13:19" x14ac:dyDescent="0.3">
      <c r="M51" s="10" t="s">
        <v>69</v>
      </c>
      <c r="N51" s="49"/>
      <c r="O51" s="49">
        <v>5000</v>
      </c>
    </row>
    <row r="52" spans="13:19" x14ac:dyDescent="0.3">
      <c r="M52" s="10" t="s">
        <v>67</v>
      </c>
      <c r="N52" s="49">
        <v>20500</v>
      </c>
      <c r="O52" s="80">
        <f>N52*O51</f>
        <v>102500000</v>
      </c>
    </row>
    <row r="53" spans="13:19" x14ac:dyDescent="0.3">
      <c r="M53" s="10" t="s">
        <v>68</v>
      </c>
      <c r="N53" s="49">
        <f>6031*111%</f>
        <v>6694.4100000000008</v>
      </c>
      <c r="O53" s="80">
        <f>N53*O51</f>
        <v>33472050.000000004</v>
      </c>
    </row>
    <row r="54" spans="13:19" x14ac:dyDescent="0.3">
      <c r="M54" s="114" t="s">
        <v>72</v>
      </c>
      <c r="N54" s="115">
        <f>3200*111%</f>
        <v>3552.0000000000005</v>
      </c>
      <c r="O54" s="115">
        <f>N54*O51</f>
        <v>17760000.000000004</v>
      </c>
    </row>
    <row r="55" spans="13:19" x14ac:dyDescent="0.3">
      <c r="M55" s="10" t="s">
        <v>70</v>
      </c>
      <c r="N55" s="49">
        <f>N52-N53-N54</f>
        <v>10253.59</v>
      </c>
      <c r="O55" s="49">
        <f>N55*O51</f>
        <v>51267950</v>
      </c>
    </row>
    <row r="56" spans="13:19" x14ac:dyDescent="0.3">
      <c r="M56" s="10" t="s">
        <v>71</v>
      </c>
      <c r="N56" s="49">
        <f>7200</f>
        <v>7200</v>
      </c>
      <c r="O56" s="49">
        <f>N56*O51</f>
        <v>36000000</v>
      </c>
    </row>
    <row r="57" spans="13:19" x14ac:dyDescent="0.3">
      <c r="M57" s="10" t="s">
        <v>70</v>
      </c>
      <c r="N57" s="49">
        <f>N55-N56</f>
        <v>3053.59</v>
      </c>
      <c r="O57" s="49">
        <f>N57*O51</f>
        <v>15267950</v>
      </c>
    </row>
    <row r="58" spans="13:19" x14ac:dyDescent="0.3">
      <c r="M58" s="10" t="s">
        <v>27</v>
      </c>
      <c r="N58" s="49">
        <f>N57*3%</f>
        <v>91.607699999999994</v>
      </c>
      <c r="O58" s="49">
        <f>N58*10000</f>
        <v>916076.99999999988</v>
      </c>
    </row>
    <row r="59" spans="13:19" ht="15" thickBot="1" x14ac:dyDescent="0.35">
      <c r="M59" s="62" t="s">
        <v>70</v>
      </c>
      <c r="N59" s="65">
        <f>N57-N58</f>
        <v>2961.9823000000001</v>
      </c>
      <c r="O59" s="65">
        <f>O57-O58</f>
        <v>14351873</v>
      </c>
    </row>
    <row r="60" spans="13:19" x14ac:dyDescent="0.3">
      <c r="M60" s="122" t="s">
        <v>128</v>
      </c>
      <c r="N60" s="123">
        <f>N59*30%</f>
        <v>888.59469000000001</v>
      </c>
      <c r="O60" s="124">
        <f>N60*O51</f>
        <v>4442973.45</v>
      </c>
    </row>
    <row r="61" spans="13:19" x14ac:dyDescent="0.3">
      <c r="M61" s="125" t="s">
        <v>108</v>
      </c>
      <c r="N61" s="49">
        <f>(50%*N60)*5%</f>
        <v>22.214867250000001</v>
      </c>
      <c r="O61" s="126">
        <f>N61*O51</f>
        <v>111074.33625000001</v>
      </c>
    </row>
    <row r="62" spans="13:19" ht="15" thickBot="1" x14ac:dyDescent="0.35">
      <c r="M62" s="135" t="s">
        <v>130</v>
      </c>
      <c r="N62" s="136">
        <f>N60-N61</f>
        <v>866.37982275000002</v>
      </c>
      <c r="O62" s="137">
        <f>N62*O51</f>
        <v>4331899.1137500005</v>
      </c>
      <c r="P62" t="s">
        <v>150</v>
      </c>
    </row>
    <row r="63" spans="13:19" x14ac:dyDescent="0.3">
      <c r="M63" s="119" t="s">
        <v>70</v>
      </c>
      <c r="N63" s="120">
        <f>N59-N60</f>
        <v>2073.3876100000002</v>
      </c>
      <c r="O63" s="121">
        <f>O59-O60</f>
        <v>9908899.5500000007</v>
      </c>
    </row>
    <row r="64" spans="13:19" x14ac:dyDescent="0.3">
      <c r="M64" s="116"/>
      <c r="N64" t="s">
        <v>106</v>
      </c>
      <c r="O64" s="56"/>
    </row>
    <row r="66" spans="13:15" x14ac:dyDescent="0.3">
      <c r="M66" s="152">
        <v>45528</v>
      </c>
    </row>
    <row r="67" spans="13:15" x14ac:dyDescent="0.3">
      <c r="M67" s="10" t="s">
        <v>69</v>
      </c>
      <c r="N67" s="153">
        <v>45510</v>
      </c>
      <c r="O67" s="49">
        <v>6500</v>
      </c>
    </row>
    <row r="68" spans="13:15" x14ac:dyDescent="0.3">
      <c r="M68" s="10" t="s">
        <v>67</v>
      </c>
      <c r="N68" s="49">
        <v>20500</v>
      </c>
      <c r="O68" s="80">
        <f>N68*O67</f>
        <v>133250000</v>
      </c>
    </row>
    <row r="69" spans="13:15" x14ac:dyDescent="0.3">
      <c r="M69" s="10" t="s">
        <v>68</v>
      </c>
      <c r="N69" s="49">
        <f>5790*111%</f>
        <v>6426.9000000000005</v>
      </c>
      <c r="O69" s="80">
        <f>N69*O67</f>
        <v>41774850</v>
      </c>
    </row>
    <row r="70" spans="13:15" x14ac:dyDescent="0.3">
      <c r="M70" s="114" t="s">
        <v>72</v>
      </c>
      <c r="N70" s="115">
        <f>3200*111%</f>
        <v>3552.0000000000005</v>
      </c>
      <c r="O70" s="115">
        <f>N70*O67</f>
        <v>23088000.000000004</v>
      </c>
    </row>
    <row r="71" spans="13:15" x14ac:dyDescent="0.3">
      <c r="M71" s="10" t="s">
        <v>70</v>
      </c>
      <c r="N71" s="49">
        <f>N68-N69-N70</f>
        <v>10521.099999999999</v>
      </c>
      <c r="O71" s="49">
        <f>N71*O67</f>
        <v>68387149.999999985</v>
      </c>
    </row>
    <row r="72" spans="13:15" x14ac:dyDescent="0.3">
      <c r="M72" s="10" t="s">
        <v>71</v>
      </c>
      <c r="N72" s="49">
        <f>7200</f>
        <v>7200</v>
      </c>
      <c r="O72" s="49">
        <f>N72*O67</f>
        <v>46800000</v>
      </c>
    </row>
    <row r="73" spans="13:15" x14ac:dyDescent="0.3">
      <c r="M73" s="10" t="s">
        <v>70</v>
      </c>
      <c r="N73" s="49">
        <f>N71-N72</f>
        <v>3321.0999999999985</v>
      </c>
      <c r="O73" s="49">
        <f>N73*O67</f>
        <v>21587149.999999989</v>
      </c>
    </row>
    <row r="74" spans="13:15" x14ac:dyDescent="0.3">
      <c r="M74" s="10" t="s">
        <v>27</v>
      </c>
      <c r="N74" s="49">
        <f>N73*3%</f>
        <v>99.632999999999953</v>
      </c>
      <c r="O74" s="49">
        <f>N74*10000</f>
        <v>996329.99999999953</v>
      </c>
    </row>
    <row r="75" spans="13:15" ht="15" thickBot="1" x14ac:dyDescent="0.35">
      <c r="M75" s="62" t="s">
        <v>70</v>
      </c>
      <c r="N75" s="65">
        <f>N73-N74</f>
        <v>3221.4669999999987</v>
      </c>
      <c r="O75" s="65">
        <f>O73-O74</f>
        <v>20590819.999999989</v>
      </c>
    </row>
    <row r="76" spans="13:15" x14ac:dyDescent="0.3">
      <c r="M76" s="122" t="s">
        <v>128</v>
      </c>
      <c r="N76" s="123">
        <f>N75*30%</f>
        <v>966.44009999999957</v>
      </c>
      <c r="O76" s="124">
        <f>N76*O67</f>
        <v>6281860.6499999976</v>
      </c>
    </row>
    <row r="77" spans="13:15" x14ac:dyDescent="0.3">
      <c r="M77" s="125" t="s">
        <v>108</v>
      </c>
      <c r="N77" s="49">
        <f>(50%*N76)*5%</f>
        <v>24.161002499999991</v>
      </c>
      <c r="O77" s="126">
        <f>N77*O67</f>
        <v>157046.51624999996</v>
      </c>
    </row>
    <row r="78" spans="13:15" ht="15" thickBot="1" x14ac:dyDescent="0.35">
      <c r="M78" s="135" t="s">
        <v>130</v>
      </c>
      <c r="N78" s="136">
        <f>N76-N77</f>
        <v>942.27909749999958</v>
      </c>
      <c r="O78" s="137">
        <f>N78*O67</f>
        <v>6124814.1337499972</v>
      </c>
    </row>
    <row r="79" spans="13:15" x14ac:dyDescent="0.3">
      <c r="M79" s="119" t="s">
        <v>70</v>
      </c>
      <c r="N79" s="120">
        <f>N75-N76</f>
        <v>2255.0268999999989</v>
      </c>
      <c r="O79" s="121">
        <f>O75-O76</f>
        <v>14308959.34999999</v>
      </c>
    </row>
    <row r="83" spans="13:21" x14ac:dyDescent="0.3">
      <c r="M83" s="10" t="s">
        <v>69</v>
      </c>
      <c r="N83" s="179">
        <v>45527</v>
      </c>
      <c r="O83" s="49">
        <v>10000</v>
      </c>
      <c r="Q83" s="11" t="s">
        <v>69</v>
      </c>
      <c r="R83" s="153">
        <v>45513</v>
      </c>
      <c r="S83" s="49">
        <f>500+300</f>
        <v>800</v>
      </c>
    </row>
    <row r="84" spans="13:21" x14ac:dyDescent="0.3">
      <c r="M84" s="10" t="s">
        <v>67</v>
      </c>
      <c r="N84" s="49">
        <v>20500</v>
      </c>
      <c r="O84" s="80">
        <f>N84*O83</f>
        <v>205000000</v>
      </c>
      <c r="Q84" s="11" t="s">
        <v>67</v>
      </c>
      <c r="R84" s="49">
        <v>25000</v>
      </c>
      <c r="S84" s="80">
        <f>R84*S83</f>
        <v>20000000</v>
      </c>
    </row>
    <row r="85" spans="13:21" x14ac:dyDescent="0.3">
      <c r="M85" s="10" t="s">
        <v>68</v>
      </c>
      <c r="N85" s="49">
        <f>5790*111%</f>
        <v>6426.9000000000005</v>
      </c>
      <c r="O85" s="80">
        <f>N85*O83</f>
        <v>64269000.000000007</v>
      </c>
      <c r="Q85" s="11" t="s">
        <v>68</v>
      </c>
      <c r="R85" s="49">
        <f>6031*111%</f>
        <v>6694.4100000000008</v>
      </c>
      <c r="S85" s="80">
        <f>R85*S83</f>
        <v>5355528.0000000009</v>
      </c>
    </row>
    <row r="86" spans="13:21" x14ac:dyDescent="0.3">
      <c r="M86" s="114" t="s">
        <v>72</v>
      </c>
      <c r="N86" s="115">
        <f>3200*111%</f>
        <v>3552.0000000000005</v>
      </c>
      <c r="O86" s="115">
        <f>N86*O83</f>
        <v>35520000.000000007</v>
      </c>
      <c r="Q86" s="314" t="s">
        <v>92</v>
      </c>
      <c r="R86" s="115">
        <f>3700*111%</f>
        <v>4107</v>
      </c>
      <c r="S86" s="115">
        <f>R86*S83</f>
        <v>3285600</v>
      </c>
    </row>
    <row r="87" spans="13:21" x14ac:dyDescent="0.3">
      <c r="M87" s="10" t="s">
        <v>70</v>
      </c>
      <c r="N87" s="49">
        <f>N84-N85-N86</f>
        <v>10521.099999999999</v>
      </c>
      <c r="O87" s="49">
        <f>N87*O83</f>
        <v>105210999.99999999</v>
      </c>
      <c r="Q87" s="11" t="s">
        <v>70</v>
      </c>
      <c r="R87" s="49">
        <f>R84-R85-R86</f>
        <v>14198.59</v>
      </c>
      <c r="S87" s="49">
        <f>R87*S83</f>
        <v>11358872</v>
      </c>
    </row>
    <row r="88" spans="13:21" x14ac:dyDescent="0.3">
      <c r="M88" s="178" t="s">
        <v>71</v>
      </c>
      <c r="N88" s="168">
        <f>7200</f>
        <v>7200</v>
      </c>
      <c r="O88" s="168">
        <f>N88*O83</f>
        <v>72000000</v>
      </c>
      <c r="Q88" s="11" t="s">
        <v>71</v>
      </c>
      <c r="R88" s="49">
        <f>7200</f>
        <v>7200</v>
      </c>
      <c r="S88" s="49">
        <f>R88*S83</f>
        <v>5760000</v>
      </c>
    </row>
    <row r="89" spans="13:21" x14ac:dyDescent="0.3">
      <c r="M89" s="10" t="s">
        <v>70</v>
      </c>
      <c r="N89" s="49">
        <f>N87-N88</f>
        <v>3321.0999999999985</v>
      </c>
      <c r="O89" s="49">
        <f>N89*O83</f>
        <v>33210999.999999985</v>
      </c>
      <c r="Q89" s="11" t="s">
        <v>70</v>
      </c>
      <c r="R89" s="49">
        <f>R87-R88</f>
        <v>6998.59</v>
      </c>
      <c r="S89" s="49">
        <f>R89*S83</f>
        <v>5598872</v>
      </c>
    </row>
    <row r="90" spans="13:21" x14ac:dyDescent="0.3">
      <c r="M90" s="10" t="s">
        <v>27</v>
      </c>
      <c r="N90" s="49">
        <f>N89*3%</f>
        <v>99.632999999999953</v>
      </c>
      <c r="O90" s="49">
        <f>N90*10000</f>
        <v>996329.99999999953</v>
      </c>
      <c r="Q90" s="11" t="s">
        <v>27</v>
      </c>
      <c r="R90" s="49">
        <f>R89*3%</f>
        <v>209.95769999999999</v>
      </c>
      <c r="S90" s="49">
        <f>R90*S83</f>
        <v>167966.16</v>
      </c>
    </row>
    <row r="91" spans="13:21" ht="15" thickBot="1" x14ac:dyDescent="0.35">
      <c r="M91" s="62" t="s">
        <v>70</v>
      </c>
      <c r="N91" s="65">
        <f>N89-N90</f>
        <v>3221.4669999999987</v>
      </c>
      <c r="O91" s="65">
        <f>O89-O90</f>
        <v>32214669.999999985</v>
      </c>
      <c r="Q91" s="11" t="s">
        <v>70</v>
      </c>
      <c r="R91" s="49">
        <f>R89-R90</f>
        <v>6788.6323000000002</v>
      </c>
      <c r="S91" s="49">
        <f>S89-S90</f>
        <v>5430905.8399999999</v>
      </c>
    </row>
    <row r="92" spans="13:21" x14ac:dyDescent="0.3">
      <c r="M92" s="122" t="s">
        <v>128</v>
      </c>
      <c r="N92" s="123">
        <f>N91*30%</f>
        <v>966.44009999999957</v>
      </c>
      <c r="O92" s="124">
        <f>N92*O83</f>
        <v>9664400.9999999963</v>
      </c>
      <c r="Q92" s="11" t="s">
        <v>91</v>
      </c>
      <c r="R92" s="49">
        <v>1000</v>
      </c>
      <c r="S92" s="49">
        <f>R92*S83</f>
        <v>800000</v>
      </c>
    </row>
    <row r="93" spans="13:21" ht="15" thickBot="1" x14ac:dyDescent="0.35">
      <c r="M93" s="125" t="s">
        <v>108</v>
      </c>
      <c r="N93" s="49">
        <f>(50%*N92)*5%</f>
        <v>24.161002499999991</v>
      </c>
      <c r="O93" s="126">
        <f>N93*O83</f>
        <v>241610.02499999991</v>
      </c>
      <c r="Q93" s="66" t="s">
        <v>70</v>
      </c>
      <c r="R93" s="65">
        <f>R91-R92</f>
        <v>5788.6323000000002</v>
      </c>
      <c r="S93" s="128">
        <f>S91-S92</f>
        <v>4630905.84</v>
      </c>
    </row>
    <row r="94" spans="13:21" ht="15" thickBot="1" x14ac:dyDescent="0.35">
      <c r="M94" s="135" t="s">
        <v>130</v>
      </c>
      <c r="N94" s="136">
        <f>N92-N93</f>
        <v>942.27909749999958</v>
      </c>
      <c r="O94" s="137">
        <f>N94*O83</f>
        <v>9422790.9749999959</v>
      </c>
      <c r="Q94" s="315" t="s">
        <v>143</v>
      </c>
      <c r="R94" s="123">
        <f>R93*30%</f>
        <v>1736.58969</v>
      </c>
      <c r="S94" s="124">
        <f>R94*S83</f>
        <v>1389271.7520000001</v>
      </c>
    </row>
    <row r="95" spans="13:21" x14ac:dyDescent="0.3">
      <c r="M95" s="119" t="s">
        <v>70</v>
      </c>
      <c r="N95" s="120">
        <f>N91-N92</f>
        <v>2255.0268999999989</v>
      </c>
      <c r="O95" s="121">
        <f>O91-O92</f>
        <v>22550268.999999989</v>
      </c>
      <c r="Q95" s="316" t="s">
        <v>108</v>
      </c>
      <c r="R95" s="49">
        <f>(50%*R94)*5%</f>
        <v>43.414742250000003</v>
      </c>
      <c r="S95" s="126">
        <f>R95*S83</f>
        <v>34731.793799999999</v>
      </c>
    </row>
    <row r="96" spans="13:21" ht="15" thickBot="1" x14ac:dyDescent="0.35">
      <c r="Q96" s="317" t="s">
        <v>109</v>
      </c>
      <c r="R96" s="136">
        <f>R94-R95</f>
        <v>1693.17494775</v>
      </c>
      <c r="S96" s="137">
        <f>R96*S83</f>
        <v>1354539.9582</v>
      </c>
      <c r="T96" s="18">
        <v>897382.72230749996</v>
      </c>
      <c r="U96" t="s">
        <v>150</v>
      </c>
    </row>
    <row r="97" spans="13:20" x14ac:dyDescent="0.3">
      <c r="M97" s="92"/>
      <c r="N97" s="180"/>
      <c r="O97" s="117"/>
      <c r="Q97" s="313" t="s">
        <v>70</v>
      </c>
      <c r="R97" s="120">
        <f>R93-R94</f>
        <v>4052.0426100000004</v>
      </c>
      <c r="S97" s="121">
        <f>S93-S94</f>
        <v>3241634.0879999995</v>
      </c>
      <c r="T97" s="18">
        <f>S96-T96</f>
        <v>457157.23589250003</v>
      </c>
    </row>
    <row r="98" spans="13:20" x14ac:dyDescent="0.3">
      <c r="M98" s="92"/>
      <c r="N98" s="117"/>
      <c r="O98" s="118"/>
      <c r="S98" s="18"/>
    </row>
    <row r="99" spans="13:20" x14ac:dyDescent="0.3">
      <c r="M99" s="10" t="s">
        <v>69</v>
      </c>
      <c r="N99" s="179">
        <v>45532</v>
      </c>
      <c r="O99" s="49">
        <v>3500</v>
      </c>
      <c r="Q99" s="11" t="s">
        <v>69</v>
      </c>
      <c r="R99" s="153">
        <v>45516</v>
      </c>
      <c r="S99" s="49">
        <v>200</v>
      </c>
    </row>
    <row r="100" spans="13:20" x14ac:dyDescent="0.3">
      <c r="M100" s="10" t="s">
        <v>67</v>
      </c>
      <c r="N100" s="49">
        <v>20500</v>
      </c>
      <c r="O100" s="80">
        <f>N100*O99</f>
        <v>71750000</v>
      </c>
      <c r="Q100" s="11" t="s">
        <v>67</v>
      </c>
      <c r="R100" s="49">
        <v>25000</v>
      </c>
      <c r="S100" s="80">
        <f>R100*S99</f>
        <v>5000000</v>
      </c>
    </row>
    <row r="101" spans="13:20" x14ac:dyDescent="0.3">
      <c r="M101" s="10" t="s">
        <v>68</v>
      </c>
      <c r="N101" s="49">
        <f>5790*111%</f>
        <v>6426.9000000000005</v>
      </c>
      <c r="O101" s="80">
        <f>N101*O99</f>
        <v>22494150.000000004</v>
      </c>
      <c r="Q101" s="11" t="s">
        <v>68</v>
      </c>
      <c r="R101" s="49">
        <f>6031*111%</f>
        <v>6694.4100000000008</v>
      </c>
      <c r="S101" s="80">
        <f>R101*S99</f>
        <v>1338882.0000000002</v>
      </c>
    </row>
    <row r="102" spans="13:20" x14ac:dyDescent="0.3">
      <c r="M102" s="114" t="s">
        <v>72</v>
      </c>
      <c r="N102" s="115">
        <f>3200*111%</f>
        <v>3552.0000000000005</v>
      </c>
      <c r="O102" s="115">
        <f>N102*O99</f>
        <v>12432000.000000002</v>
      </c>
      <c r="Q102" s="314" t="s">
        <v>92</v>
      </c>
      <c r="R102" s="115">
        <f>3700*111%</f>
        <v>4107</v>
      </c>
      <c r="S102" s="115">
        <f>R102*S99</f>
        <v>821400</v>
      </c>
    </row>
    <row r="103" spans="13:20" x14ac:dyDescent="0.3">
      <c r="M103" s="10" t="s">
        <v>70</v>
      </c>
      <c r="N103" s="49">
        <f>N100-N101-N102</f>
        <v>10521.099999999999</v>
      </c>
      <c r="O103" s="49">
        <f>N103*O99</f>
        <v>36823849.999999993</v>
      </c>
      <c r="Q103" s="11" t="s">
        <v>70</v>
      </c>
      <c r="R103" s="49">
        <f>R100-R101-R102</f>
        <v>14198.59</v>
      </c>
      <c r="S103" s="49">
        <f>R103*S99</f>
        <v>2839718</v>
      </c>
    </row>
    <row r="104" spans="13:20" x14ac:dyDescent="0.3">
      <c r="M104" s="178" t="s">
        <v>71</v>
      </c>
      <c r="N104" s="168">
        <f>7200</f>
        <v>7200</v>
      </c>
      <c r="O104" s="168">
        <f>N104*O99</f>
        <v>25200000</v>
      </c>
      <c r="Q104" s="11" t="s">
        <v>71</v>
      </c>
      <c r="R104" s="49">
        <f>7200</f>
        <v>7200</v>
      </c>
      <c r="S104" s="49">
        <f>R104*S99</f>
        <v>1440000</v>
      </c>
    </row>
    <row r="105" spans="13:20" x14ac:dyDescent="0.3">
      <c r="M105" s="10" t="s">
        <v>70</v>
      </c>
      <c r="N105" s="49">
        <f>N103-N104</f>
        <v>3321.0999999999985</v>
      </c>
      <c r="O105" s="49">
        <f>N105*O99</f>
        <v>11623849.999999994</v>
      </c>
      <c r="Q105" s="11" t="s">
        <v>70</v>
      </c>
      <c r="R105" s="49">
        <f>R103-R104</f>
        <v>6998.59</v>
      </c>
      <c r="S105" s="49">
        <f>R105*S99</f>
        <v>1399718</v>
      </c>
    </row>
    <row r="106" spans="13:20" x14ac:dyDescent="0.3">
      <c r="M106" s="10" t="s">
        <v>27</v>
      </c>
      <c r="N106" s="49">
        <f>N105*3%</f>
        <v>99.632999999999953</v>
      </c>
      <c r="O106" s="49">
        <f>N106*10000</f>
        <v>996329.99999999953</v>
      </c>
      <c r="Q106" s="11" t="s">
        <v>27</v>
      </c>
      <c r="R106" s="49">
        <f>R105*3%</f>
        <v>209.95769999999999</v>
      </c>
      <c r="S106" s="49">
        <f>R106*S99</f>
        <v>41991.54</v>
      </c>
    </row>
    <row r="107" spans="13:20" ht="15" thickBot="1" x14ac:dyDescent="0.35">
      <c r="M107" s="62" t="s">
        <v>70</v>
      </c>
      <c r="N107" s="65">
        <f>N105-N106</f>
        <v>3221.4669999999987</v>
      </c>
      <c r="O107" s="65">
        <f>O105-O106</f>
        <v>10627519.999999994</v>
      </c>
      <c r="Q107" s="11" t="s">
        <v>70</v>
      </c>
      <c r="R107" s="49">
        <f>R105-R106</f>
        <v>6788.6323000000002</v>
      </c>
      <c r="S107" s="49">
        <f>S105-S106</f>
        <v>1357726.46</v>
      </c>
    </row>
    <row r="108" spans="13:20" x14ac:dyDescent="0.3">
      <c r="M108" s="122" t="s">
        <v>128</v>
      </c>
      <c r="N108" s="123">
        <f>N107*30%</f>
        <v>966.44009999999957</v>
      </c>
      <c r="O108" s="124">
        <f>N108*O99</f>
        <v>3382540.3499999987</v>
      </c>
      <c r="Q108" s="11" t="s">
        <v>91</v>
      </c>
      <c r="R108" s="49">
        <v>1000</v>
      </c>
      <c r="S108" s="49">
        <f>R108*S99</f>
        <v>200000</v>
      </c>
    </row>
    <row r="109" spans="13:20" ht="15" thickBot="1" x14ac:dyDescent="0.35">
      <c r="M109" s="125" t="s">
        <v>108</v>
      </c>
      <c r="N109" s="49">
        <f>(50%*N108)*5%</f>
        <v>24.161002499999991</v>
      </c>
      <c r="O109" s="126">
        <f>N109*O99</f>
        <v>84563.508749999964</v>
      </c>
      <c r="Q109" s="66" t="s">
        <v>70</v>
      </c>
      <c r="R109" s="65">
        <f>R107-R108</f>
        <v>5788.6323000000002</v>
      </c>
      <c r="S109" s="128">
        <f>S107-S108</f>
        <v>1157726.46</v>
      </c>
    </row>
    <row r="110" spans="13:20" ht="15" thickBot="1" x14ac:dyDescent="0.35">
      <c r="M110" s="135" t="s">
        <v>130</v>
      </c>
      <c r="N110" s="136">
        <f>N108-N109</f>
        <v>942.27909749999958</v>
      </c>
      <c r="O110" s="137">
        <f>N110*O99</f>
        <v>3297976.8412499987</v>
      </c>
      <c r="Q110" s="315" t="s">
        <v>143</v>
      </c>
      <c r="R110" s="123">
        <f>R109*30%</f>
        <v>1736.58969</v>
      </c>
      <c r="S110" s="124">
        <f>R110*S99</f>
        <v>347317.93800000002</v>
      </c>
    </row>
    <row r="111" spans="13:20" x14ac:dyDescent="0.3">
      <c r="M111" s="119" t="s">
        <v>70</v>
      </c>
      <c r="N111" s="120">
        <f>N107-N108</f>
        <v>2255.0268999999989</v>
      </c>
      <c r="O111" s="121">
        <f>O107-O108</f>
        <v>7244979.6499999957</v>
      </c>
      <c r="Q111" s="316" t="s">
        <v>108</v>
      </c>
      <c r="R111" s="49">
        <f>(50%*R110)*5%</f>
        <v>43.414742250000003</v>
      </c>
      <c r="S111" s="126">
        <f>R111*S99</f>
        <v>8682.9484499999999</v>
      </c>
    </row>
    <row r="112" spans="13:20" ht="15" thickBot="1" x14ac:dyDescent="0.35">
      <c r="Q112" s="317" t="s">
        <v>109</v>
      </c>
      <c r="R112" s="136">
        <f>R110-R111</f>
        <v>1693.17494775</v>
      </c>
      <c r="S112" s="137">
        <f>R112*S99</f>
        <v>338634.98955</v>
      </c>
    </row>
    <row r="113" spans="13:19" x14ac:dyDescent="0.3">
      <c r="M113" s="92"/>
      <c r="N113" s="95"/>
      <c r="O113" s="93"/>
      <c r="Q113" s="313" t="s">
        <v>70</v>
      </c>
      <c r="R113" s="120">
        <f>R109-R110</f>
        <v>4052.0426100000004</v>
      </c>
      <c r="S113" s="121">
        <f>S109-S110</f>
        <v>810408.52199999988</v>
      </c>
    </row>
    <row r="114" spans="13:19" x14ac:dyDescent="0.3">
      <c r="M114" s="92"/>
      <c r="N114" s="95"/>
      <c r="O114" s="93"/>
    </row>
    <row r="115" spans="13:19" x14ac:dyDescent="0.3">
      <c r="M115" s="10" t="s">
        <v>69</v>
      </c>
      <c r="N115" s="179">
        <v>45534</v>
      </c>
      <c r="O115" s="49">
        <v>6500</v>
      </c>
      <c r="Q115" s="11" t="s">
        <v>69</v>
      </c>
      <c r="R115" s="153">
        <v>45532</v>
      </c>
      <c r="S115" s="49">
        <v>1000</v>
      </c>
    </row>
    <row r="116" spans="13:19" x14ac:dyDescent="0.3">
      <c r="M116" s="10" t="s">
        <v>67</v>
      </c>
      <c r="N116" s="49">
        <v>20500</v>
      </c>
      <c r="O116" s="80">
        <f>N116*O115</f>
        <v>133250000</v>
      </c>
      <c r="Q116" s="11" t="s">
        <v>67</v>
      </c>
      <c r="R116" s="49">
        <v>25000</v>
      </c>
      <c r="S116" s="80">
        <f>R116*S115</f>
        <v>25000000</v>
      </c>
    </row>
    <row r="117" spans="13:19" x14ac:dyDescent="0.3">
      <c r="M117" s="10" t="s">
        <v>68</v>
      </c>
      <c r="N117" s="49">
        <f>5790*111%</f>
        <v>6426.9000000000005</v>
      </c>
      <c r="O117" s="80">
        <f>N117*O115</f>
        <v>41774850</v>
      </c>
      <c r="Q117" s="11" t="s">
        <v>68</v>
      </c>
      <c r="R117" s="49">
        <f>5790*111%</f>
        <v>6426.9000000000005</v>
      </c>
      <c r="S117" s="80">
        <f>R117*S115</f>
        <v>6426900.0000000009</v>
      </c>
    </row>
    <row r="118" spans="13:19" x14ac:dyDescent="0.3">
      <c r="M118" s="114" t="s">
        <v>72</v>
      </c>
      <c r="N118" s="115">
        <f>3200*111%</f>
        <v>3552.0000000000005</v>
      </c>
      <c r="O118" s="115">
        <f>N118*O115</f>
        <v>23088000.000000004</v>
      </c>
      <c r="Q118" s="314" t="s">
        <v>92</v>
      </c>
      <c r="R118" s="115">
        <f>3700*111%</f>
        <v>4107</v>
      </c>
      <c r="S118" s="115">
        <f>R118*S115</f>
        <v>4107000</v>
      </c>
    </row>
    <row r="119" spans="13:19" x14ac:dyDescent="0.3">
      <c r="M119" s="10" t="s">
        <v>70</v>
      </c>
      <c r="N119" s="49">
        <f>N116-N117-N118</f>
        <v>10521.099999999999</v>
      </c>
      <c r="O119" s="49">
        <f>N119*O115</f>
        <v>68387149.999999985</v>
      </c>
      <c r="Q119" s="11" t="s">
        <v>70</v>
      </c>
      <c r="R119" s="49">
        <f>R116-R117-R118</f>
        <v>14466.099999999999</v>
      </c>
      <c r="S119" s="49">
        <f>R119*S115</f>
        <v>14466099.999999998</v>
      </c>
    </row>
    <row r="120" spans="13:19" x14ac:dyDescent="0.3">
      <c r="M120" s="178" t="s">
        <v>71</v>
      </c>
      <c r="N120" s="168">
        <f>7200</f>
        <v>7200</v>
      </c>
      <c r="O120" s="168">
        <f>N120*O115</f>
        <v>46800000</v>
      </c>
      <c r="Q120" s="318" t="s">
        <v>71</v>
      </c>
      <c r="R120" s="168">
        <f>7200</f>
        <v>7200</v>
      </c>
      <c r="S120" s="168">
        <f>R120*S115</f>
        <v>7200000</v>
      </c>
    </row>
    <row r="121" spans="13:19" x14ac:dyDescent="0.3">
      <c r="M121" s="10" t="s">
        <v>70</v>
      </c>
      <c r="N121" s="49">
        <f>N119-N120</f>
        <v>3321.0999999999985</v>
      </c>
      <c r="O121" s="49">
        <f>N121*O115</f>
        <v>21587149.999999989</v>
      </c>
      <c r="Q121" s="11" t="s">
        <v>70</v>
      </c>
      <c r="R121" s="49">
        <f>R119-R120</f>
        <v>7266.0999999999985</v>
      </c>
      <c r="S121" s="49">
        <f>R121*S115</f>
        <v>7266099.9999999981</v>
      </c>
    </row>
    <row r="122" spans="13:19" x14ac:dyDescent="0.3">
      <c r="M122" s="10" t="s">
        <v>27</v>
      </c>
      <c r="N122" s="49">
        <f>N121*3%</f>
        <v>99.632999999999953</v>
      </c>
      <c r="O122" s="49">
        <f>N122*10000</f>
        <v>996329.99999999953</v>
      </c>
      <c r="Q122" s="11" t="s">
        <v>27</v>
      </c>
      <c r="R122" s="49">
        <f>R121*3%</f>
        <v>217.98299999999995</v>
      </c>
      <c r="S122" s="49">
        <f>R122*S115</f>
        <v>217982.99999999994</v>
      </c>
    </row>
    <row r="123" spans="13:19" ht="15" thickBot="1" x14ac:dyDescent="0.35">
      <c r="M123" s="62" t="s">
        <v>70</v>
      </c>
      <c r="N123" s="65">
        <f>N121-N122</f>
        <v>3221.4669999999987</v>
      </c>
      <c r="O123" s="65">
        <f>O121-O122</f>
        <v>20590819.999999989</v>
      </c>
      <c r="Q123" s="11" t="s">
        <v>70</v>
      </c>
      <c r="R123" s="49">
        <f>R121-R122</f>
        <v>7048.1169999999984</v>
      </c>
      <c r="S123" s="49">
        <f>S121-S122</f>
        <v>7048116.9999999981</v>
      </c>
    </row>
    <row r="124" spans="13:19" x14ac:dyDescent="0.3">
      <c r="M124" s="122" t="s">
        <v>128</v>
      </c>
      <c r="N124" s="123">
        <f>N123*30%</f>
        <v>966.44009999999957</v>
      </c>
      <c r="O124" s="124">
        <f>N124*O115</f>
        <v>6281860.6499999976</v>
      </c>
      <c r="Q124" s="11" t="s">
        <v>91</v>
      </c>
      <c r="R124" s="49">
        <v>1000</v>
      </c>
      <c r="S124" s="49">
        <f>R124*S115</f>
        <v>1000000</v>
      </c>
    </row>
    <row r="125" spans="13:19" ht="15" thickBot="1" x14ac:dyDescent="0.35">
      <c r="M125" s="125" t="s">
        <v>108</v>
      </c>
      <c r="N125" s="49">
        <f>(50%*N124)*5%</f>
        <v>24.161002499999991</v>
      </c>
      <c r="O125" s="126">
        <f>N125*O115</f>
        <v>157046.51624999996</v>
      </c>
      <c r="Q125" s="66" t="s">
        <v>70</v>
      </c>
      <c r="R125" s="65">
        <f>R123-R124</f>
        <v>6048.1169999999984</v>
      </c>
      <c r="S125" s="128">
        <f>S123-S124</f>
        <v>6048116.9999999981</v>
      </c>
    </row>
    <row r="126" spans="13:19" ht="15" thickBot="1" x14ac:dyDescent="0.35">
      <c r="M126" s="135" t="s">
        <v>130</v>
      </c>
      <c r="N126" s="136">
        <f>N124-N125</f>
        <v>942.27909749999958</v>
      </c>
      <c r="O126" s="137">
        <f>N126*O115</f>
        <v>6124814.1337499972</v>
      </c>
      <c r="Q126" s="315" t="s">
        <v>143</v>
      </c>
      <c r="R126" s="123">
        <f>R125*30%</f>
        <v>1814.4350999999995</v>
      </c>
      <c r="S126" s="124">
        <f>R126*S115</f>
        <v>1814435.0999999994</v>
      </c>
    </row>
    <row r="127" spans="13:19" x14ac:dyDescent="0.3">
      <c r="M127" s="119" t="s">
        <v>70</v>
      </c>
      <c r="N127" s="120">
        <f>N123-N124</f>
        <v>2255.0268999999989</v>
      </c>
      <c r="O127" s="121">
        <f>O123-O124</f>
        <v>14308959.34999999</v>
      </c>
      <c r="Q127" s="316" t="s">
        <v>108</v>
      </c>
      <c r="R127" s="49">
        <f>(50%*R126)*5%</f>
        <v>45.360877499999987</v>
      </c>
      <c r="S127" s="126">
        <f>R127*S115</f>
        <v>45360.877499999988</v>
      </c>
    </row>
    <row r="128" spans="13:19" ht="15" thickBot="1" x14ac:dyDescent="0.35">
      <c r="Q128" s="317" t="s">
        <v>109</v>
      </c>
      <c r="R128" s="136">
        <f>R126-R127</f>
        <v>1769.0742224999995</v>
      </c>
      <c r="S128" s="137">
        <f>R128*S115</f>
        <v>1769074.2224999995</v>
      </c>
    </row>
    <row r="129" spans="13:26" x14ac:dyDescent="0.3">
      <c r="Q129" s="313" t="s">
        <v>70</v>
      </c>
      <c r="R129" s="120">
        <f>R125-R126</f>
        <v>4233.6818999999987</v>
      </c>
      <c r="S129" s="121">
        <f>S125-S126</f>
        <v>4233681.8999999985</v>
      </c>
    </row>
    <row r="131" spans="13:26" x14ac:dyDescent="0.3">
      <c r="M131" s="152"/>
      <c r="P131" s="152">
        <v>45559</v>
      </c>
      <c r="U131" s="12" t="s">
        <v>153</v>
      </c>
      <c r="V131" s="12"/>
      <c r="W131" s="12"/>
      <c r="X131" s="12"/>
    </row>
    <row r="132" spans="13:26" x14ac:dyDescent="0.3">
      <c r="M132" s="10" t="s">
        <v>69</v>
      </c>
      <c r="N132" s="179">
        <v>45546</v>
      </c>
      <c r="O132" s="49">
        <v>1500</v>
      </c>
      <c r="Q132" s="11" t="s">
        <v>69</v>
      </c>
      <c r="R132" s="153">
        <v>45539</v>
      </c>
      <c r="S132" s="49">
        <v>500</v>
      </c>
      <c r="U132" s="10" t="s">
        <v>69</v>
      </c>
      <c r="V132" s="51"/>
      <c r="W132" s="51"/>
      <c r="X132" s="51"/>
      <c r="Y132" s="153">
        <v>45539</v>
      </c>
      <c r="Z132" s="49">
        <v>204</v>
      </c>
    </row>
    <row r="133" spans="13:26" x14ac:dyDescent="0.3">
      <c r="M133" s="10" t="s">
        <v>67</v>
      </c>
      <c r="N133" s="49">
        <v>20500</v>
      </c>
      <c r="O133" s="80">
        <f>N133*O132</f>
        <v>30750000</v>
      </c>
      <c r="Q133" s="11" t="s">
        <v>67</v>
      </c>
      <c r="R133" s="49">
        <v>25000</v>
      </c>
      <c r="S133" s="80">
        <f>R133*S132</f>
        <v>12500000</v>
      </c>
      <c r="U133" s="10" t="s">
        <v>67</v>
      </c>
      <c r="V133" s="10"/>
      <c r="W133" s="10"/>
      <c r="X133" s="10"/>
      <c r="Y133" s="49">
        <v>35000</v>
      </c>
      <c r="Z133" s="80">
        <f>Y133*Z132</f>
        <v>7140000</v>
      </c>
    </row>
    <row r="134" spans="13:26" x14ac:dyDescent="0.3">
      <c r="M134" s="10" t="s">
        <v>68</v>
      </c>
      <c r="N134" s="49">
        <f>5790*111%</f>
        <v>6426.9000000000005</v>
      </c>
      <c r="O134" s="80">
        <f>N134*O132</f>
        <v>9640350</v>
      </c>
      <c r="Q134" s="11" t="s">
        <v>68</v>
      </c>
      <c r="R134" s="49">
        <f>5790*111%</f>
        <v>6426.9000000000005</v>
      </c>
      <c r="S134" s="80">
        <f>R134*S132</f>
        <v>3213450.0000000005</v>
      </c>
      <c r="U134" s="10" t="s">
        <v>68</v>
      </c>
      <c r="V134" s="10"/>
      <c r="W134" s="10"/>
      <c r="X134" s="10"/>
      <c r="Y134" s="49">
        <f>5790*111%</f>
        <v>6426.9000000000005</v>
      </c>
      <c r="Z134" s="80">
        <f>Y134*Z132</f>
        <v>1311087.6000000001</v>
      </c>
    </row>
    <row r="135" spans="13:26" x14ac:dyDescent="0.3">
      <c r="M135" s="114" t="s">
        <v>72</v>
      </c>
      <c r="N135" s="115">
        <f>3200*111%</f>
        <v>3552.0000000000005</v>
      </c>
      <c r="O135" s="115">
        <f>N135*O132</f>
        <v>5328000.0000000009</v>
      </c>
      <c r="Q135" s="314" t="s">
        <v>92</v>
      </c>
      <c r="R135" s="115">
        <f>3200*111%</f>
        <v>3552.0000000000005</v>
      </c>
      <c r="S135" s="115">
        <f>R135*S132</f>
        <v>1776000.0000000002</v>
      </c>
      <c r="U135" s="114" t="s">
        <v>92</v>
      </c>
      <c r="V135" s="114"/>
      <c r="W135" s="114"/>
      <c r="X135" s="114"/>
      <c r="Y135" s="115">
        <f>3200*111%</f>
        <v>3552.0000000000005</v>
      </c>
      <c r="Z135" s="115">
        <f>Y135*Z132</f>
        <v>724608.00000000012</v>
      </c>
    </row>
    <row r="136" spans="13:26" x14ac:dyDescent="0.3">
      <c r="M136" s="10" t="s">
        <v>70</v>
      </c>
      <c r="N136" s="49">
        <f>N133-N134-N135</f>
        <v>10521.099999999999</v>
      </c>
      <c r="O136" s="49">
        <f>N136*O132</f>
        <v>15781649.999999998</v>
      </c>
      <c r="Q136" s="11" t="s">
        <v>70</v>
      </c>
      <c r="R136" s="49">
        <f>R133-R134-R135</f>
        <v>15021.099999999999</v>
      </c>
      <c r="S136" s="49">
        <f>R136*S132</f>
        <v>7510549.9999999991</v>
      </c>
      <c r="U136" s="10" t="s">
        <v>70</v>
      </c>
      <c r="V136" s="10"/>
      <c r="W136" s="10"/>
      <c r="X136" s="10"/>
      <c r="Y136" s="49">
        <f>Y133-Y134-Y135</f>
        <v>25021.1</v>
      </c>
      <c r="Z136" s="49">
        <f>Y136*Z132</f>
        <v>5104304.3999999994</v>
      </c>
    </row>
    <row r="137" spans="13:26" x14ac:dyDescent="0.3">
      <c r="M137" s="178" t="s">
        <v>71</v>
      </c>
      <c r="N137" s="168">
        <f>7200</f>
        <v>7200</v>
      </c>
      <c r="O137" s="168">
        <f>N137*O132</f>
        <v>10800000</v>
      </c>
      <c r="Q137" s="318" t="s">
        <v>71</v>
      </c>
      <c r="R137" s="168">
        <f>7200</f>
        <v>7200</v>
      </c>
      <c r="S137" s="168">
        <f>R137*S132</f>
        <v>3600000</v>
      </c>
      <c r="U137" s="178" t="s">
        <v>71</v>
      </c>
      <c r="V137" s="178"/>
      <c r="W137" s="178"/>
      <c r="X137" s="178"/>
      <c r="Y137" s="168">
        <f>7200</f>
        <v>7200</v>
      </c>
      <c r="Z137" s="168">
        <f>Y137*Z132</f>
        <v>1468800</v>
      </c>
    </row>
    <row r="138" spans="13:26" x14ac:dyDescent="0.3">
      <c r="M138" s="10" t="s">
        <v>70</v>
      </c>
      <c r="N138" s="49">
        <f>N136-N137</f>
        <v>3321.0999999999985</v>
      </c>
      <c r="O138" s="49">
        <f>N138*O132</f>
        <v>4981649.9999999981</v>
      </c>
      <c r="Q138" s="11" t="s">
        <v>70</v>
      </c>
      <c r="R138" s="49">
        <f>R136-R137</f>
        <v>7821.0999999999985</v>
      </c>
      <c r="S138" s="49">
        <f>R138*S132</f>
        <v>3910549.9999999991</v>
      </c>
      <c r="U138" s="10" t="s">
        <v>70</v>
      </c>
      <c r="V138" s="10"/>
      <c r="W138" s="10"/>
      <c r="X138" s="10"/>
      <c r="Y138" s="49">
        <f>Y136-Y137</f>
        <v>17821.099999999999</v>
      </c>
      <c r="Z138" s="49">
        <f>Y138*Z132</f>
        <v>3635504.4</v>
      </c>
    </row>
    <row r="139" spans="13:26" x14ac:dyDescent="0.3">
      <c r="M139" s="10" t="s">
        <v>27</v>
      </c>
      <c r="N139" s="49">
        <f>N138*3%</f>
        <v>99.632999999999953</v>
      </c>
      <c r="O139" s="49">
        <f>N139*10000</f>
        <v>996329.99999999953</v>
      </c>
      <c r="Q139" s="11" t="s">
        <v>27</v>
      </c>
      <c r="R139" s="49">
        <f>R138*3%</f>
        <v>234.63299999999995</v>
      </c>
      <c r="S139" s="49">
        <f>R139*S132</f>
        <v>117316.49999999997</v>
      </c>
      <c r="U139" s="10" t="s">
        <v>27</v>
      </c>
      <c r="V139" s="10"/>
      <c r="W139" s="10"/>
      <c r="X139" s="10"/>
      <c r="Y139" s="49">
        <f>Y138*3%</f>
        <v>534.63299999999992</v>
      </c>
      <c r="Z139" s="49">
        <f>Y139*Z132</f>
        <v>109065.13199999998</v>
      </c>
    </row>
    <row r="140" spans="13:26" ht="15" thickBot="1" x14ac:dyDescent="0.35">
      <c r="M140" s="62" t="s">
        <v>70</v>
      </c>
      <c r="N140" s="65">
        <f>N138-N139</f>
        <v>3221.4669999999987</v>
      </c>
      <c r="O140" s="65">
        <f>O138-O139</f>
        <v>3985319.9999999986</v>
      </c>
      <c r="Q140" s="11" t="s">
        <v>70</v>
      </c>
      <c r="R140" s="49">
        <f>R138-R139</f>
        <v>7586.4669999999987</v>
      </c>
      <c r="S140" s="49">
        <f>S138-S139</f>
        <v>3793233.4999999991</v>
      </c>
      <c r="U140" s="10" t="s">
        <v>70</v>
      </c>
      <c r="V140" s="10"/>
      <c r="W140" s="10"/>
      <c r="X140" s="10"/>
      <c r="Y140" s="49">
        <f>Y138-Y139</f>
        <v>17286.466999999997</v>
      </c>
      <c r="Z140" s="49">
        <f>Z138-Z139</f>
        <v>3526439.2680000002</v>
      </c>
    </row>
    <row r="141" spans="13:26" x14ac:dyDescent="0.3">
      <c r="M141" s="122" t="s">
        <v>128</v>
      </c>
      <c r="N141" s="123">
        <f>N140*30%</f>
        <v>966.44009999999957</v>
      </c>
      <c r="O141" s="124">
        <f>N141*O132</f>
        <v>1449660.1499999994</v>
      </c>
      <c r="Q141" s="319" t="s">
        <v>91</v>
      </c>
      <c r="R141" s="185">
        <v>1000</v>
      </c>
      <c r="S141" s="185">
        <f>R141*S132</f>
        <v>500000</v>
      </c>
      <c r="U141" s="184" t="s">
        <v>91</v>
      </c>
      <c r="V141" s="184"/>
      <c r="W141" s="184"/>
      <c r="X141" s="184"/>
      <c r="Y141" s="185">
        <f>5000+1000</f>
        <v>6000</v>
      </c>
      <c r="Z141" s="185">
        <f>Y141*Z132</f>
        <v>1224000</v>
      </c>
    </row>
    <row r="142" spans="13:26" ht="15" thickBot="1" x14ac:dyDescent="0.35">
      <c r="M142" s="125" t="s">
        <v>108</v>
      </c>
      <c r="N142" s="49">
        <f>(50%*N141)*5%</f>
        <v>24.161002499999991</v>
      </c>
      <c r="O142" s="126">
        <f>N142*O132</f>
        <v>36241.503749999989</v>
      </c>
      <c r="Q142" s="66" t="s">
        <v>70</v>
      </c>
      <c r="R142" s="65">
        <f>R140-R141</f>
        <v>6586.4669999999987</v>
      </c>
      <c r="S142" s="128">
        <f>S140-S141</f>
        <v>3293233.4999999991</v>
      </c>
      <c r="U142" s="62" t="s">
        <v>70</v>
      </c>
      <c r="V142" s="62"/>
      <c r="W142" s="62"/>
      <c r="X142" s="62"/>
      <c r="Y142" s="65">
        <f>Y140-Y141</f>
        <v>11286.466999999997</v>
      </c>
      <c r="Z142" s="128">
        <f>Z140-Z141</f>
        <v>2302439.2680000002</v>
      </c>
    </row>
    <row r="143" spans="13:26" ht="15" thickBot="1" x14ac:dyDescent="0.35">
      <c r="M143" s="135" t="s">
        <v>130</v>
      </c>
      <c r="N143" s="136">
        <f>N141-N142</f>
        <v>942.27909749999958</v>
      </c>
      <c r="O143" s="137">
        <f>N143*O132</f>
        <v>1413418.6462499993</v>
      </c>
      <c r="Q143" s="315" t="s">
        <v>143</v>
      </c>
      <c r="R143" s="123">
        <f>R142*30%</f>
        <v>1975.9400999999996</v>
      </c>
      <c r="S143" s="124">
        <f>R143*S132</f>
        <v>987970.04999999981</v>
      </c>
      <c r="U143" s="122" t="s">
        <v>143</v>
      </c>
      <c r="V143" s="358"/>
      <c r="W143" s="358"/>
      <c r="X143" s="358"/>
      <c r="Y143" s="123">
        <f>Y142*30%</f>
        <v>3385.9400999999989</v>
      </c>
      <c r="Z143" s="124">
        <f>Y143*Z132</f>
        <v>690731.78039999981</v>
      </c>
    </row>
    <row r="144" spans="13:26" x14ac:dyDescent="0.3">
      <c r="M144" s="119" t="s">
        <v>70</v>
      </c>
      <c r="N144" s="120">
        <f>N140-N141</f>
        <v>2255.0268999999989</v>
      </c>
      <c r="O144" s="121">
        <f>O140-O141</f>
        <v>2535659.8499999992</v>
      </c>
      <c r="Q144" s="316" t="s">
        <v>108</v>
      </c>
      <c r="R144" s="49">
        <f>(50%*R143)*5%</f>
        <v>49.398502499999992</v>
      </c>
      <c r="S144" s="126">
        <f>R144*S132</f>
        <v>24699.251249999998</v>
      </c>
      <c r="U144" s="125" t="s">
        <v>108</v>
      </c>
      <c r="V144" s="229"/>
      <c r="W144" s="229"/>
      <c r="X144" s="229"/>
      <c r="Y144" s="49">
        <f>(50%*Y143)*5%</f>
        <v>84.648502499999978</v>
      </c>
      <c r="Z144" s="126">
        <f>Y144*Z132</f>
        <v>17268.294509999996</v>
      </c>
    </row>
    <row r="145" spans="13:26" ht="15" thickBot="1" x14ac:dyDescent="0.35">
      <c r="Q145" s="317" t="s">
        <v>109</v>
      </c>
      <c r="R145" s="136">
        <f>R143-R144</f>
        <v>1926.5415974999996</v>
      </c>
      <c r="S145" s="137">
        <f>R145*S132</f>
        <v>963270.79874999984</v>
      </c>
      <c r="U145" s="135" t="s">
        <v>109</v>
      </c>
      <c r="V145" s="359"/>
      <c r="W145" s="359"/>
      <c r="X145" s="359"/>
      <c r="Y145" s="136">
        <f>Y143-Y144</f>
        <v>3301.2915974999987</v>
      </c>
      <c r="Z145" s="137">
        <f>Y145*Z132</f>
        <v>673463.48588999978</v>
      </c>
    </row>
    <row r="146" spans="13:26" x14ac:dyDescent="0.3">
      <c r="Q146" s="313" t="s">
        <v>70</v>
      </c>
      <c r="R146" s="120">
        <f>R142-R143</f>
        <v>4610.5268999999989</v>
      </c>
      <c r="S146" s="121">
        <f>S142-S143</f>
        <v>2305263.4499999993</v>
      </c>
      <c r="U146" s="119" t="s">
        <v>70</v>
      </c>
      <c r="V146" s="119"/>
      <c r="W146" s="119"/>
      <c r="X146" s="119"/>
      <c r="Y146" s="120">
        <f>Y142-Y143</f>
        <v>7900.526899999998</v>
      </c>
      <c r="Z146" s="121">
        <f>Z142-Z143</f>
        <v>1611707.4876000003</v>
      </c>
    </row>
    <row r="148" spans="13:26" x14ac:dyDescent="0.3">
      <c r="M148" s="10" t="s">
        <v>69</v>
      </c>
      <c r="N148" s="179">
        <v>45547</v>
      </c>
      <c r="O148" s="49">
        <v>5000</v>
      </c>
      <c r="Q148" s="11" t="s">
        <v>69</v>
      </c>
      <c r="R148" s="153">
        <v>45542</v>
      </c>
      <c r="S148" s="49">
        <v>500</v>
      </c>
      <c r="U148" s="92" t="s">
        <v>196</v>
      </c>
      <c r="V148" s="92"/>
      <c r="W148" s="92"/>
      <c r="X148" s="92"/>
      <c r="Y148" s="55"/>
    </row>
    <row r="149" spans="13:26" x14ac:dyDescent="0.3">
      <c r="M149" s="10" t="s">
        <v>67</v>
      </c>
      <c r="N149" s="49">
        <v>20500</v>
      </c>
      <c r="O149" s="80">
        <f>N149*O148</f>
        <v>102500000</v>
      </c>
      <c r="Q149" s="11" t="s">
        <v>67</v>
      </c>
      <c r="R149" s="49">
        <v>25000</v>
      </c>
      <c r="S149" s="80">
        <f>R149*S148</f>
        <v>12500000</v>
      </c>
      <c r="U149" s="10" t="s">
        <v>69</v>
      </c>
      <c r="V149" s="51"/>
      <c r="W149" s="51"/>
      <c r="X149" s="51"/>
      <c r="Y149" s="153">
        <v>45559</v>
      </c>
      <c r="Z149" s="49">
        <v>250</v>
      </c>
    </row>
    <row r="150" spans="13:26" x14ac:dyDescent="0.3">
      <c r="M150" s="10" t="s">
        <v>68</v>
      </c>
      <c r="N150" s="49">
        <f>5790*111%</f>
        <v>6426.9000000000005</v>
      </c>
      <c r="O150" s="80">
        <f>N150*O148</f>
        <v>32134500.000000004</v>
      </c>
      <c r="Q150" s="11" t="s">
        <v>68</v>
      </c>
      <c r="R150" s="49">
        <f>5790*111%</f>
        <v>6426.9000000000005</v>
      </c>
      <c r="S150" s="80">
        <f>R150*S148</f>
        <v>3213450.0000000005</v>
      </c>
      <c r="U150" s="10" t="s">
        <v>67</v>
      </c>
      <c r="V150" s="10"/>
      <c r="W150" s="10"/>
      <c r="X150" s="10"/>
      <c r="Y150" s="49">
        <v>24000</v>
      </c>
      <c r="Z150" s="80">
        <f>Y150*Z149</f>
        <v>6000000</v>
      </c>
    </row>
    <row r="151" spans="13:26" x14ac:dyDescent="0.3">
      <c r="M151" s="114" t="s">
        <v>72</v>
      </c>
      <c r="N151" s="115">
        <f>3200*111%</f>
        <v>3552.0000000000005</v>
      </c>
      <c r="O151" s="115">
        <f>N151*O148</f>
        <v>17760000.000000004</v>
      </c>
      <c r="Q151" s="314" t="s">
        <v>92</v>
      </c>
      <c r="R151" s="115">
        <f>3200*111%</f>
        <v>3552.0000000000005</v>
      </c>
      <c r="S151" s="115">
        <f>R151*S148</f>
        <v>1776000.0000000002</v>
      </c>
      <c r="U151" s="10" t="s">
        <v>68</v>
      </c>
      <c r="V151" s="10"/>
      <c r="W151" s="10"/>
      <c r="X151" s="10"/>
      <c r="Y151" s="49">
        <f>5790*111%</f>
        <v>6426.9000000000005</v>
      </c>
      <c r="Z151" s="80">
        <f>Y151*Z149</f>
        <v>1606725.0000000002</v>
      </c>
    </row>
    <row r="152" spans="13:26" x14ac:dyDescent="0.3">
      <c r="M152" s="10" t="s">
        <v>70</v>
      </c>
      <c r="N152" s="49">
        <f>N149-N150-N151</f>
        <v>10521.099999999999</v>
      </c>
      <c r="O152" s="49">
        <f>N152*O148</f>
        <v>52605499.999999993</v>
      </c>
      <c r="Q152" s="11" t="s">
        <v>70</v>
      </c>
      <c r="R152" s="49">
        <f>R149-R150-R151</f>
        <v>15021.099999999999</v>
      </c>
      <c r="S152" s="49">
        <f>R152*S148</f>
        <v>7510549.9999999991</v>
      </c>
      <c r="U152" s="114" t="s">
        <v>92</v>
      </c>
      <c r="V152" s="114"/>
      <c r="W152" s="114"/>
      <c r="X152" s="114"/>
      <c r="Y152" s="115">
        <f>3200*111%</f>
        <v>3552.0000000000005</v>
      </c>
      <c r="Z152" s="115">
        <f>Y152*Z149</f>
        <v>888000.00000000012</v>
      </c>
    </row>
    <row r="153" spans="13:26" x14ac:dyDescent="0.3">
      <c r="M153" s="178" t="s">
        <v>71</v>
      </c>
      <c r="N153" s="168">
        <f>7200</f>
        <v>7200</v>
      </c>
      <c r="O153" s="168">
        <f>N153*O148</f>
        <v>36000000</v>
      </c>
      <c r="Q153" s="318" t="s">
        <v>71</v>
      </c>
      <c r="R153" s="168">
        <f>7200</f>
        <v>7200</v>
      </c>
      <c r="S153" s="168">
        <f>R153*S148</f>
        <v>3600000</v>
      </c>
      <c r="U153" s="10" t="s">
        <v>70</v>
      </c>
      <c r="V153" s="10"/>
      <c r="W153" s="10"/>
      <c r="X153" s="10"/>
      <c r="Y153" s="49">
        <f>Y150-Y151-Y152</f>
        <v>14021.099999999999</v>
      </c>
      <c r="Z153" s="49">
        <f>Y153*Z149</f>
        <v>3505274.9999999995</v>
      </c>
    </row>
    <row r="154" spans="13:26" x14ac:dyDescent="0.3">
      <c r="M154" s="10" t="s">
        <v>70</v>
      </c>
      <c r="N154" s="49">
        <f>N152-N153</f>
        <v>3321.0999999999985</v>
      </c>
      <c r="O154" s="49">
        <f>N154*O148</f>
        <v>16605499.999999993</v>
      </c>
      <c r="Q154" s="11" t="s">
        <v>70</v>
      </c>
      <c r="R154" s="49">
        <f>R152-R153</f>
        <v>7821.0999999999985</v>
      </c>
      <c r="S154" s="49">
        <f>R154*S148</f>
        <v>3910549.9999999991</v>
      </c>
      <c r="U154" s="178" t="s">
        <v>71</v>
      </c>
      <c r="V154" s="178"/>
      <c r="W154" s="178"/>
      <c r="X154" s="178"/>
      <c r="Y154" s="168">
        <f>7200</f>
        <v>7200</v>
      </c>
      <c r="Z154" s="168">
        <f>Y154*Z149</f>
        <v>1800000</v>
      </c>
    </row>
    <row r="155" spans="13:26" x14ac:dyDescent="0.3">
      <c r="M155" s="10" t="s">
        <v>27</v>
      </c>
      <c r="N155" s="49">
        <f>N154*3%</f>
        <v>99.632999999999953</v>
      </c>
      <c r="O155" s="49">
        <f>N155*10000</f>
        <v>996329.99999999953</v>
      </c>
      <c r="Q155" s="11" t="s">
        <v>27</v>
      </c>
      <c r="R155" s="49">
        <f>R154*3%</f>
        <v>234.63299999999995</v>
      </c>
      <c r="S155" s="49">
        <f>R155*S148</f>
        <v>117316.49999999997</v>
      </c>
      <c r="U155" s="10" t="s">
        <v>70</v>
      </c>
      <c r="V155" s="10"/>
      <c r="W155" s="10"/>
      <c r="X155" s="10"/>
      <c r="Y155" s="49">
        <f>Y153-Y154</f>
        <v>6821.0999999999985</v>
      </c>
      <c r="Z155" s="49">
        <f>Y155*Z149</f>
        <v>1705274.9999999995</v>
      </c>
    </row>
    <row r="156" spans="13:26" ht="15" thickBot="1" x14ac:dyDescent="0.35">
      <c r="M156" s="62" t="s">
        <v>70</v>
      </c>
      <c r="N156" s="65">
        <f>N154-N155</f>
        <v>3221.4669999999987</v>
      </c>
      <c r="O156" s="65">
        <f>O154-O155</f>
        <v>15609169.999999993</v>
      </c>
      <c r="Q156" s="11" t="s">
        <v>70</v>
      </c>
      <c r="R156" s="49">
        <f>R154-R155</f>
        <v>7586.4669999999987</v>
      </c>
      <c r="S156" s="49">
        <f>S154-S155</f>
        <v>3793233.4999999991</v>
      </c>
      <c r="U156" s="10" t="s">
        <v>27</v>
      </c>
      <c r="V156" s="10"/>
      <c r="W156" s="10"/>
      <c r="X156" s="10"/>
      <c r="Y156" s="49">
        <f>Y155*3%</f>
        <v>204.63299999999995</v>
      </c>
      <c r="Z156" s="49">
        <f>Y156*Z149</f>
        <v>51158.249999999985</v>
      </c>
    </row>
    <row r="157" spans="13:26" x14ac:dyDescent="0.3">
      <c r="M157" s="122" t="s">
        <v>128</v>
      </c>
      <c r="N157" s="123">
        <f>N156*30%</f>
        <v>966.44009999999957</v>
      </c>
      <c r="O157" s="124">
        <f>N157*O148</f>
        <v>4832200.4999999981</v>
      </c>
      <c r="Q157" s="319" t="s">
        <v>91</v>
      </c>
      <c r="R157" s="185">
        <v>1000</v>
      </c>
      <c r="S157" s="185">
        <f>R157*S148</f>
        <v>500000</v>
      </c>
      <c r="U157" s="10" t="s">
        <v>70</v>
      </c>
      <c r="V157" s="10"/>
      <c r="W157" s="10"/>
      <c r="X157" s="10"/>
      <c r="Y157" s="49">
        <f>Y155-Y156</f>
        <v>6616.4669999999987</v>
      </c>
      <c r="Z157" s="49">
        <f>Z155-Z156</f>
        <v>1654116.7499999995</v>
      </c>
    </row>
    <row r="158" spans="13:26" ht="15" thickBot="1" x14ac:dyDescent="0.35">
      <c r="M158" s="125" t="s">
        <v>108</v>
      </c>
      <c r="N158" s="49">
        <f>(50%*N157)*5%</f>
        <v>24.161002499999991</v>
      </c>
      <c r="O158" s="126">
        <f>N158*O148</f>
        <v>120805.01249999995</v>
      </c>
      <c r="Q158" s="66" t="s">
        <v>70</v>
      </c>
      <c r="R158" s="65">
        <f>R156-R157</f>
        <v>6586.4669999999987</v>
      </c>
      <c r="S158" s="128">
        <f>S156-S157</f>
        <v>3293233.4999999991</v>
      </c>
      <c r="U158" s="184" t="s">
        <v>91</v>
      </c>
      <c r="V158" s="184"/>
      <c r="W158" s="184"/>
      <c r="X158" s="184"/>
      <c r="Y158" s="185">
        <v>0</v>
      </c>
      <c r="Z158" s="185">
        <f>Y158*Z149</f>
        <v>0</v>
      </c>
    </row>
    <row r="159" spans="13:26" ht="15" thickBot="1" x14ac:dyDescent="0.35">
      <c r="M159" s="135" t="s">
        <v>130</v>
      </c>
      <c r="N159" s="136">
        <f>N157-N158</f>
        <v>942.27909749999958</v>
      </c>
      <c r="O159" s="137">
        <f>N159*O148</f>
        <v>4711395.487499998</v>
      </c>
      <c r="Q159" s="315" t="s">
        <v>143</v>
      </c>
      <c r="R159" s="123">
        <f>R158*30%</f>
        <v>1975.9400999999996</v>
      </c>
      <c r="S159" s="124">
        <f>R159*S148</f>
        <v>987970.04999999981</v>
      </c>
      <c r="U159" s="62" t="s">
        <v>70</v>
      </c>
      <c r="V159" s="62"/>
      <c r="W159" s="62"/>
      <c r="X159" s="62"/>
      <c r="Y159" s="65">
        <f>Y157-Y158</f>
        <v>6616.4669999999987</v>
      </c>
      <c r="Z159" s="128">
        <f>Z157-Z158</f>
        <v>1654116.7499999995</v>
      </c>
    </row>
    <row r="160" spans="13:26" x14ac:dyDescent="0.3">
      <c r="M160" s="119" t="s">
        <v>70</v>
      </c>
      <c r="N160" s="120">
        <f>N156-N157</f>
        <v>2255.0268999999989</v>
      </c>
      <c r="O160" s="121">
        <f>O156-O157</f>
        <v>10776969.499999994</v>
      </c>
      <c r="Q160" s="316" t="s">
        <v>108</v>
      </c>
      <c r="R160" s="49">
        <f>(50%*R159)*5%</f>
        <v>49.398502499999992</v>
      </c>
      <c r="S160" s="126">
        <f>R160*S148</f>
        <v>24699.251249999998</v>
      </c>
      <c r="U160" s="122" t="s">
        <v>143</v>
      </c>
      <c r="V160" s="358"/>
      <c r="W160" s="358"/>
      <c r="X160" s="358"/>
      <c r="Y160" s="123">
        <f>Y159*30%</f>
        <v>1984.9400999999996</v>
      </c>
      <c r="Z160" s="124">
        <f>Y160*Z149</f>
        <v>496235.02499999991</v>
      </c>
    </row>
    <row r="161" spans="13:26" ht="15" thickBot="1" x14ac:dyDescent="0.35">
      <c r="Q161" s="317" t="s">
        <v>109</v>
      </c>
      <c r="R161" s="136">
        <f>R159-R160</f>
        <v>1926.5415974999996</v>
      </c>
      <c r="S161" s="137">
        <f>R161*S148</f>
        <v>963270.79874999984</v>
      </c>
      <c r="U161" s="125" t="s">
        <v>108</v>
      </c>
      <c r="V161" s="229"/>
      <c r="W161" s="229"/>
      <c r="X161" s="229"/>
      <c r="Y161" s="49">
        <f>(50%*Y160)*5%</f>
        <v>49.623502499999994</v>
      </c>
      <c r="Z161" s="126">
        <f>Y161*Z149</f>
        <v>12405.875624999999</v>
      </c>
    </row>
    <row r="162" spans="13:26" ht="15" thickBot="1" x14ac:dyDescent="0.35">
      <c r="Q162" s="313" t="s">
        <v>70</v>
      </c>
      <c r="R162" s="120">
        <f>R158-R159</f>
        <v>4610.5268999999989</v>
      </c>
      <c r="S162" s="121">
        <f>S158-S159</f>
        <v>2305263.4499999993</v>
      </c>
      <c r="U162" s="135" t="s">
        <v>109</v>
      </c>
      <c r="V162" s="359"/>
      <c r="W162" s="359"/>
      <c r="X162" s="359"/>
      <c r="Y162" s="136">
        <f>Y160-Y161</f>
        <v>1935.3165974999995</v>
      </c>
      <c r="Z162" s="137">
        <f>Y162*Z149</f>
        <v>483829.14937499986</v>
      </c>
    </row>
    <row r="163" spans="13:26" x14ac:dyDescent="0.3">
      <c r="U163" s="119" t="s">
        <v>70</v>
      </c>
      <c r="V163" s="119"/>
      <c r="W163" s="119"/>
      <c r="X163" s="119"/>
      <c r="Y163" s="120">
        <f>Y159-Y160</f>
        <v>4631.5268999999989</v>
      </c>
      <c r="Z163" s="121">
        <f>Z159-Z160</f>
        <v>1157881.7249999996</v>
      </c>
    </row>
    <row r="164" spans="13:26" x14ac:dyDescent="0.3">
      <c r="M164" s="10" t="s">
        <v>69</v>
      </c>
      <c r="N164" s="179">
        <v>45552</v>
      </c>
      <c r="O164" s="49">
        <v>5000</v>
      </c>
      <c r="Q164" s="11" t="s">
        <v>69</v>
      </c>
      <c r="R164" s="153">
        <v>45545</v>
      </c>
      <c r="S164" s="49">
        <v>1000</v>
      </c>
    </row>
    <row r="165" spans="13:26" x14ac:dyDescent="0.3">
      <c r="M165" s="10" t="s">
        <v>67</v>
      </c>
      <c r="N165" s="49">
        <v>20500</v>
      </c>
      <c r="O165" s="80">
        <f>N165*O164</f>
        <v>102500000</v>
      </c>
      <c r="Q165" s="11" t="s">
        <v>67</v>
      </c>
      <c r="R165" s="49">
        <v>25000</v>
      </c>
      <c r="S165" s="80">
        <f>R165*S164</f>
        <v>25000000</v>
      </c>
    </row>
    <row r="166" spans="13:26" x14ac:dyDescent="0.3">
      <c r="M166" s="10" t="s">
        <v>68</v>
      </c>
      <c r="N166" s="49">
        <f>5790*111%</f>
        <v>6426.9000000000005</v>
      </c>
      <c r="O166" s="80">
        <f>N166*O164</f>
        <v>32134500.000000004</v>
      </c>
      <c r="Q166" s="11" t="s">
        <v>68</v>
      </c>
      <c r="R166" s="49">
        <f>5790*111%</f>
        <v>6426.9000000000005</v>
      </c>
      <c r="S166" s="80">
        <f>R166*S164</f>
        <v>6426900.0000000009</v>
      </c>
    </row>
    <row r="167" spans="13:26" x14ac:dyDescent="0.3">
      <c r="M167" s="114" t="s">
        <v>72</v>
      </c>
      <c r="N167" s="115">
        <f>3200*111%</f>
        <v>3552.0000000000005</v>
      </c>
      <c r="O167" s="115">
        <f>N167*O164</f>
        <v>17760000.000000004</v>
      </c>
      <c r="Q167" s="314" t="s">
        <v>92</v>
      </c>
      <c r="R167" s="115">
        <f>3200*111%</f>
        <v>3552.0000000000005</v>
      </c>
      <c r="S167" s="115">
        <f>R167*S164</f>
        <v>3552000.0000000005</v>
      </c>
    </row>
    <row r="168" spans="13:26" x14ac:dyDescent="0.3">
      <c r="M168" s="10" t="s">
        <v>70</v>
      </c>
      <c r="N168" s="49">
        <f>N165-N166-N167</f>
        <v>10521.099999999999</v>
      </c>
      <c r="O168" s="49">
        <f>N168*O164</f>
        <v>52605499.999999993</v>
      </c>
      <c r="Q168" s="11" t="s">
        <v>70</v>
      </c>
      <c r="R168" s="49">
        <f>R165-R166-R167</f>
        <v>15021.099999999999</v>
      </c>
      <c r="S168" s="49">
        <f>R168*S164</f>
        <v>15021099.999999998</v>
      </c>
    </row>
    <row r="169" spans="13:26" x14ac:dyDescent="0.3">
      <c r="M169" s="178" t="s">
        <v>71</v>
      </c>
      <c r="N169" s="168">
        <f>7200</f>
        <v>7200</v>
      </c>
      <c r="O169" s="168">
        <f>N169*O164</f>
        <v>36000000</v>
      </c>
      <c r="Q169" s="318" t="s">
        <v>71</v>
      </c>
      <c r="R169" s="168">
        <f>7200</f>
        <v>7200</v>
      </c>
      <c r="S169" s="168">
        <f>R169*S164</f>
        <v>7200000</v>
      </c>
    </row>
    <row r="170" spans="13:26" x14ac:dyDescent="0.3">
      <c r="M170" s="10" t="s">
        <v>70</v>
      </c>
      <c r="N170" s="49">
        <f>N168-N169</f>
        <v>3321.0999999999985</v>
      </c>
      <c r="O170" s="49">
        <f>N170*O164</f>
        <v>16605499.999999993</v>
      </c>
      <c r="Q170" s="11" t="s">
        <v>70</v>
      </c>
      <c r="R170" s="49">
        <f>R168-R169</f>
        <v>7821.0999999999985</v>
      </c>
      <c r="S170" s="49">
        <f>R170*S164</f>
        <v>7821099.9999999981</v>
      </c>
    </row>
    <row r="171" spans="13:26" x14ac:dyDescent="0.3">
      <c r="M171" s="10" t="s">
        <v>27</v>
      </c>
      <c r="N171" s="49">
        <f>N170*3%</f>
        <v>99.632999999999953</v>
      </c>
      <c r="O171" s="49">
        <f>N171*10000</f>
        <v>996329.99999999953</v>
      </c>
      <c r="Q171" s="11" t="s">
        <v>27</v>
      </c>
      <c r="R171" s="49">
        <f>R170*3%</f>
        <v>234.63299999999995</v>
      </c>
      <c r="S171" s="49">
        <f>R171*S164</f>
        <v>234632.99999999994</v>
      </c>
    </row>
    <row r="172" spans="13:26" ht="15" thickBot="1" x14ac:dyDescent="0.35">
      <c r="M172" s="62" t="s">
        <v>70</v>
      </c>
      <c r="N172" s="65">
        <f>N170-N171</f>
        <v>3221.4669999999987</v>
      </c>
      <c r="O172" s="65">
        <f>O170-O171</f>
        <v>15609169.999999993</v>
      </c>
      <c r="Q172" s="11" t="s">
        <v>70</v>
      </c>
      <c r="R172" s="49">
        <f>R170-R171</f>
        <v>7586.4669999999987</v>
      </c>
      <c r="S172" s="49">
        <f>S170-S171</f>
        <v>7586466.9999999981</v>
      </c>
    </row>
    <row r="173" spans="13:26" x14ac:dyDescent="0.3">
      <c r="M173" s="122" t="s">
        <v>128</v>
      </c>
      <c r="N173" s="123">
        <f>N172*30%</f>
        <v>966.44009999999957</v>
      </c>
      <c r="O173" s="124">
        <f>N173*O164</f>
        <v>4832200.4999999981</v>
      </c>
      <c r="Q173" s="319" t="s">
        <v>91</v>
      </c>
      <c r="R173" s="185">
        <v>1000</v>
      </c>
      <c r="S173" s="185">
        <f>R173*S164</f>
        <v>1000000</v>
      </c>
    </row>
    <row r="174" spans="13:26" ht="15" thickBot="1" x14ac:dyDescent="0.35">
      <c r="M174" s="125" t="s">
        <v>108</v>
      </c>
      <c r="N174" s="49">
        <f>(50%*N173)*5%</f>
        <v>24.161002499999991</v>
      </c>
      <c r="O174" s="126">
        <f>N174*O164</f>
        <v>120805.01249999995</v>
      </c>
      <c r="Q174" s="66" t="s">
        <v>70</v>
      </c>
      <c r="R174" s="65">
        <f>R172-R173</f>
        <v>6586.4669999999987</v>
      </c>
      <c r="S174" s="128">
        <f>S172-S173</f>
        <v>6586466.9999999981</v>
      </c>
    </row>
    <row r="175" spans="13:26" ht="15" thickBot="1" x14ac:dyDescent="0.35">
      <c r="M175" s="135" t="s">
        <v>130</v>
      </c>
      <c r="N175" s="136">
        <f>N173-N174</f>
        <v>942.27909749999958</v>
      </c>
      <c r="O175" s="137">
        <f>N175*O164</f>
        <v>4711395.487499998</v>
      </c>
      <c r="Q175" s="315" t="s">
        <v>143</v>
      </c>
      <c r="R175" s="123">
        <f>R174*30%</f>
        <v>1975.9400999999996</v>
      </c>
      <c r="S175" s="124">
        <f>R175*S164</f>
        <v>1975940.0999999996</v>
      </c>
    </row>
    <row r="176" spans="13:26" x14ac:dyDescent="0.3">
      <c r="M176" s="119" t="s">
        <v>70</v>
      </c>
      <c r="N176" s="120">
        <f>N172-N173</f>
        <v>2255.0268999999989</v>
      </c>
      <c r="O176" s="121">
        <f>O172-O173</f>
        <v>10776969.499999994</v>
      </c>
      <c r="Q176" s="316" t="s">
        <v>108</v>
      </c>
      <c r="R176" s="49">
        <f>(50%*R175)*5%</f>
        <v>49.398502499999992</v>
      </c>
      <c r="S176" s="126">
        <f>R176*S164</f>
        <v>49398.502499999995</v>
      </c>
    </row>
    <row r="177" spans="13:19" ht="15" thickBot="1" x14ac:dyDescent="0.35">
      <c r="Q177" s="317" t="s">
        <v>109</v>
      </c>
      <c r="R177" s="136">
        <f>R175-R176</f>
        <v>1926.5415974999996</v>
      </c>
      <c r="S177" s="137">
        <f>R177*S164</f>
        <v>1926541.5974999997</v>
      </c>
    </row>
    <row r="178" spans="13:19" x14ac:dyDescent="0.3">
      <c r="Q178" s="313" t="s">
        <v>70</v>
      </c>
      <c r="R178" s="120">
        <f>R174-R175</f>
        <v>4610.5268999999989</v>
      </c>
      <c r="S178" s="121">
        <f>S174-S175</f>
        <v>4610526.8999999985</v>
      </c>
    </row>
    <row r="179" spans="13:19" x14ac:dyDescent="0.3">
      <c r="M179" s="10" t="s">
        <v>69</v>
      </c>
      <c r="N179" s="179">
        <v>45560</v>
      </c>
      <c r="O179" s="49">
        <v>10000</v>
      </c>
    </row>
    <row r="180" spans="13:19" x14ac:dyDescent="0.3">
      <c r="M180" s="10" t="s">
        <v>67</v>
      </c>
      <c r="N180" s="49">
        <v>20500</v>
      </c>
      <c r="O180" s="80">
        <f>N180*O179</f>
        <v>205000000</v>
      </c>
      <c r="Q180" s="11" t="s">
        <v>69</v>
      </c>
      <c r="R180" s="153">
        <v>45552</v>
      </c>
      <c r="S180" s="49">
        <v>1500</v>
      </c>
    </row>
    <row r="181" spans="13:19" x14ac:dyDescent="0.3">
      <c r="M181" s="10" t="s">
        <v>68</v>
      </c>
      <c r="N181" s="49">
        <f>5790*111%</f>
        <v>6426.9000000000005</v>
      </c>
      <c r="O181" s="80">
        <f>N181*O179</f>
        <v>64269000.000000007</v>
      </c>
      <c r="Q181" s="11" t="s">
        <v>67</v>
      </c>
      <c r="R181" s="49">
        <v>25000</v>
      </c>
      <c r="S181" s="80">
        <f>R181*S180</f>
        <v>37500000</v>
      </c>
    </row>
    <row r="182" spans="13:19" x14ac:dyDescent="0.3">
      <c r="M182" s="114" t="s">
        <v>72</v>
      </c>
      <c r="N182" s="115">
        <f>3200*111%</f>
        <v>3552.0000000000005</v>
      </c>
      <c r="O182" s="115">
        <f>N182*O179</f>
        <v>35520000.000000007</v>
      </c>
      <c r="Q182" s="11" t="s">
        <v>68</v>
      </c>
      <c r="R182" s="49">
        <f>5790*111%</f>
        <v>6426.9000000000005</v>
      </c>
      <c r="S182" s="80">
        <f>R182*S180</f>
        <v>9640350</v>
      </c>
    </row>
    <row r="183" spans="13:19" x14ac:dyDescent="0.3">
      <c r="M183" s="10" t="s">
        <v>70</v>
      </c>
      <c r="N183" s="49">
        <f>N180-N181-N182</f>
        <v>10521.099999999999</v>
      </c>
      <c r="O183" s="49">
        <f>N183*O179</f>
        <v>105210999.99999999</v>
      </c>
      <c r="Q183" s="314" t="s">
        <v>92</v>
      </c>
      <c r="R183" s="115">
        <f>3200*111%</f>
        <v>3552.0000000000005</v>
      </c>
      <c r="S183" s="115">
        <f>R183*S180</f>
        <v>5328000.0000000009</v>
      </c>
    </row>
    <row r="184" spans="13:19" x14ac:dyDescent="0.3">
      <c r="M184" s="178" t="s">
        <v>71</v>
      </c>
      <c r="N184" s="168">
        <f>7200</f>
        <v>7200</v>
      </c>
      <c r="O184" s="168">
        <f>N184*O179</f>
        <v>72000000</v>
      </c>
      <c r="Q184" s="11" t="s">
        <v>70</v>
      </c>
      <c r="R184" s="49">
        <f>R181-R182-R183</f>
        <v>15021.099999999999</v>
      </c>
      <c r="S184" s="49">
        <f>R184*S180</f>
        <v>22531649.999999996</v>
      </c>
    </row>
    <row r="185" spans="13:19" x14ac:dyDescent="0.3">
      <c r="M185" s="10" t="s">
        <v>70</v>
      </c>
      <c r="N185" s="49">
        <f>N183-N184</f>
        <v>3321.0999999999985</v>
      </c>
      <c r="O185" s="49">
        <f>N185*O179</f>
        <v>33210999.999999985</v>
      </c>
      <c r="Q185" s="318" t="s">
        <v>71</v>
      </c>
      <c r="R185" s="168">
        <f>7200</f>
        <v>7200</v>
      </c>
      <c r="S185" s="168">
        <f>R185*S180</f>
        <v>10800000</v>
      </c>
    </row>
    <row r="186" spans="13:19" x14ac:dyDescent="0.3">
      <c r="M186" s="10" t="s">
        <v>27</v>
      </c>
      <c r="N186" s="49">
        <f>N185*3%</f>
        <v>99.632999999999953</v>
      </c>
      <c r="O186" s="49">
        <f>N186*10000</f>
        <v>996329.99999999953</v>
      </c>
      <c r="Q186" s="11" t="s">
        <v>70</v>
      </c>
      <c r="R186" s="49">
        <f>R184-R185</f>
        <v>7821.0999999999985</v>
      </c>
      <c r="S186" s="49">
        <f>R186*S180</f>
        <v>11731649.999999998</v>
      </c>
    </row>
    <row r="187" spans="13:19" ht="15" thickBot="1" x14ac:dyDescent="0.35">
      <c r="M187" s="62" t="s">
        <v>70</v>
      </c>
      <c r="N187" s="65">
        <f>N185-N186</f>
        <v>3221.4669999999987</v>
      </c>
      <c r="O187" s="65">
        <f>O185-O186</f>
        <v>32214669.999999985</v>
      </c>
      <c r="Q187" s="11" t="s">
        <v>27</v>
      </c>
      <c r="R187" s="49">
        <f>R186*3%</f>
        <v>234.63299999999995</v>
      </c>
      <c r="S187" s="49">
        <f>R187*S180</f>
        <v>351949.49999999994</v>
      </c>
    </row>
    <row r="188" spans="13:19" x14ac:dyDescent="0.3">
      <c r="M188" s="122" t="s">
        <v>128</v>
      </c>
      <c r="N188" s="123">
        <f>N187*30%</f>
        <v>966.44009999999957</v>
      </c>
      <c r="O188" s="124">
        <f>N188*O179</f>
        <v>9664400.9999999963</v>
      </c>
      <c r="Q188" s="11" t="s">
        <v>70</v>
      </c>
      <c r="R188" s="49">
        <f>R186-R187</f>
        <v>7586.4669999999987</v>
      </c>
      <c r="S188" s="49">
        <f>S186-S187</f>
        <v>11379700.499999998</v>
      </c>
    </row>
    <row r="189" spans="13:19" x14ac:dyDescent="0.3">
      <c r="M189" s="125" t="s">
        <v>108</v>
      </c>
      <c r="N189" s="49">
        <f>(50%*N188)*5%</f>
        <v>24.161002499999991</v>
      </c>
      <c r="O189" s="126">
        <f>N189*O179</f>
        <v>241610.02499999991</v>
      </c>
      <c r="Q189" s="319" t="s">
        <v>91</v>
      </c>
      <c r="R189" s="185">
        <v>1500</v>
      </c>
      <c r="S189" s="185">
        <f>R189*S180</f>
        <v>2250000</v>
      </c>
    </row>
    <row r="190" spans="13:19" ht="15" thickBot="1" x14ac:dyDescent="0.35">
      <c r="M190" s="135" t="s">
        <v>130</v>
      </c>
      <c r="N190" s="136">
        <f>N188-N189</f>
        <v>942.27909749999958</v>
      </c>
      <c r="O190" s="137">
        <f>N190*O179</f>
        <v>9422790.9749999959</v>
      </c>
      <c r="Q190" s="66" t="s">
        <v>70</v>
      </c>
      <c r="R190" s="65">
        <f>R188-R189</f>
        <v>6086.4669999999987</v>
      </c>
      <c r="S190" s="128">
        <f>S188-S189</f>
        <v>9129700.4999999981</v>
      </c>
    </row>
    <row r="191" spans="13:19" x14ac:dyDescent="0.3">
      <c r="M191" s="119" t="s">
        <v>70</v>
      </c>
      <c r="N191" s="120">
        <f>N187-N188</f>
        <v>2255.0268999999989</v>
      </c>
      <c r="O191" s="121">
        <f>O187-O188</f>
        <v>22550268.999999989</v>
      </c>
      <c r="Q191" s="315" t="s">
        <v>143</v>
      </c>
      <c r="R191" s="123">
        <f>R190*30%</f>
        <v>1825.9400999999996</v>
      </c>
      <c r="S191" s="124">
        <f>R191*S180</f>
        <v>2738910.1499999994</v>
      </c>
    </row>
    <row r="192" spans="13:19" x14ac:dyDescent="0.3">
      <c r="Q192" s="316" t="s">
        <v>108</v>
      </c>
      <c r="R192" s="49">
        <f>(50%*R191)*5%</f>
        <v>45.648502499999992</v>
      </c>
      <c r="S192" s="126">
        <f>R192*S180</f>
        <v>68472.753749999989</v>
      </c>
    </row>
    <row r="193" spans="17:19" ht="15" thickBot="1" x14ac:dyDescent="0.35">
      <c r="Q193" s="317" t="s">
        <v>109</v>
      </c>
      <c r="R193" s="136">
        <f>R191-R192</f>
        <v>1780.2915974999996</v>
      </c>
      <c r="S193" s="137">
        <f>R193*S180</f>
        <v>2670437.3962499993</v>
      </c>
    </row>
    <row r="194" spans="17:19" x14ac:dyDescent="0.3">
      <c r="Q194" s="313" t="s">
        <v>70</v>
      </c>
      <c r="R194" s="120">
        <f>R190-R191</f>
        <v>4260.5268999999989</v>
      </c>
      <c r="S194" s="121">
        <f>S190-S191</f>
        <v>6390790.3499999987</v>
      </c>
    </row>
    <row r="196" spans="17:19" x14ac:dyDescent="0.3">
      <c r="Q196" s="11" t="s">
        <v>69</v>
      </c>
      <c r="R196" s="153">
        <v>45559</v>
      </c>
      <c r="S196" s="49">
        <v>1500</v>
      </c>
    </row>
    <row r="197" spans="17:19" x14ac:dyDescent="0.3">
      <c r="Q197" s="11" t="s">
        <v>67</v>
      </c>
      <c r="R197" s="49">
        <v>25000</v>
      </c>
      <c r="S197" s="80">
        <f>R197*S196</f>
        <v>37500000</v>
      </c>
    </row>
    <row r="198" spans="17:19" x14ac:dyDescent="0.3">
      <c r="Q198" s="11" t="s">
        <v>68</v>
      </c>
      <c r="R198" s="49">
        <f>5790*111%</f>
        <v>6426.9000000000005</v>
      </c>
      <c r="S198" s="80">
        <f>R198*S196</f>
        <v>9640350</v>
      </c>
    </row>
    <row r="199" spans="17:19" x14ac:dyDescent="0.3">
      <c r="Q199" s="314" t="s">
        <v>92</v>
      </c>
      <c r="R199" s="115">
        <f>3200*111%</f>
        <v>3552.0000000000005</v>
      </c>
      <c r="S199" s="115">
        <f>R199*S196</f>
        <v>5328000.0000000009</v>
      </c>
    </row>
    <row r="200" spans="17:19" x14ac:dyDescent="0.3">
      <c r="Q200" s="11" t="s">
        <v>70</v>
      </c>
      <c r="R200" s="49">
        <f>R197-R198-R199</f>
        <v>15021.099999999999</v>
      </c>
      <c r="S200" s="49">
        <f>R200*S196</f>
        <v>22531649.999999996</v>
      </c>
    </row>
    <row r="201" spans="17:19" x14ac:dyDescent="0.3">
      <c r="Q201" s="318" t="s">
        <v>71</v>
      </c>
      <c r="R201" s="168">
        <f>7200</f>
        <v>7200</v>
      </c>
      <c r="S201" s="168">
        <f>R201*S196</f>
        <v>10800000</v>
      </c>
    </row>
    <row r="202" spans="17:19" x14ac:dyDescent="0.3">
      <c r="Q202" s="11" t="s">
        <v>70</v>
      </c>
      <c r="R202" s="49">
        <f>R200-R201</f>
        <v>7821.0999999999985</v>
      </c>
      <c r="S202" s="49">
        <f>R202*S196</f>
        <v>11731649.999999998</v>
      </c>
    </row>
    <row r="203" spans="17:19" x14ac:dyDescent="0.3">
      <c r="Q203" s="11" t="s">
        <v>27</v>
      </c>
      <c r="R203" s="49">
        <f>R202*3%</f>
        <v>234.63299999999995</v>
      </c>
      <c r="S203" s="49">
        <f>R203*S196</f>
        <v>351949.49999999994</v>
      </c>
    </row>
    <row r="204" spans="17:19" x14ac:dyDescent="0.3">
      <c r="Q204" s="11" t="s">
        <v>70</v>
      </c>
      <c r="R204" s="49">
        <f>R202-R203</f>
        <v>7586.4669999999987</v>
      </c>
      <c r="S204" s="49">
        <f>S202-S203</f>
        <v>11379700.499999998</v>
      </c>
    </row>
    <row r="205" spans="17:19" x14ac:dyDescent="0.3">
      <c r="Q205" s="319" t="s">
        <v>91</v>
      </c>
      <c r="R205" s="185">
        <v>1500</v>
      </c>
      <c r="S205" s="185">
        <f>R205*S196</f>
        <v>2250000</v>
      </c>
    </row>
    <row r="206" spans="17:19" ht="15" thickBot="1" x14ac:dyDescent="0.35">
      <c r="Q206" s="66" t="s">
        <v>70</v>
      </c>
      <c r="R206" s="65">
        <f>R204-R205</f>
        <v>6086.4669999999987</v>
      </c>
      <c r="S206" s="128">
        <f>S204-S205</f>
        <v>9129700.4999999981</v>
      </c>
    </row>
    <row r="207" spans="17:19" x14ac:dyDescent="0.3">
      <c r="Q207" s="315" t="s">
        <v>143</v>
      </c>
      <c r="R207" s="123">
        <f>R206*30%</f>
        <v>1825.9400999999996</v>
      </c>
      <c r="S207" s="124">
        <f>R207*S196</f>
        <v>2738910.1499999994</v>
      </c>
    </row>
    <row r="208" spans="17:19" x14ac:dyDescent="0.3">
      <c r="Q208" s="316" t="s">
        <v>108</v>
      </c>
      <c r="R208" s="49">
        <f>(50%*R207)*5%</f>
        <v>45.648502499999992</v>
      </c>
      <c r="S208" s="126">
        <f>R208*S196</f>
        <v>68472.753749999989</v>
      </c>
    </row>
    <row r="209" spans="13:26" ht="15" thickBot="1" x14ac:dyDescent="0.35">
      <c r="Q209" s="317" t="s">
        <v>109</v>
      </c>
      <c r="R209" s="136">
        <f>R207-R208</f>
        <v>1780.2915974999996</v>
      </c>
      <c r="S209" s="137">
        <f>R209*S196</f>
        <v>2670437.3962499993</v>
      </c>
    </row>
    <row r="210" spans="13:26" x14ac:dyDescent="0.3">
      <c r="Q210" s="313" t="s">
        <v>70</v>
      </c>
      <c r="R210" s="120">
        <f>R206-R207</f>
        <v>4260.5268999999989</v>
      </c>
      <c r="S210" s="121">
        <f>S206-S207</f>
        <v>6390790.3499999987</v>
      </c>
    </row>
    <row r="213" spans="13:26" x14ac:dyDescent="0.3">
      <c r="P213" s="152">
        <v>45589</v>
      </c>
    </row>
    <row r="214" spans="13:26" x14ac:dyDescent="0.3">
      <c r="M214" s="10" t="s">
        <v>69</v>
      </c>
      <c r="N214" s="179">
        <v>45575</v>
      </c>
      <c r="O214" s="49">
        <v>6000</v>
      </c>
      <c r="Q214" s="11" t="s">
        <v>69</v>
      </c>
      <c r="R214" s="153">
        <v>45566</v>
      </c>
      <c r="S214" s="49">
        <v>300</v>
      </c>
      <c r="U214" s="166" t="s">
        <v>196</v>
      </c>
      <c r="V214" s="166"/>
      <c r="W214" s="166"/>
      <c r="X214" s="166"/>
      <c r="Y214" s="55"/>
    </row>
    <row r="215" spans="13:26" x14ac:dyDescent="0.3">
      <c r="M215" s="10" t="s">
        <v>67</v>
      </c>
      <c r="N215" s="49">
        <v>20500</v>
      </c>
      <c r="O215" s="80">
        <f>N215*O214</f>
        <v>123000000</v>
      </c>
      <c r="Q215" s="11" t="s">
        <v>67</v>
      </c>
      <c r="R215" s="49">
        <v>30000</v>
      </c>
      <c r="S215" s="80">
        <f>R215*S214</f>
        <v>9000000</v>
      </c>
      <c r="T215" s="18">
        <f>1000000/S214</f>
        <v>3333.3333333333335</v>
      </c>
      <c r="U215" s="10" t="s">
        <v>69</v>
      </c>
      <c r="V215" s="51"/>
      <c r="W215" s="51"/>
      <c r="X215" s="51"/>
      <c r="Y215" s="153">
        <v>45576</v>
      </c>
      <c r="Z215" s="49">
        <v>200</v>
      </c>
    </row>
    <row r="216" spans="13:26" x14ac:dyDescent="0.3">
      <c r="M216" s="10" t="s">
        <v>68</v>
      </c>
      <c r="N216" s="49">
        <f>5790*111%</f>
        <v>6426.9000000000005</v>
      </c>
      <c r="O216" s="80">
        <f>N216*O214</f>
        <v>38561400</v>
      </c>
      <c r="Q216" s="11" t="s">
        <v>68</v>
      </c>
      <c r="R216" s="49">
        <f>5790*111%</f>
        <v>6426.9000000000005</v>
      </c>
      <c r="S216" s="80">
        <f>R216*S214</f>
        <v>1928070.0000000002</v>
      </c>
      <c r="U216" s="10" t="s">
        <v>67</v>
      </c>
      <c r="V216" s="10"/>
      <c r="W216" s="10"/>
      <c r="X216" s="10"/>
      <c r="Y216" s="49">
        <v>24000</v>
      </c>
      <c r="Z216" s="80">
        <f>Y216*Z215</f>
        <v>4800000</v>
      </c>
    </row>
    <row r="217" spans="13:26" x14ac:dyDescent="0.3">
      <c r="M217" s="114" t="s">
        <v>72</v>
      </c>
      <c r="N217" s="115">
        <f>3200*111%</f>
        <v>3552.0000000000005</v>
      </c>
      <c r="O217" s="115">
        <f>N217*O214</f>
        <v>21312000.000000004</v>
      </c>
      <c r="Q217" s="314" t="s">
        <v>92</v>
      </c>
      <c r="R217" s="115">
        <f>3200*111%</f>
        <v>3552.0000000000005</v>
      </c>
      <c r="S217" s="115">
        <f>R217*S214</f>
        <v>1065600.0000000002</v>
      </c>
      <c r="U217" s="10" t="s">
        <v>68</v>
      </c>
      <c r="V217" s="10"/>
      <c r="W217" s="10"/>
      <c r="X217" s="10"/>
      <c r="Y217" s="49">
        <f>5790*111%</f>
        <v>6426.9000000000005</v>
      </c>
      <c r="Z217" s="80">
        <f>Y217*Z215</f>
        <v>1285380</v>
      </c>
    </row>
    <row r="218" spans="13:26" x14ac:dyDescent="0.3">
      <c r="M218" s="10" t="s">
        <v>70</v>
      </c>
      <c r="N218" s="49">
        <f>N215-N216-N217</f>
        <v>10521.099999999999</v>
      </c>
      <c r="O218" s="49">
        <f>N218*O214</f>
        <v>63126599.999999993</v>
      </c>
      <c r="Q218" s="11" t="s">
        <v>70</v>
      </c>
      <c r="R218" s="49">
        <f>R215-R216-R217</f>
        <v>20021.099999999999</v>
      </c>
      <c r="S218" s="49">
        <f>R218*S214</f>
        <v>6006330</v>
      </c>
      <c r="U218" s="114" t="s">
        <v>92</v>
      </c>
      <c r="V218" s="114"/>
      <c r="W218" s="114"/>
      <c r="X218" s="114"/>
      <c r="Y218" s="115">
        <f>3200*111%</f>
        <v>3552.0000000000005</v>
      </c>
      <c r="Z218" s="115">
        <f>Y218*Z215</f>
        <v>710400.00000000012</v>
      </c>
    </row>
    <row r="219" spans="13:26" x14ac:dyDescent="0.3">
      <c r="M219" s="178" t="s">
        <v>71</v>
      </c>
      <c r="N219" s="168">
        <f>7200</f>
        <v>7200</v>
      </c>
      <c r="O219" s="168">
        <f>N219*O214</f>
        <v>43200000</v>
      </c>
      <c r="Q219" s="318" t="s">
        <v>71</v>
      </c>
      <c r="R219" s="168">
        <f>7200</f>
        <v>7200</v>
      </c>
      <c r="S219" s="168">
        <f>R219*S214</f>
        <v>2160000</v>
      </c>
      <c r="U219" s="10" t="s">
        <v>70</v>
      </c>
      <c r="V219" s="10"/>
      <c r="W219" s="10"/>
      <c r="X219" s="10"/>
      <c r="Y219" s="49">
        <f>Y216-Y217-Y218</f>
        <v>14021.099999999999</v>
      </c>
      <c r="Z219" s="49">
        <f>Y219*Z215</f>
        <v>2804219.9999999995</v>
      </c>
    </row>
    <row r="220" spans="13:26" x14ac:dyDescent="0.3">
      <c r="M220" s="10" t="s">
        <v>70</v>
      </c>
      <c r="N220" s="49">
        <f>N218-N219</f>
        <v>3321.0999999999985</v>
      </c>
      <c r="O220" s="49">
        <f>N220*O214</f>
        <v>19926599.999999993</v>
      </c>
      <c r="Q220" s="11" t="s">
        <v>70</v>
      </c>
      <c r="R220" s="49">
        <f>R218-R219</f>
        <v>12821.099999999999</v>
      </c>
      <c r="S220" s="49">
        <f>R220*S214</f>
        <v>3846329.9999999995</v>
      </c>
      <c r="U220" s="178" t="s">
        <v>71</v>
      </c>
      <c r="V220" s="178"/>
      <c r="W220" s="178"/>
      <c r="X220" s="178"/>
      <c r="Y220" s="168">
        <f>7200</f>
        <v>7200</v>
      </c>
      <c r="Z220" s="168">
        <f>Y220*Z215</f>
        <v>1440000</v>
      </c>
    </row>
    <row r="221" spans="13:26" x14ac:dyDescent="0.3">
      <c r="M221" s="10" t="s">
        <v>27</v>
      </c>
      <c r="N221" s="49">
        <f>N220*3%</f>
        <v>99.632999999999953</v>
      </c>
      <c r="O221" s="49">
        <f>N221*10000</f>
        <v>996329.99999999953</v>
      </c>
      <c r="Q221" s="11" t="s">
        <v>27</v>
      </c>
      <c r="R221" s="49">
        <f>R220*3%</f>
        <v>384.63299999999992</v>
      </c>
      <c r="S221" s="49">
        <f>R221*S214</f>
        <v>115389.89999999998</v>
      </c>
      <c r="U221" s="10" t="s">
        <v>70</v>
      </c>
      <c r="V221" s="10"/>
      <c r="W221" s="10"/>
      <c r="X221" s="10"/>
      <c r="Y221" s="49">
        <f>Y219-Y220</f>
        <v>6821.0999999999985</v>
      </c>
      <c r="Z221" s="49">
        <f>Y221*Z215</f>
        <v>1364219.9999999998</v>
      </c>
    </row>
    <row r="222" spans="13:26" ht="15" thickBot="1" x14ac:dyDescent="0.35">
      <c r="M222" s="62" t="s">
        <v>70</v>
      </c>
      <c r="N222" s="65">
        <f>N220-N221</f>
        <v>3221.4669999999987</v>
      </c>
      <c r="O222" s="65">
        <f>O220-O221</f>
        <v>18930269.999999993</v>
      </c>
      <c r="Q222" s="11" t="s">
        <v>70</v>
      </c>
      <c r="R222" s="49">
        <f>R220-R221</f>
        <v>12436.466999999999</v>
      </c>
      <c r="S222" s="49">
        <f>S220-S221</f>
        <v>3730940.0999999996</v>
      </c>
      <c r="U222" s="10" t="s">
        <v>27</v>
      </c>
      <c r="V222" s="10"/>
      <c r="W222" s="10"/>
      <c r="X222" s="10"/>
      <c r="Y222" s="49">
        <f>Y221*3%</f>
        <v>204.63299999999995</v>
      </c>
      <c r="Z222" s="49">
        <f>Y222*Z215</f>
        <v>40926.599999999991</v>
      </c>
    </row>
    <row r="223" spans="13:26" x14ac:dyDescent="0.3">
      <c r="M223" s="122" t="s">
        <v>248</v>
      </c>
      <c r="N223" s="123">
        <f>N222*20%</f>
        <v>644.29339999999979</v>
      </c>
      <c r="O223" s="124">
        <f>N223*O214</f>
        <v>3865760.399999999</v>
      </c>
      <c r="Q223" s="319" t="s">
        <v>91</v>
      </c>
      <c r="R223" s="185">
        <v>3333.34</v>
      </c>
      <c r="S223" s="185">
        <f>R223*S214</f>
        <v>1000002</v>
      </c>
      <c r="U223" s="10" t="s">
        <v>70</v>
      </c>
      <c r="V223" s="10"/>
      <c r="W223" s="10"/>
      <c r="X223" s="10"/>
      <c r="Y223" s="49">
        <f>Y221-Y222</f>
        <v>6616.4669999999987</v>
      </c>
      <c r="Z223" s="49">
        <f>Z221-Z222</f>
        <v>1323293.3999999997</v>
      </c>
    </row>
    <row r="224" spans="13:26" ht="15" thickBot="1" x14ac:dyDescent="0.35">
      <c r="M224" s="125" t="s">
        <v>108</v>
      </c>
      <c r="N224" s="49">
        <f>(50%*N223)*5%</f>
        <v>16.107334999999996</v>
      </c>
      <c r="O224" s="126">
        <f>N224*O214</f>
        <v>96644.00999999998</v>
      </c>
      <c r="Q224" s="66" t="s">
        <v>70</v>
      </c>
      <c r="R224" s="65">
        <f>R222-R223</f>
        <v>9103.1269999999986</v>
      </c>
      <c r="S224" s="128">
        <f>S222-S223</f>
        <v>2730938.0999999996</v>
      </c>
      <c r="U224" s="184" t="s">
        <v>91</v>
      </c>
      <c r="V224" s="184"/>
      <c r="W224" s="184"/>
      <c r="X224" s="184"/>
      <c r="Y224" s="185">
        <v>0</v>
      </c>
      <c r="Z224" s="185">
        <f>Y224*Z215</f>
        <v>0</v>
      </c>
    </row>
    <row r="225" spans="13:26" ht="15" thickBot="1" x14ac:dyDescent="0.35">
      <c r="M225" s="135" t="s">
        <v>130</v>
      </c>
      <c r="N225" s="136">
        <f>N223-N224</f>
        <v>628.18606499999976</v>
      </c>
      <c r="O225" s="137">
        <f>N225*O214</f>
        <v>3769116.3899999987</v>
      </c>
      <c r="Q225" s="315" t="s">
        <v>248</v>
      </c>
      <c r="R225" s="123">
        <f>R224*20%</f>
        <v>1820.6253999999999</v>
      </c>
      <c r="S225" s="124">
        <f>R225*S214</f>
        <v>546187.62</v>
      </c>
      <c r="U225" s="62" t="s">
        <v>70</v>
      </c>
      <c r="V225" s="62"/>
      <c r="W225" s="62"/>
      <c r="X225" s="62"/>
      <c r="Y225" s="65">
        <f>Y223-Y224</f>
        <v>6616.4669999999987</v>
      </c>
      <c r="Z225" s="128">
        <f>Z223-Z224</f>
        <v>1323293.3999999997</v>
      </c>
    </row>
    <row r="226" spans="13:26" x14ac:dyDescent="0.3">
      <c r="M226" s="119" t="s">
        <v>70</v>
      </c>
      <c r="N226" s="120">
        <f>N222-N223</f>
        <v>2577.1735999999992</v>
      </c>
      <c r="O226" s="121">
        <f>O222-O223</f>
        <v>15064509.599999994</v>
      </c>
      <c r="Q226" s="316" t="s">
        <v>108</v>
      </c>
      <c r="R226" s="49">
        <f>(50%*R225)*5%</f>
        <v>45.515635000000003</v>
      </c>
      <c r="S226" s="126">
        <f>R226*S214</f>
        <v>13654.690500000001</v>
      </c>
      <c r="U226" s="122" t="s">
        <v>249</v>
      </c>
      <c r="V226" s="358"/>
      <c r="W226" s="358"/>
      <c r="X226" s="358"/>
      <c r="Y226" s="123">
        <f>Y225*20%</f>
        <v>1323.2933999999998</v>
      </c>
      <c r="Z226" s="124">
        <f>Y226*Z215</f>
        <v>264658.67999999993</v>
      </c>
    </row>
    <row r="227" spans="13:26" ht="15" thickBot="1" x14ac:dyDescent="0.35">
      <c r="Q227" s="317" t="s">
        <v>109</v>
      </c>
      <c r="R227" s="136">
        <f>R225-R226</f>
        <v>1775.1097649999999</v>
      </c>
      <c r="S227" s="137">
        <f>R227*S214</f>
        <v>532532.92949999997</v>
      </c>
      <c r="U227" s="125" t="s">
        <v>108</v>
      </c>
      <c r="V227" s="229"/>
      <c r="W227" s="229"/>
      <c r="X227" s="229"/>
      <c r="Y227" s="49">
        <f>(50%*Y226)*5%</f>
        <v>33.082334999999993</v>
      </c>
      <c r="Z227" s="126">
        <f>Y227*Z215</f>
        <v>6616.4669999999987</v>
      </c>
    </row>
    <row r="228" spans="13:26" ht="15" thickBot="1" x14ac:dyDescent="0.35">
      <c r="M228" s="10" t="s">
        <v>69</v>
      </c>
      <c r="N228" s="179">
        <v>45582</v>
      </c>
      <c r="O228" s="49">
        <v>2000</v>
      </c>
      <c r="Q228" s="313" t="s">
        <v>70</v>
      </c>
      <c r="R228" s="120">
        <f>R224-R225</f>
        <v>7282.5015999999987</v>
      </c>
      <c r="S228" s="121">
        <f>S224-S225</f>
        <v>2184750.4799999995</v>
      </c>
      <c r="U228" s="135" t="s">
        <v>109</v>
      </c>
      <c r="V228" s="359"/>
      <c r="W228" s="359"/>
      <c r="X228" s="359"/>
      <c r="Y228" s="136">
        <f>Y226-Y227</f>
        <v>1290.2110649999997</v>
      </c>
      <c r="Z228" s="137">
        <f>Y228*Z215</f>
        <v>258042.21299999996</v>
      </c>
    </row>
    <row r="229" spans="13:26" x14ac:dyDescent="0.3">
      <c r="M229" s="10" t="s">
        <v>67</v>
      </c>
      <c r="N229" s="49">
        <v>17500</v>
      </c>
      <c r="O229" s="80">
        <f>N229*O228</f>
        <v>35000000</v>
      </c>
      <c r="U229" s="119" t="s">
        <v>70</v>
      </c>
      <c r="V229" s="119"/>
      <c r="W229" s="119"/>
      <c r="X229" s="119"/>
      <c r="Y229" s="120">
        <f>Y225-Y226</f>
        <v>5293.1735999999992</v>
      </c>
      <c r="Z229" s="121">
        <f>Z225-Z226</f>
        <v>1058634.7199999997</v>
      </c>
    </row>
    <row r="230" spans="13:26" x14ac:dyDescent="0.3">
      <c r="M230" s="10" t="s">
        <v>68</v>
      </c>
      <c r="N230" s="49">
        <v>0</v>
      </c>
      <c r="O230" s="80">
        <f>N230*O228</f>
        <v>0</v>
      </c>
      <c r="Q230" s="11" t="s">
        <v>69</v>
      </c>
      <c r="R230" s="153">
        <v>45569</v>
      </c>
      <c r="S230" s="49">
        <v>1000</v>
      </c>
    </row>
    <row r="231" spans="13:26" x14ac:dyDescent="0.3">
      <c r="M231" s="114" t="s">
        <v>72</v>
      </c>
      <c r="N231" s="115">
        <v>0</v>
      </c>
      <c r="O231" s="115">
        <f>N231*O228</f>
        <v>0</v>
      </c>
      <c r="Q231" s="11" t="s">
        <v>67</v>
      </c>
      <c r="R231" s="49">
        <v>23500</v>
      </c>
      <c r="S231" s="80">
        <f>R231*S230</f>
        <v>23500000</v>
      </c>
    </row>
    <row r="232" spans="13:26" x14ac:dyDescent="0.3">
      <c r="M232" s="10" t="s">
        <v>70</v>
      </c>
      <c r="N232" s="49">
        <f>N229-N230-N231</f>
        <v>17500</v>
      </c>
      <c r="O232" s="49">
        <f>N232*O228</f>
        <v>35000000</v>
      </c>
      <c r="Q232" s="11" t="s">
        <v>68</v>
      </c>
      <c r="R232" s="49">
        <f>5790*111%</f>
        <v>6426.9000000000005</v>
      </c>
      <c r="S232" s="80">
        <f>R232*S230</f>
        <v>6426900.0000000009</v>
      </c>
    </row>
    <row r="233" spans="13:26" x14ac:dyDescent="0.3">
      <c r="M233" s="178" t="s">
        <v>71</v>
      </c>
      <c r="N233" s="168">
        <v>0</v>
      </c>
      <c r="O233" s="168">
        <f>N233*O228</f>
        <v>0</v>
      </c>
      <c r="Q233" s="314" t="s">
        <v>92</v>
      </c>
      <c r="R233" s="115">
        <f>3200*111%</f>
        <v>3552.0000000000005</v>
      </c>
      <c r="S233" s="115">
        <f>R233*S230</f>
        <v>3552000.0000000005</v>
      </c>
    </row>
    <row r="234" spans="13:26" x14ac:dyDescent="0.3">
      <c r="M234" s="10" t="s">
        <v>70</v>
      </c>
      <c r="N234" s="49">
        <f>N232-N233</f>
        <v>17500</v>
      </c>
      <c r="O234" s="49">
        <f>N234*O228</f>
        <v>35000000</v>
      </c>
      <c r="Q234" s="11" t="s">
        <v>70</v>
      </c>
      <c r="R234" s="49">
        <f>R231-R232-R233</f>
        <v>13521.099999999999</v>
      </c>
      <c r="S234" s="49">
        <f>R234*S230</f>
        <v>13521099.999999998</v>
      </c>
    </row>
    <row r="235" spans="13:26" x14ac:dyDescent="0.3">
      <c r="M235" s="10" t="s">
        <v>27</v>
      </c>
      <c r="N235" s="49">
        <f>N234*3%</f>
        <v>525</v>
      </c>
      <c r="O235" s="49">
        <f>N235*10000</f>
        <v>5250000</v>
      </c>
      <c r="Q235" s="318" t="s">
        <v>71</v>
      </c>
      <c r="R235" s="168">
        <f>7200</f>
        <v>7200</v>
      </c>
      <c r="S235" s="168">
        <f>R235*S230</f>
        <v>7200000</v>
      </c>
    </row>
    <row r="236" spans="13:26" ht="15" thickBot="1" x14ac:dyDescent="0.35">
      <c r="M236" s="62" t="s">
        <v>70</v>
      </c>
      <c r="N236" s="65">
        <f>N234-N235</f>
        <v>16975</v>
      </c>
      <c r="O236" s="65">
        <f>O234-O235</f>
        <v>29750000</v>
      </c>
      <c r="Q236" s="11" t="s">
        <v>70</v>
      </c>
      <c r="R236" s="49">
        <f>R234-R235</f>
        <v>6321.0999999999985</v>
      </c>
      <c r="S236" s="49">
        <f>R236*S230</f>
        <v>6321099.9999999981</v>
      </c>
    </row>
    <row r="237" spans="13:26" x14ac:dyDescent="0.3">
      <c r="M237" s="122" t="s">
        <v>248</v>
      </c>
      <c r="N237" s="123">
        <f>N236*20%</f>
        <v>3395</v>
      </c>
      <c r="O237" s="124">
        <f>N237*O228</f>
        <v>6790000</v>
      </c>
      <c r="Q237" s="11" t="s">
        <v>27</v>
      </c>
      <c r="R237" s="49">
        <f>R236*3%</f>
        <v>189.63299999999995</v>
      </c>
      <c r="S237" s="49">
        <f>R237*S230</f>
        <v>189632.99999999994</v>
      </c>
    </row>
    <row r="238" spans="13:26" x14ac:dyDescent="0.3">
      <c r="M238" s="125" t="s">
        <v>108</v>
      </c>
      <c r="N238" s="49">
        <f>(50%*N237)*5%</f>
        <v>84.875</v>
      </c>
      <c r="O238" s="126">
        <f>N238*O228</f>
        <v>169750</v>
      </c>
      <c r="Q238" s="11" t="s">
        <v>70</v>
      </c>
      <c r="R238" s="49">
        <f>R236-R237</f>
        <v>6131.4669999999987</v>
      </c>
      <c r="S238" s="49">
        <f>S236-S237</f>
        <v>6131466.9999999981</v>
      </c>
    </row>
    <row r="239" spans="13:26" ht="15" thickBot="1" x14ac:dyDescent="0.35">
      <c r="M239" s="135" t="s">
        <v>130</v>
      </c>
      <c r="N239" s="136">
        <f>N237-N238</f>
        <v>3310.125</v>
      </c>
      <c r="O239" s="137">
        <f>N239*O228</f>
        <v>6620250</v>
      </c>
      <c r="Q239" s="319" t="s">
        <v>91</v>
      </c>
      <c r="R239" s="185">
        <v>1000</v>
      </c>
      <c r="S239" s="185">
        <f>R239*S230</f>
        <v>1000000</v>
      </c>
    </row>
    <row r="240" spans="13:26" ht="15" thickBot="1" x14ac:dyDescent="0.35">
      <c r="M240" s="119" t="s">
        <v>70</v>
      </c>
      <c r="N240" s="120">
        <f>N236-N237</f>
        <v>13580</v>
      </c>
      <c r="O240" s="121">
        <f>O236-O237</f>
        <v>22960000</v>
      </c>
      <c r="Q240" s="66" t="s">
        <v>70</v>
      </c>
      <c r="R240" s="65">
        <f>R238-R239</f>
        <v>5131.4669999999987</v>
      </c>
      <c r="S240" s="128">
        <f>S238-S239</f>
        <v>5131466.9999999981</v>
      </c>
    </row>
    <row r="241" spans="13:19" x14ac:dyDescent="0.3">
      <c r="Q241" s="315" t="s">
        <v>249</v>
      </c>
      <c r="R241" s="123">
        <f>R240*20%</f>
        <v>1026.2933999999998</v>
      </c>
      <c r="S241" s="124">
        <f>R241*S230</f>
        <v>1026293.3999999998</v>
      </c>
    </row>
    <row r="242" spans="13:19" x14ac:dyDescent="0.3">
      <c r="M242" s="10" t="s">
        <v>69</v>
      </c>
      <c r="N242" s="179">
        <f>'pemasukan BNI Agregator'!F50</f>
        <v>45596</v>
      </c>
      <c r="O242" s="49">
        <v>3000</v>
      </c>
      <c r="Q242" s="316" t="s">
        <v>108</v>
      </c>
      <c r="R242" s="49">
        <f>(50%*R241)*5%</f>
        <v>25.657334999999996</v>
      </c>
      <c r="S242" s="126">
        <f>R242*S230</f>
        <v>25657.334999999995</v>
      </c>
    </row>
    <row r="243" spans="13:19" ht="15" thickBot="1" x14ac:dyDescent="0.35">
      <c r="M243" s="10" t="s">
        <v>67</v>
      </c>
      <c r="N243" s="49">
        <v>20500</v>
      </c>
      <c r="O243" s="80">
        <f>N243*O242</f>
        <v>61500000</v>
      </c>
      <c r="Q243" s="317" t="s">
        <v>109</v>
      </c>
      <c r="R243" s="136">
        <f>R241-R242</f>
        <v>1000.6360649999998</v>
      </c>
      <c r="S243" s="137">
        <f>R243*S230</f>
        <v>1000636.0649999998</v>
      </c>
    </row>
    <row r="244" spans="13:19" x14ac:dyDescent="0.3">
      <c r="M244" s="10" t="s">
        <v>68</v>
      </c>
      <c r="N244" s="49">
        <f>5790*111%</f>
        <v>6426.9000000000005</v>
      </c>
      <c r="O244" s="80">
        <f>N244*O242</f>
        <v>19280700</v>
      </c>
      <c r="Q244" s="313" t="s">
        <v>70</v>
      </c>
      <c r="R244" s="120">
        <f>R240-R241</f>
        <v>4105.1735999999992</v>
      </c>
      <c r="S244" s="121">
        <f>S240-S241</f>
        <v>4105173.5999999982</v>
      </c>
    </row>
    <row r="245" spans="13:19" x14ac:dyDescent="0.3">
      <c r="M245" s="114" t="s">
        <v>72</v>
      </c>
      <c r="N245" s="115">
        <f>3200*111%</f>
        <v>3552.0000000000005</v>
      </c>
      <c r="O245" s="115">
        <f>N245*O242</f>
        <v>10656000.000000002</v>
      </c>
    </row>
    <row r="246" spans="13:19" x14ac:dyDescent="0.3">
      <c r="M246" s="10" t="s">
        <v>70</v>
      </c>
      <c r="N246" s="49">
        <f>N243-N244-N245</f>
        <v>10521.099999999999</v>
      </c>
      <c r="O246" s="49">
        <f>N246*O242</f>
        <v>31563299.999999996</v>
      </c>
      <c r="Q246" s="11" t="s">
        <v>69</v>
      </c>
      <c r="R246" s="153">
        <v>45591</v>
      </c>
      <c r="S246" s="49">
        <v>1000</v>
      </c>
    </row>
    <row r="247" spans="13:19" x14ac:dyDescent="0.3">
      <c r="M247" s="178" t="s">
        <v>71</v>
      </c>
      <c r="N247" s="168">
        <f>7200</f>
        <v>7200</v>
      </c>
      <c r="O247" s="168">
        <f>N247*O242</f>
        <v>21600000</v>
      </c>
      <c r="Q247" s="11" t="s">
        <v>67</v>
      </c>
      <c r="R247" s="49">
        <v>21396.396400000001</v>
      </c>
      <c r="S247" s="80">
        <f>R247*S246</f>
        <v>21396396.400000002</v>
      </c>
    </row>
    <row r="248" spans="13:19" x14ac:dyDescent="0.3">
      <c r="M248" s="10" t="s">
        <v>70</v>
      </c>
      <c r="N248" s="49">
        <f>N246-N247</f>
        <v>3321.0999999999985</v>
      </c>
      <c r="O248" s="49">
        <f>N248*O242</f>
        <v>9963299.9999999963</v>
      </c>
      <c r="Q248" s="11" t="s">
        <v>68</v>
      </c>
      <c r="R248" s="49">
        <f>5790*111%</f>
        <v>6426.9000000000005</v>
      </c>
      <c r="S248" s="80">
        <f>R248*S246</f>
        <v>6426900.0000000009</v>
      </c>
    </row>
    <row r="249" spans="13:19" x14ac:dyDescent="0.3">
      <c r="M249" s="10" t="s">
        <v>27</v>
      </c>
      <c r="N249" s="49">
        <f>N248*3%</f>
        <v>99.632999999999953</v>
      </c>
      <c r="O249" s="49">
        <f>N249*10000</f>
        <v>996329.99999999953</v>
      </c>
      <c r="Q249" s="314" t="s">
        <v>92</v>
      </c>
      <c r="R249" s="115">
        <f>3200*111%</f>
        <v>3552.0000000000005</v>
      </c>
      <c r="S249" s="115">
        <f>R249*S246</f>
        <v>3552000.0000000005</v>
      </c>
    </row>
    <row r="250" spans="13:19" ht="15" thickBot="1" x14ac:dyDescent="0.35">
      <c r="M250" s="62" t="s">
        <v>70</v>
      </c>
      <c r="N250" s="65">
        <f>N248-N249</f>
        <v>3221.4669999999987</v>
      </c>
      <c r="O250" s="65">
        <f>O248-O249</f>
        <v>8966969.9999999963</v>
      </c>
      <c r="Q250" s="11" t="s">
        <v>70</v>
      </c>
      <c r="R250" s="49">
        <f>R247-R248-R249</f>
        <v>11417.4964</v>
      </c>
      <c r="S250" s="49">
        <f>R250*S246</f>
        <v>11417496.4</v>
      </c>
    </row>
    <row r="251" spans="13:19" x14ac:dyDescent="0.3">
      <c r="M251" s="122" t="s">
        <v>248</v>
      </c>
      <c r="N251" s="123">
        <f>N250*20%</f>
        <v>644.29339999999979</v>
      </c>
      <c r="O251" s="124">
        <f>N251*O242</f>
        <v>1932880.1999999995</v>
      </c>
      <c r="Q251" s="318" t="s">
        <v>71</v>
      </c>
      <c r="R251" s="168">
        <f>7200</f>
        <v>7200</v>
      </c>
      <c r="S251" s="168">
        <f>R251*S246</f>
        <v>7200000</v>
      </c>
    </row>
    <row r="252" spans="13:19" x14ac:dyDescent="0.3">
      <c r="M252" s="125" t="s">
        <v>108</v>
      </c>
      <c r="N252" s="49">
        <f>(50%*N251)*5%</f>
        <v>16.107334999999996</v>
      </c>
      <c r="O252" s="126">
        <f>N252*O242</f>
        <v>48322.00499999999</v>
      </c>
      <c r="Q252" s="11" t="s">
        <v>70</v>
      </c>
      <c r="R252" s="49">
        <f>R250-R251</f>
        <v>4217.4964</v>
      </c>
      <c r="S252" s="49">
        <f>R252*S246</f>
        <v>4217496.4000000004</v>
      </c>
    </row>
    <row r="253" spans="13:19" ht="15" thickBot="1" x14ac:dyDescent="0.35">
      <c r="M253" s="135" t="s">
        <v>130</v>
      </c>
      <c r="N253" s="136">
        <f>N251-N252</f>
        <v>628.18606499999976</v>
      </c>
      <c r="O253" s="137">
        <f>N253*O242</f>
        <v>1884558.1949999994</v>
      </c>
      <c r="Q253" s="11" t="s">
        <v>27</v>
      </c>
      <c r="R253" s="49">
        <f>R252*3%</f>
        <v>126.52489199999999</v>
      </c>
      <c r="S253" s="49">
        <f>R253*S246</f>
        <v>126524.89199999999</v>
      </c>
    </row>
    <row r="254" spans="13:19" x14ac:dyDescent="0.3">
      <c r="M254" s="119" t="s">
        <v>70</v>
      </c>
      <c r="N254" s="120">
        <f>N250-N251</f>
        <v>2577.1735999999992</v>
      </c>
      <c r="O254" s="121">
        <f>O250-O251</f>
        <v>7034089.799999997</v>
      </c>
      <c r="Q254" s="11" t="s">
        <v>70</v>
      </c>
      <c r="R254" s="49">
        <f>R252-R253</f>
        <v>4090.9715080000001</v>
      </c>
      <c r="S254" s="49">
        <f>S252-S253</f>
        <v>4090971.5080000004</v>
      </c>
    </row>
    <row r="255" spans="13:19" x14ac:dyDescent="0.3">
      <c r="Q255" s="319" t="s">
        <v>91</v>
      </c>
      <c r="R255" s="185">
        <v>0</v>
      </c>
      <c r="S255" s="185">
        <f>R255*S246</f>
        <v>0</v>
      </c>
    </row>
    <row r="256" spans="13:19" ht="15" thickBot="1" x14ac:dyDescent="0.35">
      <c r="N256" s="55"/>
      <c r="O256" s="55"/>
      <c r="Q256" s="66" t="s">
        <v>70</v>
      </c>
      <c r="R256" s="65">
        <f>R254-R255</f>
        <v>4090.9715080000001</v>
      </c>
      <c r="S256" s="128">
        <f>S254-S255</f>
        <v>4090971.5080000004</v>
      </c>
    </row>
    <row r="257" spans="13:26" x14ac:dyDescent="0.3">
      <c r="Q257" s="315" t="s">
        <v>249</v>
      </c>
      <c r="R257" s="123">
        <f>R256*20%</f>
        <v>818.19430160000002</v>
      </c>
      <c r="S257" s="124">
        <f>R257*S246</f>
        <v>818194.30160000001</v>
      </c>
    </row>
    <row r="258" spans="13:26" x14ac:dyDescent="0.3">
      <c r="Q258" s="316" t="s">
        <v>108</v>
      </c>
      <c r="R258" s="49">
        <f>(50%*R257)*5%</f>
        <v>20.454857540000003</v>
      </c>
      <c r="S258" s="126">
        <f>R258*S246</f>
        <v>20454.857540000001</v>
      </c>
    </row>
    <row r="259" spans="13:26" ht="15" thickBot="1" x14ac:dyDescent="0.35">
      <c r="Q259" s="317" t="s">
        <v>109</v>
      </c>
      <c r="R259" s="136">
        <f>R257-R258</f>
        <v>797.73944405999998</v>
      </c>
      <c r="S259" s="137">
        <f>R259*S246</f>
        <v>797739.44406000001</v>
      </c>
    </row>
    <row r="260" spans="13:26" x14ac:dyDescent="0.3">
      <c r="Q260" s="313" t="s">
        <v>70</v>
      </c>
      <c r="R260" s="120">
        <f>R256-R257</f>
        <v>3272.7772064000001</v>
      </c>
      <c r="S260" s="121">
        <f>S256-S257</f>
        <v>3272777.2064000005</v>
      </c>
    </row>
    <row r="261" spans="13:26" x14ac:dyDescent="0.3">
      <c r="S261" s="53">
        <f>$S$260*30%</f>
        <v>981833.1619200001</v>
      </c>
    </row>
    <row r="262" spans="13:26" x14ac:dyDescent="0.3">
      <c r="S262" s="53">
        <f>$S$260*30%</f>
        <v>981833.1619200001</v>
      </c>
    </row>
    <row r="263" spans="13:26" x14ac:dyDescent="0.3">
      <c r="S263" s="53">
        <f>S261+S262</f>
        <v>1963666.3238400002</v>
      </c>
    </row>
    <row r="264" spans="13:26" x14ac:dyDescent="0.3">
      <c r="R264" s="55"/>
      <c r="S264" s="53">
        <f>S260-S263</f>
        <v>1309110.8825600003</v>
      </c>
    </row>
    <row r="266" spans="13:26" x14ac:dyDescent="0.3">
      <c r="P266" s="152">
        <v>45620</v>
      </c>
    </row>
    <row r="267" spans="13:26" x14ac:dyDescent="0.3">
      <c r="U267" s="10" t="s">
        <v>69</v>
      </c>
      <c r="V267" s="51"/>
      <c r="W267" s="51"/>
      <c r="X267" s="51"/>
      <c r="Y267" s="153">
        <f>'pemasukan BNI Agregator'!F53</f>
        <v>45600</v>
      </c>
      <c r="Z267" s="49">
        <v>250</v>
      </c>
    </row>
    <row r="268" spans="13:26" x14ac:dyDescent="0.3">
      <c r="M268" s="10" t="s">
        <v>69</v>
      </c>
      <c r="N268" s="179">
        <f>'pemasukan BNI Agregator'!F56</f>
        <v>45610</v>
      </c>
      <c r="O268" s="49">
        <f>'pemasukan BNI Agregator'!G56</f>
        <v>6000</v>
      </c>
      <c r="Q268" s="11" t="s">
        <v>69</v>
      </c>
      <c r="R268" s="153">
        <f>'pemasukan BNI Agregator'!F55</f>
        <v>45609</v>
      </c>
      <c r="S268" s="49">
        <f>'pemasukan BNI Agregator'!G55</f>
        <v>1000</v>
      </c>
      <c r="U268" s="10" t="s">
        <v>67</v>
      </c>
      <c r="V268" s="10"/>
      <c r="W268" s="10"/>
      <c r="X268" s="10"/>
      <c r="Y268" s="49">
        <f>'pemasukan BNI Agregator'!H53</f>
        <v>21621.62162162162</v>
      </c>
      <c r="Z268" s="80">
        <f>Y268*Z267</f>
        <v>5405405.405405405</v>
      </c>
    </row>
    <row r="269" spans="13:26" x14ac:dyDescent="0.3">
      <c r="M269" s="10" t="s">
        <v>67</v>
      </c>
      <c r="N269" s="49">
        <f>'pemasukan BNI Agregator'!H56</f>
        <v>18468.468468468465</v>
      </c>
      <c r="O269" s="80">
        <f>N269*O268</f>
        <v>110810810.81081079</v>
      </c>
      <c r="Q269" s="11" t="s">
        <v>67</v>
      </c>
      <c r="R269" s="49">
        <f>'pemasukan BNI Agregator'!H55</f>
        <v>21171.171171171169</v>
      </c>
      <c r="S269" s="80">
        <f>R269*S268</f>
        <v>21171171.17117117</v>
      </c>
      <c r="U269" s="10" t="s">
        <v>68</v>
      </c>
      <c r="V269" s="10"/>
      <c r="W269" s="10"/>
      <c r="X269" s="10"/>
      <c r="Y269" s="49">
        <f>5790*111%</f>
        <v>6426.9000000000005</v>
      </c>
      <c r="Z269" s="80">
        <f>Y269*Z267</f>
        <v>1606725.0000000002</v>
      </c>
    </row>
    <row r="270" spans="13:26" x14ac:dyDescent="0.3">
      <c r="M270" s="10" t="s">
        <v>68</v>
      </c>
      <c r="N270" s="49">
        <f>5790*111%</f>
        <v>6426.9000000000005</v>
      </c>
      <c r="O270" s="80">
        <f>N270*O268</f>
        <v>38561400</v>
      </c>
      <c r="Q270" s="11" t="s">
        <v>68</v>
      </c>
      <c r="R270" s="49">
        <f>5790*111%</f>
        <v>6426.9000000000005</v>
      </c>
      <c r="S270" s="80">
        <f>R270*S268</f>
        <v>6426900.0000000009</v>
      </c>
      <c r="U270" s="114" t="s">
        <v>92</v>
      </c>
      <c r="V270" s="114"/>
      <c r="W270" s="114"/>
      <c r="X270" s="114"/>
      <c r="Y270" s="115">
        <f>3200*111%</f>
        <v>3552.0000000000005</v>
      </c>
      <c r="Z270" s="115">
        <f>Y270*Z267</f>
        <v>888000.00000000012</v>
      </c>
    </row>
    <row r="271" spans="13:26" x14ac:dyDescent="0.3">
      <c r="M271" s="114" t="s">
        <v>72</v>
      </c>
      <c r="N271" s="115">
        <f>3200*111%</f>
        <v>3552.0000000000005</v>
      </c>
      <c r="O271" s="115">
        <f>N271*O268</f>
        <v>21312000.000000004</v>
      </c>
      <c r="Q271" s="314" t="s">
        <v>92</v>
      </c>
      <c r="R271" s="115">
        <f>3200*111%</f>
        <v>3552.0000000000005</v>
      </c>
      <c r="S271" s="115">
        <f>R271*S268</f>
        <v>3552000.0000000005</v>
      </c>
      <c r="U271" s="10" t="s">
        <v>70</v>
      </c>
      <c r="V271" s="10"/>
      <c r="W271" s="10"/>
      <c r="X271" s="10"/>
      <c r="Y271" s="49">
        <f>Y268-Y269-Y270</f>
        <v>11642.721621621618</v>
      </c>
      <c r="Z271" s="49">
        <f>Y271*Z267</f>
        <v>2910680.4054054045</v>
      </c>
    </row>
    <row r="272" spans="13:26" x14ac:dyDescent="0.3">
      <c r="M272" s="10" t="s">
        <v>70</v>
      </c>
      <c r="N272" s="49">
        <f>N269-N270-N271</f>
        <v>8489.5684684684638</v>
      </c>
      <c r="O272" s="49">
        <f>N272*O268</f>
        <v>50937410.810810782</v>
      </c>
      <c r="Q272" s="11" t="s">
        <v>70</v>
      </c>
      <c r="R272" s="49">
        <f>R269-R270-R271</f>
        <v>11192.271171171167</v>
      </c>
      <c r="S272" s="49">
        <f>R272*S268</f>
        <v>11192271.171171168</v>
      </c>
      <c r="U272" s="178" t="s">
        <v>71</v>
      </c>
      <c r="V272" s="178"/>
      <c r="W272" s="178"/>
      <c r="X272" s="178"/>
      <c r="Y272" s="168">
        <f>7200</f>
        <v>7200</v>
      </c>
      <c r="Z272" s="168">
        <f>Y272*Z267</f>
        <v>1800000</v>
      </c>
    </row>
    <row r="273" spans="13:26" x14ac:dyDescent="0.3">
      <c r="M273" s="178" t="s">
        <v>71</v>
      </c>
      <c r="N273" s="168">
        <f>7200</f>
        <v>7200</v>
      </c>
      <c r="O273" s="168">
        <f>N273*O268</f>
        <v>43200000</v>
      </c>
      <c r="Q273" s="318" t="s">
        <v>71</v>
      </c>
      <c r="R273" s="168">
        <f>7200</f>
        <v>7200</v>
      </c>
      <c r="S273" s="168">
        <f>R273*S268</f>
        <v>7200000</v>
      </c>
      <c r="U273" s="10" t="s">
        <v>70</v>
      </c>
      <c r="V273" s="10"/>
      <c r="W273" s="10"/>
      <c r="X273" s="10"/>
      <c r="Y273" s="49">
        <f>Y271-Y272</f>
        <v>4442.7216216216184</v>
      </c>
      <c r="Z273" s="49">
        <f>Y273*Z267</f>
        <v>1110680.4054054045</v>
      </c>
    </row>
    <row r="274" spans="13:26" x14ac:dyDescent="0.3">
      <c r="M274" s="10" t="s">
        <v>70</v>
      </c>
      <c r="N274" s="49">
        <f>N272-N273</f>
        <v>1289.5684684684638</v>
      </c>
      <c r="O274" s="49">
        <f>N274*O268</f>
        <v>7737410.8108107829</v>
      </c>
      <c r="Q274" s="11" t="s">
        <v>70</v>
      </c>
      <c r="R274" s="49">
        <f>R272-R273</f>
        <v>3992.2711711711672</v>
      </c>
      <c r="S274" s="49">
        <f>R274*S268</f>
        <v>3992271.1711711674</v>
      </c>
      <c r="U274" s="10" t="s">
        <v>27</v>
      </c>
      <c r="V274" s="10"/>
      <c r="W274" s="10"/>
      <c r="X274" s="10"/>
      <c r="Y274" s="49">
        <f>Y273*3%</f>
        <v>133.28164864864854</v>
      </c>
      <c r="Z274" s="49">
        <f>Y274*Z267</f>
        <v>33320.412162162138</v>
      </c>
    </row>
    <row r="275" spans="13:26" x14ac:dyDescent="0.3">
      <c r="M275" s="10" t="s">
        <v>27</v>
      </c>
      <c r="N275" s="49">
        <f>N274*3%</f>
        <v>38.687054054053917</v>
      </c>
      <c r="O275" s="49">
        <f>N275*10000</f>
        <v>386870.54054053919</v>
      </c>
      <c r="Q275" s="11" t="s">
        <v>27</v>
      </c>
      <c r="R275" s="49">
        <f>R274*3%</f>
        <v>119.76813513513501</v>
      </c>
      <c r="S275" s="49">
        <f>R275*S268</f>
        <v>119768.13513513502</v>
      </c>
      <c r="U275" s="10" t="s">
        <v>70</v>
      </c>
      <c r="V275" s="10"/>
      <c r="W275" s="10"/>
      <c r="X275" s="10"/>
      <c r="Y275" s="49">
        <f>Y273-Y274</f>
        <v>4309.4399729729703</v>
      </c>
      <c r="Z275" s="49">
        <f>Z273-Z274</f>
        <v>1077359.9932432424</v>
      </c>
    </row>
    <row r="276" spans="13:26" ht="15" thickBot="1" x14ac:dyDescent="0.35">
      <c r="M276" s="62" t="s">
        <v>70</v>
      </c>
      <c r="N276" s="65">
        <f>N274-N275</f>
        <v>1250.8814144144098</v>
      </c>
      <c r="O276" s="65">
        <f>O274-O275</f>
        <v>7350540.2702702433</v>
      </c>
      <c r="Q276" s="11" t="s">
        <v>70</v>
      </c>
      <c r="R276" s="49">
        <f>R274-R275</f>
        <v>3872.5030360360324</v>
      </c>
      <c r="S276" s="49">
        <f>S274-S275</f>
        <v>3872503.0360360323</v>
      </c>
      <c r="U276" s="184" t="s">
        <v>91</v>
      </c>
      <c r="V276" s="184"/>
      <c r="W276" s="184"/>
      <c r="X276" s="184"/>
      <c r="Y276" s="185">
        <v>0</v>
      </c>
      <c r="Z276" s="185">
        <f>Y276*Z267</f>
        <v>0</v>
      </c>
    </row>
    <row r="277" spans="13:26" ht="15" thickBot="1" x14ac:dyDescent="0.35">
      <c r="M277" s="122" t="s">
        <v>248</v>
      </c>
      <c r="N277" s="123">
        <f>N276*20%</f>
        <v>250.17628288288199</v>
      </c>
      <c r="O277" s="124">
        <f>N277*O268</f>
        <v>1501057.6972972921</v>
      </c>
      <c r="Q277" s="319" t="s">
        <v>91</v>
      </c>
      <c r="R277" s="185">
        <v>0</v>
      </c>
      <c r="S277" s="185">
        <f>R277*S268</f>
        <v>0</v>
      </c>
      <c r="U277" s="62" t="s">
        <v>70</v>
      </c>
      <c r="V277" s="62"/>
      <c r="W277" s="62"/>
      <c r="X277" s="62"/>
      <c r="Y277" s="65">
        <f>Y275-Y276</f>
        <v>4309.4399729729703</v>
      </c>
      <c r="Z277" s="128">
        <f>Z275-Z276</f>
        <v>1077359.9932432424</v>
      </c>
    </row>
    <row r="278" spans="13:26" ht="15" thickBot="1" x14ac:dyDescent="0.35">
      <c r="M278" s="125" t="s">
        <v>108</v>
      </c>
      <c r="N278" s="49">
        <f>(50%*N277)*5%</f>
        <v>6.2544070720720502</v>
      </c>
      <c r="O278" s="126">
        <f>N278*O268</f>
        <v>37526.442432432304</v>
      </c>
      <c r="Q278" s="66" t="s">
        <v>70</v>
      </c>
      <c r="R278" s="65">
        <f>R276-R277</f>
        <v>3872.5030360360324</v>
      </c>
      <c r="S278" s="128">
        <f>S276-S277</f>
        <v>3872503.0360360323</v>
      </c>
      <c r="U278" s="122" t="s">
        <v>249</v>
      </c>
      <c r="V278" s="358"/>
      <c r="W278" s="358"/>
      <c r="X278" s="358"/>
      <c r="Y278" s="123">
        <f>Y277*20%</f>
        <v>861.88799459459415</v>
      </c>
      <c r="Z278" s="124">
        <f>Y278*Z267</f>
        <v>215471.99864864853</v>
      </c>
    </row>
    <row r="279" spans="13:26" ht="15" thickBot="1" x14ac:dyDescent="0.35">
      <c r="M279" s="135" t="s">
        <v>130</v>
      </c>
      <c r="N279" s="136">
        <f>N277-N278</f>
        <v>243.92187581080995</v>
      </c>
      <c r="O279" s="137">
        <f>N279*O268</f>
        <v>1463531.2548648596</v>
      </c>
      <c r="Q279" s="315" t="s">
        <v>249</v>
      </c>
      <c r="R279" s="123">
        <f>R278*20%</f>
        <v>774.50060720720649</v>
      </c>
      <c r="S279" s="124">
        <f>R279*S268</f>
        <v>774500.60720720654</v>
      </c>
      <c r="U279" s="125" t="s">
        <v>108</v>
      </c>
      <c r="V279" s="229"/>
      <c r="W279" s="229"/>
      <c r="X279" s="229"/>
      <c r="Y279" s="49">
        <f>(50%*Y278)*5%</f>
        <v>21.547199864864854</v>
      </c>
      <c r="Z279" s="126">
        <f>Y279*Z267</f>
        <v>5386.7999662162138</v>
      </c>
    </row>
    <row r="280" spans="13:26" ht="15" thickBot="1" x14ac:dyDescent="0.35">
      <c r="M280" s="119" t="s">
        <v>70</v>
      </c>
      <c r="N280" s="120">
        <f>N276-N277</f>
        <v>1000.7051315315279</v>
      </c>
      <c r="O280" s="121">
        <f>O276-O277</f>
        <v>5849482.5729729515</v>
      </c>
      <c r="Q280" s="316" t="s">
        <v>108</v>
      </c>
      <c r="R280" s="49">
        <f>(50%*R279)*5%</f>
        <v>19.362515180180164</v>
      </c>
      <c r="S280" s="126">
        <f>R280*S268</f>
        <v>19362.515180180166</v>
      </c>
      <c r="U280" s="135" t="s">
        <v>109</v>
      </c>
      <c r="V280" s="359"/>
      <c r="W280" s="359"/>
      <c r="X280" s="359"/>
      <c r="Y280" s="136">
        <f>Y278-Y279</f>
        <v>840.34079472972928</v>
      </c>
      <c r="Z280" s="137">
        <f>Y280*Z267</f>
        <v>210085.19868243232</v>
      </c>
    </row>
    <row r="281" spans="13:26" ht="15" thickBot="1" x14ac:dyDescent="0.35">
      <c r="Q281" s="317" t="s">
        <v>109</v>
      </c>
      <c r="R281" s="136">
        <f>R279-R280</f>
        <v>755.13809202702635</v>
      </c>
      <c r="S281" s="137">
        <f>R281*S268</f>
        <v>755138.09202702635</v>
      </c>
      <c r="U281" s="119" t="s">
        <v>70</v>
      </c>
      <c r="V281" s="119"/>
      <c r="W281" s="119"/>
      <c r="X281" s="119"/>
      <c r="Y281" s="120">
        <f>Y277-Y278</f>
        <v>3447.5519783783761</v>
      </c>
      <c r="Z281" s="121">
        <f>Z277-Z278</f>
        <v>861887.99459459388</v>
      </c>
    </row>
    <row r="282" spans="13:26" x14ac:dyDescent="0.3">
      <c r="Q282" s="313" t="s">
        <v>70</v>
      </c>
      <c r="R282" s="120">
        <f>R278-R279</f>
        <v>3098.0024288288259</v>
      </c>
      <c r="S282" s="121">
        <f>S278-S279</f>
        <v>3098002.4288288257</v>
      </c>
    </row>
    <row r="284" spans="13:26" x14ac:dyDescent="0.3">
      <c r="M284" s="10" t="s">
        <v>69</v>
      </c>
      <c r="N284" s="179">
        <f>'pemasukan BNI Agregator'!F59</f>
        <v>45614</v>
      </c>
      <c r="O284" s="49">
        <f>'pemasukan BNI Agregator'!G59</f>
        <v>2000</v>
      </c>
      <c r="Q284" s="11" t="s">
        <v>69</v>
      </c>
      <c r="R284" s="153">
        <f>'pemasukan BNI Agregator'!F58</f>
        <v>45613</v>
      </c>
      <c r="S284" s="49">
        <f>'pemasukan BNI Agregator'!G58</f>
        <v>1000</v>
      </c>
      <c r="U284" s="10" t="s">
        <v>69</v>
      </c>
      <c r="V284" s="51"/>
      <c r="W284" s="51"/>
      <c r="X284" s="51"/>
      <c r="Y284" s="153">
        <f>'pemasukan BNI Agregator'!F54</f>
        <v>45605</v>
      </c>
      <c r="Z284" s="49">
        <v>250</v>
      </c>
    </row>
    <row r="285" spans="13:26" x14ac:dyDescent="0.3">
      <c r="M285" s="10" t="s">
        <v>67</v>
      </c>
      <c r="N285" s="49">
        <f>'pemasukan BNI Agregator'!H59</f>
        <v>18468.468468468465</v>
      </c>
      <c r="O285" s="80">
        <f>N285*O284</f>
        <v>36936936.93693693</v>
      </c>
      <c r="Q285" s="11" t="s">
        <v>67</v>
      </c>
      <c r="R285" s="49">
        <f>'pemasukan BNI Agregator'!H58</f>
        <v>21171.171171171169</v>
      </c>
      <c r="S285" s="80">
        <f>R285*S284</f>
        <v>21171171.17117117</v>
      </c>
      <c r="U285" s="10" t="s">
        <v>67</v>
      </c>
      <c r="V285" s="10"/>
      <c r="W285" s="10"/>
      <c r="X285" s="10"/>
      <c r="Y285" s="49">
        <f>'pemasukan BNI Agregator'!H54</f>
        <v>21621.62162162162</v>
      </c>
      <c r="Z285" s="80">
        <f>Y285*Z284</f>
        <v>5405405.405405405</v>
      </c>
    </row>
    <row r="286" spans="13:26" x14ac:dyDescent="0.3">
      <c r="M286" s="10" t="s">
        <v>68</v>
      </c>
      <c r="N286" s="49">
        <f>5790*111%</f>
        <v>6426.9000000000005</v>
      </c>
      <c r="O286" s="80">
        <f>N286*O284</f>
        <v>12853800.000000002</v>
      </c>
      <c r="Q286" s="11" t="s">
        <v>68</v>
      </c>
      <c r="R286" s="49">
        <f>5790*111%</f>
        <v>6426.9000000000005</v>
      </c>
      <c r="S286" s="80">
        <f>R286*S284</f>
        <v>6426900.0000000009</v>
      </c>
      <c r="U286" s="10" t="s">
        <v>68</v>
      </c>
      <c r="V286" s="10"/>
      <c r="W286" s="10"/>
      <c r="X286" s="10"/>
      <c r="Y286" s="49">
        <f>5790*111%</f>
        <v>6426.9000000000005</v>
      </c>
      <c r="Z286" s="80">
        <f>Y286*Z284</f>
        <v>1606725.0000000002</v>
      </c>
    </row>
    <row r="287" spans="13:26" x14ac:dyDescent="0.3">
      <c r="M287" s="114" t="s">
        <v>72</v>
      </c>
      <c r="N287" s="115">
        <f>3200*111%</f>
        <v>3552.0000000000005</v>
      </c>
      <c r="O287" s="115">
        <f>N287*O284</f>
        <v>7104000.0000000009</v>
      </c>
      <c r="Q287" s="314" t="s">
        <v>92</v>
      </c>
      <c r="R287" s="115">
        <f>3200*111%</f>
        <v>3552.0000000000005</v>
      </c>
      <c r="S287" s="115">
        <f>R287*S284</f>
        <v>3552000.0000000005</v>
      </c>
      <c r="U287" s="114" t="s">
        <v>92</v>
      </c>
      <c r="V287" s="114"/>
      <c r="W287" s="114"/>
      <c r="X287" s="114"/>
      <c r="Y287" s="115">
        <f>3200*111%</f>
        <v>3552.0000000000005</v>
      </c>
      <c r="Z287" s="115">
        <f>Y287*Z284</f>
        <v>888000.00000000012</v>
      </c>
    </row>
    <row r="288" spans="13:26" x14ac:dyDescent="0.3">
      <c r="M288" s="10" t="s">
        <v>70</v>
      </c>
      <c r="N288" s="49">
        <f>N285-N286-N287</f>
        <v>8489.5684684684638</v>
      </c>
      <c r="O288" s="49">
        <f>N288*O284</f>
        <v>16979136.936936926</v>
      </c>
      <c r="Q288" s="11" t="s">
        <v>70</v>
      </c>
      <c r="R288" s="49">
        <f>R285-R286-R287</f>
        <v>11192.271171171167</v>
      </c>
      <c r="S288" s="49">
        <f>R288*S284</f>
        <v>11192271.171171168</v>
      </c>
      <c r="U288" s="10" t="s">
        <v>70</v>
      </c>
      <c r="V288" s="10"/>
      <c r="W288" s="10"/>
      <c r="X288" s="10"/>
      <c r="Y288" s="49">
        <f>Y285-Y286-Y287</f>
        <v>11642.721621621618</v>
      </c>
      <c r="Z288" s="49">
        <f>Y288*Z284</f>
        <v>2910680.4054054045</v>
      </c>
    </row>
    <row r="289" spans="13:26" x14ac:dyDescent="0.3">
      <c r="M289" s="178" t="s">
        <v>71</v>
      </c>
      <c r="N289" s="168">
        <f>7200</f>
        <v>7200</v>
      </c>
      <c r="O289" s="168">
        <f>N289*O284</f>
        <v>14400000</v>
      </c>
      <c r="Q289" s="318" t="s">
        <v>71</v>
      </c>
      <c r="R289" s="168">
        <f>7200</f>
        <v>7200</v>
      </c>
      <c r="S289" s="168">
        <f>R289*S284</f>
        <v>7200000</v>
      </c>
      <c r="U289" s="178" t="s">
        <v>71</v>
      </c>
      <c r="V289" s="178"/>
      <c r="W289" s="178"/>
      <c r="X289" s="178"/>
      <c r="Y289" s="168">
        <f>7200</f>
        <v>7200</v>
      </c>
      <c r="Z289" s="168">
        <f>Y289*Z284</f>
        <v>1800000</v>
      </c>
    </row>
    <row r="290" spans="13:26" x14ac:dyDescent="0.3">
      <c r="M290" s="10" t="s">
        <v>70</v>
      </c>
      <c r="N290" s="49">
        <f>N288-N289</f>
        <v>1289.5684684684638</v>
      </c>
      <c r="O290" s="49">
        <f>N290*O284</f>
        <v>2579136.9369369275</v>
      </c>
      <c r="Q290" s="11" t="s">
        <v>70</v>
      </c>
      <c r="R290" s="49">
        <f>R288-R289</f>
        <v>3992.2711711711672</v>
      </c>
      <c r="S290" s="49">
        <f>R290*S284</f>
        <v>3992271.1711711674</v>
      </c>
      <c r="U290" s="10" t="s">
        <v>70</v>
      </c>
      <c r="V290" s="10"/>
      <c r="W290" s="10"/>
      <c r="X290" s="10"/>
      <c r="Y290" s="49">
        <f>Y288-Y289</f>
        <v>4442.7216216216184</v>
      </c>
      <c r="Z290" s="49">
        <f>Y290*Z284</f>
        <v>1110680.4054054045</v>
      </c>
    </row>
    <row r="291" spans="13:26" x14ac:dyDescent="0.3">
      <c r="M291" s="10" t="s">
        <v>27</v>
      </c>
      <c r="N291" s="49">
        <f>N290*3%</f>
        <v>38.687054054053917</v>
      </c>
      <c r="O291" s="49">
        <f>N291*10000</f>
        <v>386870.54054053919</v>
      </c>
      <c r="Q291" s="11" t="s">
        <v>27</v>
      </c>
      <c r="R291" s="49">
        <f>R290*3%</f>
        <v>119.76813513513501</v>
      </c>
      <c r="S291" s="49">
        <f>R291*S284</f>
        <v>119768.13513513502</v>
      </c>
      <c r="U291" s="10" t="s">
        <v>27</v>
      </c>
      <c r="V291" s="10"/>
      <c r="W291" s="10"/>
      <c r="X291" s="10"/>
      <c r="Y291" s="49">
        <f>Y290*3%</f>
        <v>133.28164864864854</v>
      </c>
      <c r="Z291" s="49">
        <f>Y291*Z284</f>
        <v>33320.412162162138</v>
      </c>
    </row>
    <row r="292" spans="13:26" ht="15" thickBot="1" x14ac:dyDescent="0.35">
      <c r="M292" s="62" t="s">
        <v>70</v>
      </c>
      <c r="N292" s="65">
        <f>N290-N291</f>
        <v>1250.8814144144098</v>
      </c>
      <c r="O292" s="65">
        <f>O290-O291</f>
        <v>2192266.3963963883</v>
      </c>
      <c r="Q292" s="11" t="s">
        <v>70</v>
      </c>
      <c r="R292" s="49">
        <f>R290-R291</f>
        <v>3872.5030360360324</v>
      </c>
      <c r="S292" s="49">
        <f>S290-S291</f>
        <v>3872503.0360360323</v>
      </c>
      <c r="U292" s="10" t="s">
        <v>70</v>
      </c>
      <c r="V292" s="10"/>
      <c r="W292" s="10"/>
      <c r="X292" s="10"/>
      <c r="Y292" s="49">
        <f>Y290-Y291</f>
        <v>4309.4399729729703</v>
      </c>
      <c r="Z292" s="49">
        <f>Z290-Z291</f>
        <v>1077359.9932432424</v>
      </c>
    </row>
    <row r="293" spans="13:26" x14ac:dyDescent="0.3">
      <c r="M293" s="122" t="s">
        <v>248</v>
      </c>
      <c r="N293" s="123">
        <f>N292*20%</f>
        <v>250.17628288288199</v>
      </c>
      <c r="O293" s="124">
        <f>N293*O284</f>
        <v>500352.56576576398</v>
      </c>
      <c r="Q293" s="319" t="s">
        <v>91</v>
      </c>
      <c r="R293" s="185">
        <v>0</v>
      </c>
      <c r="S293" s="185">
        <f>R293*S284</f>
        <v>0</v>
      </c>
      <c r="U293" s="184" t="s">
        <v>91</v>
      </c>
      <c r="V293" s="184"/>
      <c r="W293" s="184"/>
      <c r="X293" s="184"/>
      <c r="Y293" s="185">
        <v>0</v>
      </c>
      <c r="Z293" s="185">
        <f>Y293*Z284</f>
        <v>0</v>
      </c>
    </row>
    <row r="294" spans="13:26" ht="15" thickBot="1" x14ac:dyDescent="0.35">
      <c r="M294" s="125" t="s">
        <v>108</v>
      </c>
      <c r="N294" s="49">
        <f>(50%*N293)*5%</f>
        <v>6.2544070720720502</v>
      </c>
      <c r="O294" s="126">
        <f>N294*O284</f>
        <v>12508.8141441441</v>
      </c>
      <c r="Q294" s="66" t="s">
        <v>70</v>
      </c>
      <c r="R294" s="65">
        <f>R292-R293</f>
        <v>3872.5030360360324</v>
      </c>
      <c r="S294" s="128">
        <f>S292-S293</f>
        <v>3872503.0360360323</v>
      </c>
      <c r="U294" s="62" t="s">
        <v>70</v>
      </c>
      <c r="V294" s="62"/>
      <c r="W294" s="62"/>
      <c r="X294" s="62"/>
      <c r="Y294" s="65">
        <f>Y292-Y293</f>
        <v>4309.4399729729703</v>
      </c>
      <c r="Z294" s="128">
        <f>Z292-Z293</f>
        <v>1077359.9932432424</v>
      </c>
    </row>
    <row r="295" spans="13:26" ht="15" thickBot="1" x14ac:dyDescent="0.35">
      <c r="M295" s="135" t="s">
        <v>130</v>
      </c>
      <c r="N295" s="136">
        <f>N293-N294</f>
        <v>243.92187581080995</v>
      </c>
      <c r="O295" s="137">
        <f>N295*O284</f>
        <v>487843.75162161991</v>
      </c>
      <c r="Q295" s="315" t="s">
        <v>249</v>
      </c>
      <c r="R295" s="123">
        <f>R294*20%</f>
        <v>774.50060720720649</v>
      </c>
      <c r="S295" s="124">
        <f>R295*S284</f>
        <v>774500.60720720654</v>
      </c>
      <c r="U295" s="122" t="s">
        <v>249</v>
      </c>
      <c r="V295" s="358"/>
      <c r="W295" s="358"/>
      <c r="X295" s="358"/>
      <c r="Y295" s="123">
        <f>Y294*20%</f>
        <v>861.88799459459415</v>
      </c>
      <c r="Z295" s="124">
        <f>Y295*Z284</f>
        <v>215471.99864864853</v>
      </c>
    </row>
    <row r="296" spans="13:26" x14ac:dyDescent="0.3">
      <c r="M296" s="119" t="s">
        <v>70</v>
      </c>
      <c r="N296" s="120">
        <f>N292-N293</f>
        <v>1000.7051315315279</v>
      </c>
      <c r="O296" s="121">
        <f>O292-O293</f>
        <v>1691913.8306306242</v>
      </c>
      <c r="Q296" s="316" t="s">
        <v>108</v>
      </c>
      <c r="R296" s="49">
        <f>(50%*R295)*5%</f>
        <v>19.362515180180164</v>
      </c>
      <c r="S296" s="126">
        <f>R296*S284</f>
        <v>19362.515180180166</v>
      </c>
      <c r="U296" s="125" t="s">
        <v>108</v>
      </c>
      <c r="V296" s="229"/>
      <c r="W296" s="229"/>
      <c r="X296" s="229"/>
      <c r="Y296" s="49">
        <f>(50%*Y295)*5%</f>
        <v>21.547199864864854</v>
      </c>
      <c r="Z296" s="126">
        <f>Y296*Z284</f>
        <v>5386.7999662162138</v>
      </c>
    </row>
    <row r="297" spans="13:26" ht="15" thickBot="1" x14ac:dyDescent="0.35">
      <c r="N297">
        <f>5790/16000</f>
        <v>0.361875</v>
      </c>
      <c r="Q297" s="317" t="s">
        <v>109</v>
      </c>
      <c r="R297" s="136">
        <f>R295-R296</f>
        <v>755.13809202702635</v>
      </c>
      <c r="S297" s="137">
        <f>R297*S284</f>
        <v>755138.09202702635</v>
      </c>
      <c r="U297" s="135" t="s">
        <v>109</v>
      </c>
      <c r="V297" s="359"/>
      <c r="W297" s="359"/>
      <c r="X297" s="359"/>
      <c r="Y297" s="136">
        <f>Y295-Y296</f>
        <v>840.34079472972928</v>
      </c>
      <c r="Z297" s="137">
        <f>Y297*Z284</f>
        <v>210085.19868243232</v>
      </c>
    </row>
    <row r="298" spans="13:26" x14ac:dyDescent="0.3">
      <c r="M298" s="10" t="s">
        <v>69</v>
      </c>
      <c r="N298" s="179">
        <f>'pemasukan BNI Agregator'!F60</f>
        <v>45615</v>
      </c>
      <c r="O298" s="49">
        <f>'pemasukan BNI Agregator'!G60</f>
        <v>5000</v>
      </c>
      <c r="Q298" s="313" t="s">
        <v>70</v>
      </c>
      <c r="R298" s="120">
        <f>R294-R295</f>
        <v>3098.0024288288259</v>
      </c>
      <c r="S298" s="121">
        <f>S294-S295</f>
        <v>3098002.4288288257</v>
      </c>
      <c r="U298" s="119" t="s">
        <v>70</v>
      </c>
      <c r="V298" s="119"/>
      <c r="W298" s="119"/>
      <c r="X298" s="119"/>
      <c r="Y298" s="120">
        <f>Y294-Y295</f>
        <v>3447.5519783783761</v>
      </c>
      <c r="Z298" s="121">
        <f>Z294-Z295</f>
        <v>861887.99459459388</v>
      </c>
    </row>
    <row r="299" spans="13:26" x14ac:dyDescent="0.3">
      <c r="M299" s="10" t="s">
        <v>67</v>
      </c>
      <c r="N299" s="49">
        <f>'pemasukan BNI Agregator'!H60</f>
        <v>18468.468468468465</v>
      </c>
      <c r="O299" s="80">
        <f>N299*O298</f>
        <v>92342342.342342332</v>
      </c>
      <c r="S299" s="53"/>
    </row>
    <row r="300" spans="13:26" x14ac:dyDescent="0.3">
      <c r="M300" s="10" t="s">
        <v>68</v>
      </c>
      <c r="N300" s="49">
        <f>5790*111%</f>
        <v>6426.9000000000005</v>
      </c>
      <c r="O300" s="80">
        <f>N300*O298</f>
        <v>32134500.000000004</v>
      </c>
      <c r="S300" s="40"/>
    </row>
    <row r="301" spans="13:26" x14ac:dyDescent="0.3">
      <c r="M301" s="114" t="s">
        <v>72</v>
      </c>
      <c r="N301" s="115">
        <f>3200*111%</f>
        <v>3552.0000000000005</v>
      </c>
      <c r="O301" s="115">
        <f>N301*O298</f>
        <v>17760000.000000004</v>
      </c>
      <c r="S301" s="53"/>
    </row>
    <row r="302" spans="13:26" x14ac:dyDescent="0.3">
      <c r="M302" s="10" t="s">
        <v>70</v>
      </c>
      <c r="N302" s="49">
        <f>N299-N300-N301</f>
        <v>8489.5684684684638</v>
      </c>
      <c r="O302" s="49">
        <f>N302*O298</f>
        <v>42447842.342342317</v>
      </c>
      <c r="R302" s="55"/>
      <c r="S302" s="53"/>
    </row>
    <row r="303" spans="13:26" x14ac:dyDescent="0.3">
      <c r="M303" s="178" t="s">
        <v>71</v>
      </c>
      <c r="N303" s="168">
        <f>7200</f>
        <v>7200</v>
      </c>
      <c r="O303" s="168">
        <f>N303*O298</f>
        <v>36000000</v>
      </c>
    </row>
    <row r="304" spans="13:26" x14ac:dyDescent="0.3">
      <c r="M304" s="10" t="s">
        <v>70</v>
      </c>
      <c r="N304" s="49">
        <f>N302-N303</f>
        <v>1289.5684684684638</v>
      </c>
      <c r="O304" s="49">
        <f>N304*O298</f>
        <v>6447842.342342319</v>
      </c>
    </row>
    <row r="305" spans="13:16" x14ac:dyDescent="0.3">
      <c r="M305" s="10" t="s">
        <v>27</v>
      </c>
      <c r="N305" s="49">
        <f>N304*3%</f>
        <v>38.687054054053917</v>
      </c>
      <c r="O305" s="49">
        <f>N305*10000</f>
        <v>386870.54054053919</v>
      </c>
    </row>
    <row r="306" spans="13:16" ht="15" thickBot="1" x14ac:dyDescent="0.35">
      <c r="M306" s="62" t="s">
        <v>70</v>
      </c>
      <c r="N306" s="65">
        <f>N304-N305</f>
        <v>1250.8814144144098</v>
      </c>
      <c r="O306" s="65">
        <f>O304-O305</f>
        <v>6060971.8018017802</v>
      </c>
    </row>
    <row r="307" spans="13:16" x14ac:dyDescent="0.3">
      <c r="M307" s="122" t="s">
        <v>248</v>
      </c>
      <c r="N307" s="123">
        <f>N306*20%</f>
        <v>250.17628288288199</v>
      </c>
      <c r="O307" s="124">
        <f>N307*O298</f>
        <v>1250881.41441441</v>
      </c>
    </row>
    <row r="308" spans="13:16" x14ac:dyDescent="0.3">
      <c r="M308" s="125" t="s">
        <v>108</v>
      </c>
      <c r="N308" s="49">
        <f>(50%*N307)*5%</f>
        <v>6.2544070720720502</v>
      </c>
      <c r="O308" s="126">
        <f>N308*O298</f>
        <v>31272.035360360253</v>
      </c>
    </row>
    <row r="309" spans="13:16" ht="15" thickBot="1" x14ac:dyDescent="0.35">
      <c r="M309" s="135" t="s">
        <v>130</v>
      </c>
      <c r="N309" s="136">
        <f>N307-N308</f>
        <v>243.92187581080995</v>
      </c>
      <c r="O309" s="137">
        <f>N309*O298</f>
        <v>1219609.3790540497</v>
      </c>
    </row>
    <row r="310" spans="13:16" x14ac:dyDescent="0.3">
      <c r="M310" s="119" t="s">
        <v>70</v>
      </c>
      <c r="N310" s="120">
        <f>N306-N307</f>
        <v>1000.7051315315279</v>
      </c>
      <c r="O310" s="121">
        <f>O306-O307</f>
        <v>4810090.3873873707</v>
      </c>
    </row>
    <row r="312" spans="13:16" x14ac:dyDescent="0.3">
      <c r="M312" s="10" t="s">
        <v>69</v>
      </c>
      <c r="N312" s="179">
        <f>'pemasukan BNI Agregator'!F57</f>
        <v>45611</v>
      </c>
      <c r="O312" s="49">
        <f>'pemasukan BNI Agregator'!G57</f>
        <v>10000</v>
      </c>
      <c r="P312" s="12" t="s">
        <v>292</v>
      </c>
    </row>
    <row r="313" spans="13:16" x14ac:dyDescent="0.3">
      <c r="M313" s="10" t="s">
        <v>67</v>
      </c>
      <c r="N313" s="49">
        <f>'pemasukan BNI Agregator'!H57-500</f>
        <v>16436.936936936934</v>
      </c>
      <c r="O313" s="80">
        <f>N313*O312</f>
        <v>164369369.36936933</v>
      </c>
    </row>
    <row r="314" spans="13:16" x14ac:dyDescent="0.3">
      <c r="M314" s="10" t="s">
        <v>68</v>
      </c>
      <c r="N314" s="51">
        <f>(0.3*16000)*111%</f>
        <v>5328.0000000000009</v>
      </c>
      <c r="O314" s="80">
        <f>N314*O312</f>
        <v>53280000.000000007</v>
      </c>
      <c r="P314" s="40"/>
    </row>
    <row r="315" spans="13:16" x14ac:dyDescent="0.3">
      <c r="M315" s="114" t="s">
        <v>293</v>
      </c>
      <c r="N315" s="115">
        <f>3000*111%</f>
        <v>3330.0000000000005</v>
      </c>
      <c r="O315" s="115">
        <f>N315*O312</f>
        <v>33300000.000000004</v>
      </c>
      <c r="P315" s="40"/>
    </row>
    <row r="316" spans="13:16" x14ac:dyDescent="0.3">
      <c r="M316" s="10" t="s">
        <v>70</v>
      </c>
      <c r="N316" s="49">
        <f>N313-N314-N315</f>
        <v>7778.9369369369342</v>
      </c>
      <c r="O316" s="49">
        <f>N316*O312</f>
        <v>77789369.369369343</v>
      </c>
      <c r="P316" s="53"/>
    </row>
    <row r="317" spans="13:16" x14ac:dyDescent="0.3">
      <c r="M317" s="178" t="s">
        <v>71</v>
      </c>
      <c r="N317" s="168">
        <v>0</v>
      </c>
      <c r="O317" s="168">
        <f>N317*O312</f>
        <v>0</v>
      </c>
    </row>
    <row r="318" spans="13:16" x14ac:dyDescent="0.3">
      <c r="M318" s="10" t="s">
        <v>70</v>
      </c>
      <c r="N318" s="49">
        <f>N316-N317</f>
        <v>7778.9369369369342</v>
      </c>
      <c r="O318" s="49">
        <f>N318*O312</f>
        <v>77789369.369369343</v>
      </c>
    </row>
    <row r="319" spans="13:16" x14ac:dyDescent="0.3">
      <c r="M319" s="10" t="s">
        <v>27</v>
      </c>
      <c r="N319" s="49">
        <f>N318*3%</f>
        <v>233.368108108108</v>
      </c>
      <c r="O319" s="49">
        <f>N319*10000</f>
        <v>2333681.0810810803</v>
      </c>
    </row>
    <row r="320" spans="13:16" ht="15" thickBot="1" x14ac:dyDescent="0.35">
      <c r="M320" s="62" t="s">
        <v>70</v>
      </c>
      <c r="N320" s="65">
        <f>N318-N319</f>
        <v>7545.5688288288266</v>
      </c>
      <c r="O320" s="65">
        <f>O318-O319</f>
        <v>75455688.288288265</v>
      </c>
    </row>
    <row r="321" spans="9:26" x14ac:dyDescent="0.3">
      <c r="M321" s="122" t="s">
        <v>248</v>
      </c>
      <c r="N321" s="123">
        <f>N320*20%</f>
        <v>1509.1137657657655</v>
      </c>
      <c r="O321" s="124">
        <f>N321*O312</f>
        <v>15091137.657657655</v>
      </c>
    </row>
    <row r="322" spans="9:26" x14ac:dyDescent="0.3">
      <c r="M322" s="125" t="s">
        <v>108</v>
      </c>
      <c r="N322" s="49">
        <f>(50%*N321)*5%</f>
        <v>37.727844144144136</v>
      </c>
      <c r="O322" s="126">
        <f>N322*O312</f>
        <v>377278.44144144136</v>
      </c>
    </row>
    <row r="323" spans="9:26" ht="15" thickBot="1" x14ac:dyDescent="0.35">
      <c r="M323" s="135" t="s">
        <v>130</v>
      </c>
      <c r="N323" s="136">
        <f>N321-N322</f>
        <v>1471.3859216216213</v>
      </c>
      <c r="O323" s="320">
        <f>N323*O312</f>
        <v>14713859.216216212</v>
      </c>
    </row>
    <row r="324" spans="9:26" x14ac:dyDescent="0.3">
      <c r="M324" s="119" t="s">
        <v>70</v>
      </c>
      <c r="N324" s="120">
        <f>N320-N321</f>
        <v>6036.4550630630611</v>
      </c>
      <c r="O324" s="121">
        <f>O320-O321</f>
        <v>60364550.630630612</v>
      </c>
    </row>
    <row r="325" spans="9:26" x14ac:dyDescent="0.3">
      <c r="O325" s="55">
        <f>O323/O320</f>
        <v>0.19500000000000001</v>
      </c>
    </row>
    <row r="326" spans="9:26" x14ac:dyDescent="0.3">
      <c r="O326" s="55">
        <f>O324/O320</f>
        <v>0.8</v>
      </c>
    </row>
    <row r="328" spans="9:26" x14ac:dyDescent="0.3">
      <c r="P328" s="152">
        <v>45650</v>
      </c>
    </row>
    <row r="329" spans="9:26" x14ac:dyDescent="0.3">
      <c r="I329" s="360" t="s">
        <v>69</v>
      </c>
      <c r="J329" s="361">
        <f>'pemasukan BNI Agregator'!D67</f>
        <v>45644</v>
      </c>
      <c r="K329" s="362">
        <f>'pemasukan BNI Agregator'!G67</f>
        <v>15000</v>
      </c>
      <c r="M329" s="40" t="s">
        <v>331</v>
      </c>
      <c r="T329" s="426"/>
      <c r="U329" s="427"/>
      <c r="V329" s="428"/>
      <c r="W329" s="428"/>
    </row>
    <row r="330" spans="9:26" x14ac:dyDescent="0.3">
      <c r="I330" s="360" t="s">
        <v>67</v>
      </c>
      <c r="J330" s="362">
        <f>'pemasukan BNI Agregator'!H67</f>
        <v>18468.468468468465</v>
      </c>
      <c r="K330" s="363">
        <f>J330*K329</f>
        <v>277027027.02702695</v>
      </c>
      <c r="M330" s="10" t="s">
        <v>69</v>
      </c>
      <c r="N330" s="179">
        <f>'pemasukan BNI Agregator'!F67</f>
        <v>45644</v>
      </c>
      <c r="O330" s="49">
        <f>'pemasukan BNI Agregator'!G67</f>
        <v>15000</v>
      </c>
      <c r="U330" s="40"/>
      <c r="V330" s="40"/>
      <c r="W330" s="40"/>
      <c r="X330" s="40"/>
      <c r="Y330" s="56"/>
    </row>
    <row r="331" spans="9:26" x14ac:dyDescent="0.3">
      <c r="I331" s="360" t="s">
        <v>68</v>
      </c>
      <c r="J331" s="364">
        <f>(0.35*16000)*111%</f>
        <v>6216.0000000000009</v>
      </c>
      <c r="K331" s="363">
        <f>J331*K329</f>
        <v>93240000.000000015</v>
      </c>
      <c r="M331" s="10" t="s">
        <v>67</v>
      </c>
      <c r="N331" s="49">
        <f>'pemasukan BNI Agregator'!H67</f>
        <v>18468.468468468465</v>
      </c>
      <c r="O331" s="80">
        <f>N331*O330</f>
        <v>277027027.02702695</v>
      </c>
      <c r="P331" s="53">
        <f>O331*11%</f>
        <v>30472972.972972963</v>
      </c>
      <c r="U331" s="56"/>
      <c r="V331" s="56"/>
      <c r="W331" s="56"/>
      <c r="X331" s="56"/>
      <c r="Z331" s="56"/>
    </row>
    <row r="332" spans="9:26" x14ac:dyDescent="0.3">
      <c r="I332" s="360" t="s">
        <v>72</v>
      </c>
      <c r="J332" s="362">
        <f>3200*111%</f>
        <v>3552.0000000000005</v>
      </c>
      <c r="K332" s="362">
        <f>J332*K329</f>
        <v>53280000.000000007</v>
      </c>
      <c r="M332" s="10" t="s">
        <v>335</v>
      </c>
      <c r="N332" s="51">
        <f>(0.35*16000)</f>
        <v>5600</v>
      </c>
      <c r="O332" s="80">
        <f>N332*O330</f>
        <v>84000000</v>
      </c>
      <c r="P332" s="40">
        <f>P331+O331</f>
        <v>307499999.99999994</v>
      </c>
      <c r="Q332" s="40">
        <f>O332*11%</f>
        <v>9240000</v>
      </c>
      <c r="R332" s="53">
        <f>O332+Q332</f>
        <v>93240000</v>
      </c>
      <c r="U332" s="56"/>
      <c r="V332" s="56"/>
      <c r="W332" s="56"/>
      <c r="X332" s="56"/>
      <c r="Z332" s="56"/>
    </row>
    <row r="333" spans="9:26" x14ac:dyDescent="0.3">
      <c r="I333" s="360" t="s">
        <v>70</v>
      </c>
      <c r="J333" s="362">
        <f>J330-J331-J332</f>
        <v>8700.4684684684653</v>
      </c>
      <c r="K333" s="362">
        <f>J333*K329</f>
        <v>130507027.02702698</v>
      </c>
      <c r="M333" s="114" t="s">
        <v>336</v>
      </c>
      <c r="N333" s="115">
        <f>3200</f>
        <v>3200</v>
      </c>
      <c r="O333" s="115">
        <f>N333*O330</f>
        <v>48000000</v>
      </c>
      <c r="Q333" s="40">
        <f>O333*11%</f>
        <v>5280000</v>
      </c>
      <c r="R333" s="53">
        <f>O333+Q333</f>
        <v>53280000</v>
      </c>
    </row>
    <row r="334" spans="9:26" x14ac:dyDescent="0.3">
      <c r="I334" s="360" t="s">
        <v>71</v>
      </c>
      <c r="J334" s="362">
        <v>7200</v>
      </c>
      <c r="K334" s="362">
        <f>J334*K329</f>
        <v>108000000</v>
      </c>
      <c r="M334" s="10" t="s">
        <v>70</v>
      </c>
      <c r="N334" s="49">
        <f>N331-N332-N333</f>
        <v>9668.4684684684653</v>
      </c>
      <c r="O334" s="49">
        <f>N334*O330</f>
        <v>145027027.02702698</v>
      </c>
      <c r="R334" s="53"/>
      <c r="U334" s="56"/>
      <c r="V334" s="56"/>
      <c r="W334" s="56"/>
      <c r="X334" s="56"/>
      <c r="Z334" s="56"/>
    </row>
    <row r="335" spans="9:26" x14ac:dyDescent="0.3">
      <c r="I335" s="360" t="s">
        <v>70</v>
      </c>
      <c r="J335" s="362">
        <f>J333-J334</f>
        <v>1500.4684684684653</v>
      </c>
      <c r="K335" s="362">
        <f>J335*K329</f>
        <v>22507027.027026981</v>
      </c>
      <c r="M335" s="178" t="s">
        <v>71</v>
      </c>
      <c r="N335" s="168">
        <f>7200</f>
        <v>7200</v>
      </c>
      <c r="O335" s="168">
        <f>N335*O330</f>
        <v>108000000</v>
      </c>
      <c r="Q335" s="40">
        <f>O335*11%</f>
        <v>11880000</v>
      </c>
      <c r="R335" s="53">
        <f>O335+Q335</f>
        <v>119880000</v>
      </c>
      <c r="U335" s="56"/>
      <c r="V335" s="56"/>
      <c r="W335" s="56"/>
      <c r="X335" s="56"/>
      <c r="Z335" s="56"/>
    </row>
    <row r="336" spans="9:26" x14ac:dyDescent="0.3">
      <c r="I336" s="360" t="s">
        <v>27</v>
      </c>
      <c r="J336" s="362">
        <f>J335*3%</f>
        <v>45.014054054053958</v>
      </c>
      <c r="K336" s="362">
        <f>J336*K329</f>
        <v>675210.81081080937</v>
      </c>
      <c r="M336" s="10" t="s">
        <v>70</v>
      </c>
      <c r="N336" s="49">
        <f>N334-N335</f>
        <v>2468.4684684684653</v>
      </c>
      <c r="O336" s="49">
        <f>N336*O330</f>
        <v>37027027.027026981</v>
      </c>
      <c r="P336" s="53">
        <f>O336*11%</f>
        <v>4072972.9729729681</v>
      </c>
      <c r="Q336" s="40">
        <f>SUM(Q332:Q335)</f>
        <v>26400000</v>
      </c>
      <c r="R336" s="53">
        <f>SUM(R332:R335)</f>
        <v>266400000</v>
      </c>
    </row>
    <row r="337" spans="9:23" x14ac:dyDescent="0.3">
      <c r="I337" s="365" t="s">
        <v>70</v>
      </c>
      <c r="J337" s="366">
        <f>J335-J336</f>
        <v>1455.4544144144113</v>
      </c>
      <c r="K337" s="366">
        <f>K335-K336</f>
        <v>21831816.216216173</v>
      </c>
      <c r="M337" s="10" t="s">
        <v>27</v>
      </c>
      <c r="N337" s="49">
        <f>N336*3%</f>
        <v>74.05405405405395</v>
      </c>
      <c r="O337" s="49">
        <f>N337*O330</f>
        <v>1110810.8108108093</v>
      </c>
      <c r="P337" s="53">
        <f>O336+P336</f>
        <v>41099999.999999948</v>
      </c>
      <c r="Q337" s="40">
        <f>P331-Q336</f>
        <v>4072972.972972963</v>
      </c>
      <c r="R337" s="53">
        <f>P332-R336</f>
        <v>41099999.99999994</v>
      </c>
    </row>
    <row r="338" spans="9:23" x14ac:dyDescent="0.3">
      <c r="I338" s="367" t="s">
        <v>329</v>
      </c>
      <c r="J338" s="368">
        <f>5000000/15000</f>
        <v>333.33333333333331</v>
      </c>
      <c r="K338" s="369">
        <f>J338*K329</f>
        <v>5000000</v>
      </c>
      <c r="M338" s="62" t="s">
        <v>70</v>
      </c>
      <c r="N338" s="65">
        <f>N336-N337</f>
        <v>2394.4144144144111</v>
      </c>
      <c r="O338" s="49">
        <f>N338*O330</f>
        <v>35916216.216216169</v>
      </c>
      <c r="R338" s="53">
        <f>Q337</f>
        <v>4072972.972972963</v>
      </c>
      <c r="V338" s="49"/>
      <c r="W338" s="40"/>
    </row>
    <row r="339" spans="9:23" x14ac:dyDescent="0.3">
      <c r="I339" s="367" t="s">
        <v>334</v>
      </c>
      <c r="J339" s="362">
        <f>(50%*J338)*5%</f>
        <v>8.3333333333333339</v>
      </c>
      <c r="K339" s="362">
        <f>(50%*K338)*5%</f>
        <v>125000</v>
      </c>
      <c r="M339" s="381" t="s">
        <v>337</v>
      </c>
      <c r="N339" s="402">
        <v>0</v>
      </c>
      <c r="O339" s="403">
        <f>N339*O330</f>
        <v>0</v>
      </c>
      <c r="P339" s="56">
        <f>N338*O330</f>
        <v>35916216.216216169</v>
      </c>
      <c r="R339" s="53">
        <f>R337-R338</f>
        <v>37027027.027026981</v>
      </c>
      <c r="W339" s="56"/>
    </row>
    <row r="340" spans="9:23" x14ac:dyDescent="0.3">
      <c r="I340" s="365" t="s">
        <v>70</v>
      </c>
      <c r="J340" s="368">
        <f>J337-J338-J339</f>
        <v>1113.7877477477448</v>
      </c>
      <c r="K340" s="369">
        <f>J340*K329</f>
        <v>16706816.216216171</v>
      </c>
      <c r="M340" s="381" t="s">
        <v>338</v>
      </c>
      <c r="N340" s="400">
        <f>(50%*N339)*5%</f>
        <v>0</v>
      </c>
      <c r="O340" s="400">
        <f>(50%*O339)*5%</f>
        <v>0</v>
      </c>
      <c r="V340" s="53"/>
    </row>
    <row r="341" spans="9:23" ht="15" thickBot="1" x14ac:dyDescent="0.35">
      <c r="I341" s="365" t="s">
        <v>333</v>
      </c>
      <c r="J341" s="368">
        <v>0</v>
      </c>
      <c r="K341" s="369">
        <f>J341*K329</f>
        <v>0</v>
      </c>
      <c r="M341" s="62" t="s">
        <v>70</v>
      </c>
      <c r="N341" s="65">
        <f>N338-N339-N340</f>
        <v>2394.4144144144111</v>
      </c>
      <c r="O341" s="65">
        <f>O338-O339-O340</f>
        <v>35916216.216216169</v>
      </c>
      <c r="P341">
        <f>N340*O330</f>
        <v>0</v>
      </c>
    </row>
    <row r="342" spans="9:23" ht="15" thickBot="1" x14ac:dyDescent="0.35">
      <c r="I342" s="365" t="s">
        <v>70</v>
      </c>
      <c r="J342" s="366">
        <f>J340-J341</f>
        <v>1113.7877477477448</v>
      </c>
      <c r="K342" s="366">
        <f>K340-K341</f>
        <v>16706816.216216171</v>
      </c>
      <c r="M342" s="122" t="s">
        <v>248</v>
      </c>
      <c r="N342" s="123">
        <f>N341*20%</f>
        <v>478.88288288288226</v>
      </c>
      <c r="O342" s="124">
        <f>N342*O330</f>
        <v>7183243.2432432342</v>
      </c>
      <c r="P342" s="18">
        <f>N341*O330</f>
        <v>35916216.216216169</v>
      </c>
    </row>
    <row r="343" spans="9:23" x14ac:dyDescent="0.3">
      <c r="I343" s="370" t="s">
        <v>248</v>
      </c>
      <c r="J343" s="371">
        <f>J342*20%</f>
        <v>222.75754954954897</v>
      </c>
      <c r="K343" s="372">
        <f>J343*K329</f>
        <v>3341363.2432432347</v>
      </c>
      <c r="M343" s="125" t="s">
        <v>108</v>
      </c>
      <c r="N343" s="49">
        <f>(50%*N342)*5%</f>
        <v>11.972072072072057</v>
      </c>
      <c r="O343" s="126">
        <f>N343*O330</f>
        <v>179581.08108108086</v>
      </c>
    </row>
    <row r="344" spans="9:23" ht="15" thickBot="1" x14ac:dyDescent="0.35">
      <c r="I344" s="373" t="s">
        <v>108</v>
      </c>
      <c r="J344" s="362">
        <f>(50%*J343)*5%</f>
        <v>5.5689387387387246</v>
      </c>
      <c r="K344" s="374">
        <f>J344*K329</f>
        <v>83534.081081080862</v>
      </c>
      <c r="M344" s="135" t="s">
        <v>130</v>
      </c>
      <c r="N344" s="136">
        <f>N342-N343</f>
        <v>466.91081081081018</v>
      </c>
      <c r="O344" s="137">
        <f>N344*O330</f>
        <v>7003662.1621621531</v>
      </c>
    </row>
    <row r="345" spans="9:23" ht="15" thickBot="1" x14ac:dyDescent="0.35">
      <c r="I345" s="375" t="s">
        <v>130</v>
      </c>
      <c r="J345" s="376">
        <f>J343-J344</f>
        <v>217.18861081081025</v>
      </c>
      <c r="K345" s="377">
        <f>J345*K329</f>
        <v>3257829.1621621535</v>
      </c>
      <c r="M345" s="119" t="s">
        <v>70</v>
      </c>
      <c r="N345" s="120">
        <f>N338-N342</f>
        <v>1915.5315315315288</v>
      </c>
      <c r="O345" s="121">
        <f>O338-O342</f>
        <v>28732972.972972937</v>
      </c>
    </row>
    <row r="346" spans="9:23" x14ac:dyDescent="0.3">
      <c r="I346" s="378" t="s">
        <v>70</v>
      </c>
      <c r="J346" s="379">
        <f>J337-J343</f>
        <v>1232.6968648648624</v>
      </c>
      <c r="K346" s="380">
        <f>K337-K343</f>
        <v>18490452.972972937</v>
      </c>
    </row>
    <row r="348" spans="9:23" x14ac:dyDescent="0.3">
      <c r="I348" s="364" t="s">
        <v>332</v>
      </c>
      <c r="J348" s="364"/>
      <c r="K348" s="364"/>
    </row>
    <row r="349" spans="9:23" x14ac:dyDescent="0.3">
      <c r="I349" s="360" t="s">
        <v>69</v>
      </c>
      <c r="J349" s="361">
        <f>'pemasukan BNI Agregator'!D67</f>
        <v>45644</v>
      </c>
      <c r="K349" s="362">
        <f>'pemasukan BNI Agregator'!G67</f>
        <v>15000</v>
      </c>
      <c r="M349" s="337" t="s">
        <v>69</v>
      </c>
      <c r="N349" s="338">
        <f>'pemasukan BNI Agregator'!F63</f>
        <v>45632</v>
      </c>
      <c r="O349" s="339">
        <f>'pemasukan BNI Agregator'!G63</f>
        <v>12498</v>
      </c>
    </row>
    <row r="350" spans="9:23" x14ac:dyDescent="0.3">
      <c r="I350" s="360" t="s">
        <v>67</v>
      </c>
      <c r="J350" s="362">
        <f>'pemasukan BNI Agregator'!H67*111%</f>
        <v>20500</v>
      </c>
      <c r="K350" s="363">
        <f>J350*K349</f>
        <v>307500000</v>
      </c>
      <c r="M350" s="337" t="s">
        <v>67</v>
      </c>
      <c r="N350" s="339">
        <f>'pemasukan BNI Agregator'!H63</f>
        <v>10500</v>
      </c>
      <c r="O350" s="340">
        <f>N350*O349</f>
        <v>131229000</v>
      </c>
    </row>
    <row r="351" spans="9:23" x14ac:dyDescent="0.3">
      <c r="I351" s="360" t="s">
        <v>68</v>
      </c>
      <c r="J351" s="364">
        <f>(0.35*16000)*111%</f>
        <v>6216.0000000000009</v>
      </c>
      <c r="K351" s="363">
        <f>J351*K349</f>
        <v>93240000.000000015</v>
      </c>
      <c r="M351" s="337" t="s">
        <v>68</v>
      </c>
      <c r="N351" s="341">
        <v>10300</v>
      </c>
      <c r="O351" s="340">
        <f>N351*O349</f>
        <v>128729400</v>
      </c>
    </row>
    <row r="352" spans="9:23" x14ac:dyDescent="0.3">
      <c r="I352" s="360" t="s">
        <v>72</v>
      </c>
      <c r="J352" s="362">
        <f>3200*111%</f>
        <v>3552.0000000000005</v>
      </c>
      <c r="K352" s="362">
        <f>J352*K349</f>
        <v>53280000.000000007</v>
      </c>
      <c r="M352" s="337" t="s">
        <v>293</v>
      </c>
      <c r="N352" s="339">
        <f>3000*111%</f>
        <v>3330.0000000000005</v>
      </c>
      <c r="O352" s="339">
        <f>N352*O349</f>
        <v>41618340.000000007</v>
      </c>
    </row>
    <row r="353" spans="9:26" x14ac:dyDescent="0.3">
      <c r="I353" s="360" t="s">
        <v>70</v>
      </c>
      <c r="J353" s="362">
        <f>J350-J351-J352</f>
        <v>10732</v>
      </c>
      <c r="K353" s="362">
        <f>J353*K349</f>
        <v>160980000</v>
      </c>
      <c r="M353" s="337" t="s">
        <v>70</v>
      </c>
      <c r="N353" s="339">
        <f>N350-N351-N352</f>
        <v>-3130.0000000000005</v>
      </c>
      <c r="O353" s="339">
        <f>N353*O349</f>
        <v>-39118740.000000007</v>
      </c>
    </row>
    <row r="354" spans="9:26" x14ac:dyDescent="0.3">
      <c r="I354" s="360" t="s">
        <v>71</v>
      </c>
      <c r="J354" s="362">
        <v>7200</v>
      </c>
      <c r="K354" s="362">
        <f>J354*K349</f>
        <v>108000000</v>
      </c>
      <c r="M354" s="337" t="s">
        <v>71</v>
      </c>
      <c r="N354" s="339">
        <v>7200</v>
      </c>
      <c r="O354" s="339">
        <f>N354*O349</f>
        <v>89985600</v>
      </c>
    </row>
    <row r="355" spans="9:26" x14ac:dyDescent="0.3">
      <c r="I355" s="360" t="s">
        <v>70</v>
      </c>
      <c r="J355" s="362">
        <f>J353-J354</f>
        <v>3532</v>
      </c>
      <c r="K355" s="362">
        <f>J355*K349</f>
        <v>52980000</v>
      </c>
      <c r="M355" s="337" t="s">
        <v>70</v>
      </c>
      <c r="N355" s="339">
        <f>N353-N354</f>
        <v>-10330</v>
      </c>
      <c r="O355" s="339">
        <f>N355*O349</f>
        <v>-129104340</v>
      </c>
    </row>
    <row r="356" spans="9:26" x14ac:dyDescent="0.3">
      <c r="I356" s="360" t="s">
        <v>27</v>
      </c>
      <c r="J356" s="362">
        <f>J355*3%</f>
        <v>105.96</v>
      </c>
      <c r="K356" s="362">
        <f>J356*K349</f>
        <v>1589400</v>
      </c>
      <c r="M356" s="337" t="s">
        <v>27</v>
      </c>
      <c r="N356" s="339">
        <f>N355*3%</f>
        <v>-309.89999999999998</v>
      </c>
      <c r="O356" s="339">
        <f>N356*10000</f>
        <v>-3099000</v>
      </c>
    </row>
    <row r="357" spans="9:26" ht="15" thickBot="1" x14ac:dyDescent="0.35">
      <c r="I357" s="365" t="s">
        <v>70</v>
      </c>
      <c r="J357" s="366">
        <f>J355-J356</f>
        <v>3426.04</v>
      </c>
      <c r="K357" s="366">
        <f>K355-K356</f>
        <v>51390600</v>
      </c>
      <c r="M357" s="342" t="s">
        <v>70</v>
      </c>
      <c r="N357" s="343">
        <f>N355-N356</f>
        <v>-10020.1</v>
      </c>
      <c r="O357" s="343">
        <f>O355-O356</f>
        <v>-126005340</v>
      </c>
    </row>
    <row r="358" spans="9:26" x14ac:dyDescent="0.3">
      <c r="I358" s="367" t="s">
        <v>329</v>
      </c>
      <c r="J358" s="368">
        <f>5000000/15000</f>
        <v>333.33333333333331</v>
      </c>
      <c r="K358" s="369">
        <f>J358*K349</f>
        <v>5000000</v>
      </c>
      <c r="M358" s="344" t="s">
        <v>248</v>
      </c>
      <c r="N358" s="345">
        <f>N357*20%</f>
        <v>-2004.0200000000002</v>
      </c>
      <c r="O358" s="346">
        <f>N358*O349</f>
        <v>-25046241.960000001</v>
      </c>
      <c r="P358" s="56"/>
      <c r="S358" s="18"/>
      <c r="U358" s="56">
        <f>T358+S358</f>
        <v>0</v>
      </c>
      <c r="V358" s="56"/>
      <c r="W358" s="56"/>
      <c r="X358" s="56"/>
    </row>
    <row r="359" spans="9:26" x14ac:dyDescent="0.3">
      <c r="I359" s="367" t="s">
        <v>334</v>
      </c>
      <c r="J359" s="362">
        <f>(50%*J358)*5%</f>
        <v>8.3333333333333339</v>
      </c>
      <c r="K359" s="369">
        <f>J359*K349</f>
        <v>125000.00000000001</v>
      </c>
      <c r="M359" s="347" t="s">
        <v>108</v>
      </c>
      <c r="N359" s="339">
        <f>(50%*N358)*5%</f>
        <v>-50.100500000000011</v>
      </c>
      <c r="O359" s="348">
        <f>N359*O349</f>
        <v>-626156.04900000012</v>
      </c>
      <c r="R359" s="53"/>
      <c r="S359" s="56"/>
      <c r="U359" s="56">
        <f>T359+S359</f>
        <v>0</v>
      </c>
      <c r="V359" s="56"/>
      <c r="W359" s="56"/>
      <c r="X359" s="56"/>
      <c r="Y359" s="56">
        <f>U359-T359</f>
        <v>0</v>
      </c>
    </row>
    <row r="360" spans="9:26" ht="15" thickBot="1" x14ac:dyDescent="0.35">
      <c r="I360" s="365" t="s">
        <v>70</v>
      </c>
      <c r="J360" s="368">
        <f>J357-J358-J359</f>
        <v>3084.373333333333</v>
      </c>
      <c r="K360" s="369">
        <f>J360*K349</f>
        <v>46265599.999999993</v>
      </c>
      <c r="M360" s="349" t="s">
        <v>130</v>
      </c>
      <c r="N360" s="350">
        <f>N358-N359</f>
        <v>-1953.9195000000002</v>
      </c>
      <c r="O360" s="351">
        <f>N360*O349</f>
        <v>-24420085.911000002</v>
      </c>
      <c r="R360" s="53"/>
      <c r="S360" s="56"/>
      <c r="U360" s="56">
        <f>S360+T360</f>
        <v>0</v>
      </c>
      <c r="V360" s="56"/>
      <c r="W360" s="56"/>
      <c r="X360" s="56"/>
      <c r="Y360" s="56">
        <f>U360-T360</f>
        <v>0</v>
      </c>
    </row>
    <row r="361" spans="9:26" x14ac:dyDescent="0.3">
      <c r="I361" s="365" t="s">
        <v>333</v>
      </c>
      <c r="J361" s="368">
        <f>J360*11%</f>
        <v>339.28106666666662</v>
      </c>
      <c r="K361" s="369">
        <f>J361*K349</f>
        <v>5089215.9999999991</v>
      </c>
      <c r="M361" s="352" t="s">
        <v>70</v>
      </c>
      <c r="N361" s="353">
        <f>N357-N358</f>
        <v>-8016.08</v>
      </c>
      <c r="O361" s="354">
        <f>O357-O358</f>
        <v>-100959098.03999999</v>
      </c>
      <c r="R361" s="53"/>
      <c r="U361" s="56">
        <f>SUM(U358:U360)</f>
        <v>0</v>
      </c>
      <c r="V361" s="56"/>
      <c r="W361" s="56"/>
      <c r="X361" s="56"/>
      <c r="Y361" s="56">
        <f>Y359+Y360+U364</f>
        <v>108000</v>
      </c>
    </row>
    <row r="362" spans="9:26" ht="15" thickBot="1" x14ac:dyDescent="0.35">
      <c r="I362" s="365" t="s">
        <v>70</v>
      </c>
      <c r="J362" s="366">
        <f>J360-J361</f>
        <v>2745.0922666666665</v>
      </c>
      <c r="K362" s="366">
        <f>K360-K361</f>
        <v>41176383.999999993</v>
      </c>
      <c r="S362" s="18"/>
      <c r="U362" s="56">
        <f>-O368</f>
        <v>-3600000</v>
      </c>
      <c r="V362" s="56"/>
      <c r="W362" s="56"/>
      <c r="X362" s="56"/>
    </row>
    <row r="363" spans="9:26" x14ac:dyDescent="0.3">
      <c r="I363" s="370" t="s">
        <v>248</v>
      </c>
      <c r="J363" s="371">
        <f>J362*20%</f>
        <v>549.01845333333335</v>
      </c>
      <c r="K363" s="372">
        <f>J363*K349</f>
        <v>8235276.8000000007</v>
      </c>
      <c r="M363" s="10" t="s">
        <v>69</v>
      </c>
      <c r="N363" s="179">
        <f>'pemasukan BNI Agregator'!F64</f>
        <v>45636</v>
      </c>
      <c r="O363" s="49">
        <f>'pemasukan BNI Agregator'!G64</f>
        <v>500</v>
      </c>
      <c r="P363" s="56"/>
      <c r="R363" s="53"/>
      <c r="S363" s="56"/>
      <c r="U363" s="56">
        <f>U361+U362</f>
        <v>-3600000</v>
      </c>
      <c r="V363" s="56"/>
      <c r="W363" s="56"/>
      <c r="X363" s="56"/>
      <c r="Z363" s="56">
        <f>U363-T363</f>
        <v>-3600000</v>
      </c>
    </row>
    <row r="364" spans="9:26" x14ac:dyDescent="0.3">
      <c r="I364" s="373" t="s">
        <v>108</v>
      </c>
      <c r="J364" s="362">
        <f>(50%*J363)*5%</f>
        <v>13.725461333333335</v>
      </c>
      <c r="K364" s="374">
        <f>J364*K349</f>
        <v>205881.92000000004</v>
      </c>
      <c r="M364" s="10" t="s">
        <v>67</v>
      </c>
      <c r="N364" s="49">
        <f>'pemasukan BNI Agregator'!H64</f>
        <v>20720.720720720718</v>
      </c>
      <c r="O364" s="80">
        <f>N364*O363</f>
        <v>10360360.360360358</v>
      </c>
      <c r="P364" s="56"/>
      <c r="U364" s="18">
        <f>-U363*3%</f>
        <v>108000</v>
      </c>
      <c r="V364" s="18"/>
      <c r="W364" s="18"/>
      <c r="X364" s="18"/>
    </row>
    <row r="365" spans="9:26" ht="15" thickBot="1" x14ac:dyDescent="0.35">
      <c r="I365" s="375" t="s">
        <v>130</v>
      </c>
      <c r="J365" s="376">
        <f>J363-J364</f>
        <v>535.29299200000003</v>
      </c>
      <c r="K365" s="377">
        <f>J365*K349</f>
        <v>8029394.8800000008</v>
      </c>
      <c r="M365" s="10" t="s">
        <v>335</v>
      </c>
      <c r="N365" s="51">
        <f>(0.35*16000)</f>
        <v>5600</v>
      </c>
      <c r="O365" s="80">
        <f>N365*O363</f>
        <v>2800000</v>
      </c>
      <c r="P365" s="40">
        <f>O364*11%</f>
        <v>1139639.6396396393</v>
      </c>
      <c r="R365" s="53">
        <f>O364+P365</f>
        <v>11499999.999999996</v>
      </c>
    </row>
    <row r="366" spans="9:26" x14ac:dyDescent="0.3">
      <c r="I366" s="378" t="s">
        <v>70</v>
      </c>
      <c r="J366" s="379">
        <f>J357-J363</f>
        <v>2877.0215466666668</v>
      </c>
      <c r="K366" s="380">
        <f>K357-K363</f>
        <v>43155323.200000003</v>
      </c>
      <c r="M366" s="114" t="s">
        <v>336</v>
      </c>
      <c r="N366" s="115">
        <f>3200</f>
        <v>3200</v>
      </c>
      <c r="O366" s="115">
        <f>N366*O363</f>
        <v>1600000</v>
      </c>
      <c r="P366" s="53"/>
      <c r="Q366" s="40">
        <f>O365*11%</f>
        <v>308000</v>
      </c>
      <c r="S366" s="53">
        <f>O365+Q366</f>
        <v>3108000</v>
      </c>
    </row>
    <row r="367" spans="9:26" x14ac:dyDescent="0.3">
      <c r="I367" s="364"/>
      <c r="J367" s="364"/>
      <c r="K367" s="364"/>
      <c r="M367" s="10" t="s">
        <v>70</v>
      </c>
      <c r="N367" s="49">
        <f>N364-N365-N366</f>
        <v>11920.720720720718</v>
      </c>
      <c r="O367" s="49">
        <f>N367*O363</f>
        <v>5960360.3603603588</v>
      </c>
      <c r="P367" s="53"/>
      <c r="Q367" s="40">
        <f>O366*11%</f>
        <v>176000</v>
      </c>
      <c r="S367" s="53">
        <f>O366+Q367</f>
        <v>1776000</v>
      </c>
    </row>
    <row r="368" spans="9:26" x14ac:dyDescent="0.3">
      <c r="M368" s="178" t="s">
        <v>71</v>
      </c>
      <c r="N368" s="168">
        <v>7200</v>
      </c>
      <c r="O368" s="168">
        <f>N368*O363</f>
        <v>3600000</v>
      </c>
      <c r="P368" s="53"/>
      <c r="S368" s="53"/>
    </row>
    <row r="369" spans="13:19" x14ac:dyDescent="0.3">
      <c r="M369" s="10" t="s">
        <v>70</v>
      </c>
      <c r="N369" s="49">
        <f>N367-N368</f>
        <v>4720.7207207207175</v>
      </c>
      <c r="O369" s="49">
        <f>N369*O363</f>
        <v>2360360.3603603588</v>
      </c>
      <c r="Q369" s="40">
        <f>O368*11%</f>
        <v>396000</v>
      </c>
      <c r="S369" s="53">
        <f>O368+Q369</f>
        <v>3996000</v>
      </c>
    </row>
    <row r="370" spans="13:19" x14ac:dyDescent="0.3">
      <c r="M370" s="10" t="s">
        <v>27</v>
      </c>
      <c r="N370" s="49">
        <f>N369*3%</f>
        <v>141.62162162162153</v>
      </c>
      <c r="O370" s="49">
        <f>N370*O363</f>
        <v>70810.81081081077</v>
      </c>
      <c r="Q370" s="40">
        <f>SUM(Q366:Q369)</f>
        <v>880000</v>
      </c>
      <c r="S370" s="53">
        <f>SUM(S366:S369)</f>
        <v>8880000</v>
      </c>
    </row>
    <row r="371" spans="13:19" x14ac:dyDescent="0.3">
      <c r="M371" s="62" t="s">
        <v>70</v>
      </c>
      <c r="N371" s="65">
        <f>N369-N370</f>
        <v>4579.0990990990958</v>
      </c>
      <c r="O371" s="49">
        <f>N371*O363</f>
        <v>2289549.549549548</v>
      </c>
      <c r="Q371" s="401">
        <f>P365-Q370</f>
        <v>259639.6396396393</v>
      </c>
      <c r="S371" s="53">
        <f>R365-S370</f>
        <v>2619999.9999999963</v>
      </c>
    </row>
    <row r="372" spans="13:19" x14ac:dyDescent="0.3">
      <c r="M372" s="30" t="s">
        <v>347</v>
      </c>
      <c r="N372" s="400">
        <v>750</v>
      </c>
      <c r="O372" s="400">
        <f>N372*O363</f>
        <v>375000</v>
      </c>
      <c r="P372" s="53"/>
      <c r="S372" s="53">
        <f>Q371</f>
        <v>259639.6396396393</v>
      </c>
    </row>
    <row r="373" spans="13:19" x14ac:dyDescent="0.3">
      <c r="M373" s="381" t="s">
        <v>338</v>
      </c>
      <c r="N373" s="400">
        <f>(50%*N372)*5%</f>
        <v>18.75</v>
      </c>
      <c r="O373" s="400">
        <f>N373*O363</f>
        <v>9375</v>
      </c>
      <c r="S373" s="53">
        <f>S371-S372</f>
        <v>2360360.360360357</v>
      </c>
    </row>
    <row r="374" spans="13:19" ht="15" thickBot="1" x14ac:dyDescent="0.35">
      <c r="M374" s="62" t="s">
        <v>70</v>
      </c>
      <c r="N374" s="65">
        <f>N371-N372-N373</f>
        <v>3810.3490990990958</v>
      </c>
      <c r="O374" s="65">
        <f>O371-O372</f>
        <v>1914549.549549548</v>
      </c>
    </row>
    <row r="375" spans="13:19" x14ac:dyDescent="0.3">
      <c r="M375" s="122" t="s">
        <v>248</v>
      </c>
      <c r="N375" s="123">
        <f>N374*20%</f>
        <v>762.06981981981926</v>
      </c>
      <c r="O375" s="124">
        <f>N375*O363</f>
        <v>381034.90990990965</v>
      </c>
    </row>
    <row r="376" spans="13:19" x14ac:dyDescent="0.3">
      <c r="M376" s="125" t="s">
        <v>108</v>
      </c>
      <c r="N376" s="49">
        <f>(50%*N375)*5%</f>
        <v>19.051745495495481</v>
      </c>
      <c r="O376" s="126">
        <f>N376*O363</f>
        <v>9525.8727477477405</v>
      </c>
    </row>
    <row r="377" spans="13:19" ht="15" thickBot="1" x14ac:dyDescent="0.35">
      <c r="M377" s="135" t="s">
        <v>130</v>
      </c>
      <c r="N377" s="136">
        <f>N375-N376</f>
        <v>743.01807432432383</v>
      </c>
      <c r="O377" s="137">
        <f>N377*O363</f>
        <v>371509.0371621619</v>
      </c>
      <c r="P377" s="92"/>
      <c r="Q377" s="278"/>
    </row>
    <row r="378" spans="13:19" x14ac:dyDescent="0.3">
      <c r="M378" s="119" t="s">
        <v>70</v>
      </c>
      <c r="N378" s="120">
        <f>N371-N375</f>
        <v>3817.0292792792766</v>
      </c>
      <c r="O378" s="121">
        <f>O371-O375</f>
        <v>1908514.6396396384</v>
      </c>
      <c r="P378" s="95"/>
      <c r="Q378" s="278"/>
    </row>
    <row r="379" spans="13:19" x14ac:dyDescent="0.3">
      <c r="P379" s="95"/>
      <c r="Q379" s="278"/>
    </row>
    <row r="380" spans="13:19" x14ac:dyDescent="0.3">
      <c r="M380" s="386" t="s">
        <v>292</v>
      </c>
      <c r="N380" s="92"/>
      <c r="P380" s="95"/>
      <c r="Q380" s="278"/>
    </row>
    <row r="381" spans="13:19" x14ac:dyDescent="0.3">
      <c r="M381" s="382" t="s">
        <v>69</v>
      </c>
      <c r="N381" s="383">
        <f>'pemasukan BNI Agregator'!F65</f>
        <v>45642</v>
      </c>
      <c r="O381" s="384">
        <f>'pemasukan BNI Agregator'!G65</f>
        <v>10200</v>
      </c>
      <c r="P381" s="92"/>
      <c r="Q381" s="278"/>
    </row>
    <row r="382" spans="13:19" x14ac:dyDescent="0.3">
      <c r="M382" s="382" t="s">
        <v>67</v>
      </c>
      <c r="N382" s="384">
        <f>'pemasukan BNI Agregator'!H65</f>
        <v>16936.936936936934</v>
      </c>
      <c r="O382" s="385">
        <f>N382*O381</f>
        <v>172756756.75675672</v>
      </c>
      <c r="P382" s="93">
        <f>O382*11%</f>
        <v>19003243.24324324</v>
      </c>
      <c r="Q382" s="278"/>
    </row>
    <row r="383" spans="13:19" x14ac:dyDescent="0.3">
      <c r="M383" s="382" t="s">
        <v>335</v>
      </c>
      <c r="N383" s="386">
        <f>(0.3*16000)</f>
        <v>4800</v>
      </c>
      <c r="O383" s="385">
        <f>N383*O381</f>
        <v>48960000</v>
      </c>
      <c r="P383" s="93"/>
      <c r="Q383" s="278">
        <f>O383*11%</f>
        <v>5385600</v>
      </c>
    </row>
    <row r="384" spans="13:19" x14ac:dyDescent="0.3">
      <c r="M384" s="382" t="s">
        <v>345</v>
      </c>
      <c r="N384" s="115">
        <f>3000</f>
        <v>3000</v>
      </c>
      <c r="O384" s="115">
        <f>N384*O381</f>
        <v>30600000</v>
      </c>
      <c r="P384" s="92"/>
      <c r="Q384" s="278">
        <f>O384*11%</f>
        <v>3366000</v>
      </c>
    </row>
    <row r="385" spans="13:19" x14ac:dyDescent="0.3">
      <c r="M385" s="10" t="s">
        <v>70</v>
      </c>
      <c r="N385" s="49">
        <f>N382-N383-N384</f>
        <v>9136.9369369369342</v>
      </c>
      <c r="O385" s="49">
        <f>N385*O381</f>
        <v>93196756.756756723</v>
      </c>
      <c r="P385" s="92"/>
      <c r="Q385" s="278">
        <f>SUM(Q383:Q384)</f>
        <v>8751600</v>
      </c>
    </row>
    <row r="386" spans="13:19" x14ac:dyDescent="0.3">
      <c r="M386" s="178" t="s">
        <v>71</v>
      </c>
      <c r="N386" s="168">
        <v>0</v>
      </c>
      <c r="O386" s="168">
        <f>N386*O381</f>
        <v>0</v>
      </c>
      <c r="P386" s="92"/>
      <c r="Q386" s="278">
        <f>P382-Q385</f>
        <v>10251643.24324324</v>
      </c>
    </row>
    <row r="387" spans="13:19" x14ac:dyDescent="0.3">
      <c r="M387" s="382" t="s">
        <v>70</v>
      </c>
      <c r="N387" s="384">
        <f>N385-N386</f>
        <v>9136.9369369369342</v>
      </c>
      <c r="O387" s="384">
        <f>N387*O381</f>
        <v>93196756.756756723</v>
      </c>
      <c r="P387" s="93">
        <f>O387*11%</f>
        <v>10251643.24324324</v>
      </c>
      <c r="Q387" s="278"/>
    </row>
    <row r="388" spans="13:19" x14ac:dyDescent="0.3">
      <c r="M388" s="382" t="s">
        <v>27</v>
      </c>
      <c r="N388" s="384">
        <f>N387*3%</f>
        <v>274.10810810810801</v>
      </c>
      <c r="O388" s="384">
        <f>N388*O381</f>
        <v>2795902.7027027016</v>
      </c>
    </row>
    <row r="389" spans="13:19" x14ac:dyDescent="0.3">
      <c r="M389" s="387" t="s">
        <v>70</v>
      </c>
      <c r="N389" s="388">
        <f>N387-N388</f>
        <v>8862.8288288288259</v>
      </c>
      <c r="O389" s="388">
        <f>N389*O381</f>
        <v>90400854.054054022</v>
      </c>
      <c r="P389" s="56"/>
    </row>
    <row r="390" spans="13:19" x14ac:dyDescent="0.3">
      <c r="M390" s="30" t="s">
        <v>329</v>
      </c>
      <c r="N390" s="402">
        <f>5000000/10200</f>
        <v>490.19607843137254</v>
      </c>
      <c r="O390" s="400">
        <f>N390*O381</f>
        <v>5000000</v>
      </c>
    </row>
    <row r="391" spans="13:19" x14ac:dyDescent="0.3">
      <c r="M391" s="381" t="s">
        <v>338</v>
      </c>
      <c r="N391" s="400">
        <f>(50%*N390)*5%</f>
        <v>12.254901960784315</v>
      </c>
      <c r="O391" s="404">
        <f>N391*O381</f>
        <v>125000.00000000001</v>
      </c>
    </row>
    <row r="392" spans="13:19" ht="15" thickBot="1" x14ac:dyDescent="0.35">
      <c r="M392" s="387" t="s">
        <v>70</v>
      </c>
      <c r="N392" s="388">
        <f>N389-N390-N391</f>
        <v>8360.3778484366685</v>
      </c>
      <c r="O392" s="388">
        <f>N392*O381</f>
        <v>85275854.054054022</v>
      </c>
    </row>
    <row r="393" spans="13:19" x14ac:dyDescent="0.3">
      <c r="M393" s="389" t="s">
        <v>346</v>
      </c>
      <c r="N393" s="390">
        <f>N392*10%</f>
        <v>836.03778484366694</v>
      </c>
      <c r="O393" s="391">
        <f>N393*O381</f>
        <v>8527585.4054054022</v>
      </c>
    </row>
    <row r="394" spans="13:19" x14ac:dyDescent="0.3">
      <c r="M394" s="392" t="s">
        <v>108</v>
      </c>
      <c r="N394" s="384">
        <f>(50%*N393)*5%</f>
        <v>20.900944621091675</v>
      </c>
      <c r="O394" s="393">
        <f>N394*O381</f>
        <v>213189.63513513509</v>
      </c>
    </row>
    <row r="395" spans="13:19" ht="15" thickBot="1" x14ac:dyDescent="0.35">
      <c r="M395" s="394" t="s">
        <v>130</v>
      </c>
      <c r="N395" s="395">
        <f>N393-N394</f>
        <v>815.1368402225753</v>
      </c>
      <c r="O395" s="396">
        <f>N395*O381</f>
        <v>8314395.7702702684</v>
      </c>
    </row>
    <row r="396" spans="13:19" x14ac:dyDescent="0.3">
      <c r="M396" s="397" t="s">
        <v>70</v>
      </c>
      <c r="N396" s="398">
        <f>N389-N393</f>
        <v>8026.7910439851585</v>
      </c>
      <c r="O396" s="399">
        <f>O389-O393</f>
        <v>81873268.64864862</v>
      </c>
    </row>
    <row r="399" spans="13:19" x14ac:dyDescent="0.3">
      <c r="M399" s="10" t="s">
        <v>69</v>
      </c>
      <c r="N399" s="179">
        <f>'pemasukan BNI Agregator'!F68</f>
        <v>45652</v>
      </c>
      <c r="O399" s="49">
        <f>'pemasukan BNI Agregator'!G68</f>
        <v>500</v>
      </c>
      <c r="P399" s="53">
        <f>O400*11%</f>
        <v>1164414.4144144144</v>
      </c>
      <c r="R399" s="53">
        <f>O400+P399</f>
        <v>11750000</v>
      </c>
    </row>
    <row r="400" spans="13:19" x14ac:dyDescent="0.3">
      <c r="M400" s="10" t="s">
        <v>67</v>
      </c>
      <c r="N400" s="49">
        <f>'pemasukan BNI Agregator'!H68</f>
        <v>21171.171171171169</v>
      </c>
      <c r="O400" s="80">
        <f>N400*O399</f>
        <v>10585585.585585585</v>
      </c>
      <c r="Q400" s="40">
        <f>O401*11%</f>
        <v>308000</v>
      </c>
      <c r="S400" s="53">
        <f>O401+Q400</f>
        <v>3108000</v>
      </c>
    </row>
    <row r="401" spans="13:19" x14ac:dyDescent="0.3">
      <c r="M401" s="10" t="s">
        <v>335</v>
      </c>
      <c r="N401" s="51">
        <f>(0.35*16000)</f>
        <v>5600</v>
      </c>
      <c r="O401" s="80">
        <f>N401*O399</f>
        <v>2800000</v>
      </c>
      <c r="P401" s="53"/>
      <c r="Q401" s="40">
        <f>O402*11%</f>
        <v>176000</v>
      </c>
      <c r="S401" s="53">
        <f>O402+Q401</f>
        <v>1776000</v>
      </c>
    </row>
    <row r="402" spans="13:19" x14ac:dyDescent="0.3">
      <c r="M402" s="114" t="s">
        <v>336</v>
      </c>
      <c r="N402" s="115">
        <f>3200</f>
        <v>3200</v>
      </c>
      <c r="O402" s="115">
        <f>N402*O399</f>
        <v>1600000</v>
      </c>
    </row>
    <row r="403" spans="13:19" x14ac:dyDescent="0.3">
      <c r="M403" s="10" t="s">
        <v>70</v>
      </c>
      <c r="N403" s="49">
        <f>N400-N401-N402</f>
        <v>12371.171171171169</v>
      </c>
      <c r="O403" s="49">
        <f>N403*O399</f>
        <v>6185585.5855855839</v>
      </c>
      <c r="Q403" s="40">
        <f>O404*11%</f>
        <v>396000</v>
      </c>
      <c r="S403" s="53">
        <f>O404+Q403</f>
        <v>3996000</v>
      </c>
    </row>
    <row r="404" spans="13:19" x14ac:dyDescent="0.3">
      <c r="M404" s="178" t="s">
        <v>71</v>
      </c>
      <c r="N404" s="168">
        <v>7200</v>
      </c>
      <c r="O404" s="168">
        <f>N404*O399</f>
        <v>3600000</v>
      </c>
      <c r="P404" s="53">
        <f>O405*11%</f>
        <v>284414.41441441426</v>
      </c>
      <c r="Q404" s="40">
        <f>SUM(Q400:Q403)</f>
        <v>880000</v>
      </c>
      <c r="S404" s="53">
        <f>SUM(S400:S403)</f>
        <v>8880000</v>
      </c>
    </row>
    <row r="405" spans="13:19" x14ac:dyDescent="0.3">
      <c r="M405" s="10" t="s">
        <v>70</v>
      </c>
      <c r="N405" s="49">
        <f>N403-N404</f>
        <v>5171.1711711711687</v>
      </c>
      <c r="O405" s="49">
        <f>N405*O399</f>
        <v>2585585.5855855844</v>
      </c>
      <c r="Q405" s="40">
        <f>P399-Q404</f>
        <v>284414.41441441444</v>
      </c>
      <c r="S405" s="53">
        <f>R399-S404</f>
        <v>2870000</v>
      </c>
    </row>
    <row r="406" spans="13:19" x14ac:dyDescent="0.3">
      <c r="M406" s="10" t="s">
        <v>27</v>
      </c>
      <c r="N406" s="49">
        <f>N405*3%</f>
        <v>155.13513513513504</v>
      </c>
      <c r="O406" s="49">
        <f>N406*O399</f>
        <v>77567.567567567516</v>
      </c>
      <c r="P406" s="56"/>
      <c r="S406" s="53">
        <f>Q405</f>
        <v>284414.41441441444</v>
      </c>
    </row>
    <row r="407" spans="13:19" x14ac:dyDescent="0.3">
      <c r="M407" s="62" t="s">
        <v>70</v>
      </c>
      <c r="N407" s="65">
        <f>N405-N406</f>
        <v>5016.0360360360337</v>
      </c>
      <c r="O407" s="65">
        <f>N407*O399</f>
        <v>2508018.0180180171</v>
      </c>
      <c r="S407" s="53">
        <f>S405-S406</f>
        <v>2585585.5855855858</v>
      </c>
    </row>
    <row r="408" spans="13:19" x14ac:dyDescent="0.3">
      <c r="M408" s="30" t="s">
        <v>337</v>
      </c>
      <c r="N408" s="400">
        <v>0</v>
      </c>
      <c r="O408" s="400">
        <f>N408*O399</f>
        <v>0</v>
      </c>
    </row>
    <row r="409" spans="13:19" ht="15" thickBot="1" x14ac:dyDescent="0.35">
      <c r="M409" s="62" t="s">
        <v>70</v>
      </c>
      <c r="N409" s="65">
        <f>N407-N408</f>
        <v>5016.0360360360337</v>
      </c>
      <c r="O409" s="65">
        <f>O407-O408</f>
        <v>2508018.0180180171</v>
      </c>
    </row>
    <row r="410" spans="13:19" x14ac:dyDescent="0.3">
      <c r="M410" s="122" t="s">
        <v>248</v>
      </c>
      <c r="N410" s="123">
        <f>N409*20%</f>
        <v>1003.2072072072068</v>
      </c>
      <c r="O410" s="124">
        <f>N410*O399</f>
        <v>501603.60360360338</v>
      </c>
    </row>
    <row r="411" spans="13:19" x14ac:dyDescent="0.3">
      <c r="M411" s="125" t="s">
        <v>108</v>
      </c>
      <c r="N411" s="49">
        <f>(50%*N410)*5%</f>
        <v>25.080180180180172</v>
      </c>
      <c r="O411" s="126">
        <f>N411*O399</f>
        <v>12540.090090090085</v>
      </c>
    </row>
    <row r="412" spans="13:19" ht="15" thickBot="1" x14ac:dyDescent="0.35">
      <c r="M412" s="135" t="s">
        <v>130</v>
      </c>
      <c r="N412" s="136">
        <f>N410-N411</f>
        <v>978.12702702702666</v>
      </c>
      <c r="O412" s="137">
        <f>N412*O399</f>
        <v>489063.51351351332</v>
      </c>
    </row>
    <row r="413" spans="13:19" x14ac:dyDescent="0.3">
      <c r="M413" s="119" t="s">
        <v>70</v>
      </c>
      <c r="N413" s="120">
        <f>N407-N410</f>
        <v>4012.8288288288268</v>
      </c>
      <c r="O413" s="121">
        <f>O407-O410</f>
        <v>2006414.4144144137</v>
      </c>
    </row>
    <row r="415" spans="13:19" x14ac:dyDescent="0.3">
      <c r="M415" s="10" t="s">
        <v>69</v>
      </c>
      <c r="N415" s="179">
        <f>'pemasukan BNI Agregator'!F69</f>
        <v>45657</v>
      </c>
      <c r="O415" s="49">
        <f>'pemasukan BNI Agregator'!G69</f>
        <v>1000</v>
      </c>
      <c r="P415" s="53">
        <f>O416*11%</f>
        <v>2279279.2792792786</v>
      </c>
      <c r="R415" s="53">
        <f>O416+P415</f>
        <v>22999999.999999993</v>
      </c>
    </row>
    <row r="416" spans="13:19" x14ac:dyDescent="0.3">
      <c r="M416" s="10" t="s">
        <v>67</v>
      </c>
      <c r="N416" s="49">
        <f>'pemasukan BNI Agregator'!H64</f>
        <v>20720.720720720718</v>
      </c>
      <c r="O416" s="80">
        <f>N416*O415</f>
        <v>20720720.720720716</v>
      </c>
      <c r="Q416" s="40">
        <f>O417*11%</f>
        <v>616000</v>
      </c>
      <c r="S416" s="53">
        <f>O417+Q416</f>
        <v>6216000</v>
      </c>
    </row>
    <row r="417" spans="13:19" x14ac:dyDescent="0.3">
      <c r="M417" s="10" t="s">
        <v>335</v>
      </c>
      <c r="N417" s="51">
        <f>(0.35*16000)</f>
        <v>5600</v>
      </c>
      <c r="O417" s="80">
        <f>N417*O415</f>
        <v>5600000</v>
      </c>
      <c r="Q417" s="40">
        <f>O418*11%</f>
        <v>352000</v>
      </c>
      <c r="S417" s="53">
        <f>O418+Q417</f>
        <v>3552000</v>
      </c>
    </row>
    <row r="418" spans="13:19" x14ac:dyDescent="0.3">
      <c r="M418" s="114" t="s">
        <v>336</v>
      </c>
      <c r="N418" s="115">
        <f>3200</f>
        <v>3200</v>
      </c>
      <c r="O418" s="115">
        <f>N418*O415</f>
        <v>3200000</v>
      </c>
    </row>
    <row r="419" spans="13:19" x14ac:dyDescent="0.3">
      <c r="M419" s="10" t="s">
        <v>70</v>
      </c>
      <c r="N419" s="49">
        <f>N416-N417-N418</f>
        <v>11920.720720720718</v>
      </c>
      <c r="O419" s="49">
        <f>N419*O415</f>
        <v>11920720.720720718</v>
      </c>
      <c r="Q419" s="40">
        <f>O420*11%</f>
        <v>792000</v>
      </c>
      <c r="S419" s="53">
        <f>O420+Q419</f>
        <v>7992000</v>
      </c>
    </row>
    <row r="420" spans="13:19" x14ac:dyDescent="0.3">
      <c r="M420" s="178" t="s">
        <v>71</v>
      </c>
      <c r="N420" s="168">
        <v>7200</v>
      </c>
      <c r="O420" s="168">
        <f>N420*O415</f>
        <v>7200000</v>
      </c>
      <c r="P420" s="53">
        <f>O421*11%</f>
        <v>519279.27927927894</v>
      </c>
      <c r="Q420" s="40">
        <f>SUM(Q416:Q419)</f>
        <v>1760000</v>
      </c>
      <c r="S420" s="53">
        <f>SUM(S416:S419)</f>
        <v>17760000</v>
      </c>
    </row>
    <row r="421" spans="13:19" x14ac:dyDescent="0.3">
      <c r="M421" s="10" t="s">
        <v>70</v>
      </c>
      <c r="N421" s="49">
        <f>N419-N420</f>
        <v>4720.7207207207175</v>
      </c>
      <c r="O421" s="49">
        <f>N421*O415</f>
        <v>4720720.7207207177</v>
      </c>
      <c r="Q421" s="40">
        <f>P415-Q420</f>
        <v>519279.27927927859</v>
      </c>
      <c r="S421" s="53">
        <f>R415-S420</f>
        <v>5239999.9999999925</v>
      </c>
    </row>
    <row r="422" spans="13:19" x14ac:dyDescent="0.3">
      <c r="M422" s="10" t="s">
        <v>27</v>
      </c>
      <c r="N422" s="49">
        <f>N421*3%</f>
        <v>141.62162162162153</v>
      </c>
      <c r="O422" s="49">
        <f>N422*O415</f>
        <v>141621.62162162154</v>
      </c>
      <c r="P422" s="56"/>
      <c r="S422" s="53">
        <f>Q421</f>
        <v>519279.27927927859</v>
      </c>
    </row>
    <row r="423" spans="13:19" x14ac:dyDescent="0.3">
      <c r="M423" s="62" t="s">
        <v>70</v>
      </c>
      <c r="N423" s="65">
        <f>N421-N422</f>
        <v>4579.0990990990958</v>
      </c>
      <c r="O423" s="49">
        <f>N423*O415</f>
        <v>4579099.0990990959</v>
      </c>
      <c r="S423" s="53">
        <f>S421-S422</f>
        <v>4720720.720720714</v>
      </c>
    </row>
    <row r="424" spans="13:19" x14ac:dyDescent="0.3">
      <c r="M424" s="30" t="s">
        <v>347</v>
      </c>
      <c r="N424" s="400">
        <v>750</v>
      </c>
      <c r="O424" s="400">
        <f>N424*O415</f>
        <v>750000</v>
      </c>
    </row>
    <row r="425" spans="13:19" x14ac:dyDescent="0.3">
      <c r="M425" s="381" t="s">
        <v>338</v>
      </c>
      <c r="N425" s="400">
        <f>(50%*N424)*5%</f>
        <v>18.75</v>
      </c>
      <c r="O425" s="400">
        <f>N425*O415</f>
        <v>18750</v>
      </c>
      <c r="P425" s="40"/>
    </row>
    <row r="426" spans="13:19" ht="15" thickBot="1" x14ac:dyDescent="0.35">
      <c r="M426" s="62" t="s">
        <v>70</v>
      </c>
      <c r="N426" s="65">
        <f>N423-N424-N425</f>
        <v>3810.3490990990958</v>
      </c>
      <c r="O426" s="65">
        <f>N426*O415</f>
        <v>3810349.0990990959</v>
      </c>
    </row>
    <row r="427" spans="13:19" x14ac:dyDescent="0.3">
      <c r="M427" s="122" t="s">
        <v>248</v>
      </c>
      <c r="N427" s="123">
        <f>N426*20%</f>
        <v>762.06981981981926</v>
      </c>
      <c r="O427" s="124">
        <f>N427*O415</f>
        <v>762069.8198198193</v>
      </c>
    </row>
    <row r="428" spans="13:19" x14ac:dyDescent="0.3">
      <c r="M428" s="125" t="s">
        <v>108</v>
      </c>
      <c r="N428" s="49">
        <f>(50%*N427)*5%</f>
        <v>19.051745495495481</v>
      </c>
      <c r="O428" s="126">
        <f>N428*O415</f>
        <v>19051.745495495481</v>
      </c>
    </row>
    <row r="429" spans="13:19" ht="15" thickBot="1" x14ac:dyDescent="0.35">
      <c r="M429" s="135" t="s">
        <v>130</v>
      </c>
      <c r="N429" s="136">
        <f>N427-N428</f>
        <v>743.01807432432383</v>
      </c>
      <c r="O429" s="137">
        <f>N429*O415</f>
        <v>743018.0743243238</v>
      </c>
      <c r="P429" s="56">
        <f>O345+O378+O396+O413+O430</f>
        <v>118338199.95495489</v>
      </c>
      <c r="Q429" s="40" t="s">
        <v>349</v>
      </c>
    </row>
    <row r="430" spans="13:19" x14ac:dyDescent="0.3">
      <c r="M430" s="119" t="s">
        <v>70</v>
      </c>
      <c r="N430" s="120">
        <f>N423-N427</f>
        <v>3817.0292792792766</v>
      </c>
      <c r="O430" s="121">
        <f>O423-O427</f>
        <v>3817029.2792792767</v>
      </c>
    </row>
  </sheetData>
  <mergeCells count="2">
    <mergeCell ref="T329:U329"/>
    <mergeCell ref="V329:W329"/>
  </mergeCells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368B-D0AB-4555-AB17-87AD2938FC82}">
  <dimension ref="A3:T67"/>
  <sheetViews>
    <sheetView tabSelected="1" workbookViewId="0">
      <pane ySplit="4" topLeftCell="A57" activePane="bottomLeft" state="frozen"/>
      <selection pane="bottomLeft" activeCell="E57" sqref="E57"/>
    </sheetView>
  </sheetViews>
  <sheetFormatPr defaultRowHeight="14.4" x14ac:dyDescent="0.3"/>
  <cols>
    <col min="1" max="1" width="9.21875" bestFit="1" customWidth="1"/>
    <col min="2" max="2" width="18.88671875" bestFit="1" customWidth="1"/>
    <col min="3" max="3" width="10.109375" style="18" bestFit="1" customWidth="1"/>
    <col min="4" max="4" width="13.6640625" bestFit="1" customWidth="1"/>
    <col min="5" max="5" width="17.21875" style="40" bestFit="1" customWidth="1"/>
    <col min="6" max="6" width="9.21875" bestFit="1" customWidth="1"/>
    <col min="9" max="9" width="11.5546875" bestFit="1" customWidth="1"/>
    <col min="10" max="11" width="9.109375" bestFit="1" customWidth="1"/>
    <col min="12" max="12" width="13.44140625" bestFit="1" customWidth="1"/>
    <col min="13" max="13" width="9.21875" bestFit="1" customWidth="1"/>
    <col min="16" max="16" width="11.5546875" bestFit="1" customWidth="1"/>
    <col min="19" max="19" width="12.5546875" bestFit="1" customWidth="1"/>
    <col min="20" max="20" width="9.109375" bestFit="1" customWidth="1"/>
  </cols>
  <sheetData>
    <row r="3" spans="1:13" x14ac:dyDescent="0.3">
      <c r="A3" s="9"/>
      <c r="B3" s="9" t="s">
        <v>24</v>
      </c>
      <c r="C3" s="16" t="s">
        <v>25</v>
      </c>
      <c r="D3" s="15" t="s">
        <v>26</v>
      </c>
      <c r="E3" s="85" t="s">
        <v>80</v>
      </c>
      <c r="F3" s="15" t="s">
        <v>89</v>
      </c>
      <c r="H3" s="67"/>
      <c r="I3" s="15" t="s">
        <v>24</v>
      </c>
      <c r="J3" s="70" t="s">
        <v>25</v>
      </c>
      <c r="K3" s="70" t="s">
        <v>26</v>
      </c>
      <c r="L3" s="70" t="s">
        <v>80</v>
      </c>
      <c r="M3" s="15" t="s">
        <v>89</v>
      </c>
    </row>
    <row r="4" spans="1:13" x14ac:dyDescent="0.3">
      <c r="A4" s="8" t="s">
        <v>28</v>
      </c>
      <c r="B4" s="8"/>
      <c r="C4" s="17"/>
      <c r="D4" s="9"/>
      <c r="E4" s="43"/>
      <c r="F4" s="9"/>
      <c r="H4" s="68" t="s">
        <v>79</v>
      </c>
      <c r="I4" s="71"/>
      <c r="J4" s="72">
        <v>0</v>
      </c>
      <c r="K4" s="70">
        <v>0</v>
      </c>
      <c r="L4" s="73">
        <f>J4*K4</f>
        <v>0</v>
      </c>
      <c r="M4" s="15"/>
    </row>
    <row r="5" spans="1:13" x14ac:dyDescent="0.3">
      <c r="A5" s="157">
        <f>DATE(2024,6,2)</f>
        <v>45445</v>
      </c>
      <c r="B5" s="8"/>
      <c r="C5" s="17"/>
      <c r="D5" s="9"/>
      <c r="E5" s="43"/>
      <c r="F5" s="9"/>
      <c r="H5" s="33"/>
      <c r="I5" s="71"/>
      <c r="J5" s="72"/>
      <c r="K5" s="70"/>
      <c r="L5" s="73"/>
      <c r="M5" s="15"/>
    </row>
    <row r="6" spans="1:13" x14ac:dyDescent="0.3">
      <c r="A6" s="171">
        <v>1</v>
      </c>
      <c r="B6" s="171" t="s">
        <v>66</v>
      </c>
      <c r="C6" s="49">
        <f>'hitungan komersial '!O3</f>
        <v>10000</v>
      </c>
      <c r="D6" s="49">
        <f>'hitungan komersial '!N14</f>
        <v>765.54211475</v>
      </c>
      <c r="E6" s="49">
        <f>C6*D6</f>
        <v>7655421.1475</v>
      </c>
      <c r="F6" s="76">
        <f>DATE(2024,6,25)</f>
        <v>45468</v>
      </c>
      <c r="H6" s="33"/>
      <c r="I6" s="71"/>
      <c r="J6" s="72"/>
      <c r="K6" s="70"/>
      <c r="L6" s="73"/>
      <c r="M6" s="15"/>
    </row>
    <row r="7" spans="1:13" x14ac:dyDescent="0.3">
      <c r="A7" s="8"/>
      <c r="B7" s="8"/>
      <c r="C7" s="17"/>
      <c r="D7" s="43"/>
      <c r="E7" s="43">
        <f>E6</f>
        <v>7655421.1475</v>
      </c>
      <c r="F7" s="9"/>
      <c r="H7" s="33"/>
      <c r="I7" s="71"/>
      <c r="J7" s="72"/>
      <c r="K7" s="70"/>
      <c r="L7" s="73"/>
      <c r="M7" s="15"/>
    </row>
    <row r="8" spans="1:13" x14ac:dyDescent="0.3">
      <c r="A8" s="157">
        <f>DATE(2024,7,2)</f>
        <v>45475</v>
      </c>
      <c r="B8" s="8"/>
      <c r="C8" s="17"/>
      <c r="D8" s="9"/>
      <c r="E8" s="43"/>
      <c r="F8" s="9"/>
      <c r="H8" s="33"/>
      <c r="I8" s="71"/>
      <c r="J8" s="72"/>
      <c r="K8" s="70"/>
      <c r="L8" s="73"/>
      <c r="M8" s="15"/>
    </row>
    <row r="9" spans="1:13" x14ac:dyDescent="0.3">
      <c r="A9" s="86">
        <v>1</v>
      </c>
      <c r="B9" s="10" t="s">
        <v>66</v>
      </c>
      <c r="C9" s="49">
        <v>10000</v>
      </c>
      <c r="D9" s="49">
        <f>'hitungan komersial '!N12</f>
        <v>805.83380499999998</v>
      </c>
      <c r="E9" s="49">
        <f>C9*D9</f>
        <v>8058338.0499999998</v>
      </c>
      <c r="F9" s="76">
        <f>DATE(2024,7,2)</f>
        <v>45475</v>
      </c>
      <c r="H9" s="88">
        <v>1</v>
      </c>
      <c r="I9" s="75" t="s">
        <v>79</v>
      </c>
      <c r="J9" s="75">
        <v>1500</v>
      </c>
      <c r="K9" s="75">
        <v>1000</v>
      </c>
      <c r="L9" s="89">
        <f>J9*K9</f>
        <v>1500000</v>
      </c>
      <c r="M9" s="90">
        <f>DATE(2024,7,2)</f>
        <v>45475</v>
      </c>
    </row>
    <row r="10" spans="1:13" x14ac:dyDescent="0.3">
      <c r="A10" s="87">
        <v>2</v>
      </c>
      <c r="B10" s="10" t="s">
        <v>79</v>
      </c>
      <c r="C10" s="49">
        <v>1500</v>
      </c>
      <c r="D10" s="49">
        <f>'hitungan komersial '!R30</f>
        <v>2026.021305</v>
      </c>
      <c r="E10" s="49">
        <f>C10*D10</f>
        <v>3039031.9575</v>
      </c>
      <c r="F10" s="76">
        <f>DATE(2024,7,2)</f>
        <v>45475</v>
      </c>
      <c r="H10" s="88">
        <v>2</v>
      </c>
      <c r="I10" s="75" t="s">
        <v>79</v>
      </c>
      <c r="J10" s="75">
        <v>1000</v>
      </c>
      <c r="K10" s="75">
        <v>1000</v>
      </c>
      <c r="L10" s="89">
        <f>J10*K10</f>
        <v>1000000</v>
      </c>
      <c r="M10" s="90">
        <f>DATE(2024,7,17)</f>
        <v>45490</v>
      </c>
    </row>
    <row r="11" spans="1:13" x14ac:dyDescent="0.3">
      <c r="A11" s="87">
        <v>3</v>
      </c>
      <c r="B11" s="10" t="s">
        <v>66</v>
      </c>
      <c r="C11" s="49">
        <v>10000</v>
      </c>
      <c r="D11" s="49">
        <f>'hitungan komersial '!N30</f>
        <v>984.85911474999989</v>
      </c>
      <c r="E11" s="49">
        <v>9293723</v>
      </c>
      <c r="F11" s="76">
        <f>DATE(2024,7,10)</f>
        <v>45483</v>
      </c>
      <c r="H11" s="9"/>
      <c r="I11" s="9"/>
      <c r="J11" s="9"/>
      <c r="K11" s="9"/>
      <c r="L11" s="170">
        <f>SUM(L9:L10)</f>
        <v>2500000</v>
      </c>
      <c r="M11" s="9"/>
    </row>
    <row r="12" spans="1:13" x14ac:dyDescent="0.3">
      <c r="A12" s="87">
        <v>4</v>
      </c>
      <c r="B12" s="10" t="s">
        <v>79</v>
      </c>
      <c r="C12" s="49">
        <v>1000</v>
      </c>
      <c r="D12" s="49">
        <f>'hitungan komersial '!R48</f>
        <v>1924.72023975</v>
      </c>
      <c r="E12" s="49">
        <f>C12*D12</f>
        <v>1924720.2397499999</v>
      </c>
      <c r="F12" s="76">
        <f>DATE(2024,7,18)</f>
        <v>45491</v>
      </c>
      <c r="H12" s="9"/>
      <c r="I12" s="15"/>
      <c r="J12" s="15"/>
      <c r="K12" s="15"/>
      <c r="L12" s="15"/>
      <c r="M12" s="15"/>
    </row>
    <row r="13" spans="1:13" x14ac:dyDescent="0.3">
      <c r="A13" s="87">
        <v>5</v>
      </c>
      <c r="B13" s="10" t="s">
        <v>66</v>
      </c>
      <c r="C13" s="49">
        <v>5000</v>
      </c>
      <c r="D13" s="49">
        <f>'hitungan komersial '!N47</f>
        <v>866.37982275000002</v>
      </c>
      <c r="E13" s="49">
        <f>C13*D13</f>
        <v>4331899.1137500005</v>
      </c>
      <c r="F13" s="76">
        <f>DATE(2024,7,30)</f>
        <v>45503</v>
      </c>
      <c r="H13" s="9"/>
      <c r="I13" s="15"/>
      <c r="J13" s="15"/>
      <c r="K13" s="15"/>
      <c r="L13" s="15"/>
      <c r="M13" s="15"/>
    </row>
    <row r="14" spans="1:13" x14ac:dyDescent="0.3">
      <c r="A14" s="154"/>
      <c r="B14" s="96"/>
      <c r="C14" s="97"/>
      <c r="D14" s="97"/>
      <c r="E14" s="97">
        <f>SUM(E9:E13)+E16</f>
        <v>30979611.474750001</v>
      </c>
      <c r="F14" s="155"/>
      <c r="H14" s="69"/>
      <c r="I14" s="15"/>
      <c r="J14" s="15"/>
      <c r="K14" s="15"/>
      <c r="L14" s="15"/>
      <c r="M14" s="15"/>
    </row>
    <row r="15" spans="1:13" s="92" customFormat="1" x14ac:dyDescent="0.3">
      <c r="A15" s="157">
        <f>DATE(2024,8,2)</f>
        <v>45506</v>
      </c>
      <c r="B15" s="96"/>
      <c r="C15" s="97"/>
      <c r="D15" s="97"/>
      <c r="E15" s="97"/>
      <c r="F15" s="155"/>
      <c r="H15" s="156"/>
      <c r="I15" s="70"/>
      <c r="J15" s="70"/>
      <c r="K15" s="70"/>
      <c r="L15" s="70"/>
      <c r="M15" s="70"/>
    </row>
    <row r="16" spans="1:13" x14ac:dyDescent="0.3">
      <c r="A16" s="87">
        <v>1</v>
      </c>
      <c r="B16" s="10" t="s">
        <v>66</v>
      </c>
      <c r="C16" s="49">
        <v>5000</v>
      </c>
      <c r="D16" s="49">
        <f>'hitungan komersial '!N62</f>
        <v>866.37982275000002</v>
      </c>
      <c r="E16" s="49">
        <f t="shared" ref="E16:E21" si="0">C16*D16</f>
        <v>4331899.1137500005</v>
      </c>
      <c r="F16" s="76">
        <f>DATE(2024,8,2)</f>
        <v>45506</v>
      </c>
      <c r="H16" s="88">
        <v>1</v>
      </c>
      <c r="I16" s="75" t="s">
        <v>79</v>
      </c>
      <c r="J16" s="181">
        <v>1000</v>
      </c>
      <c r="K16" s="75">
        <v>800</v>
      </c>
      <c r="L16" s="89">
        <f>J16*K16</f>
        <v>800000</v>
      </c>
      <c r="M16" s="90">
        <f>DATE(2024,8,9)</f>
        <v>45513</v>
      </c>
    </row>
    <row r="17" spans="1:20" x14ac:dyDescent="0.3">
      <c r="A17" s="87">
        <v>2</v>
      </c>
      <c r="B17" s="49" t="s">
        <v>66</v>
      </c>
      <c r="C17" s="49">
        <v>6500</v>
      </c>
      <c r="D17" s="49">
        <f>'hitungan komersial '!N78</f>
        <v>942.27909749999958</v>
      </c>
      <c r="E17" s="49">
        <f t="shared" si="0"/>
        <v>6124814.1337499972</v>
      </c>
      <c r="F17" s="76">
        <f>DATE(2024,8,7)</f>
        <v>45511</v>
      </c>
      <c r="H17" s="88">
        <v>2</v>
      </c>
      <c r="I17" s="75" t="s">
        <v>79</v>
      </c>
      <c r="J17" s="181">
        <v>1000</v>
      </c>
      <c r="K17" s="75">
        <v>200</v>
      </c>
      <c r="L17" s="89">
        <f>J17*K17</f>
        <v>200000</v>
      </c>
      <c r="M17" s="90">
        <f>DATE(2024,8,12)</f>
        <v>45516</v>
      </c>
      <c r="N17" s="158"/>
    </row>
    <row r="18" spans="1:20" x14ac:dyDescent="0.3">
      <c r="A18" s="87">
        <v>3</v>
      </c>
      <c r="B18" s="10" t="s">
        <v>79</v>
      </c>
      <c r="C18" s="49">
        <v>800</v>
      </c>
      <c r="D18" s="49">
        <f>'hitungan komersial '!R96</f>
        <v>1693.17494775</v>
      </c>
      <c r="E18" s="49">
        <f t="shared" si="0"/>
        <v>1354539.9582</v>
      </c>
      <c r="F18" s="76">
        <f>DATE(2024,8,9)</f>
        <v>45513</v>
      </c>
      <c r="H18" s="183">
        <v>3</v>
      </c>
      <c r="I18" s="75" t="s">
        <v>79</v>
      </c>
      <c r="J18" s="181">
        <v>1000</v>
      </c>
      <c r="K18" s="75">
        <v>1000</v>
      </c>
      <c r="L18" s="89">
        <f>J18*K18</f>
        <v>1000000</v>
      </c>
      <c r="M18" s="90">
        <f>DATE(2024,8,27)</f>
        <v>45531</v>
      </c>
    </row>
    <row r="19" spans="1:20" x14ac:dyDescent="0.3">
      <c r="A19" s="87">
        <v>4</v>
      </c>
      <c r="B19" s="10" t="s">
        <v>79</v>
      </c>
      <c r="C19" s="49">
        <v>200</v>
      </c>
      <c r="D19" s="49">
        <f>'hitungan komersial '!R112</f>
        <v>1693.17494775</v>
      </c>
      <c r="E19" s="49">
        <f t="shared" si="0"/>
        <v>338634.98955</v>
      </c>
      <c r="F19" s="76">
        <f>DATE(2024,8,19)</f>
        <v>45523</v>
      </c>
      <c r="H19" s="69"/>
      <c r="I19" s="15"/>
      <c r="J19" s="182"/>
      <c r="K19" s="15"/>
      <c r="L19" s="15"/>
      <c r="M19" s="15"/>
    </row>
    <row r="20" spans="1:20" x14ac:dyDescent="0.3">
      <c r="A20" s="87">
        <v>5</v>
      </c>
      <c r="B20" s="49" t="s">
        <v>66</v>
      </c>
      <c r="C20" s="49">
        <v>10000</v>
      </c>
      <c r="D20" s="49">
        <f>'hitungan komersial '!N94</f>
        <v>942.27909749999958</v>
      </c>
      <c r="E20" s="49">
        <f t="shared" si="0"/>
        <v>9422790.9749999959</v>
      </c>
      <c r="F20" s="76">
        <f>DATE(2024,8,23)</f>
        <v>45527</v>
      </c>
      <c r="H20" s="69"/>
      <c r="I20" s="15"/>
      <c r="J20" s="15"/>
      <c r="K20" s="15"/>
      <c r="L20" s="15"/>
      <c r="M20" s="15"/>
    </row>
    <row r="21" spans="1:20" x14ac:dyDescent="0.3">
      <c r="A21" s="75">
        <v>6</v>
      </c>
      <c r="B21" s="10" t="s">
        <v>79</v>
      </c>
      <c r="C21" s="49">
        <v>1000</v>
      </c>
      <c r="D21" s="49">
        <f>'hitungan komersial '!R128</f>
        <v>1769.0742224999995</v>
      </c>
      <c r="E21" s="49">
        <f t="shared" si="0"/>
        <v>1769074.2224999995</v>
      </c>
      <c r="F21" s="76">
        <f>DATE(2024,8,28)</f>
        <v>45532</v>
      </c>
    </row>
    <row r="22" spans="1:20" x14ac:dyDescent="0.3">
      <c r="A22" s="87">
        <v>7</v>
      </c>
      <c r="B22" s="49" t="s">
        <v>66</v>
      </c>
      <c r="C22" s="49">
        <v>3500</v>
      </c>
      <c r="D22" s="49">
        <f>'hitungan komersial '!N110</f>
        <v>942.27909749999958</v>
      </c>
      <c r="E22" s="49">
        <f t="shared" ref="E22" si="1">C22*D22</f>
        <v>3297976.8412499987</v>
      </c>
      <c r="F22" s="76">
        <f>DATE(2024,8,29)</f>
        <v>45533</v>
      </c>
    </row>
    <row r="23" spans="1:20" x14ac:dyDescent="0.3">
      <c r="A23" s="87">
        <v>8</v>
      </c>
      <c r="B23" s="49" t="s">
        <v>66</v>
      </c>
      <c r="C23" s="49">
        <v>6500</v>
      </c>
      <c r="D23" s="49">
        <f>'hitungan komersial '!N126</f>
        <v>942.27909749999958</v>
      </c>
      <c r="E23" s="49">
        <f t="shared" ref="E23" si="2">C23*D23</f>
        <v>6124814.1337499972</v>
      </c>
      <c r="F23" s="76">
        <f>DATE(2024,8,31)</f>
        <v>45535</v>
      </c>
    </row>
    <row r="24" spans="1:20" x14ac:dyDescent="0.3">
      <c r="E24" s="40">
        <f>SUM(E16:E23)</f>
        <v>32764544.367749989</v>
      </c>
    </row>
    <row r="25" spans="1:20" x14ac:dyDescent="0.3">
      <c r="A25" s="157">
        <f>DATE(2024,9,2)</f>
        <v>45537</v>
      </c>
      <c r="P25" s="15" t="s">
        <v>24</v>
      </c>
      <c r="Q25" s="70" t="s">
        <v>25</v>
      </c>
      <c r="R25" s="70" t="s">
        <v>26</v>
      </c>
      <c r="S25" s="70" t="s">
        <v>80</v>
      </c>
      <c r="T25" s="15" t="s">
        <v>89</v>
      </c>
    </row>
    <row r="26" spans="1:20" x14ac:dyDescent="0.3">
      <c r="A26" s="186"/>
      <c r="O26" s="187" t="s">
        <v>153</v>
      </c>
    </row>
    <row r="27" spans="1:20" x14ac:dyDescent="0.3">
      <c r="A27" s="10">
        <v>1</v>
      </c>
      <c r="B27" s="10" t="s">
        <v>79</v>
      </c>
      <c r="C27" s="49">
        <v>500</v>
      </c>
      <c r="D27" s="49">
        <f>'hitungan komersial '!R145</f>
        <v>1926.5415974999996</v>
      </c>
      <c r="E27" s="11">
        <f t="shared" ref="E27:E28" si="3">C27*D27</f>
        <v>963270.79874999984</v>
      </c>
      <c r="F27" s="76">
        <f>DATE(2024,9,4)</f>
        <v>45539</v>
      </c>
      <c r="H27" s="10">
        <v>1</v>
      </c>
      <c r="I27" s="10" t="s">
        <v>79</v>
      </c>
      <c r="J27" s="11">
        <v>500</v>
      </c>
      <c r="K27" s="10">
        <v>1000</v>
      </c>
      <c r="L27" s="11">
        <f>J27*K27</f>
        <v>500000</v>
      </c>
      <c r="M27" s="90">
        <f>DATE(2024,9,4)</f>
        <v>45539</v>
      </c>
      <c r="O27" s="10">
        <v>1</v>
      </c>
      <c r="P27" s="10" t="s">
        <v>157</v>
      </c>
      <c r="Q27" s="10">
        <v>204</v>
      </c>
      <c r="R27" s="10">
        <v>1000</v>
      </c>
      <c r="S27" s="11">
        <f>Q27*R27</f>
        <v>204000</v>
      </c>
      <c r="T27" s="76">
        <f t="shared" ref="T27" si="4">DATE(2024,9,4)</f>
        <v>45539</v>
      </c>
    </row>
    <row r="28" spans="1:20" x14ac:dyDescent="0.3">
      <c r="A28" s="10">
        <v>2</v>
      </c>
      <c r="B28" s="10" t="s">
        <v>153</v>
      </c>
      <c r="C28" s="49">
        <v>204</v>
      </c>
      <c r="D28" s="188">
        <f>'hitungan komersial '!Y145</f>
        <v>3301.2915974999987</v>
      </c>
      <c r="E28" s="11">
        <f t="shared" si="3"/>
        <v>673463.48588999978</v>
      </c>
      <c r="F28" s="76">
        <f>DATE(2024,9,4)</f>
        <v>45539</v>
      </c>
      <c r="H28" s="10">
        <v>2</v>
      </c>
      <c r="I28" s="10" t="s">
        <v>79</v>
      </c>
      <c r="J28" s="11">
        <v>500</v>
      </c>
      <c r="K28" s="10">
        <v>1000</v>
      </c>
      <c r="L28" s="11">
        <f t="shared" ref="L28:L30" si="5">J28*K28</f>
        <v>500000</v>
      </c>
      <c r="M28" s="90">
        <f>DATE(2024,9,7)</f>
        <v>45542</v>
      </c>
      <c r="O28" s="10">
        <v>2</v>
      </c>
      <c r="P28" s="10" t="s">
        <v>158</v>
      </c>
      <c r="Q28" s="10">
        <v>204</v>
      </c>
      <c r="R28" s="10">
        <v>5000</v>
      </c>
      <c r="S28" s="11">
        <f>Q28*R28</f>
        <v>1020000</v>
      </c>
      <c r="T28" s="76">
        <f>DATE(2024,9,17)</f>
        <v>45552</v>
      </c>
    </row>
    <row r="29" spans="1:20" x14ac:dyDescent="0.3">
      <c r="A29" s="10">
        <v>3</v>
      </c>
      <c r="B29" s="10" t="s">
        <v>79</v>
      </c>
      <c r="C29" s="49">
        <v>500</v>
      </c>
      <c r="D29" s="49">
        <f>'hitungan komersial '!R161</f>
        <v>1926.5415974999996</v>
      </c>
      <c r="E29" s="11">
        <f t="shared" ref="E29:E36" si="6">C29*D29</f>
        <v>963270.79874999984</v>
      </c>
      <c r="F29" s="76">
        <f>DATE(2024,9,7)</f>
        <v>45542</v>
      </c>
      <c r="H29" s="10">
        <v>3</v>
      </c>
      <c r="I29" s="10" t="s">
        <v>79</v>
      </c>
      <c r="J29" s="49">
        <v>1000</v>
      </c>
      <c r="K29" s="10">
        <v>1000</v>
      </c>
      <c r="L29" s="11">
        <f t="shared" si="5"/>
        <v>1000000</v>
      </c>
      <c r="M29" s="90">
        <f>DATE(2024,9,10)</f>
        <v>45545</v>
      </c>
      <c r="O29" s="96"/>
      <c r="P29" s="96"/>
      <c r="Q29" s="96"/>
      <c r="R29" s="96"/>
      <c r="S29" s="96"/>
      <c r="T29" s="96"/>
    </row>
    <row r="30" spans="1:20" x14ac:dyDescent="0.3">
      <c r="A30" s="10">
        <v>4</v>
      </c>
      <c r="B30" s="49" t="s">
        <v>66</v>
      </c>
      <c r="C30" s="49">
        <f>'hitungan komersial '!O132</f>
        <v>1500</v>
      </c>
      <c r="D30" s="206">
        <f>'hitungan komersial '!N143</f>
        <v>942.27909749999958</v>
      </c>
      <c r="E30" s="49">
        <f t="shared" si="6"/>
        <v>1413418.6462499993</v>
      </c>
      <c r="F30" s="76">
        <f>DATE(2024,9,18)</f>
        <v>45553</v>
      </c>
      <c r="H30" s="10">
        <v>4</v>
      </c>
      <c r="I30" s="10" t="s">
        <v>79</v>
      </c>
      <c r="J30" s="49">
        <v>1500</v>
      </c>
      <c r="K30" s="10">
        <v>1500</v>
      </c>
      <c r="L30" s="11">
        <f t="shared" si="5"/>
        <v>2250000</v>
      </c>
      <c r="M30" s="90">
        <f>DATE(2024,9,17)</f>
        <v>45552</v>
      </c>
      <c r="O30" s="96"/>
      <c r="P30" s="96"/>
      <c r="Q30" s="96"/>
      <c r="R30" s="96"/>
      <c r="S30" s="96"/>
      <c r="T30" s="96"/>
    </row>
    <row r="31" spans="1:20" x14ac:dyDescent="0.3">
      <c r="A31" s="10">
        <v>5</v>
      </c>
      <c r="B31" s="49" t="s">
        <v>66</v>
      </c>
      <c r="C31" s="49">
        <f>'hitungan komersial '!O148</f>
        <v>5000</v>
      </c>
      <c r="D31" s="206">
        <f>'hitungan komersial '!N159</f>
        <v>942.27909749999958</v>
      </c>
      <c r="E31" s="49">
        <f t="shared" si="6"/>
        <v>4711395.487499998</v>
      </c>
      <c r="F31" s="76">
        <f t="shared" ref="F31:F34" si="7">DATE(2024,9,18)</f>
        <v>45553</v>
      </c>
      <c r="H31" s="10">
        <v>5</v>
      </c>
      <c r="I31" s="10" t="s">
        <v>79</v>
      </c>
      <c r="J31" s="49">
        <v>1500</v>
      </c>
      <c r="K31" s="10">
        <v>1500</v>
      </c>
      <c r="L31" s="11">
        <f t="shared" ref="L31" si="8">J31*K31</f>
        <v>2250000</v>
      </c>
      <c r="M31" s="90">
        <f>DATE(2024,9,24)</f>
        <v>45559</v>
      </c>
      <c r="O31" s="96"/>
      <c r="P31" s="96"/>
      <c r="Q31" s="96"/>
      <c r="R31" s="96"/>
      <c r="S31" s="96"/>
      <c r="T31" s="96"/>
    </row>
    <row r="32" spans="1:20" x14ac:dyDescent="0.3">
      <c r="A32" s="10">
        <v>6</v>
      </c>
      <c r="B32" s="49" t="s">
        <v>66</v>
      </c>
      <c r="C32" s="49">
        <f>'hitungan komersial '!O164</f>
        <v>5000</v>
      </c>
      <c r="D32" s="49">
        <f>'hitungan komersial '!N175</f>
        <v>942.27909749999958</v>
      </c>
      <c r="E32" s="49">
        <f t="shared" si="6"/>
        <v>4711395.487499998</v>
      </c>
      <c r="F32" s="76">
        <f t="shared" si="7"/>
        <v>45553</v>
      </c>
      <c r="H32" s="9"/>
      <c r="I32" s="9"/>
      <c r="J32" s="9"/>
      <c r="K32" s="9"/>
      <c r="L32" s="9"/>
      <c r="M32" s="9"/>
      <c r="O32" s="96"/>
      <c r="P32" s="96"/>
      <c r="Q32" s="96"/>
      <c r="R32" s="96"/>
      <c r="S32" s="96"/>
      <c r="T32" s="96"/>
    </row>
    <row r="33" spans="1:20" x14ac:dyDescent="0.3">
      <c r="A33" s="10">
        <v>7</v>
      </c>
      <c r="B33" s="10" t="s">
        <v>79</v>
      </c>
      <c r="C33" s="49">
        <f>'hitungan komersial '!S164</f>
        <v>1000</v>
      </c>
      <c r="D33" s="49">
        <f>'hitungan komersial '!R177</f>
        <v>1926.5415974999996</v>
      </c>
      <c r="E33" s="49">
        <f t="shared" si="6"/>
        <v>1926541.5974999997</v>
      </c>
      <c r="F33" s="76">
        <f t="shared" si="7"/>
        <v>45553</v>
      </c>
      <c r="H33" s="9"/>
      <c r="I33" s="9"/>
      <c r="J33" s="9"/>
      <c r="K33" s="9"/>
      <c r="L33" s="9"/>
      <c r="M33" s="9"/>
      <c r="O33" s="96"/>
      <c r="P33" s="96"/>
      <c r="Q33" s="96"/>
      <c r="R33" s="96"/>
      <c r="S33" s="96"/>
      <c r="T33" s="96"/>
    </row>
    <row r="34" spans="1:20" x14ac:dyDescent="0.3">
      <c r="A34" s="10">
        <v>8</v>
      </c>
      <c r="B34" s="10" t="s">
        <v>79</v>
      </c>
      <c r="C34" s="49">
        <f>'hitungan komersial '!S180</f>
        <v>1500</v>
      </c>
      <c r="D34" s="49">
        <f>'hitungan komersial '!R193</f>
        <v>1780.2915974999996</v>
      </c>
      <c r="E34" s="49">
        <f t="shared" si="6"/>
        <v>2670437.3962499993</v>
      </c>
      <c r="F34" s="76">
        <f t="shared" si="7"/>
        <v>45553</v>
      </c>
      <c r="H34" s="9"/>
      <c r="I34" s="9"/>
      <c r="J34" s="9"/>
      <c r="K34" s="9"/>
      <c r="L34" s="9"/>
      <c r="M34" s="9"/>
      <c r="O34" s="96"/>
      <c r="P34" s="96"/>
      <c r="Q34" s="96"/>
      <c r="R34" s="96"/>
      <c r="S34" s="96"/>
      <c r="T34" s="96"/>
    </row>
    <row r="35" spans="1:20" x14ac:dyDescent="0.3">
      <c r="A35" s="10">
        <v>9</v>
      </c>
      <c r="B35" s="10" t="s">
        <v>79</v>
      </c>
      <c r="C35" s="49">
        <f>'hitungan komersial '!S196</f>
        <v>1500</v>
      </c>
      <c r="D35" s="49">
        <f>'hitungan komersial '!R209</f>
        <v>1780.2915974999996</v>
      </c>
      <c r="E35" s="49">
        <f t="shared" si="6"/>
        <v>2670437.3962499993</v>
      </c>
      <c r="F35" s="76">
        <f>DATE(2024,9,24)</f>
        <v>45559</v>
      </c>
      <c r="H35" s="9"/>
      <c r="I35" s="9"/>
      <c r="J35" s="9"/>
      <c r="K35" s="9"/>
      <c r="L35" s="9"/>
      <c r="M35" s="9"/>
      <c r="O35" s="96"/>
      <c r="P35" s="96"/>
      <c r="Q35" s="96"/>
      <c r="R35" s="96"/>
      <c r="S35" s="96"/>
      <c r="T35" s="96"/>
    </row>
    <row r="36" spans="1:20" x14ac:dyDescent="0.3">
      <c r="A36" s="10">
        <v>10</v>
      </c>
      <c r="B36" s="49" t="s">
        <v>66</v>
      </c>
      <c r="C36" s="49">
        <f>'hitungan komersial '!O179</f>
        <v>10000</v>
      </c>
      <c r="D36" s="49">
        <f>'hitungan komersial '!N190</f>
        <v>942.27909749999958</v>
      </c>
      <c r="E36" s="49">
        <f t="shared" si="6"/>
        <v>9422790.9749999959</v>
      </c>
      <c r="F36" s="76">
        <f>DATE(2024,9,30)</f>
        <v>45565</v>
      </c>
      <c r="O36" s="96"/>
      <c r="P36" s="96"/>
      <c r="Q36" s="96"/>
      <c r="R36" s="96"/>
      <c r="S36" s="96"/>
      <c r="T36" s="96"/>
    </row>
    <row r="37" spans="1:20" x14ac:dyDescent="0.3">
      <c r="A37" s="283"/>
      <c r="B37" s="283"/>
      <c r="C37" s="284"/>
      <c r="D37" s="283"/>
      <c r="E37" s="285"/>
      <c r="F37" s="286"/>
      <c r="O37" s="96"/>
      <c r="P37" s="96"/>
      <c r="Q37" s="96"/>
      <c r="R37" s="96"/>
      <c r="S37" s="96"/>
      <c r="T37" s="96"/>
    </row>
    <row r="38" spans="1:20" x14ac:dyDescent="0.3">
      <c r="A38" s="287">
        <f>DATE(2024,10,2)</f>
        <v>45567</v>
      </c>
      <c r="C38" s="266"/>
      <c r="E38" s="197"/>
      <c r="O38" s="96"/>
      <c r="P38" s="96"/>
      <c r="Q38" s="96"/>
      <c r="R38" s="96"/>
      <c r="S38" s="96"/>
      <c r="T38" s="96"/>
    </row>
    <row r="39" spans="1:20" x14ac:dyDescent="0.3">
      <c r="A39" s="10">
        <v>1</v>
      </c>
      <c r="B39" s="10" t="s">
        <v>79</v>
      </c>
      <c r="C39" s="49">
        <f>'hitungan komersial '!S214</f>
        <v>300</v>
      </c>
      <c r="D39" s="49">
        <f>'hitungan komersial '!R227</f>
        <v>1775.1097649999999</v>
      </c>
      <c r="E39" s="49">
        <f t="shared" ref="E39:E45" si="9">C39*D39</f>
        <v>532532.92949999997</v>
      </c>
      <c r="F39" s="76">
        <f>DATE(2024,10,18)</f>
        <v>45583</v>
      </c>
      <c r="H39" s="10">
        <v>1</v>
      </c>
      <c r="I39" s="10" t="s">
        <v>79</v>
      </c>
      <c r="J39" s="10">
        <f>'hitungan komersial '!S214</f>
        <v>300</v>
      </c>
      <c r="K39" s="49">
        <f>'hitungan komersial '!R223</f>
        <v>3333.34</v>
      </c>
      <c r="L39" s="49">
        <f>J39*K39</f>
        <v>1000002</v>
      </c>
      <c r="M39" s="100">
        <f>DATE(2024,10,1)</f>
        <v>45566</v>
      </c>
    </row>
    <row r="40" spans="1:20" x14ac:dyDescent="0.3">
      <c r="A40" s="10">
        <v>2</v>
      </c>
      <c r="B40" s="10" t="s">
        <v>79</v>
      </c>
      <c r="C40" s="49">
        <f>'hitungan komersial '!S230</f>
        <v>1000</v>
      </c>
      <c r="D40" s="49">
        <f>'hitungan komersial '!R243</f>
        <v>1000.6360649999998</v>
      </c>
      <c r="E40" s="49">
        <f t="shared" si="9"/>
        <v>1000636.0649999998</v>
      </c>
      <c r="F40" s="76">
        <f t="shared" ref="F40:F43" si="10">DATE(2024,10,18)</f>
        <v>45583</v>
      </c>
      <c r="H40" s="10">
        <v>2</v>
      </c>
      <c r="I40" s="10" t="s">
        <v>79</v>
      </c>
      <c r="J40" s="10">
        <f>'hitungan komersial '!S230</f>
        <v>1000</v>
      </c>
      <c r="K40" s="49">
        <f>'hitungan komersial '!R239</f>
        <v>1000</v>
      </c>
      <c r="L40" s="49">
        <f>J40*K40</f>
        <v>1000000</v>
      </c>
      <c r="M40" s="100">
        <f>DATE(2024,10,4)</f>
        <v>45569</v>
      </c>
    </row>
    <row r="41" spans="1:20" x14ac:dyDescent="0.3">
      <c r="A41" s="10">
        <v>3</v>
      </c>
      <c r="B41" s="10" t="s">
        <v>66</v>
      </c>
      <c r="C41" s="49">
        <f>'hitungan komersial '!O214</f>
        <v>6000</v>
      </c>
      <c r="D41" s="49">
        <f>'hitungan komersial '!N225</f>
        <v>628.18606499999976</v>
      </c>
      <c r="E41" s="49">
        <f t="shared" si="9"/>
        <v>3769116.3899999987</v>
      </c>
      <c r="F41" s="76">
        <f t="shared" si="10"/>
        <v>45583</v>
      </c>
      <c r="H41" s="9"/>
      <c r="I41" s="9"/>
      <c r="J41" s="9"/>
      <c r="K41" s="17"/>
      <c r="L41" s="17"/>
      <c r="M41" s="9"/>
    </row>
    <row r="42" spans="1:20" x14ac:dyDescent="0.3">
      <c r="A42" s="10">
        <v>4</v>
      </c>
      <c r="B42" s="10" t="s">
        <v>221</v>
      </c>
      <c r="C42" s="49">
        <f>'hitungan komersial '!Z215</f>
        <v>200</v>
      </c>
      <c r="D42" s="80">
        <f>'hitungan komersial '!Y228</f>
        <v>1290.2110649999997</v>
      </c>
      <c r="E42" s="49">
        <f t="shared" si="9"/>
        <v>258042.21299999996</v>
      </c>
      <c r="F42" s="76">
        <f t="shared" si="10"/>
        <v>45583</v>
      </c>
      <c r="H42" s="9"/>
      <c r="I42" s="9"/>
      <c r="J42" s="9"/>
      <c r="K42" s="17"/>
      <c r="L42" s="17"/>
      <c r="M42" s="9"/>
    </row>
    <row r="43" spans="1:20" x14ac:dyDescent="0.3">
      <c r="A43" s="10">
        <v>5</v>
      </c>
      <c r="B43" s="10" t="s">
        <v>251</v>
      </c>
      <c r="C43" s="49">
        <f>'hitungan komersial '!O228</f>
        <v>2000</v>
      </c>
      <c r="D43" s="80">
        <f>'hitungan komersial '!N239</f>
        <v>3310.125</v>
      </c>
      <c r="E43" s="49">
        <f t="shared" si="9"/>
        <v>6620250</v>
      </c>
      <c r="F43" s="76">
        <f t="shared" si="10"/>
        <v>45583</v>
      </c>
      <c r="H43" s="9"/>
      <c r="I43" s="9"/>
      <c r="J43" s="9"/>
      <c r="K43" s="17"/>
      <c r="L43" s="17"/>
      <c r="M43" s="9"/>
    </row>
    <row r="44" spans="1:20" x14ac:dyDescent="0.3">
      <c r="A44" s="10">
        <v>6</v>
      </c>
      <c r="B44" s="10" t="s">
        <v>79</v>
      </c>
      <c r="C44" s="49">
        <f>'hitungan komersial '!S246</f>
        <v>1000</v>
      </c>
      <c r="D44" s="80">
        <f>'hitungan komersial '!R259</f>
        <v>797.73944405999998</v>
      </c>
      <c r="E44" s="49">
        <f t="shared" si="9"/>
        <v>797739.44406000001</v>
      </c>
      <c r="F44" s="76">
        <f>DATE(2024,11,11)</f>
        <v>45607</v>
      </c>
      <c r="H44" s="9"/>
      <c r="I44" s="9"/>
      <c r="J44" s="9"/>
      <c r="K44" s="17"/>
      <c r="L44" s="17"/>
      <c r="M44" s="9"/>
    </row>
    <row r="45" spans="1:20" x14ac:dyDescent="0.3">
      <c r="A45" s="10">
        <v>7</v>
      </c>
      <c r="B45" s="10" t="s">
        <v>66</v>
      </c>
      <c r="C45" s="49">
        <f>'hitungan komersial '!O242</f>
        <v>3000</v>
      </c>
      <c r="D45" s="49">
        <f>'hitungan komersial '!N253</f>
        <v>628.18606499999976</v>
      </c>
      <c r="E45" s="49">
        <f t="shared" si="9"/>
        <v>1884558.1949999994</v>
      </c>
      <c r="F45" s="76">
        <f>DATE(2024,11,11)</f>
        <v>45607</v>
      </c>
      <c r="H45" s="9"/>
      <c r="I45" s="9"/>
      <c r="J45" s="9"/>
      <c r="K45" s="17"/>
      <c r="L45" s="17"/>
      <c r="M45" s="9"/>
    </row>
    <row r="46" spans="1:20" x14ac:dyDescent="0.3">
      <c r="A46" s="9"/>
      <c r="B46" s="9"/>
      <c r="C46" s="292" t="s">
        <v>269</v>
      </c>
      <c r="D46" s="293">
        <v>7813482</v>
      </c>
      <c r="E46" s="247">
        <f>SUM(E39:E45)</f>
        <v>14862875.236559998</v>
      </c>
      <c r="F46" s="155"/>
      <c r="H46" s="9"/>
      <c r="I46" s="9"/>
      <c r="J46" s="9"/>
      <c r="K46" s="9"/>
      <c r="L46" s="9"/>
      <c r="M46" s="9"/>
    </row>
    <row r="47" spans="1:20" x14ac:dyDescent="0.3">
      <c r="A47" s="291"/>
      <c r="B47" s="291"/>
      <c r="C47" s="301" t="s">
        <v>268</v>
      </c>
      <c r="D47" s="294"/>
      <c r="E47" s="295">
        <f>E46-D46</f>
        <v>7049393.2365599982</v>
      </c>
      <c r="F47" s="302"/>
      <c r="H47" s="9"/>
      <c r="I47" s="9"/>
      <c r="J47" s="9"/>
      <c r="K47" s="9"/>
      <c r="L47" s="9"/>
      <c r="M47" s="9"/>
    </row>
    <row r="48" spans="1:20" x14ac:dyDescent="0.3">
      <c r="C48" s="266"/>
      <c r="D48" s="53"/>
      <c r="E48" s="197"/>
      <c r="F48" s="303"/>
    </row>
    <row r="49" spans="1:6" x14ac:dyDescent="0.3">
      <c r="C49" s="266"/>
      <c r="D49" s="53"/>
      <c r="E49" s="197"/>
      <c r="F49" s="303"/>
    </row>
    <row r="50" spans="1:6" x14ac:dyDescent="0.3">
      <c r="A50" s="304">
        <f>DATE(2024,11,2)</f>
        <v>45598</v>
      </c>
      <c r="C50" s="266"/>
      <c r="E50" s="197"/>
    </row>
    <row r="51" spans="1:6" x14ac:dyDescent="0.3">
      <c r="A51" s="10">
        <v>1</v>
      </c>
      <c r="B51" s="10" t="s">
        <v>221</v>
      </c>
      <c r="C51" s="49">
        <f>'hitungan komersial '!Z267</f>
        <v>250</v>
      </c>
      <c r="D51" s="49">
        <f>'hitungan komersial '!Y280</f>
        <v>840.34079472972928</v>
      </c>
      <c r="E51" s="49">
        <f t="shared" ref="E51:E58" si="11">C51*D51</f>
        <v>210085.19868243232</v>
      </c>
      <c r="F51" s="76">
        <f>DATE(2024,11,20)</f>
        <v>45616</v>
      </c>
    </row>
    <row r="52" spans="1:6" x14ac:dyDescent="0.3">
      <c r="A52" s="10">
        <v>2</v>
      </c>
      <c r="B52" s="10" t="s">
        <v>221</v>
      </c>
      <c r="C52" s="49">
        <f>'hitungan komersial '!Z284</f>
        <v>250</v>
      </c>
      <c r="D52" s="206">
        <f>'hitungan komersial '!Y297</f>
        <v>840.34079472972928</v>
      </c>
      <c r="E52" s="49">
        <f t="shared" si="11"/>
        <v>210085.19868243232</v>
      </c>
      <c r="F52" s="76">
        <f t="shared" ref="F52:F57" si="12">DATE(2024,11,20)</f>
        <v>45616</v>
      </c>
    </row>
    <row r="53" spans="1:6" x14ac:dyDescent="0.3">
      <c r="A53" s="10">
        <v>3</v>
      </c>
      <c r="B53" s="10" t="s">
        <v>79</v>
      </c>
      <c r="C53" s="49">
        <f>'hitungan komersial '!S268</f>
        <v>1000</v>
      </c>
      <c r="D53" s="206">
        <f>'hitungan komersial '!R281</f>
        <v>755.13809202702635</v>
      </c>
      <c r="E53" s="49">
        <f t="shared" si="11"/>
        <v>755138.09202702635</v>
      </c>
      <c r="F53" s="76">
        <f t="shared" si="12"/>
        <v>45616</v>
      </c>
    </row>
    <row r="54" spans="1:6" x14ac:dyDescent="0.3">
      <c r="A54" s="10">
        <v>4</v>
      </c>
      <c r="B54" s="10" t="s">
        <v>66</v>
      </c>
      <c r="C54" s="49">
        <f>'hitungan komersial '!O268</f>
        <v>6000</v>
      </c>
      <c r="D54" s="49">
        <f>'hitungan komersial '!N279</f>
        <v>243.92187581080995</v>
      </c>
      <c r="E54" s="49">
        <f t="shared" si="11"/>
        <v>1463531.2548648596</v>
      </c>
      <c r="F54" s="76">
        <f t="shared" si="12"/>
        <v>45616</v>
      </c>
    </row>
    <row r="55" spans="1:6" x14ac:dyDescent="0.3">
      <c r="A55" s="10">
        <v>5</v>
      </c>
      <c r="B55" s="10" t="s">
        <v>79</v>
      </c>
      <c r="C55" s="49">
        <f>'hitungan komersial '!S284</f>
        <v>1000</v>
      </c>
      <c r="D55" s="206">
        <f>'hitungan komersial '!R297</f>
        <v>755.13809202702635</v>
      </c>
      <c r="E55" s="49">
        <f t="shared" si="11"/>
        <v>755138.09202702635</v>
      </c>
      <c r="F55" s="76">
        <f t="shared" si="12"/>
        <v>45616</v>
      </c>
    </row>
    <row r="56" spans="1:6" x14ac:dyDescent="0.3">
      <c r="A56" s="10">
        <v>6</v>
      </c>
      <c r="B56" s="10" t="s">
        <v>66</v>
      </c>
      <c r="C56" s="49">
        <f>'hitungan komersial '!O284</f>
        <v>2000</v>
      </c>
      <c r="D56" s="49">
        <f>'hitungan komersial '!N295</f>
        <v>243.92187581080995</v>
      </c>
      <c r="E56" s="49">
        <f t="shared" si="11"/>
        <v>487843.75162161991</v>
      </c>
      <c r="F56" s="76">
        <f t="shared" si="12"/>
        <v>45616</v>
      </c>
    </row>
    <row r="57" spans="1:6" x14ac:dyDescent="0.3">
      <c r="A57" s="10">
        <v>7</v>
      </c>
      <c r="B57" s="10" t="s">
        <v>66</v>
      </c>
      <c r="C57" s="49">
        <f>'hitungan komersial '!O298</f>
        <v>5000</v>
      </c>
      <c r="D57" s="49">
        <f>'hitungan komersial '!N309</f>
        <v>243.92187581080995</v>
      </c>
      <c r="E57" s="49">
        <f t="shared" si="11"/>
        <v>1219609.3790540497</v>
      </c>
      <c r="F57" s="76">
        <f t="shared" si="12"/>
        <v>45616</v>
      </c>
    </row>
    <row r="58" spans="1:6" x14ac:dyDescent="0.3">
      <c r="A58" s="10">
        <v>8</v>
      </c>
      <c r="B58" s="10" t="s">
        <v>294</v>
      </c>
      <c r="C58" s="308">
        <f>'hitungan komersial '!O312</f>
        <v>10000</v>
      </c>
      <c r="D58" s="49">
        <f>'hitungan komersial '!N323</f>
        <v>1471.3859216216213</v>
      </c>
      <c r="E58" s="49">
        <f t="shared" si="11"/>
        <v>14713859.216216212</v>
      </c>
      <c r="F58" s="76">
        <f>DATE(2024,11,28)</f>
        <v>45624</v>
      </c>
    </row>
    <row r="59" spans="1:6" x14ac:dyDescent="0.3">
      <c r="A59" s="9"/>
      <c r="B59" s="9"/>
      <c r="C59" s="17"/>
      <c r="D59" s="9"/>
      <c r="E59" s="43">
        <f>SUM(E51:E58)</f>
        <v>19815290.183175661</v>
      </c>
      <c r="F59" s="9"/>
    </row>
    <row r="60" spans="1:6" x14ac:dyDescent="0.3">
      <c r="A60" s="9"/>
      <c r="B60" s="9"/>
      <c r="C60" s="17"/>
      <c r="D60" s="9"/>
      <c r="E60" s="43"/>
      <c r="F60" s="9"/>
    </row>
    <row r="61" spans="1:6" x14ac:dyDescent="0.3">
      <c r="A61" s="304">
        <f>DATE(2024,12,2)</f>
        <v>45628</v>
      </c>
      <c r="B61" s="9"/>
      <c r="C61" s="17"/>
      <c r="D61" s="9"/>
      <c r="E61" s="43"/>
      <c r="F61" s="9"/>
    </row>
    <row r="62" spans="1:6" x14ac:dyDescent="0.3">
      <c r="A62" s="10">
        <v>1</v>
      </c>
      <c r="B62" s="10" t="s">
        <v>66</v>
      </c>
      <c r="C62" s="49">
        <f>'hitungan komersial '!O330</f>
        <v>15000</v>
      </c>
      <c r="D62" s="49">
        <f>'hitungan komersial '!N344</f>
        <v>466.91081081081018</v>
      </c>
      <c r="E62" s="49">
        <f t="shared" ref="E62:E66" si="13">C62*D62</f>
        <v>7003662.1621621531</v>
      </c>
      <c r="F62" s="76">
        <f>DATE(2025,1,1)</f>
        <v>45658</v>
      </c>
    </row>
    <row r="63" spans="1:6" x14ac:dyDescent="0.3">
      <c r="A63" s="10">
        <v>2</v>
      </c>
      <c r="B63" s="10" t="s">
        <v>319</v>
      </c>
      <c r="C63" s="49">
        <f>'hitungan komersial '!O363</f>
        <v>500</v>
      </c>
      <c r="D63" s="49">
        <f>'hitungan komersial '!N377</f>
        <v>743.01807432432383</v>
      </c>
      <c r="E63" s="49">
        <f t="shared" si="13"/>
        <v>371509.0371621619</v>
      </c>
      <c r="F63" s="76">
        <f t="shared" ref="F63:F66" si="14">DATE(2025,1,1)</f>
        <v>45658</v>
      </c>
    </row>
    <row r="64" spans="1:6" x14ac:dyDescent="0.3">
      <c r="A64" s="10">
        <v>3</v>
      </c>
      <c r="B64" s="10" t="s">
        <v>348</v>
      </c>
      <c r="C64" s="49">
        <f>'hitungan komersial '!O381</f>
        <v>10200</v>
      </c>
      <c r="D64" s="49">
        <f>'hitungan komersial '!N395</f>
        <v>815.1368402225753</v>
      </c>
      <c r="E64" s="49">
        <f t="shared" si="13"/>
        <v>8314395.7702702684</v>
      </c>
      <c r="F64" s="76">
        <f t="shared" si="14"/>
        <v>45658</v>
      </c>
    </row>
    <row r="65" spans="1:6" x14ac:dyDescent="0.3">
      <c r="A65" s="10">
        <v>4</v>
      </c>
      <c r="B65" s="10" t="s">
        <v>79</v>
      </c>
      <c r="C65" s="49">
        <f>'hitungan komersial '!O399</f>
        <v>500</v>
      </c>
      <c r="D65" s="49">
        <f>'hitungan komersial '!N412</f>
        <v>978.12702702702666</v>
      </c>
      <c r="E65" s="49">
        <f t="shared" si="13"/>
        <v>489063.51351351332</v>
      </c>
      <c r="F65" s="76">
        <f t="shared" si="14"/>
        <v>45658</v>
      </c>
    </row>
    <row r="66" spans="1:6" x14ac:dyDescent="0.3">
      <c r="A66" s="10">
        <v>5</v>
      </c>
      <c r="B66" s="10" t="s">
        <v>319</v>
      </c>
      <c r="C66" s="49">
        <f>'hitungan komersial '!O415</f>
        <v>1000</v>
      </c>
      <c r="D66" s="49">
        <f>'hitungan komersial '!N429</f>
        <v>743.01807432432383</v>
      </c>
      <c r="E66" s="49">
        <f t="shared" si="13"/>
        <v>743018.0743243238</v>
      </c>
      <c r="F66" s="76">
        <f t="shared" si="14"/>
        <v>45658</v>
      </c>
    </row>
    <row r="67" spans="1:6" x14ac:dyDescent="0.3">
      <c r="A67" s="51"/>
      <c r="B67" s="51"/>
      <c r="C67" s="142"/>
      <c r="D67" s="51"/>
      <c r="E67" s="142">
        <f>SUM(E62:E66)</f>
        <v>16921648.557432421</v>
      </c>
      <c r="F67" s="51"/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CD1AB-65B1-418D-9DE4-DADDA2D47994}">
  <sheetPr>
    <pageSetUpPr fitToPage="1"/>
  </sheetPr>
  <dimension ref="A3:K46"/>
  <sheetViews>
    <sheetView workbookViewId="0">
      <selection activeCell="D57" sqref="D57"/>
    </sheetView>
  </sheetViews>
  <sheetFormatPr defaultRowHeight="14.4" x14ac:dyDescent="0.3"/>
  <cols>
    <col min="3" max="3" width="12.6640625" style="18" bestFit="1" customWidth="1"/>
    <col min="4" max="4" width="16.109375" style="18" bestFit="1" customWidth="1"/>
    <col min="5" max="5" width="14.6640625" style="40" bestFit="1" customWidth="1"/>
    <col min="8" max="8" width="14.6640625" bestFit="1" customWidth="1"/>
    <col min="9" max="9" width="14.77734375" bestFit="1" customWidth="1"/>
    <col min="10" max="10" width="16.109375" bestFit="1" customWidth="1"/>
    <col min="11" max="11" width="7.21875" bestFit="1" customWidth="1"/>
  </cols>
  <sheetData>
    <row r="3" spans="1:6" x14ac:dyDescent="0.3">
      <c r="A3" s="44" t="s">
        <v>32</v>
      </c>
      <c r="B3" s="44" t="s">
        <v>161</v>
      </c>
      <c r="C3" s="192" t="s">
        <v>162</v>
      </c>
      <c r="D3" s="192" t="s">
        <v>163</v>
      </c>
      <c r="E3" s="189" t="s">
        <v>165</v>
      </c>
      <c r="F3" s="44" t="s">
        <v>164</v>
      </c>
    </row>
    <row r="4" spans="1:6" x14ac:dyDescent="0.3">
      <c r="B4" s="152">
        <v>45467</v>
      </c>
      <c r="C4" s="190">
        <f>'hitungan komersial '!O3+'hitungan komersial '!S19</f>
        <v>11500</v>
      </c>
      <c r="D4" s="190">
        <f>'pemasukan BNI Agregator'!I7</f>
        <v>198200000</v>
      </c>
      <c r="E4" s="40">
        <f>'hitungan komersial '!O15</f>
        <v>14965484.949999999</v>
      </c>
      <c r="F4" s="195">
        <f>E4/D4</f>
        <v>7.5506987638748732E-2</v>
      </c>
    </row>
    <row r="5" spans="1:6" x14ac:dyDescent="0.3">
      <c r="B5" s="152">
        <v>45497</v>
      </c>
      <c r="C5" s="193">
        <f>'hitungan komersial '!O19+'hitungan komersial '!O36+'hitungan komersial '!O51+'hitungan komersial '!Z19+'hitungan komersial '!S19+'hitungan komersial '!S35</f>
        <v>22800</v>
      </c>
      <c r="D5" s="193">
        <f>SUM('pemasukan BNI Agregator'!K10:K15)</f>
        <v>480000000</v>
      </c>
      <c r="E5" s="40">
        <f>'hitungan komersial '!O31+'hitungan komersial '!O48+'hitungan komersial '!O63+'hitungan komersial '!S49+'hitungan komersial '!Z33+'hitungan komersial '!S33</f>
        <v>50513801.227499999</v>
      </c>
      <c r="F5" s="195">
        <f t="shared" ref="F5:F8" si="0">E5/D5</f>
        <v>0.105237085890625</v>
      </c>
    </row>
    <row r="6" spans="1:6" x14ac:dyDescent="0.3">
      <c r="B6" s="152">
        <v>45528</v>
      </c>
      <c r="C6" s="193">
        <f>'hitungan komersial '!O67+'hitungan komersial '!O83+'hitungan komersial '!O99+'hitungan komersial '!O115+'hitungan komersial '!S83+'hitungan komersial '!S99+'hitungan komersial '!S115</f>
        <v>28500</v>
      </c>
      <c r="D6" s="193">
        <f>SUM('pemasukan BNI Agregator'!K18:K25)</f>
        <v>594059500</v>
      </c>
      <c r="E6" s="40">
        <f>'hitungan komersial '!O79+'hitungan komersial '!O95+'hitungan komersial '!O111+'hitungan komersial '!O127+'hitungan komersial '!S97+'hitungan komersial '!S113+'hitungan komersial '!S129</f>
        <v>66698891.859999962</v>
      </c>
      <c r="F6" s="195">
        <f t="shared" si="0"/>
        <v>0.11227645018722866</v>
      </c>
    </row>
    <row r="7" spans="1:6" x14ac:dyDescent="0.3">
      <c r="B7" s="152">
        <v>45559</v>
      </c>
      <c r="C7" s="18">
        <f>'hitungan komersial '!O132+'hitungan komersial '!O148+'hitungan komersial '!O164+'hitungan komersial '!O179+'hitungan komersial '!S132+'hitungan komersial '!S148+'hitungan komersial '!S164+'hitungan komersial '!S180+'hitungan komersial '!S196+'hitungan komersial '!Z132+'hitungan komersial '!Z149</f>
        <v>26954</v>
      </c>
      <c r="D7" s="18">
        <f>SUM('pemasukan BNI Agregator'!K28:K40)-300000000</f>
        <v>578890000</v>
      </c>
      <c r="E7" s="40">
        <f>'hitungan komersial '!O144+'hitungan komersial '!O160+'hitungan komersial '!O176+'hitungan komersial '!O191+'hitungan komersial '!S146+'hitungan komersial '!S162+'hitungan komersial '!S178+'hitungan komersial '!S194+'hitungan komersial '!S210+'hitungan komersial '!Z146+'hitungan komersial '!Z163</f>
        <v>71412091.562599972</v>
      </c>
      <c r="F7" s="195">
        <f t="shared" si="0"/>
        <v>0.12336038204598451</v>
      </c>
    </row>
    <row r="8" spans="1:6" x14ac:dyDescent="0.3">
      <c r="B8" s="268" t="s">
        <v>9</v>
      </c>
      <c r="C8" s="40">
        <f>SUM(C4:C7)</f>
        <v>89754</v>
      </c>
      <c r="D8" s="40">
        <f t="shared" ref="D8:E8" si="1">SUM(D4:D7)</f>
        <v>1851149500</v>
      </c>
      <c r="E8" s="40">
        <f t="shared" si="1"/>
        <v>203590269.60009992</v>
      </c>
      <c r="F8" s="195">
        <f t="shared" si="0"/>
        <v>0.10998045787231119</v>
      </c>
    </row>
    <row r="9" spans="1:6" x14ac:dyDescent="0.3">
      <c r="E9" s="40">
        <f>E8/4</f>
        <v>50897567.40002498</v>
      </c>
    </row>
    <row r="10" spans="1:6" x14ac:dyDescent="0.3">
      <c r="D10" s="18" t="s">
        <v>220</v>
      </c>
      <c r="E10" s="40">
        <v>71399576.98999998</v>
      </c>
      <c r="F10" s="195">
        <f>E10/E8</f>
        <v>0.35070230581375944</v>
      </c>
    </row>
    <row r="18" spans="2:10" x14ac:dyDescent="0.3">
      <c r="H18" s="269" t="s">
        <v>161</v>
      </c>
      <c r="I18" s="270" t="s">
        <v>162</v>
      </c>
      <c r="J18" s="271" t="s">
        <v>163</v>
      </c>
    </row>
    <row r="19" spans="2:10" x14ac:dyDescent="0.3">
      <c r="H19" s="196">
        <v>45467</v>
      </c>
      <c r="I19" s="266">
        <v>11500</v>
      </c>
      <c r="J19" s="272">
        <v>198200000</v>
      </c>
    </row>
    <row r="20" spans="2:10" x14ac:dyDescent="0.3">
      <c r="H20" s="196">
        <v>45497</v>
      </c>
      <c r="I20" s="266">
        <v>22800</v>
      </c>
      <c r="J20" s="272">
        <v>480000000</v>
      </c>
    </row>
    <row r="21" spans="2:10" x14ac:dyDescent="0.3">
      <c r="H21" s="196">
        <v>45528</v>
      </c>
      <c r="I21" s="266">
        <v>28500</v>
      </c>
      <c r="J21" s="272">
        <v>594059500</v>
      </c>
    </row>
    <row r="22" spans="2:10" x14ac:dyDescent="0.3">
      <c r="H22" s="196">
        <v>45559</v>
      </c>
      <c r="I22" s="266">
        <v>26954</v>
      </c>
      <c r="J22" s="272">
        <v>578890000</v>
      </c>
    </row>
    <row r="23" spans="2:10" x14ac:dyDescent="0.3">
      <c r="H23" s="273" t="s">
        <v>9</v>
      </c>
      <c r="I23" s="274">
        <v>89754</v>
      </c>
      <c r="J23" s="275">
        <v>1851149500</v>
      </c>
    </row>
    <row r="26" spans="2:10" x14ac:dyDescent="0.3">
      <c r="B26" s="44" t="s">
        <v>161</v>
      </c>
      <c r="C26" s="193" t="s">
        <v>163</v>
      </c>
      <c r="D26" s="193" t="s">
        <v>165</v>
      </c>
      <c r="E26" s="191" t="s">
        <v>164</v>
      </c>
    </row>
    <row r="27" spans="2:10" x14ac:dyDescent="0.3">
      <c r="B27" s="152">
        <v>45467</v>
      </c>
      <c r="C27" s="18">
        <v>198200000</v>
      </c>
      <c r="D27" s="18">
        <v>14965484.949999999</v>
      </c>
      <c r="E27" s="195">
        <v>7.5506987638748732E-2</v>
      </c>
    </row>
    <row r="28" spans="2:10" x14ac:dyDescent="0.3">
      <c r="B28" s="152">
        <v>45497</v>
      </c>
      <c r="C28" s="18">
        <v>480000000</v>
      </c>
      <c r="D28" s="18">
        <v>50513801.227499999</v>
      </c>
      <c r="E28" s="195">
        <v>0.105237085890625</v>
      </c>
    </row>
    <row r="29" spans="2:10" x14ac:dyDescent="0.3">
      <c r="B29" s="152">
        <v>45528</v>
      </c>
      <c r="C29" s="18">
        <v>594059500</v>
      </c>
      <c r="D29" s="18">
        <v>66698891.859999962</v>
      </c>
      <c r="E29" s="195">
        <v>0.11227645018722866</v>
      </c>
    </row>
    <row r="30" spans="2:10" x14ac:dyDescent="0.3">
      <c r="B30" s="152">
        <v>45559</v>
      </c>
      <c r="C30" s="18">
        <v>578890000</v>
      </c>
      <c r="D30" s="18">
        <v>71412091.562599972</v>
      </c>
      <c r="E30" s="195">
        <f>D30/C30</f>
        <v>0.12336038204598451</v>
      </c>
    </row>
    <row r="42" spans="7:11" x14ac:dyDescent="0.3">
      <c r="G42" s="263" t="s">
        <v>161</v>
      </c>
      <c r="H42" s="264" t="s">
        <v>163</v>
      </c>
      <c r="I42" s="264" t="s">
        <v>165</v>
      </c>
      <c r="J42" s="265" t="s">
        <v>164</v>
      </c>
    </row>
    <row r="43" spans="7:11" x14ac:dyDescent="0.3">
      <c r="G43" s="196">
        <v>45467</v>
      </c>
      <c r="H43" s="266">
        <v>198200000</v>
      </c>
      <c r="I43" s="266">
        <v>14965484.949999999</v>
      </c>
      <c r="J43" s="198">
        <v>7.5506987638748732E-2</v>
      </c>
      <c r="K43" s="262"/>
    </row>
    <row r="44" spans="7:11" x14ac:dyDescent="0.3">
      <c r="G44" s="196">
        <v>45497</v>
      </c>
      <c r="H44" s="266">
        <v>480000000</v>
      </c>
      <c r="I44" s="266">
        <v>50513801.227499999</v>
      </c>
      <c r="J44" s="198">
        <v>0.105237085890625</v>
      </c>
      <c r="K44" s="262"/>
    </row>
    <row r="45" spans="7:11" x14ac:dyDescent="0.3">
      <c r="G45" s="196">
        <v>45528</v>
      </c>
      <c r="H45" s="266">
        <v>594059500</v>
      </c>
      <c r="I45" s="266">
        <v>66698891.859999962</v>
      </c>
      <c r="J45" s="198">
        <v>0.11227645018722866</v>
      </c>
      <c r="K45" s="262"/>
    </row>
    <row r="46" spans="7:11" x14ac:dyDescent="0.3">
      <c r="G46" s="199">
        <v>45559</v>
      </c>
      <c r="H46" s="267">
        <v>578890000</v>
      </c>
      <c r="I46" s="267">
        <v>71412091.562599972</v>
      </c>
      <c r="J46" s="200">
        <f>I46/H46</f>
        <v>0.12336038204598451</v>
      </c>
    </row>
  </sheetData>
  <pageMargins left="0.7" right="0.7" top="0.75" bottom="0.75" header="0.3" footer="0.3"/>
  <pageSetup scale="57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B3C7-1E62-46AC-B69F-03997628D70D}">
  <sheetPr>
    <pageSetUpPr fitToPage="1"/>
  </sheetPr>
  <dimension ref="B2:N13"/>
  <sheetViews>
    <sheetView workbookViewId="0">
      <selection activeCell="A5" sqref="A5"/>
    </sheetView>
  </sheetViews>
  <sheetFormatPr defaultRowHeight="14.4" x14ac:dyDescent="0.3"/>
  <cols>
    <col min="3" max="3" width="13.6640625" bestFit="1" customWidth="1"/>
    <col min="4" max="4" width="10.109375" bestFit="1" customWidth="1"/>
    <col min="5" max="6" width="13.6640625" bestFit="1" customWidth="1"/>
    <col min="8" max="9" width="13.6640625" bestFit="1" customWidth="1"/>
    <col min="11" max="12" width="13.6640625" bestFit="1" customWidth="1"/>
    <col min="13" max="13" width="10.109375" bestFit="1" customWidth="1"/>
    <col min="14" max="14" width="13.6640625" bestFit="1" customWidth="1"/>
  </cols>
  <sheetData>
    <row r="2" spans="2:14" x14ac:dyDescent="0.3">
      <c r="B2" s="15">
        <v>2024</v>
      </c>
      <c r="C2" s="429" t="s">
        <v>198</v>
      </c>
      <c r="D2" s="429"/>
      <c r="E2" s="429"/>
      <c r="F2" s="429" t="s">
        <v>199</v>
      </c>
      <c r="G2" s="429"/>
      <c r="H2" s="429"/>
      <c r="I2" s="429" t="s">
        <v>200</v>
      </c>
      <c r="J2" s="429"/>
      <c r="K2" s="429"/>
      <c r="L2" s="429" t="s">
        <v>9</v>
      </c>
      <c r="M2" s="429"/>
      <c r="N2" s="429"/>
    </row>
    <row r="3" spans="2:14" x14ac:dyDescent="0.3">
      <c r="B3" s="15"/>
      <c r="C3" s="15" t="s">
        <v>201</v>
      </c>
      <c r="D3" s="15" t="s">
        <v>202</v>
      </c>
      <c r="E3" s="15" t="s">
        <v>203</v>
      </c>
      <c r="F3" s="15" t="s">
        <v>201</v>
      </c>
      <c r="G3" s="15" t="s">
        <v>202</v>
      </c>
      <c r="H3" s="15" t="s">
        <v>203</v>
      </c>
      <c r="I3" s="15" t="s">
        <v>201</v>
      </c>
      <c r="J3" s="15" t="s">
        <v>202</v>
      </c>
      <c r="K3" s="15" t="s">
        <v>203</v>
      </c>
      <c r="L3" s="15" t="s">
        <v>201</v>
      </c>
      <c r="M3" s="15" t="s">
        <v>202</v>
      </c>
      <c r="N3" s="15" t="s">
        <v>203</v>
      </c>
    </row>
    <row r="4" spans="2:14" x14ac:dyDescent="0.3">
      <c r="B4" s="15" t="s">
        <v>212</v>
      </c>
      <c r="C4" s="43"/>
      <c r="D4" s="9"/>
      <c r="E4" s="43">
        <v>8250000.0000000009</v>
      </c>
      <c r="F4" s="9"/>
      <c r="G4" s="9"/>
      <c r="H4" s="43">
        <v>8250000.0000000009</v>
      </c>
      <c r="I4" s="9"/>
      <c r="J4" s="9"/>
      <c r="K4" s="43">
        <v>8250000.0000000009</v>
      </c>
      <c r="L4" s="248">
        <f t="shared" ref="L4:N6" si="0">C4+F4+I4</f>
        <v>0</v>
      </c>
      <c r="M4" s="248">
        <f t="shared" si="0"/>
        <v>0</v>
      </c>
      <c r="N4" s="248">
        <f t="shared" si="0"/>
        <v>24750000.000000004</v>
      </c>
    </row>
    <row r="5" spans="2:14" x14ac:dyDescent="0.3">
      <c r="B5" s="15" t="s">
        <v>213</v>
      </c>
      <c r="C5" s="305">
        <f>6750000+33750</f>
        <v>6783750</v>
      </c>
      <c r="D5" s="306">
        <f>C5*0.4975%</f>
        <v>33749.15625</v>
      </c>
      <c r="E5" s="305">
        <f>C5-D5</f>
        <v>6750000.84375</v>
      </c>
      <c r="F5" s="9"/>
      <c r="G5" s="9"/>
      <c r="H5" s="43">
        <v>6750000</v>
      </c>
      <c r="I5" s="9"/>
      <c r="J5" s="9"/>
      <c r="K5" s="43">
        <v>6750000</v>
      </c>
      <c r="L5" s="248">
        <f t="shared" si="0"/>
        <v>6783750</v>
      </c>
      <c r="M5" s="248">
        <f t="shared" si="0"/>
        <v>33749.15625</v>
      </c>
      <c r="N5" s="248">
        <f t="shared" si="0"/>
        <v>20250000.84375</v>
      </c>
    </row>
    <row r="6" spans="2:14" x14ac:dyDescent="0.3">
      <c r="B6" s="15" t="s">
        <v>197</v>
      </c>
      <c r="C6" s="248"/>
      <c r="D6" s="9"/>
      <c r="E6" s="248">
        <f>E4+E5</f>
        <v>15000000.84375</v>
      </c>
      <c r="F6" s="9"/>
      <c r="G6" s="9"/>
      <c r="H6" s="248">
        <f>H4+H5</f>
        <v>15000000</v>
      </c>
      <c r="I6" s="9"/>
      <c r="J6" s="9"/>
      <c r="K6" s="248">
        <f>K4+K5</f>
        <v>15000000</v>
      </c>
      <c r="L6" s="248">
        <f t="shared" si="0"/>
        <v>0</v>
      </c>
      <c r="M6" s="248">
        <f t="shared" si="0"/>
        <v>0</v>
      </c>
      <c r="N6" s="248">
        <f t="shared" si="0"/>
        <v>45000000.84375</v>
      </c>
    </row>
    <row r="8" spans="2:14" x14ac:dyDescent="0.3">
      <c r="C8" s="261">
        <v>0.55000000000000004</v>
      </c>
      <c r="E8" s="53">
        <f>E6*C8</f>
        <v>8250000.4640625007</v>
      </c>
    </row>
    <row r="9" spans="2:14" x14ac:dyDescent="0.3">
      <c r="B9" s="13"/>
      <c r="C9" s="261">
        <v>0.45</v>
      </c>
      <c r="E9" s="53">
        <f>E6*C9</f>
        <v>6750000.3796875002</v>
      </c>
    </row>
    <row r="10" spans="2:14" x14ac:dyDescent="0.3">
      <c r="B10" s="13"/>
      <c r="C10" s="40"/>
    </row>
    <row r="11" spans="2:14" x14ac:dyDescent="0.3">
      <c r="K11" s="197"/>
    </row>
    <row r="12" spans="2:14" x14ac:dyDescent="0.3">
      <c r="K12" s="197"/>
    </row>
    <row r="13" spans="2:14" x14ac:dyDescent="0.3">
      <c r="K13" s="53"/>
    </row>
  </sheetData>
  <mergeCells count="4">
    <mergeCell ref="C2:E2"/>
    <mergeCell ref="F2:H2"/>
    <mergeCell ref="I2:K2"/>
    <mergeCell ref="L2:N2"/>
  </mergeCells>
  <pageMargins left="0.7" right="0.7" top="0.75" bottom="0.75" header="0.3" footer="0.3"/>
  <pageSetup scale="7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F0359-9BBC-477D-8A8D-33373D5F86AF}">
  <sheetPr>
    <pageSetUpPr fitToPage="1"/>
  </sheetPr>
  <dimension ref="B2:O55"/>
  <sheetViews>
    <sheetView topLeftCell="A25" workbookViewId="0">
      <selection activeCell="C50" sqref="C50"/>
    </sheetView>
  </sheetViews>
  <sheetFormatPr defaultRowHeight="14.4" x14ac:dyDescent="0.3"/>
  <cols>
    <col min="2" max="2" width="25" bestFit="1" customWidth="1"/>
    <col min="3" max="3" width="13.6640625" bestFit="1" customWidth="1"/>
    <col min="4" max="6" width="10" bestFit="1" customWidth="1"/>
    <col min="7" max="7" width="11" bestFit="1" customWidth="1"/>
    <col min="8" max="8" width="12.5546875" bestFit="1" customWidth="1"/>
    <col min="10" max="10" width="26.109375" bestFit="1" customWidth="1"/>
    <col min="11" max="13" width="11" bestFit="1" customWidth="1"/>
    <col min="14" max="14" width="9.109375" bestFit="1" customWidth="1"/>
    <col min="15" max="15" width="10.109375" bestFit="1" customWidth="1"/>
  </cols>
  <sheetData>
    <row r="2" spans="2:15" x14ac:dyDescent="0.3">
      <c r="B2" t="s">
        <v>40</v>
      </c>
    </row>
    <row r="3" spans="2:15" x14ac:dyDescent="0.3">
      <c r="B3" s="208">
        <f>DATE(2024,8,1)</f>
        <v>45505</v>
      </c>
      <c r="C3" t="s">
        <v>111</v>
      </c>
      <c r="G3" t="s">
        <v>211</v>
      </c>
      <c r="J3" t="s">
        <v>65</v>
      </c>
      <c r="M3" s="209" t="s">
        <v>210</v>
      </c>
      <c r="N3" s="162"/>
      <c r="O3" s="163"/>
    </row>
    <row r="4" spans="2:15" x14ac:dyDescent="0.3">
      <c r="B4" s="8" t="s">
        <v>40</v>
      </c>
      <c r="C4" s="21" t="s">
        <v>38</v>
      </c>
      <c r="D4" s="23" t="s">
        <v>8</v>
      </c>
      <c r="E4" s="23" t="s">
        <v>76</v>
      </c>
      <c r="G4" s="21" t="s">
        <v>38</v>
      </c>
      <c r="H4" s="23" t="s">
        <v>8</v>
      </c>
      <c r="I4" s="20" t="s">
        <v>76</v>
      </c>
      <c r="J4" s="54">
        <v>0.1</v>
      </c>
      <c r="K4" s="54">
        <v>0.2</v>
      </c>
      <c r="M4" s="21" t="s">
        <v>38</v>
      </c>
      <c r="N4" s="250">
        <v>0.11</v>
      </c>
      <c r="O4" s="23" t="s">
        <v>76</v>
      </c>
    </row>
    <row r="5" spans="2:15" x14ac:dyDescent="0.3">
      <c r="B5" s="9" t="s">
        <v>41</v>
      </c>
      <c r="C5" s="211">
        <f>(0.355*16000)</f>
        <v>5680</v>
      </c>
      <c r="D5" s="25">
        <f t="shared" ref="D5:D6" si="0">C5*11%</f>
        <v>624.79999999999995</v>
      </c>
      <c r="E5" s="25">
        <f>C5+D5</f>
        <v>6304.8</v>
      </c>
      <c r="G5" s="211">
        <f>(0.355*16000)</f>
        <v>5680</v>
      </c>
      <c r="H5" s="25">
        <f t="shared" ref="H5:H6" si="1">G5*11%</f>
        <v>624.79999999999995</v>
      </c>
      <c r="I5" s="251">
        <f>G5+H5</f>
        <v>6304.8</v>
      </c>
      <c r="J5" s="56">
        <f>G5*J4</f>
        <v>568</v>
      </c>
      <c r="K5" s="56">
        <f>G5*K4</f>
        <v>1136</v>
      </c>
      <c r="M5" s="253">
        <f>O5/1.11</f>
        <v>16666.666666666664</v>
      </c>
      <c r="N5" s="197">
        <f>M5*11%</f>
        <v>1833.333333333333</v>
      </c>
      <c r="O5" s="254">
        <v>18500</v>
      </c>
    </row>
    <row r="6" spans="2:15" s="92" customFormat="1" x14ac:dyDescent="0.3">
      <c r="B6" s="9" t="s">
        <v>42</v>
      </c>
      <c r="C6" s="212">
        <v>3200</v>
      </c>
      <c r="D6" s="25">
        <f t="shared" si="0"/>
        <v>352</v>
      </c>
      <c r="E6" s="25">
        <f>C6+D6</f>
        <v>3552</v>
      </c>
      <c r="F6" s="210"/>
      <c r="G6" s="212">
        <v>3200</v>
      </c>
      <c r="H6" s="25">
        <f t="shared" si="1"/>
        <v>352</v>
      </c>
      <c r="I6" s="251">
        <f>G6+H6</f>
        <v>3552</v>
      </c>
      <c r="M6" s="255"/>
      <c r="O6" s="256"/>
    </row>
    <row r="7" spans="2:15" s="92" customFormat="1" x14ac:dyDescent="0.3">
      <c r="B7" s="9" t="s">
        <v>43</v>
      </c>
      <c r="C7" s="212">
        <v>7200</v>
      </c>
      <c r="D7" s="57">
        <v>0</v>
      </c>
      <c r="E7" s="25">
        <f>C7+D7</f>
        <v>7200</v>
      </c>
      <c r="F7" s="210"/>
      <c r="M7" s="255"/>
      <c r="O7" s="257"/>
    </row>
    <row r="8" spans="2:15" s="92" customFormat="1" x14ac:dyDescent="0.3">
      <c r="B8" s="30" t="s">
        <v>44</v>
      </c>
      <c r="C8" s="213">
        <f>SUM(C5:C7)</f>
        <v>16080</v>
      </c>
      <c r="D8" s="31">
        <f>SUM(D5:D7)</f>
        <v>976.8</v>
      </c>
      <c r="E8" s="31">
        <f>SUM(E5:E7)</f>
        <v>17056.8</v>
      </c>
      <c r="F8" s="210"/>
      <c r="G8" s="249">
        <f>SUM(G5:G6)</f>
        <v>8880</v>
      </c>
      <c r="H8" s="249">
        <f>SUM(H5:H6)</f>
        <v>976.8</v>
      </c>
      <c r="I8" s="252">
        <f>SUM(I5:I6)</f>
        <v>9856.7999999999993</v>
      </c>
      <c r="M8" s="258">
        <f>M5</f>
        <v>16666.666666666664</v>
      </c>
      <c r="N8" s="259">
        <f t="shared" ref="N8:O8" si="2">N5</f>
        <v>1833.333333333333</v>
      </c>
      <c r="O8" s="260">
        <f t="shared" si="2"/>
        <v>18500</v>
      </c>
    </row>
    <row r="9" spans="2:15" x14ac:dyDescent="0.3">
      <c r="B9" s="33" t="s">
        <v>45</v>
      </c>
      <c r="C9" s="34">
        <f>C5+C6</f>
        <v>8880</v>
      </c>
      <c r="D9" s="34">
        <f>SUM(D5:D7)</f>
        <v>976.8</v>
      </c>
      <c r="E9" s="34">
        <f>C9+D9</f>
        <v>9856.7999999999993</v>
      </c>
    </row>
    <row r="10" spans="2:15" x14ac:dyDescent="0.3">
      <c r="B10" s="9" t="s">
        <v>9</v>
      </c>
      <c r="C10" s="9"/>
      <c r="D10" s="9"/>
      <c r="E10" s="25">
        <f>E5+E6</f>
        <v>9856.7999999999993</v>
      </c>
    </row>
    <row r="12" spans="2:15" x14ac:dyDescent="0.3">
      <c r="B12" s="9" t="s">
        <v>170</v>
      </c>
      <c r="C12" s="9"/>
      <c r="J12" s="9" t="s">
        <v>186</v>
      </c>
      <c r="K12" s="9"/>
    </row>
    <row r="13" spans="2:15" x14ac:dyDescent="0.3">
      <c r="B13" s="9" t="s">
        <v>171</v>
      </c>
      <c r="C13" s="17">
        <v>25000</v>
      </c>
      <c r="J13" s="9" t="s">
        <v>171</v>
      </c>
      <c r="K13" s="17">
        <v>22000</v>
      </c>
    </row>
    <row r="14" spans="2:15" x14ac:dyDescent="0.3">
      <c r="B14" s="9" t="s">
        <v>173</v>
      </c>
      <c r="C14" s="25">
        <f>E8</f>
        <v>17056.8</v>
      </c>
      <c r="F14" s="165"/>
      <c r="J14" s="9" t="s">
        <v>173</v>
      </c>
      <c r="K14" s="25">
        <f>C14</f>
        <v>17056.8</v>
      </c>
    </row>
    <row r="15" spans="2:15" x14ac:dyDescent="0.3">
      <c r="B15" s="9" t="s">
        <v>142</v>
      </c>
      <c r="C15" s="25">
        <f>C13-C14</f>
        <v>7943.2000000000007</v>
      </c>
      <c r="F15" s="165"/>
      <c r="J15" s="9" t="s">
        <v>142</v>
      </c>
      <c r="K15" s="25">
        <f>K13-K14</f>
        <v>4943.2000000000007</v>
      </c>
    </row>
    <row r="16" spans="2:15" x14ac:dyDescent="0.3">
      <c r="C16" s="28"/>
      <c r="F16" s="165"/>
    </row>
    <row r="17" spans="2:13" x14ac:dyDescent="0.3">
      <c r="B17" s="430" t="s">
        <v>6</v>
      </c>
      <c r="C17" s="430" t="s">
        <v>70</v>
      </c>
      <c r="D17" s="429" t="s">
        <v>185</v>
      </c>
      <c r="E17" s="429"/>
      <c r="F17" s="429"/>
      <c r="G17" s="429"/>
      <c r="H17" s="429"/>
      <c r="J17" s="431" t="s">
        <v>6</v>
      </c>
      <c r="K17" s="430" t="s">
        <v>70</v>
      </c>
      <c r="L17" s="429" t="s">
        <v>185</v>
      </c>
      <c r="M17" s="429"/>
    </row>
    <row r="18" spans="2:13" x14ac:dyDescent="0.3">
      <c r="B18" s="430"/>
      <c r="C18" s="430"/>
      <c r="D18" s="216" t="s">
        <v>177</v>
      </c>
      <c r="E18" s="75" t="s">
        <v>180</v>
      </c>
      <c r="F18" s="220" t="s">
        <v>181</v>
      </c>
      <c r="G18" s="224" t="s">
        <v>182</v>
      </c>
      <c r="H18" s="237" t="s">
        <v>183</v>
      </c>
      <c r="J18" s="432"/>
      <c r="K18" s="430"/>
      <c r="L18" s="241" t="s">
        <v>177</v>
      </c>
      <c r="M18" s="246" t="s">
        <v>180</v>
      </c>
    </row>
    <row r="19" spans="2:13" x14ac:dyDescent="0.3">
      <c r="B19" s="430"/>
      <c r="C19" s="430"/>
      <c r="D19" s="168">
        <v>1000</v>
      </c>
      <c r="E19" s="49">
        <v>1250</v>
      </c>
      <c r="F19" s="219">
        <v>1500</v>
      </c>
      <c r="G19" s="222">
        <v>1750</v>
      </c>
      <c r="H19" s="226">
        <v>2000</v>
      </c>
      <c r="J19" s="433"/>
      <c r="K19" s="430"/>
      <c r="L19" s="242">
        <v>1500</v>
      </c>
      <c r="M19" s="247">
        <v>2000</v>
      </c>
    </row>
    <row r="20" spans="2:13" x14ac:dyDescent="0.3">
      <c r="B20" s="178" t="s">
        <v>174</v>
      </c>
      <c r="C20" s="214">
        <f>C15*B21</f>
        <v>2382960</v>
      </c>
      <c r="D20" s="178"/>
      <c r="E20" s="10"/>
      <c r="F20" s="218"/>
      <c r="G20" s="221"/>
      <c r="H20" s="225"/>
      <c r="J20" s="238" t="s">
        <v>191</v>
      </c>
      <c r="K20" s="239">
        <f>K15*J21</f>
        <v>74148000.000000015</v>
      </c>
      <c r="L20" s="238"/>
      <c r="M20" s="243"/>
    </row>
    <row r="21" spans="2:13" x14ac:dyDescent="0.3">
      <c r="B21" s="178">
        <v>300</v>
      </c>
      <c r="C21" s="215"/>
      <c r="D21" s="168">
        <f>B21*D19</f>
        <v>300000</v>
      </c>
      <c r="E21" s="49"/>
      <c r="F21" s="219"/>
      <c r="G21" s="221"/>
      <c r="H21" s="225"/>
      <c r="J21" s="242">
        <v>15000</v>
      </c>
      <c r="K21" s="238"/>
      <c r="L21" s="240"/>
      <c r="M21" s="243"/>
    </row>
    <row r="22" spans="2:13" x14ac:dyDescent="0.3">
      <c r="B22" s="178" t="s">
        <v>172</v>
      </c>
      <c r="C22" s="215"/>
      <c r="D22" s="168">
        <v>1500000</v>
      </c>
      <c r="E22" s="49"/>
      <c r="F22" s="219"/>
      <c r="G22" s="221"/>
      <c r="H22" s="225"/>
      <c r="J22" s="238" t="s">
        <v>188</v>
      </c>
      <c r="K22" s="238"/>
      <c r="L22" s="240">
        <f>L19*J21</f>
        <v>22500000</v>
      </c>
      <c r="M22" s="243"/>
    </row>
    <row r="23" spans="2:13" x14ac:dyDescent="0.3">
      <c r="B23" s="178" t="s">
        <v>184</v>
      </c>
      <c r="C23" s="215"/>
      <c r="D23" s="168">
        <f>D21+D22</f>
        <v>1800000</v>
      </c>
      <c r="E23" s="49"/>
      <c r="F23" s="219"/>
      <c r="G23" s="221"/>
      <c r="H23" s="225"/>
      <c r="J23" s="238" t="s">
        <v>189</v>
      </c>
      <c r="K23" s="239">
        <f>K20-L22</f>
        <v>51648000.000000015</v>
      </c>
      <c r="L23" s="238"/>
      <c r="M23" s="243"/>
    </row>
    <row r="24" spans="2:13" x14ac:dyDescent="0.3">
      <c r="B24" s="178" t="s">
        <v>189</v>
      </c>
      <c r="C24" s="214">
        <f>C20-D23</f>
        <v>582960</v>
      </c>
      <c r="D24" s="217"/>
      <c r="E24" s="65"/>
      <c r="F24" s="219"/>
      <c r="G24" s="221"/>
      <c r="H24" s="225"/>
      <c r="J24" s="243" t="s">
        <v>187</v>
      </c>
      <c r="K24" s="244">
        <f>J25*K15</f>
        <v>98864000.000000015</v>
      </c>
      <c r="L24" s="243"/>
      <c r="M24" s="243"/>
    </row>
    <row r="25" spans="2:13" x14ac:dyDescent="0.3">
      <c r="B25" s="10" t="s">
        <v>175</v>
      </c>
      <c r="C25" s="228">
        <f>C15*B26</f>
        <v>3971600.0000000005</v>
      </c>
      <c r="D25" s="49"/>
      <c r="E25" s="49"/>
      <c r="F25" s="219"/>
      <c r="G25" s="221"/>
      <c r="H25" s="225"/>
      <c r="J25" s="247">
        <v>20000</v>
      </c>
      <c r="K25" s="244"/>
      <c r="L25" s="243"/>
      <c r="M25" s="243"/>
    </row>
    <row r="26" spans="2:13" x14ac:dyDescent="0.3">
      <c r="B26" s="10">
        <v>500</v>
      </c>
      <c r="C26" s="229"/>
      <c r="D26" s="49"/>
      <c r="E26" s="49">
        <f>B26*E19</f>
        <v>625000</v>
      </c>
      <c r="F26" s="219"/>
      <c r="G26" s="221"/>
      <c r="H26" s="225"/>
      <c r="J26" s="243" t="s">
        <v>188</v>
      </c>
      <c r="K26" s="243"/>
      <c r="L26" s="243"/>
      <c r="M26" s="245">
        <f>J25*M19</f>
        <v>40000000</v>
      </c>
    </row>
    <row r="27" spans="2:13" x14ac:dyDescent="0.3">
      <c r="B27" s="10" t="s">
        <v>172</v>
      </c>
      <c r="C27" s="229"/>
      <c r="D27" s="49"/>
      <c r="E27" s="49">
        <v>1500000</v>
      </c>
      <c r="F27" s="219"/>
      <c r="G27" s="221"/>
      <c r="H27" s="225"/>
      <c r="J27" s="243" t="s">
        <v>189</v>
      </c>
      <c r="K27" s="244">
        <f>K24-M26</f>
        <v>58864000.000000015</v>
      </c>
      <c r="L27" s="243"/>
      <c r="M27" s="243"/>
    </row>
    <row r="28" spans="2:13" x14ac:dyDescent="0.3">
      <c r="B28" s="10" t="s">
        <v>184</v>
      </c>
      <c r="C28" s="229"/>
      <c r="D28" s="49"/>
      <c r="E28" s="49">
        <f>E26+E27</f>
        <v>2125000</v>
      </c>
      <c r="F28" s="219"/>
      <c r="G28" s="221"/>
      <c r="H28" s="225"/>
    </row>
    <row r="29" spans="2:13" x14ac:dyDescent="0.3">
      <c r="B29" s="10" t="s">
        <v>70</v>
      </c>
      <c r="C29" s="228">
        <f>C25-E28</f>
        <v>1846600.0000000005</v>
      </c>
      <c r="D29" s="49"/>
      <c r="E29" s="49"/>
      <c r="F29" s="219"/>
      <c r="G29" s="221"/>
      <c r="H29" s="225"/>
    </row>
    <row r="30" spans="2:13" x14ac:dyDescent="0.3">
      <c r="B30" s="218" t="s">
        <v>176</v>
      </c>
      <c r="C30" s="230">
        <f>C15*B31</f>
        <v>7943200.0000000009</v>
      </c>
      <c r="D30" s="219"/>
      <c r="E30" s="219"/>
      <c r="F30" s="219"/>
      <c r="G30" s="221"/>
      <c r="H30" s="225"/>
      <c r="J30" s="9" t="s">
        <v>190</v>
      </c>
      <c r="K30" s="9"/>
    </row>
    <row r="31" spans="2:13" x14ac:dyDescent="0.3">
      <c r="B31" s="219">
        <v>1000</v>
      </c>
      <c r="C31" s="231"/>
      <c r="D31" s="219"/>
      <c r="E31" s="219"/>
      <c r="F31" s="219">
        <f>B31*F19</f>
        <v>1500000</v>
      </c>
      <c r="G31" s="221"/>
      <c r="H31" s="225"/>
      <c r="J31" s="9" t="s">
        <v>171</v>
      </c>
      <c r="K31" s="17">
        <v>20500</v>
      </c>
    </row>
    <row r="32" spans="2:13" x14ac:dyDescent="0.3">
      <c r="B32" s="218" t="s">
        <v>172</v>
      </c>
      <c r="C32" s="231"/>
      <c r="D32" s="219"/>
      <c r="E32" s="219"/>
      <c r="F32" s="219">
        <v>1500000</v>
      </c>
      <c r="G32" s="221"/>
      <c r="H32" s="225"/>
      <c r="J32" s="9" t="s">
        <v>173</v>
      </c>
      <c r="K32" s="25">
        <f>C14</f>
        <v>17056.8</v>
      </c>
    </row>
    <row r="33" spans="2:11" x14ac:dyDescent="0.3">
      <c r="B33" s="218" t="s">
        <v>184</v>
      </c>
      <c r="C33" s="231"/>
      <c r="D33" s="219"/>
      <c r="E33" s="219"/>
      <c r="F33" s="219">
        <f>F31+F32</f>
        <v>3000000</v>
      </c>
      <c r="G33" s="221"/>
      <c r="H33" s="225"/>
      <c r="J33" s="9" t="s">
        <v>142</v>
      </c>
      <c r="K33" s="25">
        <f>K31-K32</f>
        <v>3443.2000000000007</v>
      </c>
    </row>
    <row r="34" spans="2:11" x14ac:dyDescent="0.3">
      <c r="B34" s="218" t="s">
        <v>189</v>
      </c>
      <c r="C34" s="230">
        <f>C30-F33</f>
        <v>4943200.0000000009</v>
      </c>
      <c r="D34" s="219"/>
      <c r="E34" s="219"/>
      <c r="F34" s="219"/>
      <c r="G34" s="221"/>
      <c r="H34" s="225"/>
    </row>
    <row r="35" spans="2:11" x14ac:dyDescent="0.3">
      <c r="B35" s="221" t="s">
        <v>178</v>
      </c>
      <c r="C35" s="232">
        <f>C15*B36</f>
        <v>39716000</v>
      </c>
      <c r="D35" s="222"/>
      <c r="E35" s="222"/>
      <c r="F35" s="222"/>
      <c r="G35" s="221"/>
      <c r="H35" s="225"/>
    </row>
    <row r="36" spans="2:11" x14ac:dyDescent="0.3">
      <c r="B36" s="222">
        <v>5000</v>
      </c>
      <c r="C36" s="233"/>
      <c r="D36" s="222"/>
      <c r="E36" s="222"/>
      <c r="F36" s="222"/>
      <c r="G36" s="223">
        <f>G19*B36</f>
        <v>8750000</v>
      </c>
      <c r="H36" s="225"/>
    </row>
    <row r="37" spans="2:11" x14ac:dyDescent="0.3">
      <c r="B37" s="221" t="s">
        <v>172</v>
      </c>
      <c r="C37" s="233"/>
      <c r="D37" s="222"/>
      <c r="E37" s="222"/>
      <c r="F37" s="222"/>
      <c r="G37" s="223">
        <v>1500000</v>
      </c>
      <c r="H37" s="225"/>
    </row>
    <row r="38" spans="2:11" x14ac:dyDescent="0.3">
      <c r="B38" s="221" t="s">
        <v>184</v>
      </c>
      <c r="C38" s="233"/>
      <c r="D38" s="222"/>
      <c r="E38" s="222"/>
      <c r="F38" s="222"/>
      <c r="G38" s="223">
        <f>G36+G37</f>
        <v>10250000</v>
      </c>
      <c r="H38" s="225"/>
    </row>
    <row r="39" spans="2:11" x14ac:dyDescent="0.3">
      <c r="B39" s="221" t="s">
        <v>189</v>
      </c>
      <c r="C39" s="232">
        <f>C35-G38</f>
        <v>29466000</v>
      </c>
      <c r="D39" s="222"/>
      <c r="E39" s="222"/>
      <c r="F39" s="222"/>
      <c r="G39" s="223"/>
      <c r="H39" s="225"/>
    </row>
    <row r="40" spans="2:11" x14ac:dyDescent="0.3">
      <c r="B40" s="225" t="s">
        <v>179</v>
      </c>
      <c r="C40" s="234">
        <f>C15*B41</f>
        <v>79432000</v>
      </c>
      <c r="D40" s="226"/>
      <c r="E40" s="226"/>
      <c r="F40" s="226"/>
      <c r="G40" s="225"/>
      <c r="H40" s="225"/>
    </row>
    <row r="41" spans="2:11" x14ac:dyDescent="0.3">
      <c r="B41" s="226">
        <v>10000</v>
      </c>
      <c r="C41" s="235"/>
      <c r="D41" s="226"/>
      <c r="E41" s="226"/>
      <c r="F41" s="226"/>
      <c r="G41" s="225"/>
      <c r="H41" s="227">
        <f>B41*H19</f>
        <v>20000000</v>
      </c>
    </row>
    <row r="42" spans="2:11" x14ac:dyDescent="0.3">
      <c r="B42" s="225" t="s">
        <v>172</v>
      </c>
      <c r="C42" s="234"/>
      <c r="D42" s="226"/>
      <c r="E42" s="226"/>
      <c r="F42" s="225"/>
      <c r="G42" s="225"/>
      <c r="H42" s="226">
        <v>1500000</v>
      </c>
    </row>
    <row r="43" spans="2:11" x14ac:dyDescent="0.3">
      <c r="B43" s="225" t="s">
        <v>184</v>
      </c>
      <c r="C43" s="234"/>
      <c r="D43" s="226"/>
      <c r="E43" s="226"/>
      <c r="F43" s="225"/>
      <c r="G43" s="225"/>
      <c r="H43" s="227">
        <f>+H41+H42</f>
        <v>21500000</v>
      </c>
    </row>
    <row r="44" spans="2:11" x14ac:dyDescent="0.3">
      <c r="B44" s="225" t="s">
        <v>189</v>
      </c>
      <c r="C44" s="236">
        <f>C40-H43</f>
        <v>57932000</v>
      </c>
      <c r="D44" s="225"/>
      <c r="E44" s="225"/>
      <c r="F44" s="225"/>
      <c r="G44" s="225"/>
      <c r="H44" s="225"/>
    </row>
    <row r="47" spans="2:11" x14ac:dyDescent="0.3">
      <c r="B47" t="s">
        <v>40</v>
      </c>
    </row>
    <row r="48" spans="2:11" x14ac:dyDescent="0.3">
      <c r="B48" s="208">
        <f>DATE(2024,10,1)</f>
        <v>45566</v>
      </c>
      <c r="C48" t="s">
        <v>111</v>
      </c>
      <c r="G48" t="s">
        <v>211</v>
      </c>
    </row>
    <row r="49" spans="2:9" x14ac:dyDescent="0.3">
      <c r="B49" s="8" t="s">
        <v>40</v>
      </c>
      <c r="C49" s="21" t="s">
        <v>38</v>
      </c>
      <c r="D49" s="23" t="s">
        <v>8</v>
      </c>
      <c r="E49" s="23" t="s">
        <v>76</v>
      </c>
      <c r="G49" s="21" t="s">
        <v>38</v>
      </c>
      <c r="H49" s="23" t="s">
        <v>8</v>
      </c>
      <c r="I49" s="20" t="s">
        <v>76</v>
      </c>
    </row>
    <row r="50" spans="2:9" x14ac:dyDescent="0.3">
      <c r="B50" s="9" t="s">
        <v>41</v>
      </c>
      <c r="C50" s="277">
        <f>(0.35*16000)</f>
        <v>5600</v>
      </c>
      <c r="D50" s="25">
        <f t="shared" ref="D50:D51" si="3">C50*11%</f>
        <v>616</v>
      </c>
      <c r="E50" s="25">
        <f>C50+D50</f>
        <v>6216</v>
      </c>
      <c r="G50" s="211">
        <f>(0.355*16000)</f>
        <v>5680</v>
      </c>
      <c r="H50" s="25">
        <f t="shared" ref="H50:H51" si="4">G50*11%</f>
        <v>624.79999999999995</v>
      </c>
      <c r="I50" s="251">
        <f>G50+H50</f>
        <v>6304.8</v>
      </c>
    </row>
    <row r="51" spans="2:9" x14ac:dyDescent="0.3">
      <c r="B51" s="9" t="s">
        <v>42</v>
      </c>
      <c r="C51" s="212">
        <v>3200</v>
      </c>
      <c r="D51" s="25">
        <f t="shared" si="3"/>
        <v>352</v>
      </c>
      <c r="E51" s="25">
        <f>C51+D51</f>
        <v>3552</v>
      </c>
      <c r="F51" s="210"/>
      <c r="G51" s="212">
        <v>3200</v>
      </c>
      <c r="H51" s="25">
        <f t="shared" si="4"/>
        <v>352</v>
      </c>
      <c r="I51" s="251">
        <f>G51+H51</f>
        <v>3552</v>
      </c>
    </row>
    <row r="52" spans="2:9" x14ac:dyDescent="0.3">
      <c r="B52" s="9" t="s">
        <v>43</v>
      </c>
      <c r="C52" s="212">
        <v>7200</v>
      </c>
      <c r="D52" s="57">
        <v>0</v>
      </c>
      <c r="E52" s="25">
        <f>C52+D52</f>
        <v>7200</v>
      </c>
      <c r="F52" s="210"/>
      <c r="G52" s="92"/>
      <c r="H52" s="92"/>
      <c r="I52" s="92"/>
    </row>
    <row r="53" spans="2:9" x14ac:dyDescent="0.3">
      <c r="B53" s="30" t="s">
        <v>44</v>
      </c>
      <c r="C53" s="213">
        <f>SUM(C50:C52)</f>
        <v>16000</v>
      </c>
      <c r="D53" s="31">
        <f>SUM(D50:D52)</f>
        <v>968</v>
      </c>
      <c r="E53" s="31">
        <f>SUM(E50:E52)</f>
        <v>16968</v>
      </c>
      <c r="F53" s="210"/>
      <c r="G53" s="249">
        <f>SUM(G50:G51)</f>
        <v>8880</v>
      </c>
      <c r="H53" s="249">
        <f>SUM(H50:H51)</f>
        <v>976.8</v>
      </c>
      <c r="I53" s="252">
        <f>SUM(I50:I51)</f>
        <v>9856.7999999999993</v>
      </c>
    </row>
    <row r="54" spans="2:9" x14ac:dyDescent="0.3">
      <c r="B54" s="33" t="s">
        <v>45</v>
      </c>
      <c r="C54" s="34">
        <f>C50+C51</f>
        <v>8800</v>
      </c>
      <c r="D54" s="34">
        <f>SUM(D50:D52)</f>
        <v>968</v>
      </c>
      <c r="E54" s="34">
        <f>C54+D54</f>
        <v>9768</v>
      </c>
    </row>
    <row r="55" spans="2:9" x14ac:dyDescent="0.3">
      <c r="B55" s="9" t="s">
        <v>9</v>
      </c>
      <c r="C55" s="9"/>
      <c r="D55" s="9"/>
      <c r="E55" s="25">
        <f>E50+E51</f>
        <v>9768</v>
      </c>
    </row>
  </sheetData>
  <mergeCells count="6">
    <mergeCell ref="K17:K19"/>
    <mergeCell ref="L17:M17"/>
    <mergeCell ref="D17:H17"/>
    <mergeCell ref="B17:B19"/>
    <mergeCell ref="C17:C19"/>
    <mergeCell ref="J17:J19"/>
  </mergeCells>
  <pageMargins left="0.7" right="0.7" top="0.75" bottom="0.75" header="0.3" footer="0.3"/>
  <pageSetup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pemasukan BNI Agregator</vt:lpstr>
      <vt:lpstr>byr vendor plus pajak</vt:lpstr>
      <vt:lpstr>Biy Opr</vt:lpstr>
      <vt:lpstr>PO Keluar</vt:lpstr>
      <vt:lpstr>Project BNI</vt:lpstr>
      <vt:lpstr>kirim chip ke meco</vt:lpstr>
      <vt:lpstr>hitungan komersial </vt:lpstr>
      <vt:lpstr>distribusi fee</vt:lpstr>
      <vt:lpstr>Laporan Penjualan</vt:lpstr>
      <vt:lpstr>gaji</vt:lpstr>
      <vt:lpstr>Hpp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 somantri sastranegara</dc:creator>
  <cp:lastModifiedBy>Fadawkas Oemarki</cp:lastModifiedBy>
  <cp:lastPrinted>2024-10-14T04:09:20Z</cp:lastPrinted>
  <dcterms:created xsi:type="dcterms:W3CDTF">2024-06-12T10:02:12Z</dcterms:created>
  <dcterms:modified xsi:type="dcterms:W3CDTF">2025-03-01T14:04:53Z</dcterms:modified>
</cp:coreProperties>
</file>