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860" windowHeight="12270" activeTab="4"/>
  </bookViews>
  <sheets>
    <sheet name="До 300 м2" sheetId="2" r:id="rId1"/>
    <sheet name="Сельхоз" sheetId="3" r:id="rId2"/>
    <sheet name="Склад производство" sheetId="4" r:id="rId3"/>
    <sheet name="Гараж, автосервис" sheetId="5" r:id="rId4"/>
    <sheet name="Цены" sheetId="6" r:id="rId5"/>
  </sheets>
  <calcPr calcId="162913"/>
</workbook>
</file>

<file path=xl/calcChain.xml><?xml version="1.0" encoding="utf-8"?>
<calcChain xmlns="http://schemas.openxmlformats.org/spreadsheetml/2006/main">
  <c r="K50" i="5" l="1"/>
  <c r="K49" i="5"/>
  <c r="K48" i="5"/>
  <c r="K45" i="5"/>
  <c r="J32" i="5"/>
  <c r="L32" i="5" s="1"/>
  <c r="J31" i="5"/>
  <c r="L31" i="5" s="1"/>
  <c r="H73" i="5"/>
  <c r="J73" i="5" s="1"/>
  <c r="L73" i="5" s="1"/>
  <c r="H72" i="5"/>
  <c r="J72" i="5" s="1"/>
  <c r="L72" i="5" s="1"/>
  <c r="L75" i="5" s="1"/>
  <c r="H68" i="5"/>
  <c r="J68" i="5" s="1"/>
  <c r="L68" i="5" s="1"/>
  <c r="L67" i="5"/>
  <c r="J67" i="5"/>
  <c r="I66" i="5"/>
  <c r="J66" i="5" s="1"/>
  <c r="L66" i="5" s="1"/>
  <c r="H66" i="5"/>
  <c r="H65" i="5"/>
  <c r="J65" i="5" s="1"/>
  <c r="L65" i="5" s="1"/>
  <c r="I64" i="5"/>
  <c r="J64" i="5" s="1"/>
  <c r="L64" i="5" s="1"/>
  <c r="L63" i="5"/>
  <c r="J63" i="5"/>
  <c r="H62" i="5"/>
  <c r="J62" i="5" s="1"/>
  <c r="L62" i="5" s="1"/>
  <c r="L70" i="5" s="1"/>
  <c r="L49" i="5"/>
  <c r="J49" i="5"/>
  <c r="D34" i="5"/>
  <c r="D35" i="5" s="1"/>
  <c r="D31" i="5"/>
  <c r="D32" i="5" s="1"/>
  <c r="J29" i="5"/>
  <c r="L29" i="5" s="1"/>
  <c r="L28" i="5"/>
  <c r="J28" i="5"/>
  <c r="I27" i="5"/>
  <c r="J27" i="5" s="1"/>
  <c r="L27" i="5" s="1"/>
  <c r="I25" i="5"/>
  <c r="I24" i="5"/>
  <c r="H24" i="5"/>
  <c r="J24" i="5" s="1"/>
  <c r="L24" i="5" s="1"/>
  <c r="I23" i="5"/>
  <c r="J50" i="5" s="1"/>
  <c r="H23" i="5"/>
  <c r="H30" i="5" s="1"/>
  <c r="J30" i="5" s="1"/>
  <c r="L30" i="5" s="1"/>
  <c r="I22" i="5"/>
  <c r="H22" i="5"/>
  <c r="H21" i="5"/>
  <c r="I20" i="5"/>
  <c r="J20" i="5" s="1"/>
  <c r="L20" i="5" s="1"/>
  <c r="I19" i="5"/>
  <c r="J19" i="5" s="1"/>
  <c r="L19" i="5" s="1"/>
  <c r="I18" i="5"/>
  <c r="I21" i="5" s="1"/>
  <c r="I17" i="5"/>
  <c r="H17" i="5"/>
  <c r="J17" i="5" s="1"/>
  <c r="L17" i="5" s="1"/>
  <c r="D17" i="5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I16" i="5"/>
  <c r="H16" i="5"/>
  <c r="J16" i="5" s="1"/>
  <c r="L16" i="5" s="1"/>
  <c r="F10" i="5"/>
  <c r="F11" i="5" s="1"/>
  <c r="F48" i="5" s="1"/>
  <c r="L50" i="5" l="1"/>
  <c r="J22" i="5"/>
  <c r="L22" i="5" s="1"/>
  <c r="I35" i="5"/>
  <c r="J21" i="5"/>
  <c r="L21" i="5" s="1"/>
  <c r="J23" i="5"/>
  <c r="L23" i="5" s="1"/>
  <c r="H25" i="5"/>
  <c r="J25" i="5" s="1"/>
  <c r="L25" i="5" s="1"/>
  <c r="J18" i="5"/>
  <c r="L18" i="5" s="1"/>
  <c r="L41" i="5" l="1"/>
  <c r="J45" i="5" s="1"/>
  <c r="J48" i="5" s="1"/>
  <c r="L48" i="5" s="1"/>
  <c r="J51" i="5"/>
  <c r="L51" i="5" s="1"/>
  <c r="L35" i="5"/>
  <c r="J47" i="5"/>
  <c r="L47" i="5" s="1"/>
  <c r="L45" i="5" l="1"/>
  <c r="J54" i="5"/>
  <c r="F50" i="5" s="1"/>
  <c r="J53" i="5" l="1"/>
  <c r="L53" i="5" s="1"/>
  <c r="L55" i="5" s="1"/>
  <c r="L56" i="5" s="1"/>
  <c r="F51" i="5" s="1"/>
  <c r="F53" i="5" s="1"/>
  <c r="F52" i="5" s="1"/>
  <c r="F49" i="5" l="1"/>
  <c r="AO58" i="4" l="1"/>
  <c r="AO56" i="4"/>
  <c r="AO55" i="4"/>
  <c r="AO57" i="4"/>
  <c r="AP57" i="4" s="1"/>
  <c r="AN57" i="4"/>
  <c r="AN56" i="4"/>
  <c r="AP56" i="4" s="1"/>
  <c r="K55" i="4"/>
  <c r="L54" i="4"/>
  <c r="K54" i="4"/>
  <c r="J54" i="4"/>
  <c r="K53" i="4"/>
  <c r="J53" i="4"/>
  <c r="L53" i="4" s="1"/>
  <c r="K52" i="4"/>
  <c r="AA51" i="4"/>
  <c r="AB51" i="4" s="1"/>
  <c r="AO50" i="4"/>
  <c r="AA50" i="4"/>
  <c r="Z50" i="4"/>
  <c r="AB50" i="4" s="1"/>
  <c r="K50" i="4"/>
  <c r="J50" i="4"/>
  <c r="L50" i="4" s="1"/>
  <c r="AA49" i="4"/>
  <c r="K49" i="4"/>
  <c r="F49" i="4"/>
  <c r="AB47" i="4"/>
  <c r="AA47" i="4"/>
  <c r="Z47" i="4"/>
  <c r="AA46" i="4"/>
  <c r="AH43" i="4"/>
  <c r="AN42" i="4"/>
  <c r="AP42" i="4" s="1"/>
  <c r="AN41" i="4"/>
  <c r="AP41" i="4" s="1"/>
  <c r="AN40" i="4"/>
  <c r="AP40" i="4" s="1"/>
  <c r="Y40" i="4"/>
  <c r="AM39" i="4"/>
  <c r="AN39" i="4" s="1"/>
  <c r="AP39" i="4" s="1"/>
  <c r="AB38" i="4"/>
  <c r="Z38" i="4"/>
  <c r="D38" i="4"/>
  <c r="Z37" i="4"/>
  <c r="AB37" i="4" s="1"/>
  <c r="AN36" i="4"/>
  <c r="AP36" i="4" s="1"/>
  <c r="Z36" i="4"/>
  <c r="AB36" i="4" s="1"/>
  <c r="I36" i="4"/>
  <c r="J36" i="4" s="1"/>
  <c r="L36" i="4" s="1"/>
  <c r="Y35" i="4"/>
  <c r="Z35" i="4" s="1"/>
  <c r="AB35" i="4" s="1"/>
  <c r="T35" i="4"/>
  <c r="J35" i="4"/>
  <c r="L35" i="4" s="1"/>
  <c r="AM34" i="4"/>
  <c r="AL34" i="4"/>
  <c r="L34" i="4"/>
  <c r="J34" i="4"/>
  <c r="AN33" i="4"/>
  <c r="AP33" i="4" s="1"/>
  <c r="AM33" i="4"/>
  <c r="AL33" i="4"/>
  <c r="Y33" i="4"/>
  <c r="L33" i="4"/>
  <c r="J33" i="4"/>
  <c r="Z32" i="4"/>
  <c r="AB32" i="4" s="1"/>
  <c r="Y32" i="4"/>
  <c r="X32" i="4"/>
  <c r="L32" i="4"/>
  <c r="H32" i="4"/>
  <c r="J32" i="4" s="1"/>
  <c r="AM31" i="4"/>
  <c r="AM32" i="4" s="1"/>
  <c r="AN58" i="4" s="1"/>
  <c r="AP58" i="4" s="1"/>
  <c r="AL31" i="4"/>
  <c r="AL36" i="4" s="1"/>
  <c r="H31" i="4"/>
  <c r="J31" i="4" s="1"/>
  <c r="L31" i="4" s="1"/>
  <c r="D31" i="4"/>
  <c r="D33" i="4" s="1"/>
  <c r="D34" i="4" s="1"/>
  <c r="AM30" i="4"/>
  <c r="AM43" i="4" s="1"/>
  <c r="AL30" i="4"/>
  <c r="Y30" i="4"/>
  <c r="Z51" i="4" s="1"/>
  <c r="X30" i="4"/>
  <c r="Y29" i="4"/>
  <c r="X29" i="4"/>
  <c r="I29" i="4"/>
  <c r="J29" i="4" s="1"/>
  <c r="L29" i="4" s="1"/>
  <c r="H29" i="4"/>
  <c r="AN28" i="4"/>
  <c r="AP28" i="4" s="1"/>
  <c r="AM28" i="4"/>
  <c r="I28" i="4"/>
  <c r="H28" i="4"/>
  <c r="D28" i="4"/>
  <c r="D29" i="4" s="1"/>
  <c r="AM27" i="4"/>
  <c r="AN27" i="4" s="1"/>
  <c r="AP27" i="4" s="1"/>
  <c r="Y27" i="4"/>
  <c r="J27" i="4"/>
  <c r="L27" i="4" s="1"/>
  <c r="I27" i="4"/>
  <c r="H27" i="4"/>
  <c r="D27" i="4"/>
  <c r="AM26" i="4"/>
  <c r="AN26" i="4" s="1"/>
  <c r="AP26" i="4" s="1"/>
  <c r="I26" i="4"/>
  <c r="H26" i="4"/>
  <c r="J26" i="4" s="1"/>
  <c r="L26" i="4" s="1"/>
  <c r="AM25" i="4"/>
  <c r="AN25" i="4" s="1"/>
  <c r="AP25" i="4" s="1"/>
  <c r="AB25" i="4"/>
  <c r="Z25" i="4"/>
  <c r="Y25" i="4"/>
  <c r="AN24" i="4"/>
  <c r="AP24" i="4" s="1"/>
  <c r="AM24" i="4"/>
  <c r="Z24" i="4"/>
  <c r="AB24" i="4" s="1"/>
  <c r="Y24" i="4"/>
  <c r="I24" i="4"/>
  <c r="J24" i="4" s="1"/>
  <c r="L24" i="4" s="1"/>
  <c r="AM23" i="4"/>
  <c r="AN23" i="4" s="1"/>
  <c r="AP23" i="4" s="1"/>
  <c r="Z23" i="4"/>
  <c r="AB23" i="4" s="1"/>
  <c r="Y23" i="4"/>
  <c r="I23" i="4"/>
  <c r="J23" i="4" s="1"/>
  <c r="L23" i="4" s="1"/>
  <c r="AM22" i="4"/>
  <c r="AN22" i="4" s="1"/>
  <c r="AP22" i="4" s="1"/>
  <c r="AB22" i="4"/>
  <c r="Y22" i="4"/>
  <c r="Z22" i="4" s="1"/>
  <c r="I22" i="4"/>
  <c r="J22" i="4" s="1"/>
  <c r="L22" i="4" s="1"/>
  <c r="AM21" i="4"/>
  <c r="AN21" i="4" s="1"/>
  <c r="AP21" i="4" s="1"/>
  <c r="AB21" i="4"/>
  <c r="Z21" i="4"/>
  <c r="Y21" i="4"/>
  <c r="L21" i="4"/>
  <c r="J21" i="4"/>
  <c r="I21" i="4"/>
  <c r="AM20" i="4"/>
  <c r="AN20" i="4" s="1"/>
  <c r="AP20" i="4" s="1"/>
  <c r="AB20" i="4"/>
  <c r="Z20" i="4"/>
  <c r="Y20" i="4"/>
  <c r="L20" i="4"/>
  <c r="J20" i="4"/>
  <c r="I20" i="4"/>
  <c r="D20" i="4"/>
  <c r="D22" i="4" s="1"/>
  <c r="D24" i="4" s="1"/>
  <c r="D26" i="4" s="1"/>
  <c r="AB19" i="4"/>
  <c r="Z19" i="4"/>
  <c r="Y19" i="4"/>
  <c r="L19" i="4"/>
  <c r="J19" i="4"/>
  <c r="I19" i="4"/>
  <c r="D19" i="4"/>
  <c r="D21" i="4" s="1"/>
  <c r="D23" i="4" s="1"/>
  <c r="AB18" i="4"/>
  <c r="Y18" i="4"/>
  <c r="X18" i="4"/>
  <c r="Z18" i="4" s="1"/>
  <c r="T18" i="4"/>
  <c r="T19" i="4" s="1"/>
  <c r="T20" i="4" s="1"/>
  <c r="T21" i="4" s="1"/>
  <c r="I18" i="4"/>
  <c r="J18" i="4" s="1"/>
  <c r="L18" i="4" s="1"/>
  <c r="D18" i="4"/>
  <c r="AM17" i="4"/>
  <c r="AL17" i="4"/>
  <c r="AH17" i="4"/>
  <c r="AH20" i="4" s="1"/>
  <c r="J17" i="4"/>
  <c r="L17" i="4" s="1"/>
  <c r="I17" i="4"/>
  <c r="H17" i="4"/>
  <c r="D17" i="4"/>
  <c r="AM16" i="4"/>
  <c r="AL16" i="4"/>
  <c r="Y16" i="4"/>
  <c r="Z16" i="4" s="1"/>
  <c r="AB16" i="4" s="1"/>
  <c r="X16" i="4"/>
  <c r="L16" i="4"/>
  <c r="I16" i="4"/>
  <c r="J16" i="4" s="1"/>
  <c r="H16" i="4"/>
  <c r="F11" i="4"/>
  <c r="AJ10" i="4"/>
  <c r="AJ11" i="4" s="1"/>
  <c r="AJ51" i="4" s="1"/>
  <c r="V10" i="4"/>
  <c r="V11" i="4" s="1"/>
  <c r="V49" i="4" s="1"/>
  <c r="F10" i="4"/>
  <c r="AN31" i="4" l="1"/>
  <c r="AP31" i="4" s="1"/>
  <c r="AN17" i="4"/>
  <c r="AP17" i="4" s="1"/>
  <c r="AN30" i="4"/>
  <c r="AP30" i="4" s="1"/>
  <c r="AN34" i="4"/>
  <c r="AP34" i="4" s="1"/>
  <c r="AN16" i="4"/>
  <c r="AP16" i="4" s="1"/>
  <c r="T27" i="4"/>
  <c r="T29" i="4" s="1"/>
  <c r="T30" i="4" s="1"/>
  <c r="T22" i="4"/>
  <c r="T23" i="4" s="1"/>
  <c r="T24" i="4" s="1"/>
  <c r="T25" i="4" s="1"/>
  <c r="L46" i="4"/>
  <c r="J49" i="4" s="1"/>
  <c r="J55" i="4"/>
  <c r="L55" i="4" s="1"/>
  <c r="J28" i="4"/>
  <c r="L28" i="4" s="1"/>
  <c r="I38" i="4"/>
  <c r="Z48" i="4"/>
  <c r="AB48" i="4" s="1"/>
  <c r="AB40" i="4"/>
  <c r="AN54" i="4"/>
  <c r="AP54" i="4" s="1"/>
  <c r="AP43" i="4"/>
  <c r="Z30" i="4"/>
  <c r="AB30" i="4" s="1"/>
  <c r="AB42" i="4" s="1"/>
  <c r="Z46" i="4" s="1"/>
  <c r="X33" i="4"/>
  <c r="Z33" i="4" s="1"/>
  <c r="AB33" i="4" s="1"/>
  <c r="X27" i="4"/>
  <c r="Z27" i="4" s="1"/>
  <c r="AB27" i="4" s="1"/>
  <c r="Z29" i="4"/>
  <c r="AB29" i="4" s="1"/>
  <c r="AL32" i="4"/>
  <c r="AN32" i="4" s="1"/>
  <c r="AP32" i="4" s="1"/>
  <c r="AL35" i="4"/>
  <c r="AN35" i="4" s="1"/>
  <c r="AP35" i="4" s="1"/>
  <c r="AP48" i="4" l="1"/>
  <c r="AN50" i="4" s="1"/>
  <c r="AN59" i="4" s="1"/>
  <c r="AP59" i="4" s="1"/>
  <c r="AP50" i="4"/>
  <c r="Z55" i="4"/>
  <c r="AB46" i="4"/>
  <c r="Z49" i="4"/>
  <c r="AB49" i="4" s="1"/>
  <c r="Z52" i="4"/>
  <c r="AB52" i="4" s="1"/>
  <c r="J56" i="4"/>
  <c r="L56" i="4" s="1"/>
  <c r="L49" i="4"/>
  <c r="J52" i="4"/>
  <c r="L52" i="4" s="1"/>
  <c r="L38" i="4"/>
  <c r="J59" i="4" s="1"/>
  <c r="J51" i="4"/>
  <c r="L51" i="4" s="1"/>
  <c r="T31" i="4"/>
  <c r="T32" i="4"/>
  <c r="T33" i="4" s="1"/>
  <c r="AN55" i="4" l="1"/>
  <c r="AP55" i="4" s="1"/>
  <c r="AN62" i="4"/>
  <c r="AN61" i="4" s="1"/>
  <c r="AP61" i="4" s="1"/>
  <c r="AP63" i="4" s="1"/>
  <c r="AP64" i="4" s="1"/>
  <c r="F51" i="4"/>
  <c r="J58" i="4"/>
  <c r="L58" i="4" s="1"/>
  <c r="Z54" i="4"/>
  <c r="AB54" i="4" s="1"/>
  <c r="V51" i="4"/>
  <c r="L60" i="4"/>
  <c r="L61" i="4" s="1"/>
  <c r="AB56" i="4"/>
  <c r="AB57" i="4" s="1"/>
  <c r="AJ53" i="4" l="1"/>
  <c r="AJ54" i="4"/>
  <c r="V52" i="4"/>
  <c r="V54" i="4" s="1"/>
  <c r="V53" i="4" s="1"/>
  <c r="V50" i="4"/>
  <c r="F52" i="4"/>
  <c r="F54" i="4" s="1"/>
  <c r="F53" i="4" s="1"/>
  <c r="AJ56" i="4" l="1"/>
  <c r="AJ55" i="4" s="1"/>
  <c r="AJ52" i="4"/>
  <c r="F50" i="4"/>
  <c r="J52" i="3" l="1"/>
  <c r="J51" i="3"/>
  <c r="J62" i="3"/>
  <c r="I62" i="3"/>
  <c r="I61" i="3"/>
  <c r="J59" i="3"/>
  <c r="K59" i="3" s="1"/>
  <c r="J58" i="3"/>
  <c r="H49" i="3"/>
  <c r="I49" i="3" s="1"/>
  <c r="K49" i="3" s="1"/>
  <c r="I60" i="3" s="1"/>
  <c r="H40" i="3"/>
  <c r="K40" i="3" s="1"/>
  <c r="H39" i="3"/>
  <c r="I57" i="3" s="1"/>
  <c r="K57" i="3" s="1"/>
  <c r="H38" i="3"/>
  <c r="I54" i="3" s="1"/>
  <c r="K54" i="3" s="1"/>
  <c r="H37" i="3"/>
  <c r="G37" i="3"/>
  <c r="H36" i="3"/>
  <c r="I36" i="3" s="1"/>
  <c r="K36" i="3" s="1"/>
  <c r="H35" i="3"/>
  <c r="I35" i="3" s="1"/>
  <c r="K33" i="3"/>
  <c r="I33" i="3"/>
  <c r="I32" i="3"/>
  <c r="K32" i="3" s="1"/>
  <c r="I31" i="3"/>
  <c r="K31" i="3" s="1"/>
  <c r="I30" i="3"/>
  <c r="K30" i="3" s="1"/>
  <c r="I29" i="3"/>
  <c r="K29" i="3" s="1"/>
  <c r="I28" i="3"/>
  <c r="K28" i="3" s="1"/>
  <c r="I27" i="3"/>
  <c r="K27" i="3" s="1"/>
  <c r="H26" i="3"/>
  <c r="G26" i="3"/>
  <c r="H25" i="3"/>
  <c r="G25" i="3"/>
  <c r="H19" i="3"/>
  <c r="G19" i="3"/>
  <c r="G18" i="3" s="1"/>
  <c r="H18" i="3"/>
  <c r="H17" i="3"/>
  <c r="I17" i="3" s="1"/>
  <c r="K17" i="3" s="1"/>
  <c r="H16" i="3"/>
  <c r="I16" i="3" s="1"/>
  <c r="K16" i="3" s="1"/>
  <c r="C16" i="3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H15" i="3"/>
  <c r="I15" i="3" s="1"/>
  <c r="K15" i="3" s="1"/>
  <c r="E10" i="3"/>
  <c r="E11" i="3" s="1"/>
  <c r="E60" i="3" s="1"/>
  <c r="K43" i="3" l="1"/>
  <c r="I37" i="3"/>
  <c r="K37" i="3" s="1"/>
  <c r="K39" i="3"/>
  <c r="I25" i="3"/>
  <c r="K25" i="3" s="1"/>
  <c r="K45" i="3" s="1"/>
  <c r="K47" i="3"/>
  <c r="K62" i="3"/>
  <c r="H34" i="3"/>
  <c r="K34" i="3" s="1"/>
  <c r="I18" i="3"/>
  <c r="I41" i="3" s="1"/>
  <c r="I26" i="3"/>
  <c r="I46" i="3" s="1"/>
  <c r="I44" i="3"/>
  <c r="I43" i="3"/>
  <c r="I47" i="3"/>
  <c r="J60" i="3"/>
  <c r="J61" i="3" s="1"/>
  <c r="K61" i="3" s="1"/>
  <c r="G20" i="3"/>
  <c r="I20" i="3" s="1"/>
  <c r="K20" i="3" s="1"/>
  <c r="G21" i="3"/>
  <c r="I21" i="3" s="1"/>
  <c r="K21" i="3" s="1"/>
  <c r="G22" i="3"/>
  <c r="I22" i="3" s="1"/>
  <c r="K22" i="3" s="1"/>
  <c r="G23" i="3"/>
  <c r="I23" i="3" s="1"/>
  <c r="K23" i="3" s="1"/>
  <c r="G24" i="3"/>
  <c r="I24" i="3" s="1"/>
  <c r="K24" i="3" s="1"/>
  <c r="K35" i="3"/>
  <c r="K38" i="3"/>
  <c r="I56" i="3"/>
  <c r="K56" i="3" s="1"/>
  <c r="I19" i="3"/>
  <c r="I55" i="3"/>
  <c r="K55" i="3" s="1"/>
  <c r="I53" i="3" l="1"/>
  <c r="K53" i="3" s="1"/>
  <c r="K44" i="3"/>
  <c r="I45" i="3"/>
  <c r="K26" i="3"/>
  <c r="K46" i="3" s="1"/>
  <c r="K18" i="3"/>
  <c r="K41" i="3" s="1"/>
  <c r="K19" i="3"/>
  <c r="K42" i="3" s="1"/>
  <c r="I42" i="3"/>
  <c r="K60" i="3"/>
  <c r="I51" i="3" l="1"/>
  <c r="K51" i="3" s="1"/>
  <c r="I52" i="3"/>
  <c r="K52" i="3" s="1"/>
  <c r="I58" i="3" l="1"/>
  <c r="K58" i="3" s="1"/>
  <c r="I63" i="3"/>
  <c r="K63" i="3" s="1"/>
  <c r="I66" i="3" l="1"/>
  <c r="E62" i="3" s="1"/>
  <c r="I65" i="3" l="1"/>
  <c r="K65" i="3" s="1"/>
  <c r="K67" i="3" s="1"/>
  <c r="K68" i="3" s="1"/>
  <c r="E63" i="3" s="1"/>
  <c r="E65" i="3" s="1"/>
  <c r="E64" i="3" s="1"/>
  <c r="E61" i="3" l="1"/>
  <c r="QL35" i="2"/>
  <c r="QL33" i="2"/>
  <c r="QL38" i="2" l="1"/>
  <c r="QL37" i="2"/>
  <c r="QY38" i="2" l="1"/>
  <c r="QY36" i="2"/>
  <c r="QY37" i="2" s="1"/>
  <c r="QY35" i="2"/>
  <c r="QY33" i="2"/>
  <c r="QX37" i="2"/>
  <c r="QW31" i="2"/>
  <c r="QV31" i="2"/>
  <c r="QX22" i="2"/>
  <c r="QZ22" i="2" s="1"/>
  <c r="QW21" i="2"/>
  <c r="QX21" i="2" s="1"/>
  <c r="QZ21" i="2" s="1"/>
  <c r="QX20" i="2"/>
  <c r="QZ20" i="2" s="1"/>
  <c r="QX19" i="2"/>
  <c r="QZ19" i="2" s="1"/>
  <c r="QX17" i="2"/>
  <c r="QZ17" i="2" s="1"/>
  <c r="QW17" i="2"/>
  <c r="QV17" i="2"/>
  <c r="QW16" i="2"/>
  <c r="QX38" i="2" s="1"/>
  <c r="QZ38" i="2" s="1"/>
  <c r="QV16" i="2"/>
  <c r="QV18" i="2" s="1"/>
  <c r="QX18" i="2" s="1"/>
  <c r="QZ18" i="2" s="1"/>
  <c r="QW15" i="2"/>
  <c r="QV15" i="2"/>
  <c r="QX15" i="2" s="1"/>
  <c r="QZ15" i="2" s="1"/>
  <c r="QR15" i="2"/>
  <c r="QR16" i="2" s="1"/>
  <c r="QR17" i="2" s="1"/>
  <c r="QR18" i="2" s="1"/>
  <c r="QW14" i="2"/>
  <c r="QV14" i="2"/>
  <c r="QT10" i="2"/>
  <c r="QT11" i="2" s="1"/>
  <c r="QT36" i="2" s="1"/>
  <c r="QW24" i="2" l="1"/>
  <c r="QX14" i="2"/>
  <c r="QZ14" i="2" s="1"/>
  <c r="QX31" i="2"/>
  <c r="QZ31" i="2" s="1"/>
  <c r="QX36" i="2" s="1"/>
  <c r="QZ36" i="2"/>
  <c r="QX34" i="2"/>
  <c r="QZ34" i="2" s="1"/>
  <c r="QZ24" i="2"/>
  <c r="QR21" i="2"/>
  <c r="QR19" i="2"/>
  <c r="QZ37" i="2"/>
  <c r="QX16" i="2"/>
  <c r="QZ16" i="2" s="1"/>
  <c r="QZ25" i="2" s="1"/>
  <c r="QZ26" i="2" s="1"/>
  <c r="QX33" i="2" s="1"/>
  <c r="QK37" i="2"/>
  <c r="QM37" i="2" s="1"/>
  <c r="QJ31" i="2"/>
  <c r="QI31" i="2"/>
  <c r="QM22" i="2"/>
  <c r="QK22" i="2"/>
  <c r="QK21" i="2"/>
  <c r="QM21" i="2" s="1"/>
  <c r="QK20" i="2"/>
  <c r="QM20" i="2" s="1"/>
  <c r="QK19" i="2"/>
  <c r="QM19" i="2" s="1"/>
  <c r="QJ17" i="2"/>
  <c r="QI17" i="2"/>
  <c r="QJ16" i="2"/>
  <c r="QK38" i="2" s="1"/>
  <c r="QM38" i="2" s="1"/>
  <c r="QI16" i="2"/>
  <c r="QI18" i="2" s="1"/>
  <c r="QK18" i="2" s="1"/>
  <c r="QM18" i="2" s="1"/>
  <c r="QJ15" i="2"/>
  <c r="QI15" i="2"/>
  <c r="QE15" i="2"/>
  <c r="QE16" i="2" s="1"/>
  <c r="QE17" i="2" s="1"/>
  <c r="QE18" i="2" s="1"/>
  <c r="QJ14" i="2"/>
  <c r="QI14" i="2"/>
  <c r="QG10" i="2"/>
  <c r="QG11" i="2" s="1"/>
  <c r="QG36" i="2" s="1"/>
  <c r="QK14" i="2" l="1"/>
  <c r="QM14" i="2" s="1"/>
  <c r="QK31" i="2"/>
  <c r="QM31" i="2" s="1"/>
  <c r="QK36" i="2" s="1"/>
  <c r="QM36" i="2" s="1"/>
  <c r="QK17" i="2"/>
  <c r="QM17" i="2" s="1"/>
  <c r="QJ24" i="2"/>
  <c r="QM24" i="2" s="1"/>
  <c r="QX40" i="2"/>
  <c r="QZ33" i="2"/>
  <c r="QX39" i="2"/>
  <c r="QZ39" i="2" s="1"/>
  <c r="QX35" i="2"/>
  <c r="QZ35" i="2" s="1"/>
  <c r="QR22" i="2"/>
  <c r="QR24" i="2"/>
  <c r="QE21" i="2"/>
  <c r="QE19" i="2"/>
  <c r="QK15" i="2"/>
  <c r="QM15" i="2" s="1"/>
  <c r="QK16" i="2"/>
  <c r="QM16" i="2" s="1"/>
  <c r="QM25" i="2" l="1"/>
  <c r="QM26" i="2" s="1"/>
  <c r="QK33" i="2" s="1"/>
  <c r="QK35" i="2" s="1"/>
  <c r="QM35" i="2" s="1"/>
  <c r="QK34" i="2"/>
  <c r="QM34" i="2" s="1"/>
  <c r="QX42" i="2"/>
  <c r="QE22" i="2"/>
  <c r="QE24" i="2"/>
  <c r="QK40" i="2" l="1"/>
  <c r="QM33" i="2"/>
  <c r="QK39" i="2"/>
  <c r="QM39" i="2" s="1"/>
  <c r="QT38" i="2"/>
  <c r="QZ41" i="2"/>
  <c r="QZ43" i="2" s="1"/>
  <c r="QZ44" i="2" s="1"/>
  <c r="QK42" i="2" l="1"/>
  <c r="QG38" i="2" s="1"/>
  <c r="QT39" i="2"/>
  <c r="QT41" i="2" s="1"/>
  <c r="QT40" i="2" s="1"/>
  <c r="QT37" i="2" l="1"/>
  <c r="QM41" i="2"/>
  <c r="QM43" i="2" s="1"/>
  <c r="QM44" i="2" s="1"/>
  <c r="QG39" i="2" s="1"/>
  <c r="QG41" i="2" s="1"/>
  <c r="QG40" i="2" s="1"/>
  <c r="QG37" i="2" l="1"/>
  <c r="PY38" i="2" l="1"/>
  <c r="PY37" i="2"/>
  <c r="PY36" i="2"/>
  <c r="PY35" i="2"/>
  <c r="PY33" i="2"/>
  <c r="PX37" i="2" l="1"/>
  <c r="PZ37" i="2" s="1"/>
  <c r="PX31" i="2"/>
  <c r="PZ31" i="2" s="1"/>
  <c r="PX36" i="2" s="1"/>
  <c r="PZ36" i="2" s="1"/>
  <c r="PW31" i="2"/>
  <c r="PV31" i="2"/>
  <c r="PX22" i="2"/>
  <c r="PZ22" i="2" s="1"/>
  <c r="PW21" i="2"/>
  <c r="PX21" i="2" s="1"/>
  <c r="PZ21" i="2" s="1"/>
  <c r="PX20" i="2"/>
  <c r="PZ20" i="2" s="1"/>
  <c r="PX19" i="2"/>
  <c r="PZ19" i="2" s="1"/>
  <c r="PW17" i="2"/>
  <c r="PV17" i="2"/>
  <c r="PX17" i="2" s="1"/>
  <c r="PZ17" i="2" s="1"/>
  <c r="PW16" i="2"/>
  <c r="PX38" i="2" s="1"/>
  <c r="PZ38" i="2" s="1"/>
  <c r="PV16" i="2"/>
  <c r="PV18" i="2" s="1"/>
  <c r="PX18" i="2" s="1"/>
  <c r="PZ18" i="2" s="1"/>
  <c r="PW15" i="2"/>
  <c r="PV15" i="2"/>
  <c r="PR15" i="2"/>
  <c r="PR16" i="2" s="1"/>
  <c r="PR17" i="2" s="1"/>
  <c r="PR18" i="2" s="1"/>
  <c r="PX14" i="2"/>
  <c r="PZ14" i="2" s="1"/>
  <c r="PW14" i="2"/>
  <c r="PV14" i="2"/>
  <c r="PT10" i="2"/>
  <c r="PT11" i="2" s="1"/>
  <c r="PT36" i="2" s="1"/>
  <c r="PW24" i="2" l="1"/>
  <c r="PX34" i="2" s="1"/>
  <c r="PZ34" i="2" s="1"/>
  <c r="PZ24" i="2"/>
  <c r="PR21" i="2"/>
  <c r="PR19" i="2"/>
  <c r="PX15" i="2"/>
  <c r="PZ15" i="2" s="1"/>
  <c r="PX16" i="2"/>
  <c r="PZ16" i="2" s="1"/>
  <c r="PL38" i="2"/>
  <c r="PK37" i="2"/>
  <c r="PM37" i="2" s="1"/>
  <c r="PJ31" i="2"/>
  <c r="PI31" i="2"/>
  <c r="PK31" i="2" s="1"/>
  <c r="PM31" i="2" s="1"/>
  <c r="PK36" i="2" s="1"/>
  <c r="PM36" i="2" s="1"/>
  <c r="PK22" i="2"/>
  <c r="PM22" i="2" s="1"/>
  <c r="PJ21" i="2"/>
  <c r="PK21" i="2" s="1"/>
  <c r="PM21" i="2" s="1"/>
  <c r="PK20" i="2"/>
  <c r="PM20" i="2" s="1"/>
  <c r="PK19" i="2"/>
  <c r="PM19" i="2" s="1"/>
  <c r="PJ17" i="2"/>
  <c r="PK17" i="2" s="1"/>
  <c r="PM17" i="2" s="1"/>
  <c r="PI17" i="2"/>
  <c r="PJ16" i="2"/>
  <c r="PK38" i="2" s="1"/>
  <c r="PM38" i="2" s="1"/>
  <c r="PI16" i="2"/>
  <c r="PK16" i="2" s="1"/>
  <c r="PM16" i="2" s="1"/>
  <c r="PJ15" i="2"/>
  <c r="PI15" i="2"/>
  <c r="PK15" i="2" s="1"/>
  <c r="PM15" i="2" s="1"/>
  <c r="PE15" i="2"/>
  <c r="PE16" i="2" s="1"/>
  <c r="PE17" i="2" s="1"/>
  <c r="PE18" i="2" s="1"/>
  <c r="PJ14" i="2"/>
  <c r="PI14" i="2"/>
  <c r="PG10" i="2"/>
  <c r="PG11" i="2" s="1"/>
  <c r="PG36" i="2" s="1"/>
  <c r="PI18" i="2" l="1"/>
  <c r="PK18" i="2" s="1"/>
  <c r="PM18" i="2" s="1"/>
  <c r="PK14" i="2"/>
  <c r="PM14" i="2" s="1"/>
  <c r="PM25" i="2" s="1"/>
  <c r="PM26" i="2" s="1"/>
  <c r="PK33" i="2" s="1"/>
  <c r="PM33" i="2" s="1"/>
  <c r="PZ25" i="2"/>
  <c r="PZ26" i="2" s="1"/>
  <c r="PX33" i="2" s="1"/>
  <c r="PX39" i="2"/>
  <c r="PZ39" i="2" s="1"/>
  <c r="PZ33" i="2"/>
  <c r="PX40" i="2"/>
  <c r="PX35" i="2"/>
  <c r="PZ35" i="2" s="1"/>
  <c r="PR22" i="2"/>
  <c r="PR24" i="2"/>
  <c r="PK39" i="2"/>
  <c r="PM39" i="2" s="1"/>
  <c r="PE19" i="2"/>
  <c r="PE21" i="2"/>
  <c r="PJ24" i="2"/>
  <c r="OX38" i="2"/>
  <c r="OW37" i="2"/>
  <c r="OY37" i="2" s="1"/>
  <c r="OV31" i="2"/>
  <c r="OU31" i="2"/>
  <c r="OW31" i="2" s="1"/>
  <c r="OY31" i="2" s="1"/>
  <c r="OW36" i="2" s="1"/>
  <c r="OY36" i="2" s="1"/>
  <c r="OY22" i="2"/>
  <c r="OW22" i="2"/>
  <c r="OV21" i="2"/>
  <c r="OW21" i="2" s="1"/>
  <c r="OY21" i="2" s="1"/>
  <c r="OW20" i="2"/>
  <c r="OY20" i="2" s="1"/>
  <c r="OW19" i="2"/>
  <c r="OY19" i="2" s="1"/>
  <c r="OV17" i="2"/>
  <c r="OU17" i="2"/>
  <c r="OW17" i="2" s="1"/>
  <c r="OY17" i="2" s="1"/>
  <c r="OV16" i="2"/>
  <c r="OW38" i="2" s="1"/>
  <c r="OY38" i="2" s="1"/>
  <c r="OU16" i="2"/>
  <c r="OU18" i="2" s="1"/>
  <c r="OW18" i="2" s="1"/>
  <c r="OY18" i="2" s="1"/>
  <c r="OV15" i="2"/>
  <c r="OU15" i="2"/>
  <c r="OQ15" i="2"/>
  <c r="OQ16" i="2" s="1"/>
  <c r="OQ17" i="2" s="1"/>
  <c r="OQ18" i="2" s="1"/>
  <c r="OV14" i="2"/>
  <c r="OU14" i="2"/>
  <c r="OW14" i="2" s="1"/>
  <c r="OY14" i="2" s="1"/>
  <c r="OS10" i="2"/>
  <c r="OS11" i="2" s="1"/>
  <c r="OS36" i="2" s="1"/>
  <c r="PK35" i="2" l="1"/>
  <c r="PM35" i="2" s="1"/>
  <c r="OV24" i="2"/>
  <c r="OW34" i="2" s="1"/>
  <c r="OY34" i="2" s="1"/>
  <c r="PK40" i="2"/>
  <c r="PX42" i="2"/>
  <c r="PK34" i="2"/>
  <c r="PM34" i="2" s="1"/>
  <c r="PM24" i="2"/>
  <c r="PK42" i="2" s="1"/>
  <c r="PE24" i="2"/>
  <c r="PE22" i="2"/>
  <c r="OY24" i="2"/>
  <c r="OQ21" i="2"/>
  <c r="OQ19" i="2"/>
  <c r="OW15" i="2"/>
  <c r="OY15" i="2" s="1"/>
  <c r="OY25" i="2" s="1"/>
  <c r="OY26" i="2" s="1"/>
  <c r="OW33" i="2" s="1"/>
  <c r="OW16" i="2"/>
  <c r="OY16" i="2" s="1"/>
  <c r="OK38" i="2"/>
  <c r="OJ37" i="2"/>
  <c r="OL37" i="2" s="1"/>
  <c r="OI31" i="2"/>
  <c r="OH31" i="2"/>
  <c r="OJ31" i="2" s="1"/>
  <c r="OL31" i="2" s="1"/>
  <c r="OJ36" i="2" s="1"/>
  <c r="OL36" i="2" s="1"/>
  <c r="OJ22" i="2"/>
  <c r="OL22" i="2" s="1"/>
  <c r="OI21" i="2"/>
  <c r="OJ21" i="2" s="1"/>
  <c r="OL21" i="2" s="1"/>
  <c r="OJ20" i="2"/>
  <c r="OL20" i="2" s="1"/>
  <c r="OJ19" i="2"/>
  <c r="OL19" i="2" s="1"/>
  <c r="OI17" i="2"/>
  <c r="OH17" i="2"/>
  <c r="OI16" i="2"/>
  <c r="OJ38" i="2" s="1"/>
  <c r="OL38" i="2" s="1"/>
  <c r="OH16" i="2"/>
  <c r="OH18" i="2" s="1"/>
  <c r="OJ18" i="2" s="1"/>
  <c r="OL18" i="2" s="1"/>
  <c r="OD16" i="2"/>
  <c r="OD17" i="2" s="1"/>
  <c r="OD18" i="2" s="1"/>
  <c r="OI15" i="2"/>
  <c r="OH15" i="2"/>
  <c r="OD15" i="2"/>
  <c r="OI14" i="2"/>
  <c r="OH14" i="2"/>
  <c r="OF10" i="2"/>
  <c r="OF11" i="2" s="1"/>
  <c r="OF36" i="2" s="1"/>
  <c r="OJ14" i="2" l="1"/>
  <c r="OL14" i="2" s="1"/>
  <c r="OI24" i="2"/>
  <c r="OL24" i="2" s="1"/>
  <c r="PT38" i="2"/>
  <c r="PZ41" i="2"/>
  <c r="PZ43" i="2" s="1"/>
  <c r="PZ44" i="2" s="1"/>
  <c r="PM41" i="2"/>
  <c r="PM43" i="2" s="1"/>
  <c r="PM44" i="2" s="1"/>
  <c r="PG38" i="2"/>
  <c r="OW39" i="2"/>
  <c r="OY39" i="2" s="1"/>
  <c r="OY33" i="2"/>
  <c r="OW40" i="2"/>
  <c r="OW35" i="2"/>
  <c r="OY35" i="2" s="1"/>
  <c r="OQ22" i="2"/>
  <c r="OQ24" i="2"/>
  <c r="OJ17" i="2"/>
  <c r="OL17" i="2" s="1"/>
  <c r="OJ15" i="2"/>
  <c r="OL15" i="2" s="1"/>
  <c r="OD21" i="2"/>
  <c r="OD19" i="2"/>
  <c r="OJ16" i="2"/>
  <c r="OL16" i="2" s="1"/>
  <c r="NW22" i="2"/>
  <c r="NY22" i="2" s="1"/>
  <c r="NW20" i="2"/>
  <c r="NY20" i="2" s="1"/>
  <c r="NW19" i="2"/>
  <c r="NY19" i="2" s="1"/>
  <c r="NX38" i="2"/>
  <c r="NW37" i="2"/>
  <c r="NY37" i="2" s="1"/>
  <c r="NV31" i="2"/>
  <c r="NU31" i="2"/>
  <c r="NV21" i="2"/>
  <c r="NW21" i="2" s="1"/>
  <c r="NY21" i="2" s="1"/>
  <c r="NV17" i="2"/>
  <c r="NU17" i="2"/>
  <c r="NW17" i="2" s="1"/>
  <c r="NY17" i="2" s="1"/>
  <c r="NV16" i="2"/>
  <c r="NW38" i="2" s="1"/>
  <c r="NU16" i="2"/>
  <c r="NU18" i="2" s="1"/>
  <c r="NW18" i="2" s="1"/>
  <c r="NY18" i="2" s="1"/>
  <c r="NV15" i="2"/>
  <c r="NU15" i="2"/>
  <c r="NW15" i="2" s="1"/>
  <c r="NY15" i="2" s="1"/>
  <c r="NQ15" i="2"/>
  <c r="NQ16" i="2" s="1"/>
  <c r="NQ17" i="2" s="1"/>
  <c r="NQ18" i="2" s="1"/>
  <c r="NV14" i="2"/>
  <c r="NW14" i="2" s="1"/>
  <c r="NY14" i="2" s="1"/>
  <c r="NU14" i="2"/>
  <c r="NS10" i="2"/>
  <c r="NS11" i="2" s="1"/>
  <c r="NS36" i="2" s="1"/>
  <c r="OJ34" i="2" l="1"/>
  <c r="OL34" i="2" s="1"/>
  <c r="OW42" i="2"/>
  <c r="OY41" i="2" s="1"/>
  <c r="OY43" i="2" s="1"/>
  <c r="OY44" i="2" s="1"/>
  <c r="PT39" i="2"/>
  <c r="PT41" i="2" s="1"/>
  <c r="PT40" i="2" s="1"/>
  <c r="PG39" i="2"/>
  <c r="PG41" i="2" s="1"/>
  <c r="PG40" i="2" s="1"/>
  <c r="OS38" i="2"/>
  <c r="NY38" i="2"/>
  <c r="OL25" i="2"/>
  <c r="OL26" i="2" s="1"/>
  <c r="OJ33" i="2" s="1"/>
  <c r="OJ35" i="2" s="1"/>
  <c r="OL35" i="2" s="1"/>
  <c r="NV24" i="2"/>
  <c r="NW34" i="2" s="1"/>
  <c r="NY34" i="2" s="1"/>
  <c r="NW16" i="2"/>
  <c r="NY16" i="2" s="1"/>
  <c r="NY25" i="2" s="1"/>
  <c r="OD24" i="2"/>
  <c r="OD22" i="2"/>
  <c r="NW31" i="2"/>
  <c r="NY31" i="2" s="1"/>
  <c r="NW36" i="2" s="1"/>
  <c r="NY36" i="2" s="1"/>
  <c r="NQ21" i="2"/>
  <c r="NQ19" i="2"/>
  <c r="NY24" i="2" l="1"/>
  <c r="PT37" i="2"/>
  <c r="PG37" i="2"/>
  <c r="OS39" i="2"/>
  <c r="OS41" i="2" s="1"/>
  <c r="OS40" i="2" s="1"/>
  <c r="OJ40" i="2"/>
  <c r="OL33" i="2"/>
  <c r="OJ39" i="2"/>
  <c r="OL39" i="2" s="1"/>
  <c r="NY26" i="2"/>
  <c r="NW33" i="2" s="1"/>
  <c r="NW35" i="2" s="1"/>
  <c r="NY35" i="2" s="1"/>
  <c r="NQ22" i="2"/>
  <c r="NQ24" i="2"/>
  <c r="OS37" i="2" l="1"/>
  <c r="OJ42" i="2"/>
  <c r="OL41" i="2" s="1"/>
  <c r="OL43" i="2" s="1"/>
  <c r="OL44" i="2" s="1"/>
  <c r="NY33" i="2"/>
  <c r="NW40" i="2"/>
  <c r="NW39" i="2"/>
  <c r="NY39" i="2" s="1"/>
  <c r="OF38" i="2" l="1"/>
  <c r="OF39" i="2"/>
  <c r="OF41" i="2" s="1"/>
  <c r="OF40" i="2" s="1"/>
  <c r="NW42" i="2"/>
  <c r="OF37" i="2" l="1"/>
  <c r="NY41" i="2"/>
  <c r="NY43" i="2" s="1"/>
  <c r="NY44" i="2" s="1"/>
  <c r="NS39" i="2" s="1"/>
  <c r="NS38" i="2"/>
  <c r="NS37" i="2" l="1"/>
  <c r="NS41" i="2"/>
  <c r="NS40" i="2" s="1"/>
  <c r="MV18" i="2"/>
  <c r="NK50" i="2" l="1"/>
  <c r="MX41" i="2" l="1"/>
  <c r="LZ64" i="2" l="1"/>
  <c r="MB64" i="2" s="1"/>
  <c r="LT33" i="2"/>
  <c r="LY32" i="2"/>
  <c r="LX32" i="2"/>
  <c r="LZ31" i="2"/>
  <c r="MB31" i="2" s="1"/>
  <c r="LT30" i="2"/>
  <c r="LT31" i="2" s="1"/>
  <c r="LX29" i="2"/>
  <c r="LZ29" i="2" s="1"/>
  <c r="MB29" i="2" s="1"/>
  <c r="LX28" i="2"/>
  <c r="LZ28" i="2" s="1"/>
  <c r="MB28" i="2" s="1"/>
  <c r="LY27" i="2"/>
  <c r="LX27" i="2"/>
  <c r="LY26" i="2"/>
  <c r="LX26" i="2"/>
  <c r="LX30" i="2" s="1"/>
  <c r="LZ30" i="2" s="1"/>
  <c r="MB30" i="2" s="1"/>
  <c r="LY25" i="2"/>
  <c r="LX25" i="2"/>
  <c r="LY24" i="2"/>
  <c r="LX24" i="2"/>
  <c r="LY22" i="2"/>
  <c r="LZ22" i="2" s="1"/>
  <c r="MB22" i="2" s="1"/>
  <c r="LY21" i="2"/>
  <c r="LZ21" i="2" s="1"/>
  <c r="MB21" i="2" s="1"/>
  <c r="LY20" i="2"/>
  <c r="LZ20" i="2" s="1"/>
  <c r="MB20" i="2" s="1"/>
  <c r="LY19" i="2"/>
  <c r="LZ19" i="2" s="1"/>
  <c r="MB19" i="2" s="1"/>
  <c r="LT19" i="2"/>
  <c r="LT20" i="2" s="1"/>
  <c r="LT21" i="2" s="1"/>
  <c r="LT22" i="2" s="1"/>
  <c r="LT23" i="2" s="1"/>
  <c r="LT24" i="2" s="1"/>
  <c r="LT25" i="2" s="1"/>
  <c r="LT27" i="2" s="1"/>
  <c r="LT28" i="2" s="1"/>
  <c r="LY17" i="2"/>
  <c r="LZ17" i="2" s="1"/>
  <c r="MB17" i="2" s="1"/>
  <c r="LT17" i="2"/>
  <c r="LY16" i="2"/>
  <c r="LX16" i="2"/>
  <c r="LV10" i="2"/>
  <c r="LV11" i="2" s="1"/>
  <c r="LV63" i="2" s="1"/>
  <c r="LY33" i="2" l="1"/>
  <c r="MB33" i="2" s="1"/>
  <c r="MB34" i="2"/>
  <c r="LZ65" i="2"/>
  <c r="MB65" i="2" s="1"/>
  <c r="LZ16" i="2"/>
  <c r="MB16" i="2" s="1"/>
  <c r="LZ24" i="2"/>
  <c r="MB24" i="2" s="1"/>
  <c r="MB37" i="2" s="1"/>
  <c r="LZ25" i="2"/>
  <c r="MB25" i="2" s="1"/>
  <c r="LZ26" i="2"/>
  <c r="MB26" i="2" s="1"/>
  <c r="LZ27" i="2"/>
  <c r="MB27" i="2" s="1"/>
  <c r="LZ32" i="2"/>
  <c r="MB32" i="2" s="1"/>
  <c r="LZ62" i="2"/>
  <c r="MB62" i="2" s="1"/>
  <c r="MB35" i="2" l="1"/>
  <c r="MB36" i="2"/>
  <c r="MB38" i="2" l="1"/>
  <c r="LZ61" i="2" s="1"/>
  <c r="MB61" i="2" s="1"/>
  <c r="LZ63" i="2" l="1"/>
  <c r="MB63" i="2" s="1"/>
  <c r="LZ66" i="2"/>
  <c r="LZ69" i="2" l="1"/>
  <c r="LV65" i="2" s="1"/>
  <c r="LV70" i="2" s="1"/>
  <c r="LZ68" i="2"/>
  <c r="MB68" i="2" s="1"/>
  <c r="NM50" i="2" l="1"/>
  <c r="NK49" i="2"/>
  <c r="NM49" i="2" s="1"/>
  <c r="NM48" i="2"/>
  <c r="NK33" i="2"/>
  <c r="NM33" i="2" s="1"/>
  <c r="NE33" i="2"/>
  <c r="NE34" i="2" s="1"/>
  <c r="NE35" i="2" s="1"/>
  <c r="NE36" i="2" s="1"/>
  <c r="NE37" i="2" s="1"/>
  <c r="NI27" i="2"/>
  <c r="NK27" i="2" s="1"/>
  <c r="NM27" i="2" s="1"/>
  <c r="NI26" i="2"/>
  <c r="NK26" i="2" s="1"/>
  <c r="NM26" i="2" s="1"/>
  <c r="NI25" i="2"/>
  <c r="NK25" i="2" s="1"/>
  <c r="NM25" i="2" s="1"/>
  <c r="NJ24" i="2"/>
  <c r="NI24" i="2"/>
  <c r="NJ23" i="2"/>
  <c r="NI23" i="2"/>
  <c r="NK23" i="2" s="1"/>
  <c r="NM23" i="2" s="1"/>
  <c r="NE23" i="2"/>
  <c r="NE24" i="2" s="1"/>
  <c r="NE25" i="2" s="1"/>
  <c r="NE26" i="2" s="1"/>
  <c r="NE27" i="2" s="1"/>
  <c r="NJ21" i="2"/>
  <c r="NJ20" i="2"/>
  <c r="NI20" i="2"/>
  <c r="NI21" i="2" s="1"/>
  <c r="NJ19" i="2"/>
  <c r="NK19" i="2" s="1"/>
  <c r="NM19" i="2" s="1"/>
  <c r="NJ18" i="2"/>
  <c r="NK18" i="2" s="1"/>
  <c r="NM18" i="2" s="1"/>
  <c r="NJ17" i="2"/>
  <c r="NK17" i="2" s="1"/>
  <c r="NM17" i="2" s="1"/>
  <c r="NJ16" i="2"/>
  <c r="NK16" i="2" s="1"/>
  <c r="NM16" i="2" s="1"/>
  <c r="NJ15" i="2"/>
  <c r="NI15" i="2"/>
  <c r="NE15" i="2"/>
  <c r="NE17" i="2" s="1"/>
  <c r="NE18" i="2" s="1"/>
  <c r="NE19" i="2" s="1"/>
  <c r="NE20" i="2" s="1"/>
  <c r="NE21" i="2" s="1"/>
  <c r="NJ14" i="2"/>
  <c r="NI14" i="2"/>
  <c r="NK14" i="2" s="1"/>
  <c r="NM14" i="2" s="1"/>
  <c r="NG10" i="2"/>
  <c r="NG11" i="2" s="1"/>
  <c r="NG49" i="2" s="1"/>
  <c r="NJ37" i="2" l="1"/>
  <c r="NK46" i="2" s="1"/>
  <c r="NM46" i="2" s="1"/>
  <c r="NK24" i="2"/>
  <c r="NM24" i="2" s="1"/>
  <c r="NK15" i="2"/>
  <c r="NM15" i="2" s="1"/>
  <c r="NM37" i="2"/>
  <c r="NI28" i="2"/>
  <c r="NK28" i="2" s="1"/>
  <c r="NM28" i="2" s="1"/>
  <c r="NK21" i="2"/>
  <c r="NM21" i="2" s="1"/>
  <c r="NK20" i="2"/>
  <c r="NM20" i="2" s="1"/>
  <c r="NM42" i="2" l="1"/>
  <c r="NK45" i="2"/>
  <c r="NM45" i="2" l="1"/>
  <c r="NK51" i="2"/>
  <c r="NM51" i="2" s="1"/>
  <c r="NK47" i="2"/>
  <c r="NM47" i="2" s="1"/>
  <c r="NM55" i="2" l="1"/>
  <c r="NM56" i="2" s="1"/>
  <c r="NK54" i="2"/>
  <c r="NG51" i="2" s="1"/>
  <c r="NG52" i="2" l="1"/>
  <c r="NG54" i="2" s="1"/>
  <c r="NG53" i="2" s="1"/>
  <c r="NG50" i="2" l="1"/>
  <c r="MX24" i="2"/>
  <c r="MZ24" i="2" s="1"/>
  <c r="MW19" i="2"/>
  <c r="MW15" i="2"/>
  <c r="MW14" i="2"/>
  <c r="MV14" i="2"/>
  <c r="MZ41" i="2"/>
  <c r="MX40" i="2"/>
  <c r="MZ40" i="2" s="1"/>
  <c r="MZ39" i="2"/>
  <c r="MR30" i="2"/>
  <c r="MW26" i="2"/>
  <c r="MX26" i="2" s="1"/>
  <c r="MZ26" i="2" s="1"/>
  <c r="MX23" i="2"/>
  <c r="MZ23" i="2" s="1"/>
  <c r="MV19" i="2"/>
  <c r="MW18" i="2"/>
  <c r="MW17" i="2"/>
  <c r="MV17" i="2"/>
  <c r="MV21" i="2" s="1"/>
  <c r="MV15" i="2"/>
  <c r="MR15" i="2"/>
  <c r="MR17" i="2" s="1"/>
  <c r="MR19" i="2" s="1"/>
  <c r="MR21" i="2" s="1"/>
  <c r="MR22" i="2" s="1"/>
  <c r="MR23" i="2" s="1"/>
  <c r="MT10" i="2"/>
  <c r="MT11" i="2" s="1"/>
  <c r="MT39" i="2" s="1"/>
  <c r="MX14" i="2" l="1"/>
  <c r="MZ14" i="2" s="1"/>
  <c r="MW30" i="2"/>
  <c r="MX15" i="2"/>
  <c r="MZ15" i="2" s="1"/>
  <c r="MX21" i="2"/>
  <c r="MZ21" i="2" s="1"/>
  <c r="MV22" i="2"/>
  <c r="MX22" i="2" s="1"/>
  <c r="MZ22" i="2" s="1"/>
  <c r="MX37" i="2"/>
  <c r="MZ37" i="2" s="1"/>
  <c r="MX18" i="2"/>
  <c r="MZ18" i="2" s="1"/>
  <c r="MX19" i="2"/>
  <c r="MZ19" i="2" s="1"/>
  <c r="MX17" i="2"/>
  <c r="MZ17" i="2" s="1"/>
  <c r="MZ30" i="2"/>
  <c r="MJ26" i="2"/>
  <c r="DW26" i="2"/>
  <c r="ML30" i="2"/>
  <c r="MN30" i="2" s="1"/>
  <c r="MJ28" i="2"/>
  <c r="ML28" i="2" s="1"/>
  <c r="MN28" i="2" s="1"/>
  <c r="DX24" i="2"/>
  <c r="MK24" i="2"/>
  <c r="MK22" i="2"/>
  <c r="ML22" i="2" s="1"/>
  <c r="MN22" i="2" s="1"/>
  <c r="MK21" i="2"/>
  <c r="MK20" i="2"/>
  <c r="ML20" i="2" s="1"/>
  <c r="MN20" i="2" s="1"/>
  <c r="ML64" i="2"/>
  <c r="MN64" i="2" s="1"/>
  <c r="MF33" i="2"/>
  <c r="MK32" i="2"/>
  <c r="MJ32" i="2"/>
  <c r="ML31" i="2"/>
  <c r="MN31" i="2" s="1"/>
  <c r="MF30" i="2"/>
  <c r="MF31" i="2" s="1"/>
  <c r="MJ29" i="2"/>
  <c r="ML29" i="2" s="1"/>
  <c r="MN29" i="2" s="1"/>
  <c r="MK27" i="2"/>
  <c r="MJ27" i="2"/>
  <c r="MK26" i="2"/>
  <c r="MK25" i="2"/>
  <c r="ML65" i="2" s="1"/>
  <c r="MN65" i="2" s="1"/>
  <c r="MJ25" i="2"/>
  <c r="MJ24" i="2"/>
  <c r="ML21" i="2"/>
  <c r="MN21" i="2" s="1"/>
  <c r="MK19" i="2"/>
  <c r="ML19" i="2" s="1"/>
  <c r="MN19" i="2" s="1"/>
  <c r="MF19" i="2"/>
  <c r="MF20" i="2" s="1"/>
  <c r="MF21" i="2" s="1"/>
  <c r="MF22" i="2" s="1"/>
  <c r="MF23" i="2" s="1"/>
  <c r="MF24" i="2" s="1"/>
  <c r="MF25" i="2" s="1"/>
  <c r="MF27" i="2" s="1"/>
  <c r="MF28" i="2" s="1"/>
  <c r="MK17" i="2"/>
  <c r="ML17" i="2" s="1"/>
  <c r="MN17" i="2" s="1"/>
  <c r="MF17" i="2"/>
  <c r="MK16" i="2"/>
  <c r="MJ16" i="2"/>
  <c r="MH10" i="2"/>
  <c r="MH11" i="2" s="1"/>
  <c r="MH63" i="2" s="1"/>
  <c r="MZ33" i="2" l="1"/>
  <c r="MX36" i="2"/>
  <c r="MK33" i="2"/>
  <c r="ML24" i="2"/>
  <c r="MN24" i="2" s="1"/>
  <c r="MN37" i="2" s="1"/>
  <c r="ML27" i="2"/>
  <c r="MN27" i="2" s="1"/>
  <c r="ML25" i="2"/>
  <c r="MN25" i="2" s="1"/>
  <c r="ML26" i="2"/>
  <c r="MN26" i="2" s="1"/>
  <c r="ML16" i="2"/>
  <c r="MN16" i="2" s="1"/>
  <c r="MN33" i="2"/>
  <c r="ML32" i="2"/>
  <c r="MN32" i="2" s="1"/>
  <c r="ML62" i="2"/>
  <c r="MN62" i="2" s="1"/>
  <c r="MN34" i="2"/>
  <c r="MX42" i="2" l="1"/>
  <c r="MZ42" i="2" s="1"/>
  <c r="MX38" i="2"/>
  <c r="MZ38" i="2" s="1"/>
  <c r="MZ36" i="2"/>
  <c r="MN35" i="2"/>
  <c r="MN36" i="2"/>
  <c r="MX45" i="2" l="1"/>
  <c r="MX44" i="2" s="1"/>
  <c r="MZ44" i="2" s="1"/>
  <c r="MZ46" i="2" s="1"/>
  <c r="MZ47" i="2" s="1"/>
  <c r="MN38" i="2"/>
  <c r="ML61" i="2" s="1"/>
  <c r="ML66" i="2" s="1"/>
  <c r="MN66" i="2" s="1"/>
  <c r="MN61" i="2" l="1"/>
  <c r="ML63" i="2"/>
  <c r="MN63" i="2" s="1"/>
  <c r="MT41" i="2"/>
  <c r="MT42" i="2"/>
  <c r="ML69" i="2" l="1"/>
  <c r="MH65" i="2" s="1"/>
  <c r="MH70" i="2" s="1"/>
  <c r="MT44" i="2"/>
  <c r="MT43" i="2" s="1"/>
  <c r="MT40" i="2"/>
  <c r="ML68" i="2"/>
  <c r="MN68" i="2" s="1"/>
  <c r="MN70" i="2" s="1"/>
  <c r="MN71" i="2" s="1"/>
  <c r="MH66" i="2" l="1"/>
  <c r="MH68" i="2" s="1"/>
  <c r="MH71" i="2" l="1"/>
  <c r="MH67" i="2"/>
  <c r="MH64" i="2"/>
  <c r="DX32" i="2" l="1"/>
  <c r="DW32" i="2"/>
  <c r="DY32" i="2" s="1"/>
  <c r="EA32" i="2" s="1"/>
  <c r="DW30" i="2"/>
  <c r="DY30" i="2" s="1"/>
  <c r="EA30" i="2" s="1"/>
  <c r="DW28" i="2"/>
  <c r="DY28" i="2" s="1"/>
  <c r="EA28" i="2" s="1"/>
  <c r="DX27" i="2"/>
  <c r="DX33" i="2" s="1"/>
  <c r="DW25" i="2"/>
  <c r="DX22" i="2"/>
  <c r="DX21" i="2"/>
  <c r="DX20" i="2"/>
  <c r="DX19" i="2"/>
  <c r="DW16" i="2"/>
  <c r="CP16" i="2"/>
  <c r="DW29" i="2" l="1"/>
  <c r="DY29" i="2" s="1"/>
  <c r="EA29" i="2" s="1"/>
  <c r="DY22" i="2"/>
  <c r="EA22" i="2" s="1"/>
  <c r="DY20" i="2"/>
  <c r="EA20" i="2" s="1"/>
  <c r="DY19" i="2"/>
  <c r="EA19" i="2" s="1"/>
  <c r="DB19" i="2" l="1"/>
  <c r="DB18" i="2"/>
  <c r="DB17" i="2"/>
  <c r="DB16" i="2"/>
  <c r="DC16" i="2" s="1"/>
  <c r="DE16" i="2" s="1"/>
  <c r="DX17" i="2"/>
  <c r="DY17" i="2" s="1"/>
  <c r="EA17" i="2" s="1"/>
  <c r="DX16" i="2"/>
  <c r="DY16" i="2" s="1"/>
  <c r="EA16" i="2" s="1"/>
  <c r="DX26" i="2" l="1"/>
  <c r="DY26" i="2" s="1"/>
  <c r="EA26" i="2" s="1"/>
  <c r="DX25" i="2"/>
  <c r="EI18" i="2"/>
  <c r="DY65" i="2" l="1"/>
  <c r="DY25" i="2"/>
  <c r="EA25" i="2" s="1"/>
  <c r="S64" i="2"/>
  <c r="S24" i="2"/>
  <c r="U24" i="2" s="1"/>
  <c r="S23" i="2"/>
  <c r="U23" i="2" s="1"/>
  <c r="S22" i="2"/>
  <c r="U22" i="2" s="1"/>
  <c r="R20" i="2"/>
  <c r="Q20" i="2"/>
  <c r="R19" i="2"/>
  <c r="R18" i="2"/>
  <c r="Q18" i="2"/>
  <c r="R17" i="2"/>
  <c r="Q17" i="2"/>
  <c r="M17" i="2"/>
  <c r="M18" i="2" s="1"/>
  <c r="M19" i="2" s="1"/>
  <c r="M20" i="2" s="1"/>
  <c r="M21" i="2" s="1"/>
  <c r="M22" i="2" s="1"/>
  <c r="M23" i="2" s="1"/>
  <c r="M24" i="2" s="1"/>
  <c r="M25" i="2" s="1"/>
  <c r="R16" i="2"/>
  <c r="Q16" i="2"/>
  <c r="O10" i="2"/>
  <c r="O11" i="2" s="1"/>
  <c r="O64" i="2" s="1"/>
  <c r="S16" i="2" l="1"/>
  <c r="U16" i="2" s="1"/>
  <c r="R25" i="2"/>
  <c r="U25" i="2" s="1"/>
  <c r="S20" i="2"/>
  <c r="U20" i="2" s="1"/>
  <c r="S17" i="2"/>
  <c r="U17" i="2" s="1"/>
  <c r="S18" i="2"/>
  <c r="U18" i="2" s="1"/>
  <c r="S62" i="2"/>
  <c r="Q19" i="2"/>
  <c r="S19" i="2" s="1"/>
  <c r="U19" i="2" s="1"/>
  <c r="Q21" i="2"/>
  <c r="S21" i="2" s="1"/>
  <c r="U21" i="2" s="1"/>
  <c r="LP35" i="2"/>
  <c r="LP28" i="2"/>
  <c r="LP30" i="2" s="1"/>
  <c r="LP31" i="2" s="1"/>
  <c r="LP32" i="2" s="1"/>
  <c r="LP17" i="2"/>
  <c r="LP18" i="2" s="1"/>
  <c r="LM16" i="2"/>
  <c r="LN16" i="2"/>
  <c r="LN18" i="2" s="1"/>
  <c r="LM17" i="2"/>
  <c r="LO17" i="2" s="1"/>
  <c r="LM20" i="2"/>
  <c r="LN20" i="2"/>
  <c r="LM21" i="2"/>
  <c r="LN21" i="2"/>
  <c r="LN22" i="2"/>
  <c r="LO22" i="2" s="1"/>
  <c r="LQ22" i="2" s="1"/>
  <c r="LN23" i="2"/>
  <c r="LO23" i="2" s="1"/>
  <c r="LQ23" i="2" s="1"/>
  <c r="LN24" i="2"/>
  <c r="LO24" i="2" s="1"/>
  <c r="LQ24" i="2" s="1"/>
  <c r="LM25" i="2"/>
  <c r="LN25" i="2"/>
  <c r="LN36" i="2" s="1"/>
  <c r="LQ36" i="2" s="1"/>
  <c r="LM27" i="2"/>
  <c r="LM30" i="2" s="1"/>
  <c r="LN27" i="2"/>
  <c r="LM28" i="2"/>
  <c r="LN28" i="2"/>
  <c r="LN30" i="2"/>
  <c r="LM31" i="2"/>
  <c r="LN31" i="2"/>
  <c r="LM32" i="2"/>
  <c r="LN32" i="2"/>
  <c r="LM34" i="2"/>
  <c r="LN34" i="2"/>
  <c r="LM35" i="2"/>
  <c r="LN35" i="2"/>
  <c r="U26" i="2" l="1"/>
  <c r="U27" i="2" s="1"/>
  <c r="S61" i="2" s="1"/>
  <c r="LO34" i="2"/>
  <c r="LQ34" i="2" s="1"/>
  <c r="LO31" i="2"/>
  <c r="LO21" i="2"/>
  <c r="LQ21" i="2" s="1"/>
  <c r="LQ17" i="2"/>
  <c r="LO16" i="2"/>
  <c r="LQ16" i="2" s="1"/>
  <c r="LO35" i="2"/>
  <c r="LQ35" i="2" s="1"/>
  <c r="LO32" i="2"/>
  <c r="LQ32" i="2" s="1"/>
  <c r="LO28" i="2"/>
  <c r="LQ28" i="2" s="1"/>
  <c r="LO30" i="2"/>
  <c r="LQ30" i="2" s="1"/>
  <c r="LO25" i="2"/>
  <c r="LQ25" i="2" s="1"/>
  <c r="LQ43" i="2" s="1"/>
  <c r="LO20" i="2"/>
  <c r="LQ20" i="2" s="1"/>
  <c r="LQ40" i="2" s="1"/>
  <c r="LO27" i="2"/>
  <c r="LQ27" i="2" s="1"/>
  <c r="LM18" i="2"/>
  <c r="LO18" i="2" s="1"/>
  <c r="LQ18" i="2" s="1"/>
  <c r="LQ31" i="2"/>
  <c r="JB29" i="2"/>
  <c r="JB27" i="2"/>
  <c r="HT30" i="2"/>
  <c r="HV30" i="2" s="1"/>
  <c r="HT29" i="2"/>
  <c r="HV29" i="2" s="1"/>
  <c r="HT28" i="2"/>
  <c r="HV28" i="2" s="1"/>
  <c r="HT27" i="2"/>
  <c r="HV27" i="2" s="1"/>
  <c r="HT26" i="2"/>
  <c r="HV26" i="2" s="1"/>
  <c r="HS25" i="2"/>
  <c r="HR25" i="2"/>
  <c r="HS24" i="2"/>
  <c r="HR24" i="2"/>
  <c r="HS23" i="2"/>
  <c r="HS22" i="2"/>
  <c r="HR22" i="2"/>
  <c r="HR23" i="2" s="1"/>
  <c r="HS21" i="2"/>
  <c r="HR21" i="2"/>
  <c r="HS20" i="2"/>
  <c r="HT20" i="2" s="1"/>
  <c r="HV20" i="2" s="1"/>
  <c r="HS19" i="2"/>
  <c r="HT19" i="2" s="1"/>
  <c r="HV19" i="2" s="1"/>
  <c r="HS18" i="2"/>
  <c r="HT18" i="2" s="1"/>
  <c r="HV18" i="2" s="1"/>
  <c r="HS17" i="2"/>
  <c r="HS16" i="2"/>
  <c r="HR16" i="2"/>
  <c r="HR17" i="2" s="1"/>
  <c r="GM34" i="2"/>
  <c r="GO34" i="2" s="1"/>
  <c r="GM33" i="2"/>
  <c r="GO33" i="2" s="1"/>
  <c r="GM32" i="2"/>
  <c r="GO32" i="2" s="1"/>
  <c r="GM31" i="2"/>
  <c r="GO31" i="2" s="1"/>
  <c r="GL29" i="2"/>
  <c r="GK29" i="2"/>
  <c r="GL28" i="2"/>
  <c r="GM28" i="2" s="1"/>
  <c r="GO28" i="2" s="1"/>
  <c r="GL27" i="2"/>
  <c r="GM27" i="2" s="1"/>
  <c r="GO27" i="2" s="1"/>
  <c r="GL26" i="2"/>
  <c r="GK26" i="2"/>
  <c r="GL25" i="2"/>
  <c r="GK25" i="2"/>
  <c r="GL24" i="2"/>
  <c r="GL35" i="2" s="1"/>
  <c r="GO35" i="2" s="1"/>
  <c r="GK24" i="2"/>
  <c r="GL23" i="2"/>
  <c r="GM23" i="2" s="1"/>
  <c r="GO23" i="2" s="1"/>
  <c r="GL22" i="2"/>
  <c r="GM22" i="2" s="1"/>
  <c r="GO22" i="2" s="1"/>
  <c r="GL21" i="2"/>
  <c r="GM21" i="2" s="1"/>
  <c r="GO21" i="2" s="1"/>
  <c r="GL20" i="2"/>
  <c r="GM20" i="2" s="1"/>
  <c r="GO20" i="2" s="1"/>
  <c r="GL19" i="2"/>
  <c r="GM19" i="2" s="1"/>
  <c r="GL18" i="2"/>
  <c r="GM18" i="2" s="1"/>
  <c r="GO18" i="2" s="1"/>
  <c r="GL17" i="2"/>
  <c r="GM17" i="2" s="1"/>
  <c r="GL16" i="2"/>
  <c r="GK16" i="2"/>
  <c r="EI35" i="2"/>
  <c r="EJ35" i="2" s="1"/>
  <c r="EL35" i="2" s="1"/>
  <c r="EI34" i="2"/>
  <c r="EJ34" i="2" s="1"/>
  <c r="EL34" i="2" s="1"/>
  <c r="EI33" i="2"/>
  <c r="EJ33" i="2" s="1"/>
  <c r="EL33" i="2" s="1"/>
  <c r="HT17" i="2" l="1"/>
  <c r="HV17" i="2" s="1"/>
  <c r="HT23" i="2"/>
  <c r="HV23" i="2" s="1"/>
  <c r="HS31" i="2"/>
  <c r="HV31" i="2" s="1"/>
  <c r="S65" i="2"/>
  <c r="S63" i="2"/>
  <c r="LQ37" i="2"/>
  <c r="LQ38" i="2"/>
  <c r="HT21" i="2"/>
  <c r="HV21" i="2" s="1"/>
  <c r="HV35" i="2" s="1"/>
  <c r="LQ44" i="2"/>
  <c r="GM24" i="2"/>
  <c r="GO24" i="2" s="1"/>
  <c r="GM25" i="2"/>
  <c r="GO25" i="2" s="1"/>
  <c r="GO37" i="2" s="1"/>
  <c r="GM26" i="2"/>
  <c r="GM40" i="2" s="1"/>
  <c r="GM42" i="2"/>
  <c r="GM16" i="2"/>
  <c r="GO16" i="2" s="1"/>
  <c r="GO38" i="2" s="1"/>
  <c r="GL36" i="2"/>
  <c r="GO36" i="2" s="1"/>
  <c r="GM29" i="2"/>
  <c r="GO29" i="2" s="1"/>
  <c r="GK30" i="2"/>
  <c r="GM30" i="2" s="1"/>
  <c r="GO30" i="2" s="1"/>
  <c r="HT24" i="2"/>
  <c r="HV24" i="2" s="1"/>
  <c r="HV36" i="2" s="1"/>
  <c r="HT25" i="2"/>
  <c r="HV25" i="2" s="1"/>
  <c r="HV33" i="2" s="1"/>
  <c r="HT22" i="2"/>
  <c r="HV22" i="2" s="1"/>
  <c r="HT16" i="2"/>
  <c r="HV16" i="2" s="1"/>
  <c r="HV32" i="2" s="1"/>
  <c r="GM38" i="2"/>
  <c r="GM37" i="2"/>
  <c r="GO26" i="2"/>
  <c r="GO40" i="2" s="1"/>
  <c r="GO17" i="2"/>
  <c r="GO19" i="2"/>
  <c r="GO42" i="2" s="1"/>
  <c r="HV34" i="2" l="1"/>
  <c r="HV37" i="2" s="1"/>
  <c r="S68" i="2"/>
  <c r="GM41" i="2"/>
  <c r="GO41" i="2"/>
  <c r="GM39" i="2"/>
  <c r="GO39" i="2"/>
  <c r="BU23" i="2"/>
  <c r="GO43" i="2" l="1"/>
  <c r="I65" i="2"/>
  <c r="T65" i="2" s="1"/>
  <c r="U65" i="2" s="1"/>
  <c r="I64" i="2"/>
  <c r="T64" i="2" s="1"/>
  <c r="U64" i="2" s="1"/>
  <c r="I63" i="2"/>
  <c r="T63" i="2" s="1"/>
  <c r="U63" i="2" s="1"/>
  <c r="I62" i="2"/>
  <c r="T62" i="2" s="1"/>
  <c r="U62" i="2" s="1"/>
  <c r="I61" i="2"/>
  <c r="T61" i="2" s="1"/>
  <c r="U61" i="2" s="1"/>
  <c r="H64" i="2"/>
  <c r="J64" i="2" s="1"/>
  <c r="H24" i="2"/>
  <c r="J24" i="2" s="1"/>
  <c r="H23" i="2"/>
  <c r="J23" i="2" s="1"/>
  <c r="G20" i="2"/>
  <c r="F20" i="2"/>
  <c r="F21" i="2" s="1"/>
  <c r="H21" i="2" s="1"/>
  <c r="J21" i="2" s="1"/>
  <c r="G19" i="2"/>
  <c r="G18" i="2"/>
  <c r="F18" i="2"/>
  <c r="F19" i="2" s="1"/>
  <c r="G17" i="2"/>
  <c r="F17" i="2"/>
  <c r="B17" i="2"/>
  <c r="B18" i="2" s="1"/>
  <c r="B19" i="2" s="1"/>
  <c r="B20" i="2" s="1"/>
  <c r="B21" i="2" s="1"/>
  <c r="B22" i="2" s="1"/>
  <c r="B23" i="2" s="1"/>
  <c r="B24" i="2" s="1"/>
  <c r="B25" i="2" s="1"/>
  <c r="G16" i="2"/>
  <c r="F16" i="2"/>
  <c r="D10" i="2"/>
  <c r="D11" i="2" s="1"/>
  <c r="D64" i="2" s="1"/>
  <c r="AD64" i="2"/>
  <c r="AF64" i="2" s="1"/>
  <c r="AD63" i="2"/>
  <c r="AF63" i="2" s="1"/>
  <c r="AC30" i="2"/>
  <c r="AB30" i="2"/>
  <c r="AD21" i="2"/>
  <c r="AF21" i="2" s="1"/>
  <c r="AD20" i="2"/>
  <c r="AF20" i="2" s="1"/>
  <c r="AC19" i="2"/>
  <c r="AC23" i="2" s="1"/>
  <c r="AB19" i="2"/>
  <c r="AC18" i="2"/>
  <c r="AB18" i="2"/>
  <c r="AC17" i="2"/>
  <c r="AC22" i="2" s="1"/>
  <c r="AB17" i="2"/>
  <c r="X17" i="2"/>
  <c r="X18" i="2" s="1"/>
  <c r="X19" i="2" s="1"/>
  <c r="X20" i="2" s="1"/>
  <c r="X21" i="2" s="1"/>
  <c r="X22" i="2" s="1"/>
  <c r="X23" i="2" s="1"/>
  <c r="AC16" i="2"/>
  <c r="AB16" i="2"/>
  <c r="Z10" i="2"/>
  <c r="Z11" i="2" s="1"/>
  <c r="Z62" i="2" s="1"/>
  <c r="H19" i="2" l="1"/>
  <c r="J19" i="2" s="1"/>
  <c r="H16" i="2"/>
  <c r="J16" i="2" s="1"/>
  <c r="G25" i="2"/>
  <c r="J25" i="2" s="1"/>
  <c r="AD30" i="2"/>
  <c r="AF30" i="2" s="1"/>
  <c r="AD62" i="2" s="1"/>
  <c r="AF62" i="2" s="1"/>
  <c r="H17" i="2"/>
  <c r="J17" i="2" s="1"/>
  <c r="H18" i="2"/>
  <c r="J18" i="2" s="1"/>
  <c r="H20" i="2"/>
  <c r="J20" i="2" s="1"/>
  <c r="AD16" i="2"/>
  <c r="AD17" i="2"/>
  <c r="AF17" i="2" s="1"/>
  <c r="AD18" i="2"/>
  <c r="AD25" i="2" s="1"/>
  <c r="AD19" i="2"/>
  <c r="AF19" i="2" s="1"/>
  <c r="AD58" i="2"/>
  <c r="AF58" i="2" s="1"/>
  <c r="AF22" i="2"/>
  <c r="AD59" i="2"/>
  <c r="AF59" i="2" s="1"/>
  <c r="AD60" i="2"/>
  <c r="AF60" i="2" s="1"/>
  <c r="AF23" i="2"/>
  <c r="H62" i="2" l="1"/>
  <c r="J62" i="2" s="1"/>
  <c r="AD24" i="2"/>
  <c r="AF16" i="2"/>
  <c r="AF24" i="2" s="1"/>
  <c r="AF18" i="2"/>
  <c r="AF25" i="2" s="1"/>
  <c r="J26" i="2"/>
  <c r="J27" i="2" s="1"/>
  <c r="H61" i="2" s="1"/>
  <c r="H65" i="2" s="1"/>
  <c r="J65" i="2" s="1"/>
  <c r="H63" i="2" l="1"/>
  <c r="J63" i="2" s="1"/>
  <c r="J61" i="2"/>
  <c r="AF26" i="2"/>
  <c r="AD57" i="2" s="1"/>
  <c r="H68" i="2" l="1"/>
  <c r="AD65" i="2"/>
  <c r="AF65" i="2" s="1"/>
  <c r="AF57" i="2"/>
  <c r="AD61" i="2"/>
  <c r="AF61" i="2" s="1"/>
  <c r="AD68" i="2" l="1"/>
  <c r="Z64" i="2" s="1"/>
  <c r="AD67" i="2" l="1"/>
  <c r="AF67" i="2" s="1"/>
  <c r="AF69" i="2" s="1"/>
  <c r="AF70" i="2" s="1"/>
  <c r="Z65" i="2" s="1"/>
  <c r="Z67" i="2" s="1"/>
  <c r="Z66" i="2" s="1"/>
  <c r="Z63" i="2" l="1"/>
  <c r="BI16" i="2"/>
  <c r="BI17" i="2"/>
  <c r="BK64" i="2"/>
  <c r="BK63" i="2"/>
  <c r="BJ30" i="2"/>
  <c r="BI30" i="2"/>
  <c r="BK22" i="2"/>
  <c r="BM22" i="2" s="1"/>
  <c r="BK21" i="2"/>
  <c r="BM21" i="2" s="1"/>
  <c r="BJ19" i="2"/>
  <c r="BI19" i="2"/>
  <c r="BJ18" i="2"/>
  <c r="BI18" i="2"/>
  <c r="BI20" i="2" s="1"/>
  <c r="BK20" i="2" s="1"/>
  <c r="BM20" i="2" s="1"/>
  <c r="BJ17" i="2"/>
  <c r="BJ23" i="2" s="1"/>
  <c r="BE17" i="2"/>
  <c r="BE18" i="2" s="1"/>
  <c r="BE19" i="2" s="1"/>
  <c r="BE20" i="2" s="1"/>
  <c r="BE21" i="2" s="1"/>
  <c r="BJ16" i="2"/>
  <c r="BG10" i="2"/>
  <c r="BG11" i="2" s="1"/>
  <c r="BG62" i="2" s="1"/>
  <c r="BK19" i="2" l="1"/>
  <c r="BM19" i="2" s="1"/>
  <c r="BK16" i="2"/>
  <c r="BM16" i="2" s="1"/>
  <c r="BK17" i="2"/>
  <c r="BM17" i="2" s="1"/>
  <c r="BK30" i="2"/>
  <c r="BM30" i="2" s="1"/>
  <c r="BK62" i="2" s="1"/>
  <c r="BK60" i="2"/>
  <c r="BM23" i="2"/>
  <c r="BE22" i="2"/>
  <c r="BE23" i="2"/>
  <c r="BK18" i="2"/>
  <c r="BM18" i="2" s="1"/>
  <c r="BM24" i="2" l="1"/>
  <c r="BM25" i="2" s="1"/>
  <c r="BK59" i="2" s="1"/>
  <c r="BK61" i="2" l="1"/>
  <c r="BK65" i="2"/>
  <c r="BK68" i="2" l="1"/>
  <c r="BG64" i="2" s="1"/>
  <c r="BK67" i="2" l="1"/>
  <c r="BV64" i="2"/>
  <c r="BV63" i="2"/>
  <c r="BU30" i="2"/>
  <c r="BT30" i="2"/>
  <c r="BT23" i="2"/>
  <c r="BV23" i="2" s="1"/>
  <c r="BX23" i="2" s="1"/>
  <c r="BV59" i="2" s="1"/>
  <c r="BV22" i="2"/>
  <c r="BX22" i="2" s="1"/>
  <c r="BV21" i="2"/>
  <c r="BX21" i="2" s="1"/>
  <c r="BU19" i="2"/>
  <c r="BT19" i="2"/>
  <c r="BU18" i="2"/>
  <c r="BT18" i="2"/>
  <c r="BT20" i="2" s="1"/>
  <c r="BV20" i="2" s="1"/>
  <c r="BX20" i="2" s="1"/>
  <c r="BU17" i="2"/>
  <c r="BU24" i="2" s="1"/>
  <c r="BT17" i="2"/>
  <c r="BP17" i="2"/>
  <c r="BP18" i="2" s="1"/>
  <c r="BP19" i="2" s="1"/>
  <c r="BP20" i="2" s="1"/>
  <c r="BP21" i="2" s="1"/>
  <c r="BP22" i="2" s="1"/>
  <c r="BP23" i="2" s="1"/>
  <c r="BP24" i="2" s="1"/>
  <c r="BU16" i="2"/>
  <c r="BT16" i="2"/>
  <c r="BR10" i="2"/>
  <c r="BR11" i="2" s="1"/>
  <c r="BR62" i="2" s="1"/>
  <c r="BV17" i="2" l="1"/>
  <c r="BX17" i="2" s="1"/>
  <c r="BX26" i="2" s="1"/>
  <c r="BV19" i="2"/>
  <c r="BX19" i="2" s="1"/>
  <c r="BV30" i="2"/>
  <c r="BX30" i="2" s="1"/>
  <c r="BV62" i="2" s="1"/>
  <c r="BX62" i="2" s="1"/>
  <c r="BV16" i="2"/>
  <c r="BX16" i="2" s="1"/>
  <c r="BX24" i="2"/>
  <c r="BV60" i="2"/>
  <c r="BX60" i="2" s="1"/>
  <c r="BV18" i="2"/>
  <c r="BX18" i="2" s="1"/>
  <c r="BX27" i="2" s="1"/>
  <c r="BX25" i="2" l="1"/>
  <c r="BX28" i="2"/>
  <c r="BV58" i="2" s="1"/>
  <c r="BV65" i="2" s="1"/>
  <c r="BV61" i="2" l="1"/>
  <c r="BV68" i="2" s="1"/>
  <c r="BR64" i="2" l="1"/>
  <c r="BV67" i="2"/>
  <c r="IQ55" i="2" l="1"/>
  <c r="JX55" i="2" s="1"/>
  <c r="KI62" i="2"/>
  <c r="KI63" i="2"/>
  <c r="KH64" i="2"/>
  <c r="KH63" i="2"/>
  <c r="JW64" i="2"/>
  <c r="JW63" i="2"/>
  <c r="JY63" i="2" s="1"/>
  <c r="JV45" i="2"/>
  <c r="JW45" i="2" s="1"/>
  <c r="JY45" i="2" s="1"/>
  <c r="JV36" i="2"/>
  <c r="JY36" i="2" s="1"/>
  <c r="JV35" i="2"/>
  <c r="JY35" i="2" s="1"/>
  <c r="JV33" i="2"/>
  <c r="JU33" i="2"/>
  <c r="JV32" i="2"/>
  <c r="JW32" i="2" s="1"/>
  <c r="JY32" i="2" s="1"/>
  <c r="JV31" i="2"/>
  <c r="JW31" i="2" s="1"/>
  <c r="JY31" i="2" s="1"/>
  <c r="KG45" i="2"/>
  <c r="KH45" i="2" s="1"/>
  <c r="KJ45" i="2" s="1"/>
  <c r="KG36" i="2"/>
  <c r="KH59" i="2" s="1"/>
  <c r="KG35" i="2"/>
  <c r="KH60" i="2" s="1"/>
  <c r="KG33" i="2"/>
  <c r="KF33" i="2"/>
  <c r="KG32" i="2"/>
  <c r="KH32" i="2" s="1"/>
  <c r="KJ32" i="2" s="1"/>
  <c r="KG31" i="2"/>
  <c r="KH31" i="2" s="1"/>
  <c r="KH30" i="2"/>
  <c r="KJ30" i="2" s="1"/>
  <c r="JW30" i="2"/>
  <c r="JY30" i="2" s="1"/>
  <c r="KH29" i="2"/>
  <c r="KJ29" i="2" s="1"/>
  <c r="JW29" i="2"/>
  <c r="JY29" i="2" s="1"/>
  <c r="KH28" i="2"/>
  <c r="KJ28" i="2" s="1"/>
  <c r="JW28" i="2"/>
  <c r="JY28" i="2" s="1"/>
  <c r="KH27" i="2"/>
  <c r="KJ27" i="2" s="1"/>
  <c r="JW27" i="2"/>
  <c r="JY27" i="2" s="1"/>
  <c r="KH26" i="2"/>
  <c r="KJ26" i="2" s="1"/>
  <c r="JW26" i="2"/>
  <c r="JY26" i="2" s="1"/>
  <c r="KH25" i="2"/>
  <c r="KJ25" i="2" s="1"/>
  <c r="JW25" i="2"/>
  <c r="JY25" i="2" s="1"/>
  <c r="KG23" i="2"/>
  <c r="KF23" i="2"/>
  <c r="JV23" i="2"/>
  <c r="JU23" i="2"/>
  <c r="KG22" i="2"/>
  <c r="KG24" i="2" s="1"/>
  <c r="KF22" i="2"/>
  <c r="JV22" i="2"/>
  <c r="JU22" i="2"/>
  <c r="KG21" i="2"/>
  <c r="KF21" i="2"/>
  <c r="JV21" i="2"/>
  <c r="JU21" i="2"/>
  <c r="KG20" i="2"/>
  <c r="JV20" i="2"/>
  <c r="KG19" i="2"/>
  <c r="KF19" i="2"/>
  <c r="KF20" i="2" s="1"/>
  <c r="JV19" i="2"/>
  <c r="JU19" i="2"/>
  <c r="JU20" i="2" s="1"/>
  <c r="JW20" i="2" s="1"/>
  <c r="JY20" i="2" s="1"/>
  <c r="KG18" i="2"/>
  <c r="KH18" i="2" s="1"/>
  <c r="JV18" i="2"/>
  <c r="JW18" i="2" s="1"/>
  <c r="KG17" i="2"/>
  <c r="KH17" i="2" s="1"/>
  <c r="KJ17" i="2" s="1"/>
  <c r="KB17" i="2"/>
  <c r="KB18" i="2" s="1"/>
  <c r="KB19" i="2" s="1"/>
  <c r="KB20" i="2" s="1"/>
  <c r="KB21" i="2" s="1"/>
  <c r="KB22" i="2" s="1"/>
  <c r="KB23" i="2" s="1"/>
  <c r="KB24" i="2" s="1"/>
  <c r="KB25" i="2" s="1"/>
  <c r="KB26" i="2" s="1"/>
  <c r="KB27" i="2" s="1"/>
  <c r="KB28" i="2" s="1"/>
  <c r="KB29" i="2" s="1"/>
  <c r="KB30" i="2" s="1"/>
  <c r="KB31" i="2" s="1"/>
  <c r="KB32" i="2" s="1"/>
  <c r="KB33" i="2" s="1"/>
  <c r="KB34" i="2" s="1"/>
  <c r="KB35" i="2" s="1"/>
  <c r="KB36" i="2" s="1"/>
  <c r="JV17" i="2"/>
  <c r="JW17" i="2" s="1"/>
  <c r="JY17" i="2" s="1"/>
  <c r="JQ17" i="2"/>
  <c r="JQ18" i="2" s="1"/>
  <c r="JQ19" i="2" s="1"/>
  <c r="JQ20" i="2" s="1"/>
  <c r="JQ21" i="2" s="1"/>
  <c r="JQ22" i="2" s="1"/>
  <c r="JQ23" i="2" s="1"/>
  <c r="JQ24" i="2" s="1"/>
  <c r="JQ25" i="2" s="1"/>
  <c r="JQ26" i="2" s="1"/>
  <c r="JQ27" i="2" s="1"/>
  <c r="JQ28" i="2" s="1"/>
  <c r="JQ29" i="2" s="1"/>
  <c r="JQ30" i="2" s="1"/>
  <c r="JQ31" i="2" s="1"/>
  <c r="JQ32" i="2" s="1"/>
  <c r="JQ33" i="2" s="1"/>
  <c r="JQ34" i="2" s="1"/>
  <c r="JQ35" i="2" s="1"/>
  <c r="JQ36" i="2" s="1"/>
  <c r="KG16" i="2"/>
  <c r="KH16" i="2" s="1"/>
  <c r="JV16" i="2"/>
  <c r="JW16" i="2" s="1"/>
  <c r="KD10" i="2"/>
  <c r="KD11" i="2" s="1"/>
  <c r="KD62" i="2" s="1"/>
  <c r="JS10" i="2"/>
  <c r="JS11" i="2" s="1"/>
  <c r="JS62" i="2" s="1"/>
  <c r="JY38" i="2" l="1"/>
  <c r="JX60" i="2"/>
  <c r="KI60" i="2" s="1"/>
  <c r="KJ60" i="2" s="1"/>
  <c r="JX61" i="2"/>
  <c r="KI61" i="2" s="1"/>
  <c r="KJ36" i="2"/>
  <c r="JW38" i="2"/>
  <c r="KI55" i="2"/>
  <c r="JX64" i="2"/>
  <c r="KI64" i="2" s="1"/>
  <c r="KJ64" i="2" s="1"/>
  <c r="KJ63" i="2"/>
  <c r="KH62" i="2"/>
  <c r="KJ62" i="2" s="1"/>
  <c r="KH58" i="2"/>
  <c r="KG34" i="2"/>
  <c r="KH57" i="2" s="1"/>
  <c r="JV34" i="2"/>
  <c r="JW57" i="2" s="1"/>
  <c r="JW62" i="2"/>
  <c r="JY62" i="2" s="1"/>
  <c r="JW58" i="2"/>
  <c r="JW60" i="2"/>
  <c r="KH33" i="2"/>
  <c r="KJ33" i="2" s="1"/>
  <c r="JW33" i="2"/>
  <c r="JY33" i="2" s="1"/>
  <c r="JW59" i="2"/>
  <c r="KJ35" i="2"/>
  <c r="KH20" i="2"/>
  <c r="KH21" i="2"/>
  <c r="KJ21" i="2" s="1"/>
  <c r="JW22" i="2"/>
  <c r="JY22" i="2" s="1"/>
  <c r="KH22" i="2"/>
  <c r="KJ22" i="2" s="1"/>
  <c r="KH23" i="2"/>
  <c r="KJ23" i="2" s="1"/>
  <c r="KJ41" i="2" s="1"/>
  <c r="JW40" i="2"/>
  <c r="JY18" i="2"/>
  <c r="JY40" i="2" s="1"/>
  <c r="KJ16" i="2"/>
  <c r="JY16" i="2"/>
  <c r="KH19" i="2"/>
  <c r="KH37" i="2" s="1"/>
  <c r="JW21" i="2"/>
  <c r="JY21" i="2" s="1"/>
  <c r="JV24" i="2"/>
  <c r="JW56" i="2" s="1"/>
  <c r="JW23" i="2"/>
  <c r="KH56" i="2"/>
  <c r="KJ24" i="2"/>
  <c r="KH40" i="2"/>
  <c r="KJ18" i="2"/>
  <c r="KJ40" i="2" s="1"/>
  <c r="JW19" i="2"/>
  <c r="JW37" i="2" s="1"/>
  <c r="KJ31" i="2"/>
  <c r="KH42" i="2" l="1"/>
  <c r="KJ34" i="2"/>
  <c r="KJ42" i="2"/>
  <c r="JY60" i="2"/>
  <c r="KJ20" i="2"/>
  <c r="KJ38" i="2" s="1"/>
  <c r="KH38" i="2"/>
  <c r="JW39" i="2"/>
  <c r="JY64" i="2"/>
  <c r="KH39" i="2"/>
  <c r="JY34" i="2"/>
  <c r="KH41" i="2"/>
  <c r="JW42" i="2"/>
  <c r="KJ39" i="2"/>
  <c r="KJ43" i="2" s="1"/>
  <c r="KH54" i="2" s="1"/>
  <c r="JY19" i="2"/>
  <c r="JY37" i="2" s="1"/>
  <c r="JW55" i="2" s="1"/>
  <c r="JY24" i="2"/>
  <c r="KJ19" i="2"/>
  <c r="JY39" i="2"/>
  <c r="JW41" i="2"/>
  <c r="JY23" i="2"/>
  <c r="JY41" i="2" s="1"/>
  <c r="JY42" i="2"/>
  <c r="KJ37" i="2" l="1"/>
  <c r="KH55" i="2" s="1"/>
  <c r="KJ55" i="2" s="1"/>
  <c r="KH61" i="2"/>
  <c r="KJ61" i="2" s="1"/>
  <c r="JY55" i="2"/>
  <c r="JY43" i="2"/>
  <c r="JW54" i="2" s="1"/>
  <c r="KH65" i="2" l="1"/>
  <c r="JW65" i="2"/>
  <c r="JW61" i="2"/>
  <c r="JY61" i="2" s="1"/>
  <c r="KH68" i="2" l="1"/>
  <c r="KH67" i="2" s="1"/>
  <c r="JW68" i="2"/>
  <c r="JW67" i="2" s="1"/>
  <c r="KD64" i="2" l="1"/>
  <c r="JS64" i="2"/>
  <c r="KR21" i="2" l="1"/>
  <c r="GM64" i="2" l="1"/>
  <c r="GM63" i="2"/>
  <c r="GM62" i="2"/>
  <c r="GG17" i="2"/>
  <c r="GG18" i="2" s="1"/>
  <c r="GG19" i="2" s="1"/>
  <c r="GG20" i="2" s="1"/>
  <c r="GG21" i="2" s="1"/>
  <c r="GG22" i="2" s="1"/>
  <c r="GG23" i="2" s="1"/>
  <c r="GG24" i="2" s="1"/>
  <c r="GG25" i="2" s="1"/>
  <c r="GG26" i="2" s="1"/>
  <c r="GG27" i="2" s="1"/>
  <c r="GG28" i="2" s="1"/>
  <c r="GG29" i="2" s="1"/>
  <c r="GG30" i="2" s="1"/>
  <c r="GG31" i="2" s="1"/>
  <c r="GG32" i="2" s="1"/>
  <c r="GG33" i="2" s="1"/>
  <c r="GG34" i="2" s="1"/>
  <c r="GG35" i="2" s="1"/>
  <c r="GG36" i="2" s="1"/>
  <c r="GI10" i="2"/>
  <c r="GI11" i="2" s="1"/>
  <c r="GI57" i="2" s="1"/>
  <c r="GM58" i="2" l="1"/>
  <c r="GM60" i="2"/>
  <c r="GM59" i="2"/>
  <c r="DD67" i="2"/>
  <c r="CS61" i="2"/>
  <c r="GM57" i="2" l="1"/>
  <c r="CR64" i="2"/>
  <c r="CR63" i="2"/>
  <c r="CR26" i="2"/>
  <c r="CT26" i="2" s="1"/>
  <c r="CR25" i="2"/>
  <c r="CT25" i="2" s="1"/>
  <c r="CQ22" i="2"/>
  <c r="CP22" i="2"/>
  <c r="CQ21" i="2"/>
  <c r="CP21" i="2"/>
  <c r="CP24" i="2" s="1"/>
  <c r="CR24" i="2" s="1"/>
  <c r="CT24" i="2" s="1"/>
  <c r="CQ20" i="2"/>
  <c r="CP20" i="2"/>
  <c r="CQ19" i="2"/>
  <c r="CQ27" i="2" s="1"/>
  <c r="CP19" i="2"/>
  <c r="CQ17" i="2"/>
  <c r="CQ18" i="2" s="1"/>
  <c r="CR18" i="2" s="1"/>
  <c r="CP17" i="2"/>
  <c r="CL17" i="2"/>
  <c r="CL18" i="2" s="1"/>
  <c r="CL19" i="2" s="1"/>
  <c r="CL20" i="2" s="1"/>
  <c r="CL21" i="2" s="1"/>
  <c r="CL22" i="2" s="1"/>
  <c r="CL23" i="2" s="1"/>
  <c r="CL24" i="2" s="1"/>
  <c r="CQ16" i="2"/>
  <c r="CN10" i="2"/>
  <c r="CN11" i="2" s="1"/>
  <c r="CN63" i="2" s="1"/>
  <c r="CR17" i="2" l="1"/>
  <c r="CT17" i="2" s="1"/>
  <c r="CQ28" i="2"/>
  <c r="CR61" i="2" s="1"/>
  <c r="CT61" i="2" s="1"/>
  <c r="CR16" i="2"/>
  <c r="CT16" i="2" s="1"/>
  <c r="CR19" i="2"/>
  <c r="CT19" i="2" s="1"/>
  <c r="CR20" i="2"/>
  <c r="CR31" i="2" s="1"/>
  <c r="GM61" i="2"/>
  <c r="GM65" i="2"/>
  <c r="CR22" i="2"/>
  <c r="CT22" i="2" s="1"/>
  <c r="CR29" i="2"/>
  <c r="CT18" i="2"/>
  <c r="CT29" i="2" s="1"/>
  <c r="CL26" i="2"/>
  <c r="CL27" i="2" s="1"/>
  <c r="CL28" i="2" s="1"/>
  <c r="CL25" i="2"/>
  <c r="CT27" i="2"/>
  <c r="CR60" i="2"/>
  <c r="CR21" i="2"/>
  <c r="CT21" i="2" s="1"/>
  <c r="CP23" i="2"/>
  <c r="CR23" i="2" s="1"/>
  <c r="CT23" i="2" s="1"/>
  <c r="CT30" i="2" l="1"/>
  <c r="CT20" i="2"/>
  <c r="CT31" i="2" s="1"/>
  <c r="CT28" i="2"/>
  <c r="CR30" i="2"/>
  <c r="GM68" i="2"/>
  <c r="GM67" i="2" s="1"/>
  <c r="CT32" i="2"/>
  <c r="CT33" i="2"/>
  <c r="CR32" i="2"/>
  <c r="CR33" i="2"/>
  <c r="GI59" i="2" l="1"/>
  <c r="JK21" i="2" l="1"/>
  <c r="JK18" i="2"/>
  <c r="JM59" i="2"/>
  <c r="JX59" i="2" s="1"/>
  <c r="KI59" i="2" s="1"/>
  <c r="KJ59" i="2" s="1"/>
  <c r="JM58" i="2"/>
  <c r="JM57" i="2"/>
  <c r="JX57" i="2" s="1"/>
  <c r="JA63" i="2"/>
  <c r="IP63" i="2"/>
  <c r="JY57" i="2" l="1"/>
  <c r="KI57" i="2"/>
  <c r="KJ57" i="2" s="1"/>
  <c r="JY59" i="2"/>
  <c r="IP64" i="2"/>
  <c r="IP35" i="2"/>
  <c r="IR35" i="2" s="1"/>
  <c r="IO40" i="2"/>
  <c r="IO39" i="2"/>
  <c r="DO67" i="2" l="1"/>
  <c r="DZ68" i="2" s="1"/>
  <c r="FG67" i="2" s="1"/>
  <c r="FR67" i="2" s="1"/>
  <c r="BA67" i="2"/>
  <c r="BL67" i="2" s="1"/>
  <c r="BM67" i="2" s="1"/>
  <c r="FK17" i="2"/>
  <c r="FK18" i="2" s="1"/>
  <c r="FK19" i="2" s="1"/>
  <c r="FK20" i="2" s="1"/>
  <c r="FK21" i="2" s="1"/>
  <c r="FK22" i="2" s="1"/>
  <c r="FK23" i="2" s="1"/>
  <c r="FK24" i="2" s="1"/>
  <c r="FK25" i="2" s="1"/>
  <c r="FQ64" i="2"/>
  <c r="FQ63" i="2"/>
  <c r="FP32" i="2"/>
  <c r="FO32" i="2"/>
  <c r="FQ24" i="2"/>
  <c r="FS24" i="2" s="1"/>
  <c r="FS26" i="2" s="1"/>
  <c r="FQ23" i="2"/>
  <c r="FS23" i="2" s="1"/>
  <c r="FP20" i="2"/>
  <c r="FO20" i="2"/>
  <c r="FP19" i="2"/>
  <c r="FQ19" i="2" s="1"/>
  <c r="FS19" i="2" s="1"/>
  <c r="FP18" i="2"/>
  <c r="FO18" i="2"/>
  <c r="FO22" i="2" s="1"/>
  <c r="FQ22" i="2" s="1"/>
  <c r="FS22" i="2" s="1"/>
  <c r="FP17" i="2"/>
  <c r="FO17" i="2"/>
  <c r="FP16" i="2"/>
  <c r="FO16" i="2"/>
  <c r="FM10" i="2"/>
  <c r="FM11" i="2" s="1"/>
  <c r="FM61" i="2" s="1"/>
  <c r="CH67" i="2" l="1"/>
  <c r="BW67" i="2"/>
  <c r="BX67" i="2" s="1"/>
  <c r="FP25" i="2"/>
  <c r="FQ60" i="2" s="1"/>
  <c r="FQ20" i="2"/>
  <c r="FS20" i="2" s="1"/>
  <c r="FS28" i="2" s="1"/>
  <c r="FQ32" i="2"/>
  <c r="FS32" i="2" s="1"/>
  <c r="FQ62" i="2" s="1"/>
  <c r="GC67" i="2"/>
  <c r="GN67" i="2" s="1"/>
  <c r="FQ17" i="2"/>
  <c r="FS17" i="2" s="1"/>
  <c r="FS29" i="2" s="1"/>
  <c r="FQ16" i="2"/>
  <c r="FS16" i="2" s="1"/>
  <c r="FQ18" i="2"/>
  <c r="FS18" i="2" s="1"/>
  <c r="FO21" i="2"/>
  <c r="FQ21" i="2" s="1"/>
  <c r="FS21" i="2" s="1"/>
  <c r="GY67" i="2" l="1"/>
  <c r="HJ67" i="2" s="1"/>
  <c r="HU67" i="2" s="1"/>
  <c r="GO67" i="2"/>
  <c r="FS25" i="2"/>
  <c r="FS27" i="2"/>
  <c r="FS30" i="2" s="1"/>
  <c r="FQ59" i="2" s="1"/>
  <c r="IO28" i="2"/>
  <c r="IO27" i="2"/>
  <c r="IO26" i="2"/>
  <c r="IO25" i="2"/>
  <c r="HH20" i="2"/>
  <c r="GX64" i="2"/>
  <c r="GX63" i="2"/>
  <c r="GX27" i="2"/>
  <c r="GZ27" i="2" s="1"/>
  <c r="GX26" i="2"/>
  <c r="GX25" i="2"/>
  <c r="GW24" i="2"/>
  <c r="GV24" i="2"/>
  <c r="GW23" i="2"/>
  <c r="GV23" i="2"/>
  <c r="GW22" i="2"/>
  <c r="GV22" i="2"/>
  <c r="GW21" i="2"/>
  <c r="GV21" i="2"/>
  <c r="GW20" i="2"/>
  <c r="GX20" i="2" s="1"/>
  <c r="GZ20" i="2" s="1"/>
  <c r="GW19" i="2"/>
  <c r="GX19" i="2" s="1"/>
  <c r="GZ19" i="2" s="1"/>
  <c r="GW18" i="2"/>
  <c r="GX18" i="2" s="1"/>
  <c r="GZ18" i="2" s="1"/>
  <c r="GW17" i="2"/>
  <c r="GV17" i="2"/>
  <c r="GR17" i="2"/>
  <c r="GR18" i="2" s="1"/>
  <c r="GR19" i="2" s="1"/>
  <c r="GR20" i="2" s="1"/>
  <c r="GR21" i="2" s="1"/>
  <c r="GR22" i="2" s="1"/>
  <c r="GR23" i="2" s="1"/>
  <c r="GR24" i="2" s="1"/>
  <c r="GR25" i="2" s="1"/>
  <c r="GR26" i="2" s="1"/>
  <c r="GR27" i="2" s="1"/>
  <c r="GR28" i="2" s="1"/>
  <c r="GW16" i="2"/>
  <c r="GV16" i="2"/>
  <c r="GT10" i="2"/>
  <c r="GT11" i="2" s="1"/>
  <c r="GT62" i="2" s="1"/>
  <c r="IF67" i="2" l="1"/>
  <c r="IQ67" i="2" s="1"/>
  <c r="JB67" i="2" s="1"/>
  <c r="JM67" i="2" s="1"/>
  <c r="JX67" i="2" s="1"/>
  <c r="KI67" i="2" s="1"/>
  <c r="KT67" i="2" s="1"/>
  <c r="EK67" i="2" s="1"/>
  <c r="EV67" i="2" s="1"/>
  <c r="IO36" i="2"/>
  <c r="FQ65" i="2"/>
  <c r="FQ61" i="2"/>
  <c r="GX17" i="2"/>
  <c r="GZ17" i="2" s="1"/>
  <c r="GW28" i="2"/>
  <c r="GX61" i="2" s="1"/>
  <c r="GX16" i="2"/>
  <c r="GZ16" i="2" s="1"/>
  <c r="GX21" i="2"/>
  <c r="GZ21" i="2" s="1"/>
  <c r="GX22" i="2"/>
  <c r="GZ22" i="2" s="1"/>
  <c r="GZ31" i="2" s="1"/>
  <c r="GX23" i="2"/>
  <c r="GZ23" i="2" s="1"/>
  <c r="GX24" i="2"/>
  <c r="GZ24" i="2" s="1"/>
  <c r="GZ25" i="2"/>
  <c r="GZ26" i="2"/>
  <c r="KJ67" i="2" l="1"/>
  <c r="JY67" i="2"/>
  <c r="FQ68" i="2"/>
  <c r="GZ28" i="2"/>
  <c r="GZ30" i="2"/>
  <c r="GZ29" i="2"/>
  <c r="FQ67" i="2" l="1"/>
  <c r="FS67" i="2" s="1"/>
  <c r="FM63" i="2"/>
  <c r="GZ32" i="2"/>
  <c r="GX60" i="2" s="1"/>
  <c r="GX62" i="2" s="1"/>
  <c r="GX65" i="2" l="1"/>
  <c r="GX68" i="2" s="1"/>
  <c r="GX67" i="2" s="1"/>
  <c r="GZ67" i="2" s="1"/>
  <c r="GT64" i="2" l="1"/>
  <c r="IQ59" i="2" l="1"/>
  <c r="IQ58" i="2"/>
  <c r="IQ57" i="2"/>
  <c r="IO52" i="2"/>
  <c r="IP52" i="2" s="1"/>
  <c r="IR52" i="2" s="1"/>
  <c r="IP62" i="2" s="1"/>
  <c r="IO42" i="2"/>
  <c r="IP59" i="2" s="1"/>
  <c r="IO41" i="2"/>
  <c r="IP60" i="2" s="1"/>
  <c r="IP57" i="2"/>
  <c r="IN39" i="2"/>
  <c r="IO38" i="2"/>
  <c r="IP38" i="2" s="1"/>
  <c r="IR38" i="2" s="1"/>
  <c r="IO37" i="2"/>
  <c r="IP37" i="2" s="1"/>
  <c r="IP34" i="2"/>
  <c r="IR34" i="2" s="1"/>
  <c r="IP33" i="2"/>
  <c r="IR33" i="2" s="1"/>
  <c r="IP32" i="2"/>
  <c r="IR32" i="2" s="1"/>
  <c r="IP31" i="2"/>
  <c r="IR31" i="2" s="1"/>
  <c r="IP30" i="2"/>
  <c r="IR30" i="2" s="1"/>
  <c r="IP29" i="2"/>
  <c r="IN28" i="2"/>
  <c r="IN27" i="2"/>
  <c r="IN26" i="2"/>
  <c r="IN25" i="2"/>
  <c r="IP25" i="2" s="1"/>
  <c r="IO19" i="2"/>
  <c r="IN19" i="2"/>
  <c r="IN24" i="2" s="1"/>
  <c r="IP24" i="2" s="1"/>
  <c r="IR24" i="2" s="1"/>
  <c r="IO18" i="2"/>
  <c r="IO17" i="2"/>
  <c r="IP17" i="2" s="1"/>
  <c r="IR17" i="2" s="1"/>
  <c r="IJ17" i="2"/>
  <c r="IO16" i="2"/>
  <c r="IP16" i="2" s="1"/>
  <c r="IL10" i="2"/>
  <c r="IL11" i="2" s="1"/>
  <c r="IL62" i="2" s="1"/>
  <c r="JA64" i="2"/>
  <c r="IZ52" i="2"/>
  <c r="JA52" i="2" s="1"/>
  <c r="JC52" i="2" s="1"/>
  <c r="JA62" i="2" s="1"/>
  <c r="IZ42" i="2"/>
  <c r="JA59" i="2" s="1"/>
  <c r="JC59" i="2" s="1"/>
  <c r="IZ41" i="2"/>
  <c r="JA60" i="2" s="1"/>
  <c r="IZ39" i="2"/>
  <c r="IZ40" i="2" s="1"/>
  <c r="IY39" i="2"/>
  <c r="IZ38" i="2"/>
  <c r="JA38" i="2" s="1"/>
  <c r="JC38" i="2" s="1"/>
  <c r="IZ37" i="2"/>
  <c r="JA37" i="2" s="1"/>
  <c r="JA34" i="2"/>
  <c r="JC34" i="2" s="1"/>
  <c r="JA33" i="2"/>
  <c r="JC33" i="2" s="1"/>
  <c r="JA32" i="2"/>
  <c r="JC32" i="2" s="1"/>
  <c r="JA31" i="2"/>
  <c r="JC31" i="2" s="1"/>
  <c r="JA30" i="2"/>
  <c r="JC30" i="2" s="1"/>
  <c r="JA29" i="2"/>
  <c r="IZ28" i="2"/>
  <c r="IY28" i="2"/>
  <c r="IZ27" i="2"/>
  <c r="IY27" i="2"/>
  <c r="IZ26" i="2"/>
  <c r="IY26" i="2"/>
  <c r="IZ25" i="2"/>
  <c r="IY25" i="2"/>
  <c r="IZ24" i="2"/>
  <c r="IY24" i="2"/>
  <c r="IZ23" i="2"/>
  <c r="JA18" i="2"/>
  <c r="JC18" i="2" s="1"/>
  <c r="IZ17" i="2"/>
  <c r="IU17" i="2"/>
  <c r="IU18" i="2" s="1"/>
  <c r="IU19" i="2" s="1"/>
  <c r="IU20" i="2" s="1"/>
  <c r="IU21" i="2" s="1"/>
  <c r="IU22" i="2" s="1"/>
  <c r="IU23" i="2" s="1"/>
  <c r="IU24" i="2" s="1"/>
  <c r="IU25" i="2" s="1"/>
  <c r="IU26" i="2" s="1"/>
  <c r="IU27" i="2" s="1"/>
  <c r="IU28" i="2" s="1"/>
  <c r="IU29" i="2" s="1"/>
  <c r="IU30" i="2" s="1"/>
  <c r="IU31" i="2" s="1"/>
  <c r="IU32" i="2" s="1"/>
  <c r="IU33" i="2" s="1"/>
  <c r="IU34" i="2" s="1"/>
  <c r="IU35" i="2" s="1"/>
  <c r="IU36" i="2" s="1"/>
  <c r="IU37" i="2" s="1"/>
  <c r="IU38" i="2" s="1"/>
  <c r="IU39" i="2" s="1"/>
  <c r="IU40" i="2" s="1"/>
  <c r="IU41" i="2" s="1"/>
  <c r="IU42" i="2" s="1"/>
  <c r="IZ16" i="2"/>
  <c r="IW10" i="2"/>
  <c r="IW11" i="2" s="1"/>
  <c r="IW62" i="2" s="1"/>
  <c r="IN18" i="2" l="1"/>
  <c r="IP18" i="2" s="1"/>
  <c r="IY21" i="2"/>
  <c r="JA21" i="2" s="1"/>
  <c r="JC21" i="2" s="1"/>
  <c r="IY23" i="2"/>
  <c r="JA23" i="2" s="1"/>
  <c r="JC23" i="2" s="1"/>
  <c r="JC37" i="2"/>
  <c r="JA25" i="2"/>
  <c r="IR29" i="2"/>
  <c r="IR25" i="2"/>
  <c r="IR46" i="2" s="1"/>
  <c r="IP46" i="2"/>
  <c r="IJ18" i="2"/>
  <c r="IJ19" i="2" s="1"/>
  <c r="IJ20" i="2" s="1"/>
  <c r="IJ21" i="2" s="1"/>
  <c r="IJ22" i="2" s="1"/>
  <c r="IJ23" i="2" s="1"/>
  <c r="IJ24" i="2" s="1"/>
  <c r="IJ25" i="2" s="1"/>
  <c r="IJ26" i="2" s="1"/>
  <c r="IJ27" i="2" s="1"/>
  <c r="IJ28" i="2" s="1"/>
  <c r="IJ29" i="2" s="1"/>
  <c r="IJ30" i="2" s="1"/>
  <c r="IJ31" i="2" s="1"/>
  <c r="IJ32" i="2" s="1"/>
  <c r="IJ33" i="2" s="1"/>
  <c r="IJ34" i="2" s="1"/>
  <c r="IJ35" i="2" s="1"/>
  <c r="IJ36" i="2" s="1"/>
  <c r="IJ37" i="2" s="1"/>
  <c r="IJ38" i="2" s="1"/>
  <c r="IJ39" i="2" s="1"/>
  <c r="IN23" i="2"/>
  <c r="IP23" i="2" s="1"/>
  <c r="IR23" i="2" s="1"/>
  <c r="IN21" i="2"/>
  <c r="IN22" i="2"/>
  <c r="IP22" i="2" s="1"/>
  <c r="IR22" i="2" s="1"/>
  <c r="IN20" i="2"/>
  <c r="IP20" i="2" s="1"/>
  <c r="IR20" i="2" s="1"/>
  <c r="IZ36" i="2"/>
  <c r="JA56" i="2" s="1"/>
  <c r="IY22" i="2"/>
  <c r="JA22" i="2" s="1"/>
  <c r="JC22" i="2" s="1"/>
  <c r="IP19" i="2"/>
  <c r="IR19" i="2" s="1"/>
  <c r="IY20" i="2"/>
  <c r="JA20" i="2" s="1"/>
  <c r="JC20" i="2" s="1"/>
  <c r="IR57" i="2"/>
  <c r="IR41" i="2"/>
  <c r="JA16" i="2"/>
  <c r="IY19" i="2"/>
  <c r="JA19" i="2" s="1"/>
  <c r="JC19" i="2" s="1"/>
  <c r="JA28" i="2"/>
  <c r="JC28" i="2" s="1"/>
  <c r="JC29" i="2"/>
  <c r="JA39" i="2"/>
  <c r="JC39" i="2" s="1"/>
  <c r="JC42" i="2"/>
  <c r="IP21" i="2"/>
  <c r="IR21" i="2" s="1"/>
  <c r="IP26" i="2"/>
  <c r="IR26" i="2" s="1"/>
  <c r="IP27" i="2"/>
  <c r="IP48" i="2" s="1"/>
  <c r="IP58" i="2"/>
  <c r="IR58" i="2" s="1"/>
  <c r="JA17" i="2"/>
  <c r="JC17" i="2" s="1"/>
  <c r="JA24" i="2"/>
  <c r="JA26" i="2"/>
  <c r="JA27" i="2"/>
  <c r="JC27" i="2" s="1"/>
  <c r="IP56" i="2"/>
  <c r="IP28" i="2"/>
  <c r="IR28" i="2" s="1"/>
  <c r="IP39" i="2"/>
  <c r="IR39" i="2" s="1"/>
  <c r="IP49" i="2"/>
  <c r="IR59" i="2"/>
  <c r="IR16" i="2"/>
  <c r="IR49" i="2" s="1"/>
  <c r="IR37" i="2"/>
  <c r="IR40" i="2"/>
  <c r="IR42" i="2"/>
  <c r="JA57" i="2"/>
  <c r="JC57" i="2" s="1"/>
  <c r="JC40" i="2"/>
  <c r="JC41" i="2"/>
  <c r="JA58" i="2"/>
  <c r="JC58" i="2" s="1"/>
  <c r="AP64" i="2"/>
  <c r="IP45" i="2" l="1"/>
  <c r="JC16" i="2"/>
  <c r="JC47" i="2" s="1"/>
  <c r="JA47" i="2"/>
  <c r="JA43" i="2"/>
  <c r="JC24" i="2"/>
  <c r="JC46" i="2" s="1"/>
  <c r="JA46" i="2"/>
  <c r="JC43" i="2"/>
  <c r="JC26" i="2"/>
  <c r="JC45" i="2" s="1"/>
  <c r="JA45" i="2"/>
  <c r="JC25" i="2"/>
  <c r="JC44" i="2" s="1"/>
  <c r="JA44" i="2"/>
  <c r="IR18" i="2"/>
  <c r="IP43" i="2"/>
  <c r="IP47" i="2"/>
  <c r="IJ40" i="2"/>
  <c r="IJ41" i="2" s="1"/>
  <c r="IJ42" i="2" s="1"/>
  <c r="JC36" i="2"/>
  <c r="IR45" i="2"/>
  <c r="IR27" i="2"/>
  <c r="IR48" i="2" s="1"/>
  <c r="IR36" i="2"/>
  <c r="IR47" i="2"/>
  <c r="IR43" i="2" l="1"/>
  <c r="KS64" i="2" l="1"/>
  <c r="KS63" i="2"/>
  <c r="KR41" i="2"/>
  <c r="KS41" i="2" s="1"/>
  <c r="KU41" i="2" s="1"/>
  <c r="KS62" i="2" s="1"/>
  <c r="KR32" i="2"/>
  <c r="KR33" i="2" s="1"/>
  <c r="KU33" i="2" s="1"/>
  <c r="KQ32" i="2"/>
  <c r="KR31" i="2"/>
  <c r="KS31" i="2" s="1"/>
  <c r="KU31" i="2" s="1"/>
  <c r="KR30" i="2"/>
  <c r="KS30" i="2" s="1"/>
  <c r="KS29" i="2"/>
  <c r="KU29" i="2" s="1"/>
  <c r="KS28" i="2"/>
  <c r="KU28" i="2" s="1"/>
  <c r="KS27" i="2"/>
  <c r="KU27" i="2" s="1"/>
  <c r="KR23" i="2"/>
  <c r="KQ23" i="2"/>
  <c r="KR22" i="2"/>
  <c r="KQ22" i="2"/>
  <c r="KQ21" i="2"/>
  <c r="KR20" i="2"/>
  <c r="KR19" i="2"/>
  <c r="KQ19" i="2"/>
  <c r="KR18" i="2"/>
  <c r="KS18" i="2" s="1"/>
  <c r="KR17" i="2"/>
  <c r="KQ17" i="2"/>
  <c r="KM17" i="2"/>
  <c r="KM18" i="2" s="1"/>
  <c r="KM19" i="2" s="1"/>
  <c r="KM20" i="2" s="1"/>
  <c r="KM21" i="2" s="1"/>
  <c r="KM22" i="2" s="1"/>
  <c r="KM23" i="2" s="1"/>
  <c r="KM24" i="2" s="1"/>
  <c r="KM25" i="2" s="1"/>
  <c r="KM26" i="2" s="1"/>
  <c r="KM27" i="2" s="1"/>
  <c r="KM28" i="2" s="1"/>
  <c r="KM29" i="2" s="1"/>
  <c r="KM30" i="2" s="1"/>
  <c r="KM31" i="2" s="1"/>
  <c r="KM32" i="2" s="1"/>
  <c r="KM33" i="2" s="1"/>
  <c r="KR16" i="2"/>
  <c r="KS16" i="2" s="1"/>
  <c r="KO10" i="2"/>
  <c r="KO11" i="2" s="1"/>
  <c r="KO62" i="2" s="1"/>
  <c r="KS32" i="2" l="1"/>
  <c r="KU32" i="2" s="1"/>
  <c r="KQ26" i="2"/>
  <c r="KS26" i="2" s="1"/>
  <c r="KU26" i="2" s="1"/>
  <c r="KQ20" i="2"/>
  <c r="KS20" i="2" s="1"/>
  <c r="KU20" i="2" s="1"/>
  <c r="KR24" i="2"/>
  <c r="KS59" i="2" s="1"/>
  <c r="KS21" i="2"/>
  <c r="KS37" i="2" s="1"/>
  <c r="KS22" i="2"/>
  <c r="KU22" i="2" s="1"/>
  <c r="KS60" i="2"/>
  <c r="KS17" i="2"/>
  <c r="KU17" i="2" s="1"/>
  <c r="KS23" i="2"/>
  <c r="KS36" i="2" s="1"/>
  <c r="KS35" i="2"/>
  <c r="KU18" i="2"/>
  <c r="KU35" i="2" s="1"/>
  <c r="KU30" i="2"/>
  <c r="KS19" i="2"/>
  <c r="KU19" i="2" s="1"/>
  <c r="KU16" i="2"/>
  <c r="KQ25" i="2"/>
  <c r="KS25" i="2" s="1"/>
  <c r="KU25" i="2" s="1"/>
  <c r="KS34" i="2" l="1"/>
  <c r="KO34" i="2"/>
  <c r="KU21" i="2"/>
  <c r="KU37" i="2" s="1"/>
  <c r="KU24" i="2"/>
  <c r="KU38" i="2"/>
  <c r="KU23" i="2"/>
  <c r="KU36" i="2" s="1"/>
  <c r="KS38" i="2"/>
  <c r="KU34" i="2"/>
  <c r="KO35" i="2"/>
  <c r="KU39" i="2" l="1"/>
  <c r="KS58" i="2" s="1"/>
  <c r="KS65" i="2" s="1"/>
  <c r="KS61" i="2" l="1"/>
  <c r="KS68" i="2" s="1"/>
  <c r="KO64" i="2" l="1"/>
  <c r="KS67" i="2"/>
  <c r="KU67" i="2" s="1"/>
  <c r="ID20" i="2"/>
  <c r="ID21" i="2"/>
  <c r="IC20" i="2"/>
  <c r="IE20" i="2" l="1"/>
  <c r="IG20" i="2" s="1"/>
  <c r="HT64" i="2"/>
  <c r="HT63" i="2"/>
  <c r="HI64" i="2"/>
  <c r="HI63" i="2"/>
  <c r="HH30" i="2"/>
  <c r="HG30" i="2"/>
  <c r="HI24" i="2"/>
  <c r="HK24" i="2" s="1"/>
  <c r="HI23" i="2"/>
  <c r="HK23" i="2" s="1"/>
  <c r="HI22" i="2"/>
  <c r="HK22" i="2" s="1"/>
  <c r="HH21" i="2"/>
  <c r="HG21" i="2"/>
  <c r="HG20" i="2"/>
  <c r="HH19" i="2"/>
  <c r="HH18" i="2"/>
  <c r="HG18" i="2"/>
  <c r="HG19" i="2" s="1"/>
  <c r="HN17" i="2"/>
  <c r="HN18" i="2" s="1"/>
  <c r="HN19" i="2" s="1"/>
  <c r="HN20" i="2" s="1"/>
  <c r="HN21" i="2" s="1"/>
  <c r="HN22" i="2" s="1"/>
  <c r="HN23" i="2" s="1"/>
  <c r="HN24" i="2" s="1"/>
  <c r="HN25" i="2" s="1"/>
  <c r="HN26" i="2" s="1"/>
  <c r="HN27" i="2" s="1"/>
  <c r="HN28" i="2" s="1"/>
  <c r="HN29" i="2" s="1"/>
  <c r="HN30" i="2" s="1"/>
  <c r="HN31" i="2" s="1"/>
  <c r="HH17" i="2"/>
  <c r="HG17" i="2"/>
  <c r="HC17" i="2"/>
  <c r="HC18" i="2" s="1"/>
  <c r="HC19" i="2" s="1"/>
  <c r="HC20" i="2" s="1"/>
  <c r="HC21" i="2" s="1"/>
  <c r="HC22" i="2" s="1"/>
  <c r="HC23" i="2" s="1"/>
  <c r="HC24" i="2" s="1"/>
  <c r="HC25" i="2" s="1"/>
  <c r="HH16" i="2"/>
  <c r="HG16" i="2"/>
  <c r="HP10" i="2"/>
  <c r="HP11" i="2" s="1"/>
  <c r="HP63" i="2" s="1"/>
  <c r="HE10" i="2"/>
  <c r="HE11" i="2" s="1"/>
  <c r="HE63" i="2" s="1"/>
  <c r="HI17" i="2" l="1"/>
  <c r="HK17" i="2" s="1"/>
  <c r="HI19" i="2"/>
  <c r="HK19" i="2" s="1"/>
  <c r="HH25" i="2"/>
  <c r="HI60" i="2" s="1"/>
  <c r="HI21" i="2"/>
  <c r="HK21" i="2" s="1"/>
  <c r="HI20" i="2"/>
  <c r="HK20" i="2" s="1"/>
  <c r="HK27" i="2" s="1"/>
  <c r="HI30" i="2"/>
  <c r="HK30" i="2" s="1"/>
  <c r="HI62" i="2" s="1"/>
  <c r="HI16" i="2"/>
  <c r="HK16" i="2" s="1"/>
  <c r="HT61" i="2"/>
  <c r="HI18" i="2"/>
  <c r="HK18" i="2" s="1"/>
  <c r="HK26" i="2" l="1"/>
  <c r="HK28" i="2" s="1"/>
  <c r="HI59" i="2" s="1"/>
  <c r="HI61" i="2" s="1"/>
  <c r="HK25" i="2"/>
  <c r="HI65" i="2" l="1"/>
  <c r="HI68" i="2" s="1"/>
  <c r="HI67" i="2" s="1"/>
  <c r="HK67" i="2" s="1"/>
  <c r="HE65" i="2" l="1"/>
  <c r="LO62" i="2" l="1"/>
  <c r="LI17" i="2"/>
  <c r="LI18" i="2" s="1"/>
  <c r="LI19" i="2" s="1"/>
  <c r="LI20" i="2" s="1"/>
  <c r="LI21" i="2" s="1"/>
  <c r="LI22" i="2" s="1"/>
  <c r="LI23" i="2" s="1"/>
  <c r="LI24" i="2" s="1"/>
  <c r="LI25" i="2" s="1"/>
  <c r="LI26" i="2" s="1"/>
  <c r="LI27" i="2" s="1"/>
  <c r="LI28" i="2" s="1"/>
  <c r="LI29" i="2" s="1"/>
  <c r="LI30" i="2" s="1"/>
  <c r="LI31" i="2" s="1"/>
  <c r="LI32" i="2" s="1"/>
  <c r="LI33" i="2" s="1"/>
  <c r="LI34" i="2" s="1"/>
  <c r="LI35" i="2" s="1"/>
  <c r="LI36" i="2" s="1"/>
  <c r="LO64" i="2"/>
  <c r="LK10" i="2"/>
  <c r="LK11" i="2" s="1"/>
  <c r="LK63" i="2" s="1"/>
  <c r="LO60" i="2" l="1"/>
  <c r="LO63" i="2" l="1"/>
  <c r="GB64" i="2" l="1"/>
  <c r="GB63" i="2"/>
  <c r="GB37" i="2"/>
  <c r="GD37" i="2" s="1"/>
  <c r="GB36" i="2"/>
  <c r="GD36" i="2" s="1"/>
  <c r="GB35" i="2"/>
  <c r="GD35" i="2" s="1"/>
  <c r="GB34" i="2"/>
  <c r="GD34" i="2" s="1"/>
  <c r="GB33" i="2"/>
  <c r="GB32" i="2"/>
  <c r="GD32" i="2" s="1"/>
  <c r="GB31" i="2"/>
  <c r="GB30" i="2"/>
  <c r="GD30" i="2" s="1"/>
  <c r="GB29" i="2"/>
  <c r="GD29" i="2" s="1"/>
  <c r="GA28" i="2"/>
  <c r="FZ28" i="2"/>
  <c r="GA27" i="2"/>
  <c r="FZ27" i="2"/>
  <c r="GA26" i="2"/>
  <c r="FZ26" i="2"/>
  <c r="GA25" i="2"/>
  <c r="FZ25" i="2"/>
  <c r="GA24" i="2"/>
  <c r="GA38" i="2" s="1"/>
  <c r="FZ24" i="2"/>
  <c r="GA23" i="2"/>
  <c r="GB23" i="2" s="1"/>
  <c r="GA22" i="2"/>
  <c r="GB22" i="2" s="1"/>
  <c r="GA21" i="2"/>
  <c r="GB21" i="2" s="1"/>
  <c r="GA20" i="2"/>
  <c r="GB20" i="2" s="1"/>
  <c r="GA19" i="2"/>
  <c r="GB19" i="2" s="1"/>
  <c r="GA18" i="2"/>
  <c r="GB18" i="2" s="1"/>
  <c r="GA17" i="2"/>
  <c r="FZ17" i="2"/>
  <c r="FV17" i="2"/>
  <c r="FV18" i="2" s="1"/>
  <c r="FV19" i="2" s="1"/>
  <c r="FV20" i="2" s="1"/>
  <c r="FV21" i="2" s="1"/>
  <c r="FV22" i="2" s="1"/>
  <c r="FV23" i="2" s="1"/>
  <c r="FV24" i="2" s="1"/>
  <c r="FV25" i="2" s="1"/>
  <c r="FV26" i="2" s="1"/>
  <c r="FV27" i="2" s="1"/>
  <c r="FV28" i="2" s="1"/>
  <c r="FV29" i="2" s="1"/>
  <c r="FV30" i="2" s="1"/>
  <c r="FV31" i="2" s="1"/>
  <c r="FV32" i="2" s="1"/>
  <c r="FV33" i="2" s="1"/>
  <c r="FV34" i="2" s="1"/>
  <c r="FV35" i="2" s="1"/>
  <c r="FV36" i="2" s="1"/>
  <c r="FV37" i="2" s="1"/>
  <c r="FV38" i="2" s="1"/>
  <c r="FV39" i="2" s="1"/>
  <c r="GA16" i="2"/>
  <c r="FZ16" i="2"/>
  <c r="FX10" i="2"/>
  <c r="FX11" i="2" s="1"/>
  <c r="FX62" i="2" s="1"/>
  <c r="GA39" i="2" l="1"/>
  <c r="GB61" i="2" s="1"/>
  <c r="GD18" i="2"/>
  <c r="GB16" i="2"/>
  <c r="GD16" i="2" s="1"/>
  <c r="GB24" i="2"/>
  <c r="GB25" i="2"/>
  <c r="GD25" i="2" s="1"/>
  <c r="GB26" i="2"/>
  <c r="GD26" i="2" s="1"/>
  <c r="GD43" i="2" s="1"/>
  <c r="GD20" i="2"/>
  <c r="GB27" i="2"/>
  <c r="GD27" i="2" s="1"/>
  <c r="GB28" i="2"/>
  <c r="GD28" i="2" s="1"/>
  <c r="GB17" i="2"/>
  <c r="GD17" i="2" s="1"/>
  <c r="GD22" i="2"/>
  <c r="GD24" i="2"/>
  <c r="GD19" i="2"/>
  <c r="GD21" i="2"/>
  <c r="GD23" i="2"/>
  <c r="GB60" i="2"/>
  <c r="GD38" i="2"/>
  <c r="GD31" i="2"/>
  <c r="GD33" i="2"/>
  <c r="GD39" i="2" l="1"/>
  <c r="GD42" i="2"/>
  <c r="GD40" i="2"/>
  <c r="GD41" i="2"/>
  <c r="GD44" i="2" l="1"/>
  <c r="GB59" i="2" s="1"/>
  <c r="GB65" i="2" l="1"/>
  <c r="GB62" i="2"/>
  <c r="GB68" i="2" l="1"/>
  <c r="FX64" i="2" s="1"/>
  <c r="DY64" i="2"/>
  <c r="DY31" i="2"/>
  <c r="EA31" i="2" s="1"/>
  <c r="DW27" i="2"/>
  <c r="DY27" i="2" s="1"/>
  <c r="EA27" i="2" s="1"/>
  <c r="DW24" i="2"/>
  <c r="DY21" i="2"/>
  <c r="EA21" i="2" s="1"/>
  <c r="DS17" i="2"/>
  <c r="DS19" i="2" s="1"/>
  <c r="DS20" i="2" s="1"/>
  <c r="DS21" i="2" s="1"/>
  <c r="DS22" i="2" s="1"/>
  <c r="DS23" i="2" s="1"/>
  <c r="DS24" i="2" s="1"/>
  <c r="DS25" i="2" s="1"/>
  <c r="DS27" i="2" s="1"/>
  <c r="DS28" i="2" s="1"/>
  <c r="DS30" i="2" s="1"/>
  <c r="DS31" i="2" s="1"/>
  <c r="DS33" i="2" s="1"/>
  <c r="DU10" i="2"/>
  <c r="DU11" i="2" s="1"/>
  <c r="DU63" i="2" s="1"/>
  <c r="GB67" i="2" l="1"/>
  <c r="GD67" i="2" s="1"/>
  <c r="EA34" i="2"/>
  <c r="EA36" i="2"/>
  <c r="EA35" i="2"/>
  <c r="DY24" i="2"/>
  <c r="EA24" i="2" s="1"/>
  <c r="EA37" i="2" s="1"/>
  <c r="EA33" i="2" l="1"/>
  <c r="DY62" i="2" l="1"/>
  <c r="EA38" i="2"/>
  <c r="DY61" i="2" s="1"/>
  <c r="DY66" i="2" s="1"/>
  <c r="DY63" i="2" l="1"/>
  <c r="DY69" i="2" s="1"/>
  <c r="DY68" i="2" l="1"/>
  <c r="EA68" i="2" s="1"/>
  <c r="DU65" i="2"/>
  <c r="DU70" i="2" s="1"/>
  <c r="EJ63" i="2"/>
  <c r="EI38" i="2"/>
  <c r="EJ60" i="2" s="1"/>
  <c r="EI37" i="2"/>
  <c r="EJ59" i="2" s="1"/>
  <c r="EI36" i="2"/>
  <c r="EJ31" i="2"/>
  <c r="EL31" i="2" s="1"/>
  <c r="EJ30" i="2"/>
  <c r="EL30" i="2" s="1"/>
  <c r="EJ29" i="2"/>
  <c r="EL29" i="2" s="1"/>
  <c r="EJ28" i="2"/>
  <c r="EL28" i="2" s="1"/>
  <c r="EJ27" i="2"/>
  <c r="EL27" i="2" s="1"/>
  <c r="EI26" i="2"/>
  <c r="EH26" i="2"/>
  <c r="EI25" i="2"/>
  <c r="EJ64" i="2" s="1"/>
  <c r="EH25" i="2"/>
  <c r="EI24" i="2"/>
  <c r="EH24" i="2"/>
  <c r="EH23" i="2" s="1"/>
  <c r="EI22" i="2"/>
  <c r="EJ22" i="2" s="1"/>
  <c r="EL22" i="2" s="1"/>
  <c r="EI21" i="2"/>
  <c r="EJ21" i="2" s="1"/>
  <c r="EL21" i="2" s="1"/>
  <c r="EI20" i="2"/>
  <c r="EJ20" i="2" s="1"/>
  <c r="EL20" i="2" s="1"/>
  <c r="EI19" i="2"/>
  <c r="EJ19" i="2" s="1"/>
  <c r="EL19" i="2" s="1"/>
  <c r="EI17" i="2"/>
  <c r="EH17" i="2"/>
  <c r="ED17" i="2"/>
  <c r="ED18" i="2" s="1"/>
  <c r="ED19" i="2" s="1"/>
  <c r="ED20" i="2" s="1"/>
  <c r="ED21" i="2" s="1"/>
  <c r="ED22" i="2" s="1"/>
  <c r="ED23" i="2" s="1"/>
  <c r="ED24" i="2" s="1"/>
  <c r="ED25" i="2" s="1"/>
  <c r="ED26" i="2" s="1"/>
  <c r="ED27" i="2" s="1"/>
  <c r="ED28" i="2" s="1"/>
  <c r="ED29" i="2" s="1"/>
  <c r="ED30" i="2" s="1"/>
  <c r="ED31" i="2" s="1"/>
  <c r="ED32" i="2" s="1"/>
  <c r="ED33" i="2" s="1"/>
  <c r="ED34" i="2" s="1"/>
  <c r="ED35" i="2" s="1"/>
  <c r="ED36" i="2" s="1"/>
  <c r="ED37" i="2" s="1"/>
  <c r="ED38" i="2" s="1"/>
  <c r="EI16" i="2"/>
  <c r="EJ16" i="2" s="1"/>
  <c r="EL16" i="2" s="1"/>
  <c r="EF10" i="2"/>
  <c r="EF11" i="2" s="1"/>
  <c r="EF62" i="2" s="1"/>
  <c r="JL64" i="2"/>
  <c r="JL63" i="2"/>
  <c r="JK52" i="2"/>
  <c r="JL52" i="2" s="1"/>
  <c r="JN52" i="2" s="1"/>
  <c r="JL62" i="2" s="1"/>
  <c r="JK41" i="2"/>
  <c r="JL59" i="2" s="1"/>
  <c r="JK40" i="2"/>
  <c r="JL60" i="2" s="1"/>
  <c r="JK38" i="2"/>
  <c r="JK39" i="2" s="1"/>
  <c r="JJ38" i="2"/>
  <c r="JK37" i="2"/>
  <c r="JL37" i="2" s="1"/>
  <c r="JN37" i="2" s="1"/>
  <c r="JK36" i="2"/>
  <c r="JL36" i="2" s="1"/>
  <c r="JL34" i="2"/>
  <c r="JN34" i="2" s="1"/>
  <c r="JL33" i="2"/>
  <c r="JN33" i="2" s="1"/>
  <c r="JL32" i="2"/>
  <c r="JN32" i="2" s="1"/>
  <c r="JL31" i="2"/>
  <c r="JN31" i="2" s="1"/>
  <c r="JL30" i="2"/>
  <c r="JN30" i="2" s="1"/>
  <c r="JL29" i="2"/>
  <c r="JN29" i="2" s="1"/>
  <c r="JL28" i="2"/>
  <c r="JN28" i="2" s="1"/>
  <c r="JL27" i="2"/>
  <c r="JN27" i="2" s="1"/>
  <c r="JL26" i="2"/>
  <c r="JN26" i="2" s="1"/>
  <c r="JL25" i="2"/>
  <c r="JN25" i="2" s="1"/>
  <c r="JK23" i="2"/>
  <c r="JJ23" i="2"/>
  <c r="JK22" i="2"/>
  <c r="JJ21" i="2"/>
  <c r="JK20" i="2"/>
  <c r="JK19" i="2"/>
  <c r="JJ19" i="2"/>
  <c r="JJ20" i="2" s="1"/>
  <c r="JL18" i="2"/>
  <c r="JL43" i="2" s="1"/>
  <c r="JK17" i="2"/>
  <c r="JL17" i="2" s="1"/>
  <c r="JN17" i="2" s="1"/>
  <c r="JF17" i="2"/>
  <c r="JF18" i="2" s="1"/>
  <c r="JF19" i="2" s="1"/>
  <c r="JF20" i="2" s="1"/>
  <c r="JF21" i="2" s="1"/>
  <c r="JF22" i="2" s="1"/>
  <c r="JF23" i="2" s="1"/>
  <c r="JF24" i="2" s="1"/>
  <c r="JF25" i="2" s="1"/>
  <c r="JF26" i="2" s="1"/>
  <c r="JF27" i="2" s="1"/>
  <c r="JF28" i="2" s="1"/>
  <c r="JF29" i="2" s="1"/>
  <c r="JF30" i="2" s="1"/>
  <c r="JF31" i="2" s="1"/>
  <c r="JF32" i="2" s="1"/>
  <c r="JF33" i="2" s="1"/>
  <c r="JF34" i="2" s="1"/>
  <c r="JF35" i="2" s="1"/>
  <c r="JF36" i="2" s="1"/>
  <c r="JF37" i="2" s="1"/>
  <c r="JF38" i="2" s="1"/>
  <c r="JF39" i="2" s="1"/>
  <c r="JF40" i="2" s="1"/>
  <c r="JF41" i="2" s="1"/>
  <c r="JK16" i="2"/>
  <c r="JL16" i="2" s="1"/>
  <c r="JH10" i="2"/>
  <c r="JH11" i="2" s="1"/>
  <c r="JH62" i="2" s="1"/>
  <c r="EK59" i="2"/>
  <c r="EK60" i="2"/>
  <c r="LC41" i="2"/>
  <c r="LD41" i="2" s="1"/>
  <c r="LF41" i="2" s="1"/>
  <c r="LC40" i="2"/>
  <c r="LD40" i="2" s="1"/>
  <c r="LF40" i="2" s="1"/>
  <c r="LC39" i="2"/>
  <c r="LD39" i="2" s="1"/>
  <c r="LF39" i="2" s="1"/>
  <c r="LB38" i="2"/>
  <c r="LD38" i="2" s="1"/>
  <c r="LF38" i="2" s="1"/>
  <c r="LB37" i="2"/>
  <c r="LD37" i="2" s="1"/>
  <c r="LF37" i="2" s="1"/>
  <c r="LD36" i="2"/>
  <c r="LF36" i="2" s="1"/>
  <c r="LB35" i="2"/>
  <c r="LD35" i="2" s="1"/>
  <c r="LF35" i="2" s="1"/>
  <c r="LB34" i="2"/>
  <c r="LD34" i="2" s="1"/>
  <c r="LF34" i="2" s="1"/>
  <c r="LC30" i="2"/>
  <c r="LB30" i="2"/>
  <c r="LC29" i="2"/>
  <c r="LB29" i="2"/>
  <c r="LC28" i="2"/>
  <c r="LB28" i="2"/>
  <c r="LC26" i="2"/>
  <c r="LD26" i="2" s="1"/>
  <c r="LF26" i="2" s="1"/>
  <c r="LB20" i="2"/>
  <c r="LB19" i="2"/>
  <c r="LC17" i="2"/>
  <c r="LB17" i="2"/>
  <c r="KX17" i="2"/>
  <c r="KX18" i="2" s="1"/>
  <c r="KX19" i="2" s="1"/>
  <c r="KX20" i="2" s="1"/>
  <c r="KX21" i="2" s="1"/>
  <c r="KX22" i="2" s="1"/>
  <c r="KX23" i="2" s="1"/>
  <c r="KX24" i="2" s="1"/>
  <c r="KX25" i="2" s="1"/>
  <c r="KX26" i="2" s="1"/>
  <c r="KX27" i="2" s="1"/>
  <c r="KX28" i="2" s="1"/>
  <c r="KX29" i="2" s="1"/>
  <c r="KX30" i="2" s="1"/>
  <c r="KX31" i="2" s="1"/>
  <c r="KX32" i="2" s="1"/>
  <c r="KX33" i="2" s="1"/>
  <c r="KX34" i="2" s="1"/>
  <c r="KX35" i="2" s="1"/>
  <c r="KX36" i="2" s="1"/>
  <c r="KX37" i="2" s="1"/>
  <c r="KX38" i="2" s="1"/>
  <c r="KX39" i="2" s="1"/>
  <c r="KX40" i="2" s="1"/>
  <c r="KX41" i="2" s="1"/>
  <c r="KX42" i="2" s="1"/>
  <c r="LB16" i="2"/>
  <c r="KZ12" i="2"/>
  <c r="KZ11" i="2"/>
  <c r="LB31" i="2" s="1"/>
  <c r="KZ7" i="2"/>
  <c r="LC19" i="2" s="1"/>
  <c r="JK24" i="2" l="1"/>
  <c r="JL56" i="2" s="1"/>
  <c r="JL20" i="2"/>
  <c r="JN20" i="2" s="1"/>
  <c r="JL58" i="2"/>
  <c r="JN58" i="2" s="1"/>
  <c r="EJ25" i="2"/>
  <c r="EL25" i="2" s="1"/>
  <c r="EJ26" i="2"/>
  <c r="EL26" i="2" s="1"/>
  <c r="JL19" i="2"/>
  <c r="JN19" i="2" s="1"/>
  <c r="JL23" i="2"/>
  <c r="JL44" i="2" s="1"/>
  <c r="EK58" i="2"/>
  <c r="KT60" i="2"/>
  <c r="KU60" i="2" s="1"/>
  <c r="EI23" i="2"/>
  <c r="EI32" i="2" s="1"/>
  <c r="EJ17" i="2"/>
  <c r="EL17" i="2" s="1"/>
  <c r="EJ18" i="2"/>
  <c r="EL18" i="2" s="1"/>
  <c r="EL40" i="2" s="1"/>
  <c r="EL59" i="2"/>
  <c r="EL38" i="2"/>
  <c r="EL60" i="2"/>
  <c r="JN40" i="2"/>
  <c r="EL39" i="2"/>
  <c r="EJ58" i="2"/>
  <c r="EL36" i="2"/>
  <c r="EJ24" i="2"/>
  <c r="EL24" i="2" s="1"/>
  <c r="EL43" i="2" s="1"/>
  <c r="EL37" i="2"/>
  <c r="JL21" i="2"/>
  <c r="JN21" i="2" s="1"/>
  <c r="JL38" i="2"/>
  <c r="JN38" i="2" s="1"/>
  <c r="JN59" i="2"/>
  <c r="JL57" i="2"/>
  <c r="JN57" i="2" s="1"/>
  <c r="JN39" i="2"/>
  <c r="JN16" i="2"/>
  <c r="JN18" i="2"/>
  <c r="JN43" i="2" s="1"/>
  <c r="JJ22" i="2"/>
  <c r="JL22" i="2" s="1"/>
  <c r="JN22" i="2" s="1"/>
  <c r="JN36" i="2"/>
  <c r="JN41" i="2"/>
  <c r="LD28" i="2"/>
  <c r="LF28" i="2" s="1"/>
  <c r="LD29" i="2"/>
  <c r="LF29" i="2" s="1"/>
  <c r="LD30" i="2"/>
  <c r="LF30" i="2" s="1"/>
  <c r="LB32" i="2"/>
  <c r="LC32" i="2"/>
  <c r="LC25" i="2"/>
  <c r="LD25" i="2" s="1"/>
  <c r="LF25" i="2" s="1"/>
  <c r="LC24" i="2"/>
  <c r="LD24" i="2" s="1"/>
  <c r="LF24" i="2" s="1"/>
  <c r="LC23" i="2"/>
  <c r="LD23" i="2" s="1"/>
  <c r="LF23" i="2" s="1"/>
  <c r="LC22" i="2"/>
  <c r="LD22" i="2" s="1"/>
  <c r="LF22" i="2" s="1"/>
  <c r="LC21" i="2"/>
  <c r="LD21" i="2" s="1"/>
  <c r="LF21" i="2" s="1"/>
  <c r="LC20" i="2"/>
  <c r="LD20" i="2" s="1"/>
  <c r="LF20" i="2" s="1"/>
  <c r="LC16" i="2"/>
  <c r="LD64" i="2" s="1"/>
  <c r="LC31" i="2"/>
  <c r="KZ13" i="2"/>
  <c r="KZ62" i="2" s="1"/>
  <c r="LD17" i="2"/>
  <c r="LF17" i="2" s="1"/>
  <c r="LF43" i="2" s="1"/>
  <c r="LD19" i="2"/>
  <c r="LF19" i="2" s="1"/>
  <c r="JN24" i="2" l="1"/>
  <c r="EL42" i="2"/>
  <c r="JN23" i="2"/>
  <c r="JN44" i="2" s="1"/>
  <c r="JN46" i="2"/>
  <c r="JL46" i="2"/>
  <c r="JL42" i="2"/>
  <c r="EL58" i="2"/>
  <c r="EJ23" i="2"/>
  <c r="EL23" i="2" s="1"/>
  <c r="EL41" i="2" s="1"/>
  <c r="EL32" i="2"/>
  <c r="EJ57" i="2"/>
  <c r="JL45" i="2"/>
  <c r="JN42" i="2"/>
  <c r="JN45" i="2"/>
  <c r="LD32" i="2"/>
  <c r="LF32" i="2" s="1"/>
  <c r="LF45" i="2" s="1"/>
  <c r="LD16" i="2"/>
  <c r="LF16" i="2" s="1"/>
  <c r="LF46" i="2" s="1"/>
  <c r="LF44" i="2"/>
  <c r="LF49" i="2" s="1"/>
  <c r="LD60" i="2" s="1"/>
  <c r="LC42" i="2"/>
  <c r="LD31" i="2"/>
  <c r="LF31" i="2" s="1"/>
  <c r="LF47" i="2" l="1"/>
  <c r="LQ39" i="2"/>
  <c r="LQ45" i="2" s="1"/>
  <c r="LO61" i="2" s="1"/>
  <c r="LO65" i="2" s="1"/>
  <c r="LO68" i="2" s="1"/>
  <c r="EL44" i="2"/>
  <c r="EJ56" i="2" s="1"/>
  <c r="EJ65" i="2" s="1"/>
  <c r="JN47" i="2"/>
  <c r="JL55" i="2" s="1"/>
  <c r="JL65" i="2" s="1"/>
  <c r="LF48" i="2"/>
  <c r="LD59" i="2" s="1"/>
  <c r="LD65" i="2" s="1"/>
  <c r="LD61" i="2"/>
  <c r="LF42" i="2"/>
  <c r="EJ62" i="2" l="1"/>
  <c r="EJ61" i="2" s="1"/>
  <c r="LQ67" i="2"/>
  <c r="LK65" i="2"/>
  <c r="LD62" i="2"/>
  <c r="JL61" i="2"/>
  <c r="EJ68" i="2" l="1"/>
  <c r="EJ67" i="2" s="1"/>
  <c r="EL67" i="2" s="1"/>
  <c r="EF64" i="2"/>
  <c r="LD68" i="2"/>
  <c r="KZ64" i="2" l="1"/>
  <c r="LD67" i="2"/>
  <c r="LF67" i="2" s="1"/>
  <c r="JL68" i="2"/>
  <c r="DD62" i="2"/>
  <c r="DD60" i="2"/>
  <c r="JH64" i="2" l="1"/>
  <c r="JL67" i="2"/>
  <c r="JN67" i="2" s="1"/>
  <c r="CF17" i="2"/>
  <c r="DD66" i="2" l="1"/>
  <c r="EU63" i="2" l="1"/>
  <c r="EU38" i="2"/>
  <c r="EW38" i="2" s="1"/>
  <c r="EU37" i="2"/>
  <c r="EW37" i="2" s="1"/>
  <c r="EU36" i="2"/>
  <c r="EW36" i="2" s="1"/>
  <c r="EU35" i="2"/>
  <c r="EW35" i="2" s="1"/>
  <c r="EU34" i="2"/>
  <c r="EW34" i="2" s="1"/>
  <c r="EU33" i="2"/>
  <c r="EW33" i="2" s="1"/>
  <c r="EU32" i="2"/>
  <c r="EW32" i="2" s="1"/>
  <c r="EU31" i="2"/>
  <c r="EW31" i="2" s="1"/>
  <c r="EU30" i="2"/>
  <c r="EW30" i="2" s="1"/>
  <c r="EU29" i="2"/>
  <c r="EW29" i="2" s="1"/>
  <c r="EU28" i="2"/>
  <c r="EW28" i="2" s="1"/>
  <c r="EU27" i="2"/>
  <c r="EW27" i="2" s="1"/>
  <c r="ET26" i="2"/>
  <c r="ES26" i="2"/>
  <c r="ET25" i="2"/>
  <c r="EU64" i="2" s="1"/>
  <c r="ES25" i="2"/>
  <c r="ET24" i="2"/>
  <c r="ES24" i="2"/>
  <c r="ET22" i="2"/>
  <c r="EU22" i="2" s="1"/>
  <c r="EW22" i="2" s="1"/>
  <c r="ET21" i="2"/>
  <c r="EU21" i="2" s="1"/>
  <c r="EW21" i="2" s="1"/>
  <c r="ET20" i="2"/>
  <c r="EU20" i="2" s="1"/>
  <c r="EW20" i="2" s="1"/>
  <c r="ET19" i="2"/>
  <c r="EU19" i="2" s="1"/>
  <c r="EW19" i="2" s="1"/>
  <c r="ET18" i="2"/>
  <c r="ET17" i="2"/>
  <c r="ES17" i="2"/>
  <c r="EO17" i="2"/>
  <c r="EO18" i="2" s="1"/>
  <c r="EO19" i="2" s="1"/>
  <c r="EO20" i="2" s="1"/>
  <c r="EO21" i="2" s="1"/>
  <c r="EO22" i="2" s="1"/>
  <c r="EO23" i="2" s="1"/>
  <c r="EO24" i="2" s="1"/>
  <c r="EO25" i="2" s="1"/>
  <c r="EO26" i="2" s="1"/>
  <c r="EO27" i="2" s="1"/>
  <c r="EO28" i="2" s="1"/>
  <c r="EO29" i="2" s="1"/>
  <c r="EO30" i="2" s="1"/>
  <c r="EO31" i="2" s="1"/>
  <c r="EO32" i="2" s="1"/>
  <c r="EO33" i="2" s="1"/>
  <c r="EO34" i="2" s="1"/>
  <c r="EO35" i="2" s="1"/>
  <c r="EO36" i="2" s="1"/>
  <c r="EO37" i="2" s="1"/>
  <c r="EO38" i="2" s="1"/>
  <c r="EO39" i="2" s="1"/>
  <c r="ET16" i="2"/>
  <c r="EU16" i="2" s="1"/>
  <c r="EW16" i="2" s="1"/>
  <c r="EQ10" i="2"/>
  <c r="EQ11" i="2" s="1"/>
  <c r="EQ62" i="2" s="1"/>
  <c r="ET23" i="2" l="1"/>
  <c r="ET39" i="2" s="1"/>
  <c r="EU61" i="2" s="1"/>
  <c r="EU17" i="2"/>
  <c r="EW17" i="2" s="1"/>
  <c r="EU18" i="2"/>
  <c r="EW18" i="2" s="1"/>
  <c r="EW40" i="2" s="1"/>
  <c r="EU24" i="2"/>
  <c r="EW24" i="2" s="1"/>
  <c r="EW43" i="2" s="1"/>
  <c r="EU25" i="2"/>
  <c r="EW25" i="2" s="1"/>
  <c r="EW42" i="2" s="1"/>
  <c r="EU26" i="2"/>
  <c r="EW26" i="2" s="1"/>
  <c r="ES23" i="2"/>
  <c r="EU23" i="2" l="1"/>
  <c r="EW23" i="2" s="1"/>
  <c r="EW41" i="2" s="1"/>
  <c r="EW44" i="2" s="1"/>
  <c r="EU60" i="2" s="1"/>
  <c r="EW39" i="2"/>
  <c r="EU62" i="2" l="1"/>
  <c r="EU65" i="2"/>
  <c r="EU68" i="2" l="1"/>
  <c r="EU67" i="2" s="1"/>
  <c r="EW67" i="2" s="1"/>
  <c r="EQ64" i="2" l="1"/>
  <c r="DN63" i="2" l="1"/>
  <c r="DC63" i="2"/>
  <c r="CG63" i="2"/>
  <c r="AO63" i="2"/>
  <c r="IE64" i="2"/>
  <c r="IE63" i="2"/>
  <c r="FF63" i="2"/>
  <c r="FF64" i="2"/>
  <c r="DC64" i="2"/>
  <c r="CG64" i="2"/>
  <c r="AZ64" i="2"/>
  <c r="DN28" i="2" l="1"/>
  <c r="DP28" i="2" s="1"/>
  <c r="DN27" i="2"/>
  <c r="DP27" i="2" s="1"/>
  <c r="DN26" i="2"/>
  <c r="DP26" i="2" s="1"/>
  <c r="DL16" i="2" l="1"/>
  <c r="DM23" i="2"/>
  <c r="DL23" i="2"/>
  <c r="DM22" i="2"/>
  <c r="DN64" i="2" s="1"/>
  <c r="DL22" i="2"/>
  <c r="DM21" i="2"/>
  <c r="DL21" i="2"/>
  <c r="DM19" i="2"/>
  <c r="DN19" i="2" s="1"/>
  <c r="DP19" i="2" s="1"/>
  <c r="DM18" i="2"/>
  <c r="DM17" i="2"/>
  <c r="DL17" i="2"/>
  <c r="DH17" i="2"/>
  <c r="DH18" i="2" s="1"/>
  <c r="DH19" i="2" s="1"/>
  <c r="DM16" i="2"/>
  <c r="DJ10" i="2"/>
  <c r="DJ11" i="2" s="1"/>
  <c r="DJ62" i="2" s="1"/>
  <c r="DN21" i="2" l="1"/>
  <c r="DP21" i="2" s="1"/>
  <c r="DM30" i="2"/>
  <c r="DN61" i="2" s="1"/>
  <c r="DL25" i="2"/>
  <c r="DN25" i="2" s="1"/>
  <c r="DP25" i="2" s="1"/>
  <c r="DL24" i="2"/>
  <c r="DN24" i="2" s="1"/>
  <c r="DP24" i="2" s="1"/>
  <c r="DH20" i="2"/>
  <c r="DH21" i="2" s="1"/>
  <c r="DH22" i="2" s="1"/>
  <c r="DH23" i="2" s="1"/>
  <c r="DH24" i="2" s="1"/>
  <c r="DH25" i="2" s="1"/>
  <c r="DH26" i="2" s="1"/>
  <c r="DH27" i="2" s="1"/>
  <c r="DH28" i="2" s="1"/>
  <c r="DH29" i="2" s="1"/>
  <c r="DH30" i="2" s="1"/>
  <c r="DN18" i="2"/>
  <c r="DP18" i="2" s="1"/>
  <c r="DM20" i="2"/>
  <c r="DM29" i="2" s="1"/>
  <c r="DN60" i="2" s="1"/>
  <c r="DL20" i="2"/>
  <c r="DN23" i="2"/>
  <c r="DP23" i="2" s="1"/>
  <c r="DP32" i="2" s="1"/>
  <c r="DN16" i="2"/>
  <c r="DP16" i="2" s="1"/>
  <c r="DN22" i="2"/>
  <c r="DP22" i="2" s="1"/>
  <c r="DN17" i="2"/>
  <c r="DP17" i="2" s="1"/>
  <c r="DN20" i="2" l="1"/>
  <c r="DP20" i="2" s="1"/>
  <c r="DP31" i="2" s="1"/>
  <c r="DP29" i="2"/>
  <c r="DP33" i="2"/>
  <c r="DP30" i="2"/>
  <c r="DP34" i="2" l="1"/>
  <c r="DN59" i="2" s="1"/>
  <c r="DN65" i="2" s="1"/>
  <c r="DN62" i="2" l="1"/>
  <c r="DN68" i="2" l="1"/>
  <c r="DN67" i="2" s="1"/>
  <c r="DP67" i="2" s="1"/>
  <c r="AO64" i="2"/>
  <c r="DJ64" i="2" l="1"/>
  <c r="ID22" i="2"/>
  <c r="ID27" i="2" s="1"/>
  <c r="FD32" i="2" l="1"/>
  <c r="DA30" i="2"/>
  <c r="CE30" i="2"/>
  <c r="AX30" i="2"/>
  <c r="AY30" i="2"/>
  <c r="CF30" i="2"/>
  <c r="FE32" i="2"/>
  <c r="DB30" i="2"/>
  <c r="BA65" i="2"/>
  <c r="BL65" i="2" s="1"/>
  <c r="BM65" i="2" s="1"/>
  <c r="BA64" i="2"/>
  <c r="BL64" i="2" s="1"/>
  <c r="BM64" i="2" s="1"/>
  <c r="BA63" i="2"/>
  <c r="BL63" i="2" s="1"/>
  <c r="BM63" i="2" s="1"/>
  <c r="BA62" i="2"/>
  <c r="BL62" i="2" s="1"/>
  <c r="BM62" i="2" s="1"/>
  <c r="BA61" i="2"/>
  <c r="BL61" i="2" s="1"/>
  <c r="BM61" i="2" s="1"/>
  <c r="BA60" i="2"/>
  <c r="BL60" i="2" s="1"/>
  <c r="BM60" i="2" s="1"/>
  <c r="BA59" i="2"/>
  <c r="BL59" i="2" s="1"/>
  <c r="BM59" i="2" s="1"/>
  <c r="BM69" i="2" l="1"/>
  <c r="BM70" i="2" s="1"/>
  <c r="BG65" i="2" s="1"/>
  <c r="BG67" i="2" s="1"/>
  <c r="BG66" i="2" s="1"/>
  <c r="CH59" i="2"/>
  <c r="FG58" i="2" s="1"/>
  <c r="BW58" i="2"/>
  <c r="BX58" i="2" s="1"/>
  <c r="CH61" i="2"/>
  <c r="DD61" i="2" s="1"/>
  <c r="FG61" i="2" s="1"/>
  <c r="BW61" i="2"/>
  <c r="BX61" i="2" s="1"/>
  <c r="BW59" i="2"/>
  <c r="BX59" i="2" s="1"/>
  <c r="CH63" i="2"/>
  <c r="CS63" i="2" s="1"/>
  <c r="CT63" i="2" s="1"/>
  <c r="BW63" i="2"/>
  <c r="BX63" i="2" s="1"/>
  <c r="CH65" i="2"/>
  <c r="DD65" i="2" s="1"/>
  <c r="FG65" i="2" s="1"/>
  <c r="BW65" i="2"/>
  <c r="BX65" i="2" s="1"/>
  <c r="CH64" i="2"/>
  <c r="DD64" i="2" s="1"/>
  <c r="BW64" i="2"/>
  <c r="BX64" i="2" s="1"/>
  <c r="DO60" i="2"/>
  <c r="GC60" i="2" s="1"/>
  <c r="CS60" i="2"/>
  <c r="CT60" i="2" s="1"/>
  <c r="FG62" i="2"/>
  <c r="FR62" i="2" s="1"/>
  <c r="FS62" i="2" s="1"/>
  <c r="FG59" i="2"/>
  <c r="DO61" i="2"/>
  <c r="IC32" i="2"/>
  <c r="ID32" i="2"/>
  <c r="IE26" i="2"/>
  <c r="IG26" i="2" s="1"/>
  <c r="ID17" i="2"/>
  <c r="IC17" i="2"/>
  <c r="ID16" i="2"/>
  <c r="IC16" i="2"/>
  <c r="ID19" i="2"/>
  <c r="IC22" i="2"/>
  <c r="ID18" i="2"/>
  <c r="IC18" i="2"/>
  <c r="IC25" i="2" s="1"/>
  <c r="IC21" i="2"/>
  <c r="IE21" i="2" s="1"/>
  <c r="IG21" i="2" s="1"/>
  <c r="HY17" i="2"/>
  <c r="HY18" i="2" s="1"/>
  <c r="HY19" i="2" s="1"/>
  <c r="IA10" i="2"/>
  <c r="IA11" i="2" s="1"/>
  <c r="IA63" i="2" s="1"/>
  <c r="CS62" i="2" l="1"/>
  <c r="DD63" i="2"/>
  <c r="DO63" i="2" s="1"/>
  <c r="CS64" i="2"/>
  <c r="CT64" i="2" s="1"/>
  <c r="CS65" i="2"/>
  <c r="FG64" i="2"/>
  <c r="FR64" i="2" s="1"/>
  <c r="FS64" i="2" s="1"/>
  <c r="DO64" i="2"/>
  <c r="DP64" i="2" s="1"/>
  <c r="GD60" i="2"/>
  <c r="CS59" i="2"/>
  <c r="BG63" i="2"/>
  <c r="BX69" i="2"/>
  <c r="BX70" i="2" s="1"/>
  <c r="DO62" i="2"/>
  <c r="DP62" i="2" s="1"/>
  <c r="LP62" i="2"/>
  <c r="LQ62" i="2" s="1"/>
  <c r="DO65" i="2"/>
  <c r="DZ66" i="2" s="1"/>
  <c r="EA66" i="2" s="1"/>
  <c r="DO59" i="2"/>
  <c r="DP59" i="2" s="1"/>
  <c r="DP60" i="2"/>
  <c r="GC61" i="2"/>
  <c r="GY61" i="2" s="1"/>
  <c r="FR60" i="2"/>
  <c r="FS60" i="2" s="1"/>
  <c r="GC65" i="2"/>
  <c r="GN65" i="2" s="1"/>
  <c r="FR65" i="2"/>
  <c r="FS65" i="2" s="1"/>
  <c r="GC62" i="2"/>
  <c r="FR61" i="2"/>
  <c r="FS61" i="2" s="1"/>
  <c r="GC59" i="2"/>
  <c r="FR59" i="2"/>
  <c r="FS59" i="2" s="1"/>
  <c r="IF62" i="2"/>
  <c r="IQ62" i="2" s="1"/>
  <c r="IR62" i="2" s="1"/>
  <c r="HJ62" i="2"/>
  <c r="HY20" i="2"/>
  <c r="HY21" i="2" s="1"/>
  <c r="HY22" i="2" s="1"/>
  <c r="HY23" i="2" s="1"/>
  <c r="HY24" i="2" s="1"/>
  <c r="HY25" i="2" s="1"/>
  <c r="HY26" i="2" s="1"/>
  <c r="HY27" i="2" s="1"/>
  <c r="DP61" i="2"/>
  <c r="DZ62" i="2"/>
  <c r="EA62" i="2" s="1"/>
  <c r="IE17" i="2"/>
  <c r="IG17" i="2" s="1"/>
  <c r="IE16" i="2"/>
  <c r="IG16" i="2" s="1"/>
  <c r="IE32" i="2"/>
  <c r="IE18" i="2"/>
  <c r="IG18" i="2" s="1"/>
  <c r="IC19" i="2"/>
  <c r="IE19" i="2" s="1"/>
  <c r="IG19" i="2" s="1"/>
  <c r="IC24" i="2"/>
  <c r="IE24" i="2" s="1"/>
  <c r="IG24" i="2" s="1"/>
  <c r="IC23" i="2"/>
  <c r="IE23" i="2" s="1"/>
  <c r="IG23" i="2" s="1"/>
  <c r="IG27" i="2"/>
  <c r="IE25" i="2"/>
  <c r="IG25" i="2" s="1"/>
  <c r="IE22" i="2"/>
  <c r="IG22" i="2" s="1"/>
  <c r="IG28" i="2" s="1"/>
  <c r="EA63" i="2" l="1"/>
  <c r="GC64" i="2"/>
  <c r="GN64" i="2" s="1"/>
  <c r="GO64" i="2" s="1"/>
  <c r="IG32" i="2"/>
  <c r="IE62" i="2" s="1"/>
  <c r="IG62" i="2" s="1"/>
  <c r="FG63" i="2"/>
  <c r="GC63" i="2" s="1"/>
  <c r="EA65" i="2"/>
  <c r="DP65" i="2"/>
  <c r="BR65" i="2"/>
  <c r="BR67" i="2" s="1"/>
  <c r="BR66" i="2" s="1"/>
  <c r="EA61" i="2"/>
  <c r="GN61" i="2"/>
  <c r="GO61" i="2" s="1"/>
  <c r="GN60" i="2"/>
  <c r="GO60" i="2" s="1"/>
  <c r="GD59" i="2"/>
  <c r="GN57" i="2"/>
  <c r="GO57" i="2" s="1"/>
  <c r="GY62" i="2"/>
  <c r="HJ61" i="2" s="1"/>
  <c r="GO58" i="2"/>
  <c r="GD65" i="2"/>
  <c r="GO65" i="2"/>
  <c r="GY64" i="2"/>
  <c r="HJ64" i="2" s="1"/>
  <c r="HU64" i="2" s="1"/>
  <c r="IF64" i="2" s="1"/>
  <c r="GD61" i="2"/>
  <c r="GY60" i="2"/>
  <c r="HJ59" i="2" s="1"/>
  <c r="HU60" i="2" s="1"/>
  <c r="IF59" i="2" s="1"/>
  <c r="GY65" i="2"/>
  <c r="HJ65" i="2" s="1"/>
  <c r="GD62" i="2"/>
  <c r="JB62" i="2"/>
  <c r="JM62" i="2" s="1"/>
  <c r="KT62" i="2" s="1"/>
  <c r="GZ61" i="2"/>
  <c r="HJ60" i="2"/>
  <c r="HU61" i="2" s="1"/>
  <c r="IF60" i="2" s="1"/>
  <c r="JB56" i="2" s="1"/>
  <c r="JM56" i="2" s="1"/>
  <c r="JX56" i="2" s="1"/>
  <c r="IG29" i="2"/>
  <c r="DP63" i="2"/>
  <c r="DZ64" i="2"/>
  <c r="EA64" i="2" s="1"/>
  <c r="IE60" i="2"/>
  <c r="DP69" i="2" l="1"/>
  <c r="GD64" i="2"/>
  <c r="JC62" i="2"/>
  <c r="GZ64" i="2"/>
  <c r="FR63" i="2"/>
  <c r="FS63" i="2" s="1"/>
  <c r="EA70" i="2"/>
  <c r="EA71" i="2" s="1"/>
  <c r="DU66" i="2" s="1"/>
  <c r="DU68" i="2" s="1"/>
  <c r="GN62" i="2"/>
  <c r="GO62" i="2" s="1"/>
  <c r="GN63" i="2"/>
  <c r="DP70" i="2"/>
  <c r="DJ65" i="2" s="1"/>
  <c r="DJ67" i="2" s="1"/>
  <c r="DJ66" i="2" s="1"/>
  <c r="BR63" i="2"/>
  <c r="GZ65" i="2"/>
  <c r="GN59" i="2"/>
  <c r="GO59" i="2" s="1"/>
  <c r="IQ56" i="2"/>
  <c r="IR56" i="2" s="1"/>
  <c r="JY56" i="2"/>
  <c r="KI56" i="2"/>
  <c r="KJ56" i="2" s="1"/>
  <c r="IG60" i="2"/>
  <c r="GZ62" i="2"/>
  <c r="GZ60" i="2"/>
  <c r="GY63" i="2"/>
  <c r="HJ63" i="2" s="1"/>
  <c r="GO63" i="2"/>
  <c r="JN62" i="2"/>
  <c r="GD63" i="2"/>
  <c r="GD69" i="2" s="1"/>
  <c r="HK62" i="2"/>
  <c r="JC56" i="2"/>
  <c r="IQ64" i="2"/>
  <c r="IR64" i="2" s="1"/>
  <c r="JB64" i="2"/>
  <c r="JM64" i="2" s="1"/>
  <c r="KT64" i="2" s="1"/>
  <c r="IQ54" i="2"/>
  <c r="JB55" i="2"/>
  <c r="JM55" i="2" s="1"/>
  <c r="IG64" i="2"/>
  <c r="IG30" i="2"/>
  <c r="DU67" i="2" l="1"/>
  <c r="DU71" i="2"/>
  <c r="IE59" i="2"/>
  <c r="IE61" i="2" s="1"/>
  <c r="DJ63" i="2"/>
  <c r="GD70" i="2"/>
  <c r="FX65" i="2" s="1"/>
  <c r="FX67" i="2" s="1"/>
  <c r="FX66" i="2" s="1"/>
  <c r="GZ63" i="2"/>
  <c r="JX54" i="2"/>
  <c r="JX58" i="2"/>
  <c r="GO69" i="2"/>
  <c r="GZ69" i="2"/>
  <c r="GZ70" i="2" s="1"/>
  <c r="GT65" i="2" s="1"/>
  <c r="GT67" i="2" s="1"/>
  <c r="GT66" i="2" s="1"/>
  <c r="KU62" i="2"/>
  <c r="JC64" i="2"/>
  <c r="DU64" i="2"/>
  <c r="IG59" i="2" l="1"/>
  <c r="IR44" i="2" s="1"/>
  <c r="IP55" i="2" s="1"/>
  <c r="IR55" i="2" s="1"/>
  <c r="IE65" i="2"/>
  <c r="IE68" i="2" s="1"/>
  <c r="IE67" i="2" s="1"/>
  <c r="IG67" i="2" s="1"/>
  <c r="IP44" i="2"/>
  <c r="FX63" i="2"/>
  <c r="GO70" i="2"/>
  <c r="GI60" i="2" s="1"/>
  <c r="GI62" i="2" s="1"/>
  <c r="GI61" i="2" s="1"/>
  <c r="GT63" i="2"/>
  <c r="JY58" i="2"/>
  <c r="KI58" i="2"/>
  <c r="KJ58" i="2" s="1"/>
  <c r="JY54" i="2"/>
  <c r="KI54" i="2"/>
  <c r="KJ54" i="2" s="1"/>
  <c r="EK64" i="2"/>
  <c r="KU64" i="2"/>
  <c r="KT58" i="2"/>
  <c r="KU58" i="2" s="1"/>
  <c r="KT59" i="2"/>
  <c r="KU59" i="2" s="1"/>
  <c r="JC48" i="2" l="1"/>
  <c r="JA55" i="2" s="1"/>
  <c r="JA65" i="2" s="1"/>
  <c r="GI58" i="2"/>
  <c r="EL64" i="2"/>
  <c r="EV64" i="2"/>
  <c r="JN64" i="2"/>
  <c r="JN55" i="2"/>
  <c r="EK56" i="2"/>
  <c r="JN56" i="2"/>
  <c r="EK57" i="2"/>
  <c r="IA65" i="2"/>
  <c r="JA61" i="2" l="1"/>
  <c r="JA68" i="2" s="1"/>
  <c r="JA67" i="2" s="1"/>
  <c r="JC67" i="2" s="1"/>
  <c r="JC55" i="2"/>
  <c r="EL57" i="2"/>
  <c r="EV61" i="2"/>
  <c r="EL56" i="2"/>
  <c r="EV60" i="2"/>
  <c r="EW64" i="2"/>
  <c r="LE64" i="2"/>
  <c r="FE19" i="2"/>
  <c r="CF19" i="2"/>
  <c r="AY19" i="2"/>
  <c r="AN19" i="2"/>
  <c r="IW64" i="2" l="1"/>
  <c r="LE59" i="2"/>
  <c r="LP60" i="2" s="1"/>
  <c r="LQ60" i="2" s="1"/>
  <c r="LE61" i="2"/>
  <c r="HV61" i="2" s="1"/>
  <c r="EW60" i="2"/>
  <c r="EW61" i="2"/>
  <c r="HU65" i="2"/>
  <c r="HK65" i="2"/>
  <c r="HV64" i="2"/>
  <c r="HK64" i="2"/>
  <c r="LP64" i="2"/>
  <c r="LQ64" i="2" s="1"/>
  <c r="LF64" i="2"/>
  <c r="HK60" i="2"/>
  <c r="HK59" i="2"/>
  <c r="FE24" i="2"/>
  <c r="FE17" i="2"/>
  <c r="FH64" i="2"/>
  <c r="FH63" i="2"/>
  <c r="FF23" i="2"/>
  <c r="FH23" i="2" s="1"/>
  <c r="FF22" i="2"/>
  <c r="FH22" i="2" s="1"/>
  <c r="FD19" i="2"/>
  <c r="FE18" i="2"/>
  <c r="FD18" i="2"/>
  <c r="FD21" i="2" s="1"/>
  <c r="FD17" i="2"/>
  <c r="FF17" i="2" s="1"/>
  <c r="FH17" i="2" s="1"/>
  <c r="EZ17" i="2"/>
  <c r="EZ18" i="2" s="1"/>
  <c r="EZ19" i="2" s="1"/>
  <c r="EZ20" i="2" s="1"/>
  <c r="EZ21" i="2" s="1"/>
  <c r="EZ22" i="2" s="1"/>
  <c r="EZ23" i="2" s="1"/>
  <c r="EZ24" i="2" s="1"/>
  <c r="EZ25" i="2" s="1"/>
  <c r="FE16" i="2"/>
  <c r="FD16" i="2"/>
  <c r="FB10" i="2"/>
  <c r="FB11" i="2" s="1"/>
  <c r="FB61" i="2" s="1"/>
  <c r="AM19" i="2"/>
  <c r="AX19" i="2"/>
  <c r="CE19" i="2"/>
  <c r="DA19" i="2"/>
  <c r="DA17" i="2"/>
  <c r="DC17" i="2" s="1"/>
  <c r="DE17" i="2" s="1"/>
  <c r="CE17" i="2"/>
  <c r="CG17" i="2" s="1"/>
  <c r="CI17" i="2" s="1"/>
  <c r="AX17" i="2"/>
  <c r="AM17" i="2"/>
  <c r="LF61" i="2" l="1"/>
  <c r="LF59" i="2"/>
  <c r="IF65" i="2"/>
  <c r="JB65" i="2" s="1"/>
  <c r="HK61" i="2"/>
  <c r="HU62" i="2"/>
  <c r="FF16" i="2"/>
  <c r="FH16" i="2" s="1"/>
  <c r="FH29" i="2" s="1"/>
  <c r="FE25" i="2"/>
  <c r="FD20" i="2"/>
  <c r="FF20" i="2" s="1"/>
  <c r="FH20" i="2" s="1"/>
  <c r="FF18" i="2"/>
  <c r="FH18" i="2" s="1"/>
  <c r="FH28" i="2" s="1"/>
  <c r="FF59" i="2"/>
  <c r="FH59" i="2" s="1"/>
  <c r="FF19" i="2"/>
  <c r="FH19" i="2" s="1"/>
  <c r="FH26" i="2" s="1"/>
  <c r="FF32" i="2"/>
  <c r="FF21" i="2"/>
  <c r="FH21" i="2" s="1"/>
  <c r="AY17" i="2"/>
  <c r="DE64" i="2"/>
  <c r="DE63" i="2"/>
  <c r="DC22" i="2"/>
  <c r="DE22" i="2" s="1"/>
  <c r="DB24" i="2"/>
  <c r="DA18" i="2"/>
  <c r="DC18" i="2" s="1"/>
  <c r="DE18" i="2" s="1"/>
  <c r="CW17" i="2"/>
  <c r="CW18" i="2" s="1"/>
  <c r="CW19" i="2" s="1"/>
  <c r="CW22" i="2" s="1"/>
  <c r="CW24" i="2" s="1"/>
  <c r="CY10" i="2"/>
  <c r="CY11" i="2" s="1"/>
  <c r="CY62" i="2" s="1"/>
  <c r="IF61" i="2" l="1"/>
  <c r="IQ65" i="2"/>
  <c r="IG65" i="2"/>
  <c r="FH27" i="2"/>
  <c r="FH30" i="2" s="1"/>
  <c r="FH32" i="2"/>
  <c r="FF62" i="2" s="1"/>
  <c r="FH62" i="2" s="1"/>
  <c r="FH25" i="2"/>
  <c r="FF60" i="2"/>
  <c r="FH60" i="2" s="1"/>
  <c r="FH24" i="2"/>
  <c r="DC19" i="2"/>
  <c r="DE19" i="2" s="1"/>
  <c r="DE25" i="2" s="1"/>
  <c r="DC60" i="2"/>
  <c r="DE60" i="2" s="1"/>
  <c r="DE24" i="2"/>
  <c r="DC30" i="2"/>
  <c r="AZ63" i="2"/>
  <c r="CG22" i="2"/>
  <c r="CI22" i="2" s="1"/>
  <c r="IQ61" i="2" l="1"/>
  <c r="JB61" i="2"/>
  <c r="IG61" i="2"/>
  <c r="JM65" i="2"/>
  <c r="JX65" i="2" s="1"/>
  <c r="JC65" i="2"/>
  <c r="HU63" i="2"/>
  <c r="HK63" i="2"/>
  <c r="DE26" i="2"/>
  <c r="DE27" i="2" s="1"/>
  <c r="DC59" i="2" s="1"/>
  <c r="DC65" i="2" s="1"/>
  <c r="DE30" i="2"/>
  <c r="DC62" i="2" s="1"/>
  <c r="DE62" i="2" s="1"/>
  <c r="FF58" i="2"/>
  <c r="FF65" i="2" s="1"/>
  <c r="CI64" i="2"/>
  <c r="CI63" i="2"/>
  <c r="CG19" i="2"/>
  <c r="CI19" i="2" s="1"/>
  <c r="CF18" i="2"/>
  <c r="CE18" i="2"/>
  <c r="CA17" i="2"/>
  <c r="CA18" i="2" s="1"/>
  <c r="CA19" i="2" s="1"/>
  <c r="CA20" i="2" s="1"/>
  <c r="CA21" i="2" s="1"/>
  <c r="CA22" i="2" s="1"/>
  <c r="CF16" i="2"/>
  <c r="CE16" i="2"/>
  <c r="CC10" i="2"/>
  <c r="CC11" i="2" s="1"/>
  <c r="CC62" i="2" s="1"/>
  <c r="BB63" i="2"/>
  <c r="AZ22" i="2"/>
  <c r="BB22" i="2" s="1"/>
  <c r="BB64" i="2"/>
  <c r="AZ21" i="2"/>
  <c r="BB21" i="2" s="1"/>
  <c r="AY18" i="2"/>
  <c r="AX18" i="2"/>
  <c r="AX20" i="2" s="1"/>
  <c r="AZ20" i="2" s="1"/>
  <c r="BB20" i="2" s="1"/>
  <c r="AT17" i="2"/>
  <c r="AT18" i="2" s="1"/>
  <c r="AT19" i="2" s="1"/>
  <c r="AT20" i="2" s="1"/>
  <c r="AT21" i="2" s="1"/>
  <c r="AY16" i="2"/>
  <c r="AX16" i="2"/>
  <c r="AV10" i="2"/>
  <c r="AV11" i="2" s="1"/>
  <c r="AV62" i="2" s="1"/>
  <c r="AM30" i="2"/>
  <c r="AM16" i="2"/>
  <c r="AM18" i="2"/>
  <c r="AM20" i="2" s="1"/>
  <c r="KI65" i="2" l="1"/>
  <c r="KJ65" i="2" s="1"/>
  <c r="KJ69" i="2" s="1"/>
  <c r="KJ70" i="2" s="1"/>
  <c r="JY65" i="2"/>
  <c r="JY69" i="2" s="1"/>
  <c r="JY70" i="2" s="1"/>
  <c r="HK69" i="2"/>
  <c r="HK70" i="2" s="1"/>
  <c r="HE66" i="2" s="1"/>
  <c r="HT60" i="2"/>
  <c r="HV63" i="2"/>
  <c r="IF63" i="2"/>
  <c r="IQ60" i="2"/>
  <c r="IR60" i="2" s="1"/>
  <c r="KT65" i="2"/>
  <c r="KU65" i="2" s="1"/>
  <c r="JN65" i="2"/>
  <c r="EK65" i="2"/>
  <c r="JM61" i="2"/>
  <c r="JC61" i="2"/>
  <c r="JB60" i="2"/>
  <c r="FF61" i="2"/>
  <c r="FH61" i="2" s="1"/>
  <c r="DC61" i="2"/>
  <c r="DE61" i="2" s="1"/>
  <c r="FH65" i="2"/>
  <c r="DE65" i="2"/>
  <c r="FH58" i="2"/>
  <c r="CG16" i="2"/>
  <c r="CI16" i="2" s="1"/>
  <c r="CF23" i="2"/>
  <c r="CI23" i="2" s="1"/>
  <c r="CI24" i="2"/>
  <c r="DE59" i="2"/>
  <c r="CE21" i="2"/>
  <c r="CG21" i="2" s="1"/>
  <c r="CI21" i="2" s="1"/>
  <c r="CG18" i="2"/>
  <c r="CI18" i="2" s="1"/>
  <c r="AT23" i="2"/>
  <c r="AT22" i="2"/>
  <c r="CE20" i="2"/>
  <c r="CG20" i="2" s="1"/>
  <c r="CI20" i="2" s="1"/>
  <c r="CA23" i="2"/>
  <c r="CG30" i="2"/>
  <c r="AY23" i="2"/>
  <c r="AZ60" i="2" s="1"/>
  <c r="BB60" i="2" s="1"/>
  <c r="AZ16" i="2"/>
  <c r="BB16" i="2" s="1"/>
  <c r="AZ18" i="2"/>
  <c r="BB18" i="2" s="1"/>
  <c r="AZ19" i="2"/>
  <c r="BB19" i="2" s="1"/>
  <c r="AZ17" i="2"/>
  <c r="BB17" i="2" s="1"/>
  <c r="AZ30" i="2"/>
  <c r="AQ64" i="2"/>
  <c r="AO21" i="2"/>
  <c r="AQ21" i="2" s="1"/>
  <c r="AO20" i="2"/>
  <c r="AQ20" i="2" s="1"/>
  <c r="AQ63" i="2"/>
  <c r="AK10" i="2"/>
  <c r="AK11" i="2" s="1"/>
  <c r="AK62" i="2" s="1"/>
  <c r="AN16" i="2"/>
  <c r="AO16" i="2" s="1"/>
  <c r="AQ16" i="2" s="1"/>
  <c r="AI17" i="2"/>
  <c r="AI18" i="2" s="1"/>
  <c r="AI19" i="2" s="1"/>
  <c r="AI20" i="2" s="1"/>
  <c r="AI21" i="2" s="1"/>
  <c r="AI22" i="2" s="1"/>
  <c r="AO19" i="2"/>
  <c r="AQ19" i="2" s="1"/>
  <c r="AN17" i="2"/>
  <c r="AO17" i="2" s="1"/>
  <c r="AQ17" i="2" s="1"/>
  <c r="AN18" i="2"/>
  <c r="AO18" i="2" s="1"/>
  <c r="AQ18" i="2" s="1"/>
  <c r="JS65" i="2" l="1"/>
  <c r="JS67" i="2" s="1"/>
  <c r="JS66" i="2" s="1"/>
  <c r="KD65" i="2"/>
  <c r="KD67" i="2" s="1"/>
  <c r="KD66" i="2" s="1"/>
  <c r="FS69" i="2"/>
  <c r="FS70" i="2" s="1"/>
  <c r="HT62" i="2"/>
  <c r="HV62" i="2" s="1"/>
  <c r="HT65" i="2"/>
  <c r="HV65" i="2" s="1"/>
  <c r="HV60" i="2"/>
  <c r="HE68" i="2"/>
  <c r="HE67" i="2" s="1"/>
  <c r="HE64" i="2"/>
  <c r="EL65" i="2"/>
  <c r="EV65" i="2"/>
  <c r="JM60" i="2"/>
  <c r="JC60" i="2"/>
  <c r="EK62" i="2"/>
  <c r="KT61" i="2"/>
  <c r="KU61" i="2" s="1"/>
  <c r="JN61" i="2"/>
  <c r="JB63" i="2"/>
  <c r="IG63" i="2"/>
  <c r="IG69" i="2" s="1"/>
  <c r="IG70" i="2" s="1"/>
  <c r="IR50" i="2" s="1"/>
  <c r="IP54" i="2" s="1"/>
  <c r="IQ63" i="2"/>
  <c r="IR63" i="2" s="1"/>
  <c r="CG60" i="2"/>
  <c r="CI60" i="2" s="1"/>
  <c r="DC68" i="2"/>
  <c r="DC67" i="2" s="1"/>
  <c r="DE67" i="2" s="1"/>
  <c r="FF68" i="2"/>
  <c r="FF67" i="2" s="1"/>
  <c r="FH67" i="2" s="1"/>
  <c r="BB30" i="2"/>
  <c r="AZ62" i="2" s="1"/>
  <c r="BB62" i="2" s="1"/>
  <c r="CI30" i="2"/>
  <c r="CI25" i="2"/>
  <c r="CI26" i="2" s="1"/>
  <c r="CG59" i="2" s="1"/>
  <c r="BB24" i="2"/>
  <c r="BB25" i="2" s="1"/>
  <c r="AZ59" i="2" s="1"/>
  <c r="AZ65" i="2" s="1"/>
  <c r="BB23" i="2"/>
  <c r="AQ23" i="2"/>
  <c r="AQ25" i="2" s="1"/>
  <c r="AO59" i="2" s="1"/>
  <c r="AO65" i="2" s="1"/>
  <c r="AN22" i="2"/>
  <c r="AN30" i="2"/>
  <c r="AO30" i="2" s="1"/>
  <c r="KD63" i="2" l="1"/>
  <c r="JS63" i="2"/>
  <c r="FM64" i="2"/>
  <c r="FM66" i="2" s="1"/>
  <c r="FM65" i="2" s="1"/>
  <c r="HT68" i="2"/>
  <c r="IP61" i="2"/>
  <c r="IR61" i="2" s="1"/>
  <c r="IR54" i="2"/>
  <c r="IP65" i="2"/>
  <c r="CG62" i="2"/>
  <c r="CI62" i="2" s="1"/>
  <c r="CG61" i="2"/>
  <c r="CG65" i="2"/>
  <c r="CI65" i="2" s="1"/>
  <c r="LE65" i="2"/>
  <c r="EW65" i="2"/>
  <c r="EL62" i="2"/>
  <c r="EV62" i="2"/>
  <c r="JM63" i="2"/>
  <c r="JC63" i="2"/>
  <c r="JC69" i="2" s="1"/>
  <c r="JC70" i="2" s="1"/>
  <c r="JN60" i="2"/>
  <c r="EK61" i="2"/>
  <c r="EL61" i="2" s="1"/>
  <c r="IA66" i="2"/>
  <c r="IA68" i="2" s="1"/>
  <c r="IA67" i="2" s="1"/>
  <c r="AO61" i="2"/>
  <c r="AQ61" i="2" s="1"/>
  <c r="AZ61" i="2"/>
  <c r="BB61" i="2" s="1"/>
  <c r="FB63" i="2"/>
  <c r="FH69" i="2"/>
  <c r="CY64" i="2"/>
  <c r="AQ65" i="2"/>
  <c r="BB65" i="2"/>
  <c r="AQ30" i="2"/>
  <c r="AO62" i="2" s="1"/>
  <c r="AQ62" i="2" s="1"/>
  <c r="CI59" i="2"/>
  <c r="CT34" i="2" s="1"/>
  <c r="CR59" i="2" s="1"/>
  <c r="BB59" i="2"/>
  <c r="AO60" i="2"/>
  <c r="AQ60" i="2" s="1"/>
  <c r="AQ22" i="2"/>
  <c r="AQ59" i="2"/>
  <c r="FM62" i="2" l="1"/>
  <c r="HT67" i="2"/>
  <c r="HV67" i="2" s="1"/>
  <c r="HV69" i="2" s="1"/>
  <c r="HV70" i="2" s="1"/>
  <c r="HP65" i="2"/>
  <c r="IP68" i="2"/>
  <c r="IR65" i="2"/>
  <c r="CR62" i="2"/>
  <c r="CT62" i="2" s="1"/>
  <c r="CR65" i="2"/>
  <c r="CT65" i="2" s="1"/>
  <c r="CT59" i="2"/>
  <c r="DE69" i="2" s="1"/>
  <c r="DE70" i="2" s="1"/>
  <c r="CY65" i="2" s="1"/>
  <c r="FH70" i="2"/>
  <c r="FB64" i="2" s="1"/>
  <c r="IA64" i="2"/>
  <c r="LF65" i="2"/>
  <c r="LP65" i="2"/>
  <c r="LE62" i="2"/>
  <c r="EW62" i="2"/>
  <c r="IW65" i="2"/>
  <c r="IW67" i="2" s="1"/>
  <c r="IW66" i="2" s="1"/>
  <c r="KT63" i="2"/>
  <c r="KU63" i="2" s="1"/>
  <c r="KU69" i="2" s="1"/>
  <c r="KU70" i="2" s="1"/>
  <c r="JN63" i="2"/>
  <c r="JN69" i="2" s="1"/>
  <c r="JN70" i="2" s="1"/>
  <c r="EK63" i="2"/>
  <c r="AZ68" i="2"/>
  <c r="CI61" i="2"/>
  <c r="CG68" i="2"/>
  <c r="CG67" i="2" s="1"/>
  <c r="CI67" i="2" s="1"/>
  <c r="AO68" i="2"/>
  <c r="AO67" i="2" s="1"/>
  <c r="AQ67" i="2" s="1"/>
  <c r="LQ65" i="2" l="1"/>
  <c r="MA66" i="2"/>
  <c r="MB66" i="2" s="1"/>
  <c r="MB70" i="2" s="1"/>
  <c r="MB71" i="2" s="1"/>
  <c r="HP66" i="2"/>
  <c r="HP68" i="2" s="1"/>
  <c r="HP67" i="2" s="1"/>
  <c r="IP67" i="2"/>
  <c r="IR67" i="2" s="1"/>
  <c r="IR69" i="2" s="1"/>
  <c r="IR70" i="2" s="1"/>
  <c r="IL64" i="2"/>
  <c r="CR68" i="2"/>
  <c r="CN65" i="2" s="1"/>
  <c r="FB66" i="2"/>
  <c r="FB65" i="2" s="1"/>
  <c r="FB62" i="2"/>
  <c r="CY67" i="2"/>
  <c r="CY66" i="2" s="1"/>
  <c r="CY63" i="2"/>
  <c r="LF62" i="2"/>
  <c r="LP63" i="2"/>
  <c r="LQ63" i="2" s="1"/>
  <c r="LE60" i="2"/>
  <c r="EL63" i="2"/>
  <c r="EL69" i="2" s="1"/>
  <c r="EV63" i="2"/>
  <c r="JH65" i="2"/>
  <c r="JH67" i="2" s="1"/>
  <c r="JH66" i="2" s="1"/>
  <c r="KO65" i="2"/>
  <c r="KO67" i="2" s="1"/>
  <c r="KO66" i="2" s="1"/>
  <c r="IW63" i="2"/>
  <c r="AZ67" i="2"/>
  <c r="BB67" i="2" s="1"/>
  <c r="BB69" i="2" s="1"/>
  <c r="BB70" i="2" s="1"/>
  <c r="AV65" i="2" s="1"/>
  <c r="CC64" i="2"/>
  <c r="AK64" i="2"/>
  <c r="AQ69" i="2"/>
  <c r="AQ70" i="2" s="1"/>
  <c r="AK65" i="2" s="1"/>
  <c r="AK63" i="2" s="1"/>
  <c r="CI69" i="2"/>
  <c r="AV64" i="2"/>
  <c r="LV66" i="2" l="1"/>
  <c r="LV68" i="2" s="1"/>
  <c r="LV64" i="2"/>
  <c r="HP64" i="2"/>
  <c r="IL65" i="2"/>
  <c r="IL67" i="2" s="1"/>
  <c r="IL66" i="2" s="1"/>
  <c r="CR67" i="2"/>
  <c r="CT67" i="2" s="1"/>
  <c r="CT69" i="2" s="1"/>
  <c r="CT70" i="2" s="1"/>
  <c r="CN66" i="2" s="1"/>
  <c r="CN68" i="2" s="1"/>
  <c r="CN67" i="2" s="1"/>
  <c r="CI70" i="2"/>
  <c r="CC65" i="2" s="1"/>
  <c r="EL70" i="2"/>
  <c r="EF65" i="2" s="1"/>
  <c r="EF67" i="2" s="1"/>
  <c r="EF66" i="2" s="1"/>
  <c r="EW63" i="2"/>
  <c r="EW69" i="2" s="1"/>
  <c r="EW70" i="2" s="1"/>
  <c r="LE63" i="2"/>
  <c r="LF63" i="2" s="1"/>
  <c r="LF60" i="2"/>
  <c r="LP61" i="2"/>
  <c r="LQ61" i="2" s="1"/>
  <c r="LQ69" i="2" s="1"/>
  <c r="LQ70" i="2" s="1"/>
  <c r="KO63" i="2"/>
  <c r="JH63" i="2"/>
  <c r="AV67" i="2"/>
  <c r="AV66" i="2" s="1"/>
  <c r="AV63" i="2"/>
  <c r="AK67" i="2"/>
  <c r="AK66" i="2" s="1"/>
  <c r="LV71" i="2" l="1"/>
  <c r="LV67" i="2"/>
  <c r="IL63" i="2"/>
  <c r="CN64" i="2"/>
  <c r="CC63" i="2"/>
  <c r="CC67" i="2"/>
  <c r="CC66" i="2" s="1"/>
  <c r="EF63" i="2"/>
  <c r="LF69" i="2"/>
  <c r="EQ65" i="2"/>
  <c r="EQ67" i="2" s="1"/>
  <c r="EQ66" i="2" s="1"/>
  <c r="LK66" i="2"/>
  <c r="LK68" i="2" s="1"/>
  <c r="LK67" i="2" s="1"/>
  <c r="LF70" i="2" l="1"/>
  <c r="KZ65" i="2" s="1"/>
  <c r="KZ67" i="2" s="1"/>
  <c r="KZ66" i="2" s="1"/>
  <c r="LK64" i="2"/>
  <c r="EQ63" i="2"/>
  <c r="D66" i="2"/>
  <c r="H67" i="2"/>
  <c r="J67" i="2" s="1"/>
  <c r="J69" i="2" s="1"/>
  <c r="J70" i="2" s="1"/>
  <c r="KZ63" i="2" l="1"/>
  <c r="D67" i="2"/>
  <c r="D69" i="2" s="1"/>
  <c r="D68" i="2" s="1"/>
  <c r="D65" i="2" l="1"/>
  <c r="O66" i="2" l="1"/>
  <c r="S67" i="2"/>
  <c r="U67" i="2" s="1"/>
  <c r="U69" i="2" s="1"/>
  <c r="U70" i="2" s="1"/>
  <c r="O67" i="2" l="1"/>
  <c r="O69" i="2" s="1"/>
  <c r="O68" i="2" s="1"/>
  <c r="O65" i="2" l="1"/>
</calcChain>
</file>

<file path=xl/sharedStrings.xml><?xml version="1.0" encoding="utf-8"?>
<sst xmlns="http://schemas.openxmlformats.org/spreadsheetml/2006/main" count="4056" uniqueCount="422">
  <si>
    <t>Наименование</t>
  </si>
  <si>
    <t>Маркировка</t>
  </si>
  <si>
    <t>Профиль</t>
  </si>
  <si>
    <t>К-во</t>
  </si>
  <si>
    <t>Длина</t>
  </si>
  <si>
    <t>Длина общ.</t>
  </si>
  <si>
    <t>кг/м</t>
  </si>
  <si>
    <t>Вес</t>
  </si>
  <si>
    <t>№</t>
  </si>
  <si>
    <t>Итого вес:</t>
  </si>
  <si>
    <t>Уголок</t>
  </si>
  <si>
    <t>СД-250</t>
  </si>
  <si>
    <t>250-2,5</t>
  </si>
  <si>
    <t>Оцинковка</t>
  </si>
  <si>
    <t>Фасонка 6мм</t>
  </si>
  <si>
    <t>Пятки</t>
  </si>
  <si>
    <t>Метизы</t>
  </si>
  <si>
    <t>ИТОГО</t>
  </si>
  <si>
    <t>Проект</t>
  </si>
  <si>
    <t>СД-300</t>
  </si>
  <si>
    <t>250-2,0</t>
  </si>
  <si>
    <t>Балка верх</t>
  </si>
  <si>
    <t>Балка низ</t>
  </si>
  <si>
    <t>Прогоны</t>
  </si>
  <si>
    <t>Пр</t>
  </si>
  <si>
    <t>Р</t>
  </si>
  <si>
    <t>Бн</t>
  </si>
  <si>
    <t>Бв</t>
  </si>
  <si>
    <t>Площадь</t>
  </si>
  <si>
    <t>Металоемкост расч.</t>
  </si>
  <si>
    <t>Вес каркаса расч.</t>
  </si>
  <si>
    <t>Цена расч.</t>
  </si>
  <si>
    <t>Цена за тонну расч.</t>
  </si>
  <si>
    <t>Уголок 250</t>
  </si>
  <si>
    <t>Уголок 300</t>
  </si>
  <si>
    <t>Цена на 1 кв. м</t>
  </si>
  <si>
    <t>Общий вес</t>
  </si>
  <si>
    <t>200-2,0</t>
  </si>
  <si>
    <t>Балка</t>
  </si>
  <si>
    <t>Б</t>
  </si>
  <si>
    <t>ЛСЖ 200х75-2,0</t>
  </si>
  <si>
    <t>Колонна</t>
  </si>
  <si>
    <t>К</t>
  </si>
  <si>
    <t>СД-200</t>
  </si>
  <si>
    <t>Уголок 200</t>
  </si>
  <si>
    <t>Длина здания</t>
  </si>
  <si>
    <t>Высота боковой стены</t>
  </si>
  <si>
    <t>Ширина пролета</t>
  </si>
  <si>
    <t>Площадь здания</t>
  </si>
  <si>
    <t>Затяжка ф14мм</t>
  </si>
  <si>
    <t>Связи ф12мм</t>
  </si>
  <si>
    <t>Кол-во пролетов</t>
  </si>
  <si>
    <t>Шаг колон</t>
  </si>
  <si>
    <t>Ст.ф</t>
  </si>
  <si>
    <t>Стойка фахв.</t>
  </si>
  <si>
    <t>Р.ф</t>
  </si>
  <si>
    <t>еще 2 распорки на пролет</t>
  </si>
  <si>
    <t>если больше 4,8м</t>
  </si>
  <si>
    <t>Ст.ф1</t>
  </si>
  <si>
    <t>Ст.ф2</t>
  </si>
  <si>
    <t>Стойка фахв.1</t>
  </si>
  <si>
    <t>Стойка фахв.2</t>
  </si>
  <si>
    <t>ЛСЖ 250х100-2,5</t>
  </si>
  <si>
    <t>ЛСЖ 250х100-2,0</t>
  </si>
  <si>
    <t>Связевой блок</t>
  </si>
  <si>
    <t>Раскос фермы бок</t>
  </si>
  <si>
    <t>Раскос фермы средн</t>
  </si>
  <si>
    <t>Рф.ср</t>
  </si>
  <si>
    <t>Рф.б</t>
  </si>
  <si>
    <t>Ст.ф3</t>
  </si>
  <si>
    <t>Стойка фахв.3</t>
  </si>
  <si>
    <t>Кол. распорок в пролете</t>
  </si>
  <si>
    <t>Затяжка ф20мм</t>
  </si>
  <si>
    <t>на каждые 40 м</t>
  </si>
  <si>
    <t>Колонна крайняя</t>
  </si>
  <si>
    <t>Кк</t>
  </si>
  <si>
    <t>Кс</t>
  </si>
  <si>
    <t>Колонна средняя</t>
  </si>
  <si>
    <t>Затяжка ф22мм</t>
  </si>
  <si>
    <t>Р.ф1</t>
  </si>
  <si>
    <t>Р.ф2</t>
  </si>
  <si>
    <t>Связи ф14мм</t>
  </si>
  <si>
    <t>Колонны крайние</t>
  </si>
  <si>
    <t>К1</t>
  </si>
  <si>
    <t>Колонны средние</t>
  </si>
  <si>
    <t>К2</t>
  </si>
  <si>
    <t>Б1</t>
  </si>
  <si>
    <t>Балки крайние</t>
  </si>
  <si>
    <t>Балки средние</t>
  </si>
  <si>
    <t>Б2</t>
  </si>
  <si>
    <t>Стойки центр ворот</t>
  </si>
  <si>
    <t>Ст.в</t>
  </si>
  <si>
    <t>Стойка фахв.4</t>
  </si>
  <si>
    <t>Ст.ф4</t>
  </si>
  <si>
    <t>Ригель</t>
  </si>
  <si>
    <t>Ригель фахв.</t>
  </si>
  <si>
    <t>Ригель фахв.1</t>
  </si>
  <si>
    <t>Ригель фахв.2</t>
  </si>
  <si>
    <t>Ригель фахв.3</t>
  </si>
  <si>
    <t>Р.ф3</t>
  </si>
  <si>
    <t>Ригель фахв.4</t>
  </si>
  <si>
    <t>Р.ф4</t>
  </si>
  <si>
    <t>Ригель фахв.5</t>
  </si>
  <si>
    <t>Р.ф5</t>
  </si>
  <si>
    <t>ЛПЖ 150х45-1,5</t>
  </si>
  <si>
    <t>Стойка конек</t>
  </si>
  <si>
    <t>Ст.К</t>
  </si>
  <si>
    <t>Б.К</t>
  </si>
  <si>
    <t>Прогон конек</t>
  </si>
  <si>
    <t>Пр.К</t>
  </si>
  <si>
    <t>СД-150</t>
  </si>
  <si>
    <t>Балка конек</t>
  </si>
  <si>
    <t>120х60х150</t>
  </si>
  <si>
    <t>Соед. уголок</t>
  </si>
  <si>
    <t>150-1,5</t>
  </si>
  <si>
    <t>Соед. пластина</t>
  </si>
  <si>
    <t>Уголок 150</t>
  </si>
  <si>
    <t>ЛСЖ 300х75-3,5</t>
  </si>
  <si>
    <t>ЛСЖ 300х75-4,0</t>
  </si>
  <si>
    <t>300-3,5</t>
  </si>
  <si>
    <t>300-4,0</t>
  </si>
  <si>
    <t>Распорка фермы</t>
  </si>
  <si>
    <t>Рс.ф</t>
  </si>
  <si>
    <t>Усиление под ворота</t>
  </si>
  <si>
    <t>Ригель фахв.6</t>
  </si>
  <si>
    <t>Р.ф6</t>
  </si>
  <si>
    <t>ЛСЖ 250х100-2,1</t>
  </si>
  <si>
    <t>Уголок черн.</t>
  </si>
  <si>
    <t>Балка подкос</t>
  </si>
  <si>
    <t>БП</t>
  </si>
  <si>
    <t>Прогон сдвоенный</t>
  </si>
  <si>
    <t>Пр2</t>
  </si>
  <si>
    <t>Пр1</t>
  </si>
  <si>
    <t>Прогон одинарный</t>
  </si>
  <si>
    <t>Продажная цена +20%</t>
  </si>
  <si>
    <t>Z 250х65-2,0</t>
  </si>
  <si>
    <t>Z 250</t>
  </si>
  <si>
    <t>Фахверки</t>
  </si>
  <si>
    <t>16 гр</t>
  </si>
  <si>
    <t>Затяжка ф18мм</t>
  </si>
  <si>
    <t>Доставка</t>
  </si>
  <si>
    <t>Раскос фермы 1</t>
  </si>
  <si>
    <t>Рф.1</t>
  </si>
  <si>
    <t>Раскос фермы 2</t>
  </si>
  <si>
    <t>Рф.2</t>
  </si>
  <si>
    <t>Раскос фермы 3</t>
  </si>
  <si>
    <t>Рф.3</t>
  </si>
  <si>
    <t>Раскос фермы 4</t>
  </si>
  <si>
    <t>Рф.4</t>
  </si>
  <si>
    <t>Раскос фермы 5</t>
  </si>
  <si>
    <t>Рф.5</t>
  </si>
  <si>
    <t>ЛСЖ 200х75-2,00</t>
  </si>
  <si>
    <t>Z 2502,0</t>
  </si>
  <si>
    <t>Ригель ворот</t>
  </si>
  <si>
    <t>Р.В</t>
  </si>
  <si>
    <t>Стойка под двери</t>
  </si>
  <si>
    <t>Ст.д</t>
  </si>
  <si>
    <t>Ригель под окно</t>
  </si>
  <si>
    <t>Р5</t>
  </si>
  <si>
    <t>Р6</t>
  </si>
  <si>
    <t>Р7</t>
  </si>
  <si>
    <t>Р8</t>
  </si>
  <si>
    <t>Р9</t>
  </si>
  <si>
    <t>Ригель дверей</t>
  </si>
  <si>
    <t>Р11</t>
  </si>
  <si>
    <t>Рд</t>
  </si>
  <si>
    <t>Ригель фахверка</t>
  </si>
  <si>
    <t>Р.ф.1</t>
  </si>
  <si>
    <t>Р.ф.2</t>
  </si>
  <si>
    <t>Р.ф.3</t>
  </si>
  <si>
    <t>Р.ф.4</t>
  </si>
  <si>
    <t>Р.ф.5</t>
  </si>
  <si>
    <t>Раскос фермы 6</t>
  </si>
  <si>
    <t>Р.ф.6</t>
  </si>
  <si>
    <t>Ригель на фермы</t>
  </si>
  <si>
    <t>Доставка 18т</t>
  </si>
  <si>
    <t>Кол-во пролетов колон</t>
  </si>
  <si>
    <t>Кол-во пролетов балок</t>
  </si>
  <si>
    <t>Шаг балок</t>
  </si>
  <si>
    <t>Ккр</t>
  </si>
  <si>
    <t>Кср1</t>
  </si>
  <si>
    <t>35К1</t>
  </si>
  <si>
    <t>Ферма перекрытия</t>
  </si>
  <si>
    <t xml:space="preserve">Верхний пояс </t>
  </si>
  <si>
    <t>Нижний пояс</t>
  </si>
  <si>
    <t>Стойка средняя</t>
  </si>
  <si>
    <t>СтСр</t>
  </si>
  <si>
    <t>Ферма поясовая</t>
  </si>
  <si>
    <t xml:space="preserve">верхний пояс </t>
  </si>
  <si>
    <t>140х140х6,0</t>
  </si>
  <si>
    <t>нижний пояс</t>
  </si>
  <si>
    <t>раскосная решетка</t>
  </si>
  <si>
    <t>Z 250-2,0</t>
  </si>
  <si>
    <t>Фахверк</t>
  </si>
  <si>
    <t>Стойка фахв.5</t>
  </si>
  <si>
    <t>Ст.ф5</t>
  </si>
  <si>
    <t>Ригель фахв. 1</t>
  </si>
  <si>
    <t>Ригель фахв. 2</t>
  </si>
  <si>
    <t>Ригель фахв. 3</t>
  </si>
  <si>
    <t>80х80-4,0</t>
  </si>
  <si>
    <t>Итого вес оцинк.</t>
  </si>
  <si>
    <t>Итого вес черн.</t>
  </si>
  <si>
    <t>Черн.</t>
  </si>
  <si>
    <t>Стойки ворот 1</t>
  </si>
  <si>
    <t>Ст.в1</t>
  </si>
  <si>
    <t>Стойки ворот 2</t>
  </si>
  <si>
    <t>Ст.в2</t>
  </si>
  <si>
    <t>Стойки ворот 3</t>
  </si>
  <si>
    <t>Ст.в3</t>
  </si>
  <si>
    <t>22 гр</t>
  </si>
  <si>
    <t>Стойка под ворота</t>
  </si>
  <si>
    <t>Ст.В</t>
  </si>
  <si>
    <t>ДМБ</t>
  </si>
  <si>
    <t>Выстовочный зал</t>
  </si>
  <si>
    <t>40Б1</t>
  </si>
  <si>
    <t>Колонны средние1</t>
  </si>
  <si>
    <t>Колонны средние2</t>
  </si>
  <si>
    <t>Кср2</t>
  </si>
  <si>
    <t>ЛСЖ 150х55-1,5</t>
  </si>
  <si>
    <t>Раскос фермы</t>
  </si>
  <si>
    <t>Рф</t>
  </si>
  <si>
    <t>Стойка фермы 1</t>
  </si>
  <si>
    <t>Стойка фермы 2</t>
  </si>
  <si>
    <t>Z 250-2,5</t>
  </si>
  <si>
    <t>Ферма поясовая крайн.</t>
  </si>
  <si>
    <t xml:space="preserve">верхний/нижний пояс </t>
  </si>
  <si>
    <t>100х100-4,0</t>
  </si>
  <si>
    <t>Ферма поясовая средн.</t>
  </si>
  <si>
    <t>Площадка</t>
  </si>
  <si>
    <t>Прогон площадки</t>
  </si>
  <si>
    <t>ПЛ.Пр</t>
  </si>
  <si>
    <t>25Б1</t>
  </si>
  <si>
    <t>Балка площадки</t>
  </si>
  <si>
    <t>ПЛ.Б</t>
  </si>
  <si>
    <t>Балка низ подкос</t>
  </si>
  <si>
    <t>Балка фахверк</t>
  </si>
  <si>
    <t>Б.ф</t>
  </si>
  <si>
    <t>Нижн. пояс</t>
  </si>
  <si>
    <t>Уг 100х100х2,5</t>
  </si>
  <si>
    <t>Подкос фермы</t>
  </si>
  <si>
    <t>Стойка фермы</t>
  </si>
  <si>
    <t>Распорка по ферме</t>
  </si>
  <si>
    <t>Z 250х65-2,5</t>
  </si>
  <si>
    <t>Уг 100-2,5</t>
  </si>
  <si>
    <t>Прогон</t>
  </si>
  <si>
    <t>Распорка конька</t>
  </si>
  <si>
    <t>Р.К</t>
  </si>
  <si>
    <t>Конек</t>
  </si>
  <si>
    <t>с коньком ТРУБА</t>
  </si>
  <si>
    <t>Z 250х2,0</t>
  </si>
  <si>
    <t>Прогон верхний</t>
  </si>
  <si>
    <t>Пр2-2</t>
  </si>
  <si>
    <t>Черн. Мет.</t>
  </si>
  <si>
    <t>ЛСЖ 200х55-2,0</t>
  </si>
  <si>
    <t>Бипласт</t>
  </si>
  <si>
    <t>Балка 1</t>
  </si>
  <si>
    <t>Колонна 1</t>
  </si>
  <si>
    <t>Колонна 2</t>
  </si>
  <si>
    <t>160X120X7,0</t>
  </si>
  <si>
    <t>35Б1</t>
  </si>
  <si>
    <t>Черн.балка Б1</t>
  </si>
  <si>
    <t>Связи ф16мм</t>
  </si>
  <si>
    <t>Сенохранилище</t>
  </si>
  <si>
    <t>150X100X5.0</t>
  </si>
  <si>
    <t>Рф-1</t>
  </si>
  <si>
    <t>Рф-2</t>
  </si>
  <si>
    <t>Рф-3</t>
  </si>
  <si>
    <t>Рф-4</t>
  </si>
  <si>
    <t>Рф-5</t>
  </si>
  <si>
    <t>Рф-6</t>
  </si>
  <si>
    <t>Рф-7</t>
  </si>
  <si>
    <t>Ригель фахв.7</t>
  </si>
  <si>
    <t>Затяжка ф24мм</t>
  </si>
  <si>
    <t>Балка верхн</t>
  </si>
  <si>
    <t>Б.в</t>
  </si>
  <si>
    <t>Балка нижн</t>
  </si>
  <si>
    <t>К кр</t>
  </si>
  <si>
    <t>Менделеево</t>
  </si>
  <si>
    <t>Балка фермы верх</t>
  </si>
  <si>
    <t>Балка низ 1</t>
  </si>
  <si>
    <t>Бн1</t>
  </si>
  <si>
    <t>Балка низ 2</t>
  </si>
  <si>
    <t>Бн2</t>
  </si>
  <si>
    <t>Ст.ф.1</t>
  </si>
  <si>
    <t>Ст.ф.2</t>
  </si>
  <si>
    <t>Стойка фермы 3</t>
  </si>
  <si>
    <t>Ст.ф.3</t>
  </si>
  <si>
    <t>Распорка на фермы</t>
  </si>
  <si>
    <t>ЛСЖ 250х75-1,5</t>
  </si>
  <si>
    <t>Связь по ферме</t>
  </si>
  <si>
    <t>Св.ф</t>
  </si>
  <si>
    <t>ЛСЖ 250х75-2,0</t>
  </si>
  <si>
    <t>Б.ф.</t>
  </si>
  <si>
    <t>Связи фахв. ф14мм</t>
  </si>
  <si>
    <t>20 гр</t>
  </si>
  <si>
    <t>Телятник</t>
  </si>
  <si>
    <t>под профлист</t>
  </si>
  <si>
    <t>180X100X8,0</t>
  </si>
  <si>
    <t>180X100X6,0</t>
  </si>
  <si>
    <t>160X120X6,0</t>
  </si>
  <si>
    <t>160X120X5,0</t>
  </si>
  <si>
    <t>Стойка ворот</t>
  </si>
  <si>
    <t>Ст. вр.</t>
  </si>
  <si>
    <t>СЖТ 150х47/41х1.5</t>
  </si>
  <si>
    <t>Затяжка ф16мм</t>
  </si>
  <si>
    <t>под сэндвич</t>
  </si>
  <si>
    <t>180х100х8,0</t>
  </si>
  <si>
    <t>180х100х6,0</t>
  </si>
  <si>
    <t>Ригель фахв 3</t>
  </si>
  <si>
    <t>Рф3</t>
  </si>
  <si>
    <t>50х50-5,0</t>
  </si>
  <si>
    <t>Черн. мет.</t>
  </si>
  <si>
    <t>Литейщик 4 снег</t>
  </si>
  <si>
    <t>Z 200х75-2,0</t>
  </si>
  <si>
    <t>ЛСЖ 250х100х2</t>
  </si>
  <si>
    <t>100х100-6,0</t>
  </si>
  <si>
    <t>Колонна мал</t>
  </si>
  <si>
    <t>Колонна бол</t>
  </si>
  <si>
    <t>Ригель под окно (вход)</t>
  </si>
  <si>
    <t>Р3</t>
  </si>
  <si>
    <t>Стойка дверей</t>
  </si>
  <si>
    <t>СтД</t>
  </si>
  <si>
    <t>Стойка окна</t>
  </si>
  <si>
    <t>СтО</t>
  </si>
  <si>
    <t>Комната весовщика</t>
  </si>
  <si>
    <t>Колоны черные</t>
  </si>
  <si>
    <t>Колоны черные 35Б1</t>
  </si>
  <si>
    <t>Комната охраны 6х7м h=3,4 - 4,2м</t>
  </si>
  <si>
    <t>Р4</t>
  </si>
  <si>
    <t>Дезбарьер / Весовая</t>
  </si>
  <si>
    <t>монтаж</t>
  </si>
  <si>
    <t>итого</t>
  </si>
  <si>
    <t>до конструк</t>
  </si>
  <si>
    <t>связь по кровле</t>
  </si>
  <si>
    <t>Связи по кровли</t>
  </si>
  <si>
    <t>Гараж</t>
  </si>
  <si>
    <t>мойка</t>
  </si>
  <si>
    <t>2-й вариант</t>
  </si>
  <si>
    <t>Сэндвич</t>
  </si>
  <si>
    <t>Реальное</t>
  </si>
  <si>
    <t>Раскос фермы1</t>
  </si>
  <si>
    <t>Раскос фермы2</t>
  </si>
  <si>
    <t>Подкос</t>
  </si>
  <si>
    <t>Пс</t>
  </si>
  <si>
    <t>Стойка ворота</t>
  </si>
  <si>
    <t>новое ТУ</t>
  </si>
  <si>
    <t>Стойка дверь</t>
  </si>
  <si>
    <t>односкат</t>
  </si>
  <si>
    <t>ДОГОВОР</t>
  </si>
  <si>
    <t>.21.06</t>
  </si>
  <si>
    <t>.09.09</t>
  </si>
  <si>
    <t>.08.10</t>
  </si>
  <si>
    <t>.05.04.2022</t>
  </si>
  <si>
    <t>ЛСЖ 250х80-2,0</t>
  </si>
  <si>
    <t>Z 250х65/60-2,0</t>
  </si>
  <si>
    <t>ЛСЖ 250х80-2,5</t>
  </si>
  <si>
    <t>.27.05.2022</t>
  </si>
  <si>
    <t>.17.01.2024</t>
  </si>
  <si>
    <t>Продажная цена +22%</t>
  </si>
  <si>
    <t>Профлист</t>
  </si>
  <si>
    <t>Коровник ПСК</t>
  </si>
  <si>
    <t>ЛСЖ 250х100-3,0</t>
  </si>
  <si>
    <t>200X120X7,0</t>
  </si>
  <si>
    <t>250-3,0</t>
  </si>
  <si>
    <t>Связи 100х4</t>
  </si>
  <si>
    <t>.27.02</t>
  </si>
  <si>
    <t>ПСУ 250х80-2,5</t>
  </si>
  <si>
    <t>ЛСЖ 150х55-2,0</t>
  </si>
  <si>
    <t>Сжатый раскос фермы 1</t>
  </si>
  <si>
    <t>СР.ф.1</t>
  </si>
  <si>
    <t>Растянутый раскос фермы 1</t>
  </si>
  <si>
    <t>РР.ф.1</t>
  </si>
  <si>
    <t>Сжатый раскос фермы 2</t>
  </si>
  <si>
    <t>СР.ф.2</t>
  </si>
  <si>
    <t>Растянутый раскос фермы 2</t>
  </si>
  <si>
    <t>РР.ф.2</t>
  </si>
  <si>
    <t>Сжатый раскос фермы 4</t>
  </si>
  <si>
    <t>СР.ф.4</t>
  </si>
  <si>
    <t>Растянутый раскос фермы 3</t>
  </si>
  <si>
    <t>РР.ф.3</t>
  </si>
  <si>
    <t>ПСУ 250х80-2,0</t>
  </si>
  <si>
    <t>ПСУ 300х80-2,5</t>
  </si>
  <si>
    <t>Ригель/распорка</t>
  </si>
  <si>
    <t>ПСУ 300х80-2,0</t>
  </si>
  <si>
    <t>Ст.в.</t>
  </si>
  <si>
    <t>Стойка окно</t>
  </si>
  <si>
    <t>Черный</t>
  </si>
  <si>
    <t xml:space="preserve">Черный </t>
  </si>
  <si>
    <t>Связи фахв. ф12мм</t>
  </si>
  <si>
    <t>7 град</t>
  </si>
  <si>
    <t>вар 3</t>
  </si>
  <si>
    <t>новый станок</t>
  </si>
  <si>
    <t>ЛСЖ 150х47/41-2,0</t>
  </si>
  <si>
    <t>ПСУ 200х70-2,0</t>
  </si>
  <si>
    <t>Алексей Щигры</t>
  </si>
  <si>
    <t>м2</t>
  </si>
  <si>
    <t>Цена руб/1 м2</t>
  </si>
  <si>
    <t>ПСУ 250х80х2,0</t>
  </si>
  <si>
    <t>ПСУ 200х70х2,0</t>
  </si>
  <si>
    <t>ПСУ 150х47/41-2,0</t>
  </si>
  <si>
    <t>ПСУ 300х80х2,0</t>
  </si>
  <si>
    <t>ЛСЖ 300х100х2,5</t>
  </si>
  <si>
    <t>14 град</t>
  </si>
  <si>
    <t>ГЕОС</t>
  </si>
  <si>
    <t>профлист</t>
  </si>
  <si>
    <t xml:space="preserve"> </t>
  </si>
  <si>
    <t>ЛСЖ 150х47/41-1,5</t>
  </si>
  <si>
    <t>Ворота</t>
  </si>
  <si>
    <t>Основание</t>
  </si>
  <si>
    <t>80х40х3</t>
  </si>
  <si>
    <t>Внутр стойки</t>
  </si>
  <si>
    <t>60х40х3</t>
  </si>
  <si>
    <t>Связь</t>
  </si>
  <si>
    <t>Труба обрамление</t>
  </si>
  <si>
    <t>25х25х2</t>
  </si>
  <si>
    <t xml:space="preserve">итого  </t>
  </si>
  <si>
    <t>Дверь</t>
  </si>
  <si>
    <t>45х3</t>
  </si>
  <si>
    <t>Sстен</t>
  </si>
  <si>
    <t>.=ширина х высоту х 2 + длина х высоту х 2 + 2 м(высота конька) х ширину</t>
  </si>
  <si>
    <t>S кровли</t>
  </si>
  <si>
    <t>.= (ширна х1,2) х (длина+1 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</si>
</sst>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р.&quot;"/>
    <numFmt numFmtId="165" formatCode="#,##0.00&quot;р.&quot;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25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2">
    <xf numFmtId="0" fontId="0" fillId="0" borderId="0" xfId="0"/>
    <xf numFmtId="0" fontId="0" fillId="0" borderId="1" xfId="0" applyBorder="1"/>
    <xf numFmtId="4" fontId="22" fillId="0" borderId="1" xfId="0" applyNumberFormat="1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2" fillId="4" borderId="1" xfId="0" applyFont="1" applyFill="1" applyBorder="1"/>
    <xf numFmtId="4" fontId="22" fillId="4" borderId="1" xfId="0" applyNumberFormat="1" applyFont="1" applyFill="1" applyBorder="1"/>
    <xf numFmtId="0" fontId="22" fillId="2" borderId="1" xfId="0" applyFont="1" applyFill="1" applyBorder="1"/>
    <xf numFmtId="4" fontId="22" fillId="2" borderId="1" xfId="0" applyNumberFormat="1" applyFont="1" applyFill="1" applyBorder="1"/>
    <xf numFmtId="4" fontId="22" fillId="0" borderId="1" xfId="0" applyNumberFormat="1" applyFont="1" applyBorder="1"/>
    <xf numFmtId="0" fontId="0" fillId="5" borderId="1" xfId="0" applyFill="1" applyBorder="1"/>
    <xf numFmtId="4" fontId="21" fillId="5" borderId="1" xfId="0" applyNumberFormat="1" applyFont="1" applyFill="1" applyBorder="1"/>
    <xf numFmtId="0" fontId="22" fillId="5" borderId="1" xfId="0" applyFont="1" applyFill="1" applyBorder="1"/>
    <xf numFmtId="4" fontId="22" fillId="5" borderId="1" xfId="0" applyNumberFormat="1" applyFont="1" applyFill="1" applyBorder="1"/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0" fillId="0" borderId="0" xfId="0" applyBorder="1"/>
    <xf numFmtId="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22" fillId="0" borderId="1" xfId="0" applyFont="1" applyBorder="1"/>
    <xf numFmtId="165" fontId="22" fillId="0" borderId="1" xfId="0" applyNumberFormat="1" applyFont="1" applyBorder="1"/>
    <xf numFmtId="164" fontId="22" fillId="0" borderId="1" xfId="0" applyNumberFormat="1" applyFont="1" applyBorder="1"/>
    <xf numFmtId="0" fontId="0" fillId="7" borderId="1" xfId="0" applyFill="1" applyBorder="1"/>
    <xf numFmtId="4" fontId="21" fillId="7" borderId="1" xfId="0" applyNumberFormat="1" applyFont="1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164" fontId="22" fillId="4" borderId="1" xfId="0" applyNumberFormat="1" applyFont="1" applyFill="1" applyBorder="1"/>
    <xf numFmtId="0" fontId="0" fillId="0" borderId="13" xfId="0" applyBorder="1"/>
    <xf numFmtId="0" fontId="0" fillId="0" borderId="14" xfId="0" applyBorder="1"/>
    <xf numFmtId="0" fontId="0" fillId="6" borderId="14" xfId="0" applyFill="1" applyBorder="1"/>
    <xf numFmtId="0" fontId="0" fillId="0" borderId="15" xfId="0" applyBorder="1"/>
    <xf numFmtId="0" fontId="0" fillId="0" borderId="16" xfId="0" applyBorder="1"/>
    <xf numFmtId="4" fontId="20" fillId="2" borderId="1" xfId="0" applyNumberFormat="1" applyFont="1" applyFill="1" applyBorder="1"/>
    <xf numFmtId="4" fontId="20" fillId="3" borderId="1" xfId="0" applyNumberFormat="1" applyFont="1" applyFill="1" applyBorder="1"/>
    <xf numFmtId="4" fontId="20" fillId="4" borderId="1" xfId="0" applyNumberFormat="1" applyFont="1" applyFill="1" applyBorder="1"/>
    <xf numFmtId="0" fontId="0" fillId="0" borderId="17" xfId="0" applyBorder="1"/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0" xfId="0" applyBorder="1" applyAlignment="1">
      <alignment horizontal="center"/>
    </xf>
    <xf numFmtId="4" fontId="22" fillId="0" borderId="0" xfId="0" applyNumberFormat="1" applyFont="1" applyBorder="1"/>
    <xf numFmtId="0" fontId="0" fillId="0" borderId="1" xfId="0" applyFill="1" applyBorder="1"/>
    <xf numFmtId="4" fontId="24" fillId="10" borderId="1" xfId="0" applyNumberFormat="1" applyFont="1" applyFill="1" applyBorder="1"/>
    <xf numFmtId="0" fontId="0" fillId="10" borderId="1" xfId="0" applyFill="1" applyBorder="1"/>
    <xf numFmtId="0" fontId="24" fillId="0" borderId="1" xfId="0" applyFont="1" applyBorder="1"/>
    <xf numFmtId="0" fontId="24" fillId="0" borderId="1" xfId="0" applyFont="1" applyBorder="1" applyAlignment="1">
      <alignment vertical="center"/>
    </xf>
    <xf numFmtId="0" fontId="24" fillId="0" borderId="1" xfId="0" applyFont="1" applyFill="1" applyBorder="1"/>
    <xf numFmtId="0" fontId="22" fillId="10" borderId="21" xfId="0" applyFont="1" applyFill="1" applyBorder="1"/>
    <xf numFmtId="4" fontId="22" fillId="10" borderId="21" xfId="0" applyNumberFormat="1" applyFont="1" applyFill="1" applyBorder="1"/>
    <xf numFmtId="0" fontId="0" fillId="9" borderId="1" xfId="0" applyFill="1" applyBorder="1"/>
    <xf numFmtId="4" fontId="20" fillId="9" borderId="1" xfId="0" applyNumberFormat="1" applyFont="1" applyFill="1" applyBorder="1"/>
    <xf numFmtId="0" fontId="22" fillId="9" borderId="1" xfId="0" applyFont="1" applyFill="1" applyBorder="1"/>
    <xf numFmtId="0" fontId="22" fillId="3" borderId="1" xfId="0" applyFont="1" applyFill="1" applyBorder="1"/>
    <xf numFmtId="4" fontId="22" fillId="9" borderId="1" xfId="0" applyNumberFormat="1" applyFont="1" applyFill="1" applyBorder="1"/>
    <xf numFmtId="4" fontId="22" fillId="3" borderId="1" xfId="0" applyNumberFormat="1" applyFont="1" applyFill="1" applyBorder="1"/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0" fillId="11" borderId="1" xfId="0" applyFill="1" applyBorder="1"/>
    <xf numFmtId="4" fontId="19" fillId="11" borderId="1" xfId="0" applyNumberFormat="1" applyFont="1" applyFill="1" applyBorder="1"/>
    <xf numFmtId="0" fontId="22" fillId="0" borderId="10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4" fontId="22" fillId="4" borderId="1" xfId="0" applyNumberFormat="1" applyFont="1" applyFill="1" applyBorder="1" applyAlignment="1">
      <alignment horizontal="center"/>
    </xf>
    <xf numFmtId="4" fontId="22" fillId="2" borderId="1" xfId="0" applyNumberFormat="1" applyFont="1" applyFill="1" applyBorder="1" applyAlignment="1">
      <alignment horizontal="center"/>
    </xf>
    <xf numFmtId="4" fontId="22" fillId="5" borderId="1" xfId="0" applyNumberFormat="1" applyFont="1" applyFill="1" applyBorder="1" applyAlignment="1">
      <alignment horizontal="center"/>
    </xf>
    <xf numFmtId="4" fontId="22" fillId="11" borderId="1" xfId="0" applyNumberFormat="1" applyFont="1" applyFill="1" applyBorder="1" applyAlignment="1">
      <alignment horizontal="center"/>
    </xf>
    <xf numFmtId="0" fontId="25" fillId="0" borderId="0" xfId="0" applyFont="1" applyFill="1" applyBorder="1" applyAlignment="1">
      <alignment horizontal="right"/>
    </xf>
    <xf numFmtId="4" fontId="25" fillId="0" borderId="0" xfId="0" applyNumberFormat="1" applyFont="1" applyBorder="1" applyAlignment="1">
      <alignment horizontal="center"/>
    </xf>
    <xf numFmtId="164" fontId="0" fillId="0" borderId="0" xfId="0" applyNumberFormat="1"/>
    <xf numFmtId="4" fontId="27" fillId="10" borderId="1" xfId="0" applyNumberFormat="1" applyFont="1" applyFill="1" applyBorder="1" applyAlignment="1">
      <alignment horizontal="center"/>
    </xf>
    <xf numFmtId="0" fontId="25" fillId="0" borderId="0" xfId="0" applyFont="1" applyAlignment="1">
      <alignment horizontal="right"/>
    </xf>
    <xf numFmtId="4" fontId="25" fillId="0" borderId="0" xfId="0" applyNumberFormat="1" applyFont="1" applyAlignment="1">
      <alignment horizontal="center"/>
    </xf>
    <xf numFmtId="4" fontId="22" fillId="0" borderId="1" xfId="0" applyNumberFormat="1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11" borderId="1" xfId="0" applyFont="1" applyFill="1" applyBorder="1"/>
    <xf numFmtId="4" fontId="22" fillId="11" borderId="1" xfId="0" applyNumberFormat="1" applyFont="1" applyFill="1" applyBorder="1"/>
    <xf numFmtId="4" fontId="18" fillId="2" borderId="1" xfId="0" applyNumberFormat="1" applyFont="1" applyFill="1" applyBorder="1"/>
    <xf numFmtId="4" fontId="18" fillId="4" borderId="1" xfId="0" applyNumberFormat="1" applyFont="1" applyFill="1" applyBorder="1"/>
    <xf numFmtId="4" fontId="18" fillId="5" borderId="1" xfId="0" applyNumberFormat="1" applyFont="1" applyFill="1" applyBorder="1"/>
    <xf numFmtId="4" fontId="18" fillId="11" borderId="1" xfId="0" applyNumberFormat="1" applyFont="1" applyFill="1" applyBorder="1"/>
    <xf numFmtId="4" fontId="18" fillId="7" borderId="1" xfId="0" applyNumberFormat="1" applyFont="1" applyFill="1" applyBorder="1"/>
    <xf numFmtId="4" fontId="17" fillId="4" borderId="1" xfId="0" applyNumberFormat="1" applyFont="1" applyFill="1" applyBorder="1"/>
    <xf numFmtId="4" fontId="17" fillId="11" borderId="1" xfId="0" applyNumberFormat="1" applyFont="1" applyFill="1" applyBorder="1"/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4" fontId="16" fillId="4" borderId="1" xfId="0" applyNumberFormat="1" applyFont="1" applyFill="1" applyBorder="1"/>
    <xf numFmtId="4" fontId="16" fillId="11" borderId="1" xfId="0" applyNumberFormat="1" applyFont="1" applyFill="1" applyBorder="1"/>
    <xf numFmtId="4" fontId="16" fillId="2" borderId="1" xfId="0" applyNumberFormat="1" applyFont="1" applyFill="1" applyBorder="1"/>
    <xf numFmtId="0" fontId="0" fillId="12" borderId="1" xfId="0" applyFill="1" applyBorder="1"/>
    <xf numFmtId="4" fontId="16" fillId="12" borderId="1" xfId="0" applyNumberFormat="1" applyFont="1" applyFill="1" applyBorder="1"/>
    <xf numFmtId="4" fontId="16" fillId="0" borderId="1" xfId="0" applyNumberFormat="1" applyFont="1" applyFill="1" applyBorder="1"/>
    <xf numFmtId="0" fontId="22" fillId="0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13" borderId="1" xfId="0" applyFill="1" applyBorder="1"/>
    <xf numFmtId="4" fontId="16" fillId="13" borderId="1" xfId="0" applyNumberFormat="1" applyFont="1" applyFill="1" applyBorder="1"/>
    <xf numFmtId="4" fontId="16" fillId="7" borderId="1" xfId="0" applyNumberFormat="1" applyFont="1" applyFill="1" applyBorder="1"/>
    <xf numFmtId="0" fontId="22" fillId="12" borderId="1" xfId="0" applyFont="1" applyFill="1" applyBorder="1"/>
    <xf numFmtId="4" fontId="22" fillId="12" borderId="1" xfId="0" applyNumberFormat="1" applyFont="1" applyFill="1" applyBorder="1"/>
    <xf numFmtId="0" fontId="22" fillId="13" borderId="1" xfId="0" applyFont="1" applyFill="1" applyBorder="1"/>
    <xf numFmtId="4" fontId="22" fillId="13" borderId="1" xfId="0" applyNumberFormat="1" applyFont="1" applyFill="1" applyBorder="1"/>
    <xf numFmtId="4" fontId="0" fillId="0" borderId="0" xfId="0" applyNumberFormat="1"/>
    <xf numFmtId="4" fontId="22" fillId="0" borderId="0" xfId="0" applyNumberFormat="1" applyFont="1"/>
    <xf numFmtId="4" fontId="16" fillId="5" borderId="1" xfId="0" applyNumberFormat="1" applyFont="1" applyFill="1" applyBorder="1"/>
    <xf numFmtId="4" fontId="16" fillId="10" borderId="1" xfId="0" applyNumberFormat="1" applyFont="1" applyFill="1" applyBorder="1"/>
    <xf numFmtId="0" fontId="22" fillId="0" borderId="0" xfId="0" applyFont="1" applyBorder="1"/>
    <xf numFmtId="4" fontId="15" fillId="5" borderId="1" xfId="0" applyNumberFormat="1" applyFont="1" applyFill="1" applyBorder="1"/>
    <xf numFmtId="4" fontId="15" fillId="7" borderId="1" xfId="0" applyNumberFormat="1" applyFont="1" applyFill="1" applyBorder="1"/>
    <xf numFmtId="4" fontId="15" fillId="2" borderId="1" xfId="0" applyNumberFormat="1" applyFont="1" applyFill="1" applyBorder="1"/>
    <xf numFmtId="4" fontId="15" fillId="4" borderId="1" xfId="0" applyNumberFormat="1" applyFont="1" applyFill="1" applyBorder="1"/>
    <xf numFmtId="4" fontId="15" fillId="11" borderId="1" xfId="0" applyNumberFormat="1" applyFont="1" applyFill="1" applyBorder="1"/>
    <xf numFmtId="0" fontId="0" fillId="14" borderId="1" xfId="0" applyFill="1" applyBorder="1"/>
    <xf numFmtId="0" fontId="22" fillId="0" borderId="1" xfId="0" applyFont="1" applyBorder="1" applyAlignment="1">
      <alignment horizontal="left"/>
    </xf>
    <xf numFmtId="0" fontId="0" fillId="15" borderId="1" xfId="0" applyFill="1" applyBorder="1"/>
    <xf numFmtId="0" fontId="22" fillId="15" borderId="1" xfId="0" applyFont="1" applyFill="1" applyBorder="1"/>
    <xf numFmtId="4" fontId="22" fillId="15" borderId="1" xfId="0" applyNumberFormat="1" applyFont="1" applyFill="1" applyBorder="1"/>
    <xf numFmtId="0" fontId="22" fillId="14" borderId="1" xfId="0" applyFont="1" applyFill="1" applyBorder="1"/>
    <xf numFmtId="4" fontId="22" fillId="14" borderId="1" xfId="0" applyNumberFormat="1" applyFont="1" applyFill="1" applyBorder="1"/>
    <xf numFmtId="0" fontId="0" fillId="16" borderId="1" xfId="0" applyFill="1" applyBorder="1"/>
    <xf numFmtId="4" fontId="15" fillId="10" borderId="1" xfId="0" applyNumberFormat="1" applyFont="1" applyFill="1" applyBorder="1"/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4" fontId="14" fillId="2" borderId="1" xfId="0" applyNumberFormat="1" applyFont="1" applyFill="1" applyBorder="1"/>
    <xf numFmtId="4" fontId="14" fillId="4" borderId="1" xfId="0" applyNumberFormat="1" applyFont="1" applyFill="1" applyBorder="1"/>
    <xf numFmtId="4" fontId="14" fillId="11" borderId="1" xfId="0" applyNumberFormat="1" applyFont="1" applyFill="1" applyBorder="1"/>
    <xf numFmtId="4" fontId="14" fillId="7" borderId="1" xfId="0" applyNumberFormat="1" applyFont="1" applyFill="1" applyBorder="1"/>
    <xf numFmtId="4" fontId="14" fillId="10" borderId="1" xfId="0" applyNumberFormat="1" applyFont="1" applyFill="1" applyBorder="1"/>
    <xf numFmtId="4" fontId="14" fillId="12" borderId="1" xfId="0" applyNumberFormat="1" applyFont="1" applyFill="1" applyBorder="1"/>
    <xf numFmtId="0" fontId="24" fillId="0" borderId="0" xfId="0" applyFont="1" applyBorder="1" applyAlignment="1">
      <alignment vertical="center"/>
    </xf>
    <xf numFmtId="0" fontId="24" fillId="0" borderId="0" xfId="0" applyFont="1" applyFill="1" applyBorder="1"/>
    <xf numFmtId="4" fontId="27" fillId="12" borderId="1" xfId="0" applyNumberFormat="1" applyFont="1" applyFill="1" applyBorder="1" applyAlignment="1">
      <alignment horizontal="center"/>
    </xf>
    <xf numFmtId="4" fontId="24" fillId="12" borderId="1" xfId="0" applyNumberFormat="1" applyFont="1" applyFill="1" applyBorder="1"/>
    <xf numFmtId="4" fontId="27" fillId="2" borderId="1" xfId="0" applyNumberFormat="1" applyFont="1" applyFill="1" applyBorder="1" applyAlignment="1">
      <alignment horizontal="center"/>
    </xf>
    <xf numFmtId="0" fontId="27" fillId="2" borderId="1" xfId="0" applyFont="1" applyFill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" fontId="13" fillId="2" borderId="1" xfId="0" applyNumberFormat="1" applyFont="1" applyFill="1" applyBorder="1"/>
    <xf numFmtId="4" fontId="13" fillId="4" borderId="1" xfId="0" applyNumberFormat="1" applyFont="1" applyFill="1" applyBorder="1"/>
    <xf numFmtId="4" fontId="13" fillId="11" borderId="1" xfId="0" applyNumberFormat="1" applyFont="1" applyFill="1" applyBorder="1"/>
    <xf numFmtId="4" fontId="13" fillId="7" borderId="1" xfId="0" applyNumberFormat="1" applyFont="1" applyFill="1" applyBorder="1"/>
    <xf numFmtId="0" fontId="22" fillId="0" borderId="1" xfId="0" applyFont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4" fontId="12" fillId="2" borderId="1" xfId="0" applyNumberFormat="1" applyFont="1" applyFill="1" applyBorder="1"/>
    <xf numFmtId="4" fontId="12" fillId="11" borderId="1" xfId="0" applyNumberFormat="1" applyFont="1" applyFill="1" applyBorder="1"/>
    <xf numFmtId="4" fontId="12" fillId="5" borderId="1" xfId="0" applyNumberFormat="1" applyFont="1" applyFill="1" applyBorder="1"/>
    <xf numFmtId="4" fontId="12" fillId="4" borderId="1" xfId="0" applyNumberFormat="1" applyFont="1" applyFill="1" applyBorder="1"/>
    <xf numFmtId="4" fontId="12" fillId="7" borderId="1" xfId="0" applyNumberFormat="1" applyFont="1" applyFill="1" applyBorder="1"/>
    <xf numFmtId="0" fontId="22" fillId="0" borderId="1" xfId="0" applyFont="1" applyBorder="1" applyAlignment="1">
      <alignment horizontal="center"/>
    </xf>
    <xf numFmtId="4" fontId="11" fillId="4" borderId="1" xfId="0" applyNumberFormat="1" applyFont="1" applyFill="1" applyBorder="1"/>
    <xf numFmtId="4" fontId="11" fillId="5" borderId="1" xfId="0" applyNumberFormat="1" applyFont="1" applyFill="1" applyBorder="1"/>
    <xf numFmtId="4" fontId="11" fillId="11" borderId="1" xfId="0" applyNumberFormat="1" applyFont="1" applyFill="1" applyBorder="1"/>
    <xf numFmtId="4" fontId="11" fillId="2" borderId="1" xfId="0" applyNumberFormat="1" applyFont="1" applyFill="1" applyBorder="1"/>
    <xf numFmtId="4" fontId="11" fillId="7" borderId="1" xfId="0" applyNumberFormat="1" applyFont="1" applyFill="1" applyBorder="1"/>
    <xf numFmtId="0" fontId="0" fillId="17" borderId="1" xfId="0" applyFill="1" applyBorder="1"/>
    <xf numFmtId="3" fontId="24" fillId="0" borderId="1" xfId="0" applyNumberFormat="1" applyFont="1" applyBorder="1" applyAlignment="1">
      <alignment horizontal="right" vertical="center"/>
    </xf>
    <xf numFmtId="3" fontId="24" fillId="0" borderId="22" xfId="0" applyNumberFormat="1" applyFont="1" applyBorder="1" applyAlignment="1">
      <alignment horizontal="right" vertical="center"/>
    </xf>
    <xf numFmtId="0" fontId="22" fillId="10" borderId="21" xfId="0" applyFont="1" applyFill="1" applyBorder="1" applyAlignment="1">
      <alignment horizontal="center"/>
    </xf>
    <xf numFmtId="4" fontId="22" fillId="10" borderId="2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4" fontId="22" fillId="4" borderId="21" xfId="0" applyNumberFormat="1" applyFont="1" applyFill="1" applyBorder="1" applyAlignment="1">
      <alignment horizontal="center"/>
    </xf>
    <xf numFmtId="0" fontId="22" fillId="4" borderId="21" xfId="0" applyFont="1" applyFill="1" applyBorder="1" applyAlignment="1">
      <alignment horizontal="center"/>
    </xf>
    <xf numFmtId="4" fontId="11" fillId="17" borderId="1" xfId="0" applyNumberFormat="1" applyFont="1" applyFill="1" applyBorder="1"/>
    <xf numFmtId="0" fontId="22" fillId="17" borderId="1" xfId="0" applyFont="1" applyFill="1" applyBorder="1"/>
    <xf numFmtId="0" fontId="22" fillId="4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0" fillId="18" borderId="1" xfId="0" applyFill="1" applyBorder="1"/>
    <xf numFmtId="0" fontId="0" fillId="19" borderId="1" xfId="0" applyFill="1" applyBorder="1"/>
    <xf numFmtId="4" fontId="0" fillId="4" borderId="1" xfId="0" applyNumberFormat="1" applyFill="1" applyBorder="1"/>
    <xf numFmtId="4" fontId="0" fillId="19" borderId="1" xfId="0" applyNumberFormat="1" applyFill="1" applyBorder="1"/>
    <xf numFmtId="4" fontId="0" fillId="18" borderId="1" xfId="0" applyNumberFormat="1" applyFill="1" applyBorder="1"/>
    <xf numFmtId="4" fontId="0" fillId="5" borderId="1" xfId="0" applyNumberFormat="1" applyFill="1" applyBorder="1"/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" fontId="10" fillId="4" borderId="1" xfId="0" applyNumberFormat="1" applyFont="1" applyFill="1" applyBorder="1"/>
    <xf numFmtId="0" fontId="0" fillId="20" borderId="1" xfId="0" applyFill="1" applyBorder="1"/>
    <xf numFmtId="4" fontId="10" fillId="20" borderId="1" xfId="0" applyNumberFormat="1" applyFont="1" applyFill="1" applyBorder="1"/>
    <xf numFmtId="4" fontId="10" fillId="12" borderId="1" xfId="0" applyNumberFormat="1" applyFont="1" applyFill="1" applyBorder="1"/>
    <xf numFmtId="4" fontId="10" fillId="11" borderId="1" xfId="0" applyNumberFormat="1" applyFont="1" applyFill="1" applyBorder="1"/>
    <xf numFmtId="4" fontId="10" fillId="7" borderId="1" xfId="0" applyNumberFormat="1" applyFont="1" applyFill="1" applyBorder="1"/>
    <xf numFmtId="4" fontId="10" fillId="10" borderId="1" xfId="0" applyNumberFormat="1" applyFont="1" applyFill="1" applyBorder="1"/>
    <xf numFmtId="4" fontId="22" fillId="20" borderId="1" xfId="0" applyNumberFormat="1" applyFont="1" applyFill="1" applyBorder="1" applyAlignment="1">
      <alignment horizontal="center"/>
    </xf>
    <xf numFmtId="0" fontId="22" fillId="20" borderId="1" xfId="0" applyFont="1" applyFill="1" applyBorder="1" applyAlignment="1">
      <alignment horizontal="center"/>
    </xf>
    <xf numFmtId="4" fontId="9" fillId="4" borderId="1" xfId="0" applyNumberFormat="1" applyFont="1" applyFill="1" applyBorder="1"/>
    <xf numFmtId="4" fontId="9" fillId="11" borderId="1" xfId="0" applyNumberFormat="1" applyFont="1" applyFill="1" applyBorder="1"/>
    <xf numFmtId="4" fontId="9" fillId="2" borderId="1" xfId="0" applyNumberFormat="1" applyFont="1" applyFill="1" applyBorder="1"/>
    <xf numFmtId="4" fontId="9" fillId="14" borderId="1" xfId="0" applyNumberFormat="1" applyFont="1" applyFill="1" applyBorder="1"/>
    <xf numFmtId="4" fontId="9" fillId="7" borderId="1" xfId="0" applyNumberFormat="1" applyFont="1" applyFill="1" applyBorder="1"/>
    <xf numFmtId="4" fontId="0" fillId="8" borderId="11" xfId="0" applyNumberFormat="1" applyFill="1" applyBorder="1"/>
    <xf numFmtId="165" fontId="0" fillId="0" borderId="0" xfId="0" applyNumberFormat="1"/>
    <xf numFmtId="4" fontId="9" fillId="5" borderId="1" xfId="0" applyNumberFormat="1" applyFont="1" applyFill="1" applyBorder="1"/>
    <xf numFmtId="4" fontId="9" fillId="20" borderId="1" xfId="0" applyNumberFormat="1" applyFont="1" applyFill="1" applyBorder="1"/>
    <xf numFmtId="0" fontId="23" fillId="0" borderId="0" xfId="0" applyFont="1" applyBorder="1"/>
    <xf numFmtId="0" fontId="9" fillId="4" borderId="1" xfId="0" applyFont="1" applyFill="1" applyBorder="1"/>
    <xf numFmtId="4" fontId="9" fillId="4" borderId="14" xfId="0" applyNumberFormat="1" applyFont="1" applyFill="1" applyBorder="1"/>
    <xf numFmtId="165" fontId="0" fillId="0" borderId="0" xfId="0" applyNumberFormat="1" applyBorder="1"/>
    <xf numFmtId="0" fontId="22" fillId="0" borderId="0" xfId="0" applyFont="1" applyBorder="1" applyAlignment="1">
      <alignment horizontal="center"/>
    </xf>
    <xf numFmtId="4" fontId="22" fillId="0" borderId="0" xfId="0" applyNumberFormat="1" applyFont="1" applyFill="1" applyBorder="1"/>
    <xf numFmtId="0" fontId="0" fillId="6" borderId="0" xfId="0" applyFill="1"/>
    <xf numFmtId="4" fontId="22" fillId="0" borderId="0" xfId="0" applyNumberFormat="1" applyFont="1" applyFill="1" applyBorder="1" applyAlignment="1">
      <alignment horizontal="center"/>
    </xf>
    <xf numFmtId="0" fontId="0" fillId="6" borderId="18" xfId="0" applyFill="1" applyBorder="1"/>
    <xf numFmtId="0" fontId="9" fillId="0" borderId="0" xfId="0" applyFont="1" applyBorder="1"/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8" fillId="4" borderId="1" xfId="0" applyFont="1" applyFill="1" applyBorder="1"/>
    <xf numFmtId="4" fontId="8" fillId="10" borderId="1" xfId="0" applyNumberFormat="1" applyFont="1" applyFill="1" applyBorder="1"/>
    <xf numFmtId="4" fontId="8" fillId="4" borderId="1" xfId="0" applyNumberFormat="1" applyFont="1" applyFill="1" applyBorder="1"/>
    <xf numFmtId="4" fontId="8" fillId="5" borderId="1" xfId="0" applyNumberFormat="1" applyFont="1" applyFill="1" applyBorder="1"/>
    <xf numFmtId="4" fontId="8" fillId="12" borderId="1" xfId="0" applyNumberFormat="1" applyFont="1" applyFill="1" applyBorder="1"/>
    <xf numFmtId="4" fontId="8" fillId="18" borderId="1" xfId="0" applyNumberFormat="1" applyFont="1" applyFill="1" applyBorder="1"/>
    <xf numFmtId="4" fontId="8" fillId="19" borderId="1" xfId="0" applyNumberFormat="1" applyFont="1" applyFill="1" applyBorder="1"/>
    <xf numFmtId="4" fontId="8" fillId="7" borderId="1" xfId="0" applyNumberFormat="1" applyFont="1" applyFill="1" applyBorder="1"/>
    <xf numFmtId="4" fontId="0" fillId="10" borderId="1" xfId="0" applyNumberFormat="1" applyFill="1" applyBorder="1"/>
    <xf numFmtId="4" fontId="8" fillId="2" borderId="1" xfId="0" applyNumberFormat="1" applyFont="1" applyFill="1" applyBorder="1"/>
    <xf numFmtId="4" fontId="8" fillId="16" borderId="1" xfId="0" applyNumberFormat="1" applyFont="1" applyFill="1" applyBorder="1"/>
    <xf numFmtId="0" fontId="0" fillId="21" borderId="1" xfId="0" applyFill="1" applyBorder="1"/>
    <xf numFmtId="4" fontId="8" fillId="21" borderId="1" xfId="0" applyNumberFormat="1" applyFont="1" applyFill="1" applyBorder="1"/>
    <xf numFmtId="0" fontId="22" fillId="21" borderId="1" xfId="0" applyFont="1" applyFill="1" applyBorder="1"/>
    <xf numFmtId="4" fontId="22" fillId="21" borderId="1" xfId="0" applyNumberFormat="1" applyFont="1" applyFill="1" applyBorder="1"/>
    <xf numFmtId="0" fontId="22" fillId="0" borderId="1" xfId="0" applyFont="1" applyBorder="1" applyAlignment="1">
      <alignment horizontal="center"/>
    </xf>
    <xf numFmtId="4" fontId="7" fillId="12" borderId="1" xfId="0" applyNumberFormat="1" applyFont="1" applyFill="1" applyBorder="1"/>
    <xf numFmtId="4" fontId="7" fillId="0" borderId="1" xfId="0" applyNumberFormat="1" applyFont="1" applyFill="1" applyBorder="1"/>
    <xf numFmtId="4" fontId="7" fillId="5" borderId="1" xfId="0" applyNumberFormat="1" applyFont="1" applyFill="1" applyBorder="1"/>
    <xf numFmtId="4" fontId="7" fillId="10" borderId="1" xfId="0" applyNumberFormat="1" applyFont="1" applyFill="1" applyBorder="1"/>
    <xf numFmtId="4" fontId="7" fillId="21" borderId="1" xfId="0" applyNumberFormat="1" applyFont="1" applyFill="1" applyBorder="1"/>
    <xf numFmtId="4" fontId="7" fillId="14" borderId="1" xfId="0" applyNumberFormat="1" applyFont="1" applyFill="1" applyBorder="1"/>
    <xf numFmtId="4" fontId="7" fillId="15" borderId="1" xfId="0" applyNumberFormat="1" applyFont="1" applyFill="1" applyBorder="1"/>
    <xf numFmtId="4" fontId="7" fillId="7" borderId="1" xfId="0" applyNumberFormat="1" applyFont="1" applyFill="1" applyBorder="1"/>
    <xf numFmtId="0" fontId="0" fillId="0" borderId="18" xfId="0" applyBorder="1"/>
    <xf numFmtId="4" fontId="6" fillId="5" borderId="1" xfId="0" applyNumberFormat="1" applyFont="1" applyFill="1" applyBorder="1"/>
    <xf numFmtId="4" fontId="6" fillId="7" borderId="1" xfId="0" applyNumberFormat="1" applyFont="1" applyFill="1" applyBorder="1"/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" fontId="5" fillId="17" borderId="1" xfId="0" applyNumberFormat="1" applyFont="1" applyFill="1" applyBorder="1"/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" fontId="4" fillId="2" borderId="1" xfId="0" applyNumberFormat="1" applyFont="1" applyFill="1" applyBorder="1"/>
    <xf numFmtId="4" fontId="4" fillId="11" borderId="1" xfId="0" applyNumberFormat="1" applyFont="1" applyFill="1" applyBorder="1"/>
    <xf numFmtId="4" fontId="4" fillId="4" borderId="1" xfId="0" applyNumberFormat="1" applyFont="1" applyFill="1" applyBorder="1"/>
    <xf numFmtId="4" fontId="4" fillId="5" borderId="1" xfId="0" applyNumberFormat="1" applyFont="1" applyFill="1" applyBorder="1"/>
    <xf numFmtId="4" fontId="4" fillId="7" borderId="1" xfId="0" applyNumberFormat="1" applyFont="1" applyFill="1" applyBorder="1"/>
    <xf numFmtId="0" fontId="0" fillId="0" borderId="0" xfId="0" applyFill="1" applyBorder="1"/>
    <xf numFmtId="0" fontId="22" fillId="11" borderId="3" xfId="0" applyFont="1" applyFill="1" applyBorder="1"/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6" borderId="0" xfId="0" applyFont="1" applyFill="1" applyBorder="1"/>
    <xf numFmtId="4" fontId="3" fillId="7" borderId="1" xfId="0" applyNumberFormat="1" applyFont="1" applyFill="1" applyBorder="1"/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6" borderId="23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22" borderId="23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0" fillId="23" borderId="1" xfId="0" applyFill="1" applyBorder="1"/>
    <xf numFmtId="4" fontId="2" fillId="23" borderId="1" xfId="0" applyNumberFormat="1" applyFont="1" applyFill="1" applyBorder="1"/>
    <xf numFmtId="0" fontId="0" fillId="24" borderId="1" xfId="0" applyFill="1" applyBorder="1"/>
    <xf numFmtId="4" fontId="2" fillId="24" borderId="1" xfId="0" applyNumberFormat="1" applyFont="1" applyFill="1" applyBorder="1"/>
    <xf numFmtId="4" fontId="2" fillId="17" borderId="1" xfId="0" applyNumberFormat="1" applyFont="1" applyFill="1" applyBorder="1"/>
    <xf numFmtId="4" fontId="2" fillId="7" borderId="1" xfId="0" applyNumberFormat="1" applyFont="1" applyFill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4" borderId="2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3" xfId="0" applyFont="1" applyBorder="1" applyAlignment="1">
      <alignment horizontal="left"/>
    </xf>
    <xf numFmtId="4" fontId="27" fillId="12" borderId="2" xfId="0" applyNumberFormat="1" applyFont="1" applyFill="1" applyBorder="1" applyAlignment="1">
      <alignment horizontal="center"/>
    </xf>
    <xf numFmtId="4" fontId="27" fillId="12" borderId="3" xfId="0" applyNumberFormat="1" applyFont="1" applyFill="1" applyBorder="1" applyAlignment="1">
      <alignment horizontal="center"/>
    </xf>
    <xf numFmtId="0" fontId="22" fillId="11" borderId="2" xfId="0" applyFont="1" applyFill="1" applyBorder="1" applyAlignment="1">
      <alignment horizontal="center"/>
    </xf>
    <xf numFmtId="0" fontId="22" fillId="11" borderId="3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2" fillId="20" borderId="1" xfId="0" applyFont="1" applyFill="1" applyBorder="1" applyAlignment="1">
      <alignment horizontal="center"/>
    </xf>
    <xf numFmtId="4" fontId="27" fillId="10" borderId="2" xfId="0" applyNumberFormat="1" applyFont="1" applyFill="1" applyBorder="1" applyAlignment="1">
      <alignment horizontal="center"/>
    </xf>
    <xf numFmtId="4" fontId="27" fillId="10" borderId="3" xfId="0" applyNumberFormat="1" applyFont="1" applyFill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6" fillId="0" borderId="0" xfId="0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/>
    </xf>
    <xf numFmtId="0" fontId="26" fillId="0" borderId="0" xfId="0" applyFont="1" applyBorder="1" applyAlignment="1">
      <alignment horizontal="left"/>
    </xf>
    <xf numFmtId="0" fontId="22" fillId="2" borderId="1" xfId="0" applyFont="1" applyFill="1" applyBorder="1" applyAlignment="1">
      <alignment horizontal="center"/>
    </xf>
    <xf numFmtId="0" fontId="22" fillId="12" borderId="5" xfId="0" applyFont="1" applyFill="1" applyBorder="1" applyAlignment="1">
      <alignment horizontal="center"/>
    </xf>
    <xf numFmtId="0" fontId="22" fillId="12" borderId="7" xfId="0" applyFont="1" applyFill="1" applyBorder="1" applyAlignment="1">
      <alignment horizontal="center"/>
    </xf>
    <xf numFmtId="0" fontId="22" fillId="19" borderId="2" xfId="0" applyFont="1" applyFill="1" applyBorder="1" applyAlignment="1">
      <alignment horizontal="center"/>
    </xf>
    <xf numFmtId="0" fontId="22" fillId="19" borderId="3" xfId="0" applyFont="1" applyFill="1" applyBorder="1" applyAlignment="1">
      <alignment horizontal="center"/>
    </xf>
    <xf numFmtId="0" fontId="22" fillId="18" borderId="2" xfId="0" applyFont="1" applyFill="1" applyBorder="1" applyAlignment="1">
      <alignment horizontal="center"/>
    </xf>
    <xf numFmtId="0" fontId="22" fillId="18" borderId="3" xfId="0" applyFont="1" applyFill="1" applyBorder="1" applyAlignment="1">
      <alignment horizontal="center"/>
    </xf>
    <xf numFmtId="0" fontId="22" fillId="10" borderId="2" xfId="0" applyFont="1" applyFill="1" applyBorder="1" applyAlignment="1">
      <alignment horizontal="center"/>
    </xf>
    <xf numFmtId="0" fontId="22" fillId="10" borderId="3" xfId="0" applyFont="1" applyFill="1" applyBorder="1" applyAlignment="1">
      <alignment horizontal="center"/>
    </xf>
    <xf numFmtId="0" fontId="22" fillId="17" borderId="2" xfId="0" applyFont="1" applyFill="1" applyBorder="1" applyAlignment="1">
      <alignment horizontal="center"/>
    </xf>
    <xf numFmtId="0" fontId="22" fillId="17" borderId="3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8" fillId="17" borderId="0" xfId="0" applyFont="1" applyFill="1" applyBorder="1" applyAlignment="1">
      <alignment horizontal="center" vertical="center"/>
    </xf>
    <xf numFmtId="0" fontId="1" fillId="0" borderId="0" xfId="0" applyFont="1" applyBorder="1"/>
    <xf numFmtId="0" fontId="22" fillId="6" borderId="0" xfId="0" applyFont="1" applyFill="1" applyBorder="1" applyAlignment="1">
      <alignment horizontal="center"/>
    </xf>
    <xf numFmtId="0" fontId="28" fillId="6" borderId="0" xfId="0" applyFont="1" applyFill="1" applyBorder="1" applyAlignment="1">
      <alignment horizontal="center" vertical="center"/>
    </xf>
    <xf numFmtId="4" fontId="1" fillId="21" borderId="1" xfId="0" applyNumberFormat="1" applyFont="1" applyFill="1" applyBorder="1"/>
    <xf numFmtId="4" fontId="1" fillId="5" borderId="1" xfId="0" applyNumberFormat="1" applyFont="1" applyFill="1" applyBorder="1"/>
    <xf numFmtId="4" fontId="1" fillId="12" borderId="1" xfId="0" applyNumberFormat="1" applyFont="1" applyFill="1" applyBorder="1"/>
    <xf numFmtId="4" fontId="1" fillId="11" borderId="1" xfId="0" applyNumberFormat="1" applyFont="1" applyFill="1" applyBorder="1"/>
    <xf numFmtId="4" fontId="1" fillId="7" borderId="1" xfId="0" applyNumberFormat="1" applyFont="1" applyFill="1" applyBorder="1"/>
    <xf numFmtId="4" fontId="1" fillId="10" borderId="1" xfId="0" applyNumberFormat="1" applyFont="1" applyFill="1" applyBorder="1"/>
    <xf numFmtId="0" fontId="27" fillId="21" borderId="2" xfId="0" applyFont="1" applyFill="1" applyBorder="1" applyAlignment="1">
      <alignment horizontal="center"/>
    </xf>
    <xf numFmtId="0" fontId="27" fillId="21" borderId="3" xfId="0" applyFont="1" applyFill="1" applyBorder="1" applyAlignment="1">
      <alignment horizontal="center"/>
    </xf>
    <xf numFmtId="4" fontId="27" fillId="21" borderId="1" xfId="0" applyNumberFormat="1" applyFont="1" applyFill="1" applyBorder="1" applyAlignment="1">
      <alignment horizontal="center"/>
    </xf>
    <xf numFmtId="0" fontId="27" fillId="21" borderId="1" xfId="0" applyFont="1" applyFill="1" applyBorder="1"/>
    <xf numFmtId="0" fontId="0" fillId="0" borderId="1" xfId="0" applyFont="1" applyBorder="1"/>
    <xf numFmtId="0" fontId="29" fillId="0" borderId="1" xfId="0" applyFont="1" applyBorder="1"/>
    <xf numFmtId="0" fontId="30" fillId="0" borderId="1" xfId="0" applyFont="1" applyBorder="1"/>
    <xf numFmtId="0" fontId="22" fillId="0" borderId="1" xfId="0" applyFont="1" applyFill="1" applyBorder="1"/>
    <xf numFmtId="0" fontId="22" fillId="6" borderId="1" xfId="0" applyFont="1" applyFill="1" applyBorder="1"/>
    <xf numFmtId="4" fontId="0" fillId="0" borderId="0" xfId="0" applyNumberFormat="1" applyBorder="1"/>
    <xf numFmtId="164" fontId="0" fillId="0" borderId="0" xfId="0" applyNumberFormat="1" applyBorder="1"/>
    <xf numFmtId="0" fontId="22" fillId="6" borderId="2" xfId="0" applyFont="1" applyFill="1" applyBorder="1" applyAlignment="1">
      <alignment horizontal="center"/>
    </xf>
    <xf numFmtId="0" fontId="22" fillId="6" borderId="4" xfId="0" applyFont="1" applyFill="1" applyBorder="1" applyAlignment="1">
      <alignment horizontal="center"/>
    </xf>
    <xf numFmtId="0" fontId="22" fillId="6" borderId="3" xfId="0" applyFont="1" applyFill="1" applyBorder="1" applyAlignment="1">
      <alignment horizontal="center"/>
    </xf>
    <xf numFmtId="164" fontId="0" fillId="8" borderId="11" xfId="0" applyNumberFormat="1" applyFill="1" applyBorder="1"/>
    <xf numFmtId="165" fontId="29" fillId="0" borderId="0" xfId="0" applyNumberFormat="1" applyFont="1"/>
    <xf numFmtId="4" fontId="1" fillId="4" borderId="1" xfId="0" applyNumberFormat="1" applyFont="1" applyFill="1" applyBorder="1"/>
    <xf numFmtId="0" fontId="0" fillId="25" borderId="1" xfId="0" applyFill="1" applyBorder="1"/>
    <xf numFmtId="4" fontId="1" fillId="25" borderId="1" xfId="0" applyNumberFormat="1" applyFont="1" applyFill="1" applyBorder="1"/>
    <xf numFmtId="0" fontId="0" fillId="22" borderId="1" xfId="0" applyFill="1" applyBorder="1"/>
    <xf numFmtId="4" fontId="1" fillId="22" borderId="1" xfId="0" applyNumberFormat="1" applyFont="1" applyFill="1" applyBorder="1"/>
    <xf numFmtId="0" fontId="0" fillId="26" borderId="1" xfId="0" applyFill="1" applyBorder="1"/>
    <xf numFmtId="4" fontId="1" fillId="26" borderId="1" xfId="0" applyNumberFormat="1" applyFont="1" applyFill="1" applyBorder="1"/>
    <xf numFmtId="0" fontId="1" fillId="0" borderId="1" xfId="0" applyFont="1" applyBorder="1"/>
    <xf numFmtId="0" fontId="25" fillId="0" borderId="1" xfId="0" applyFont="1" applyBorder="1"/>
    <xf numFmtId="0" fontId="22" fillId="27" borderId="5" xfId="0" applyFont="1" applyFill="1" applyBorder="1" applyAlignment="1">
      <alignment horizontal="center"/>
    </xf>
    <xf numFmtId="0" fontId="22" fillId="27" borderId="7" xfId="0" applyFont="1" applyFill="1" applyBorder="1" applyAlignment="1">
      <alignment horizontal="center"/>
    </xf>
    <xf numFmtId="0" fontId="0" fillId="27" borderId="1" xfId="0" applyFill="1" applyBorder="1"/>
    <xf numFmtId="4" fontId="1" fillId="27" borderId="1" xfId="0" applyNumberFormat="1" applyFont="1" applyFill="1" applyBorder="1"/>
    <xf numFmtId="0" fontId="22" fillId="12" borderId="2" xfId="0" applyFont="1" applyFill="1" applyBorder="1" applyAlignment="1">
      <alignment horizontal="center"/>
    </xf>
    <xf numFmtId="0" fontId="22" fillId="12" borderId="3" xfId="0" applyFont="1" applyFill="1" applyBorder="1" applyAlignment="1">
      <alignment horizontal="center"/>
    </xf>
    <xf numFmtId="4" fontId="0" fillId="12" borderId="1" xfId="0" applyNumberFormat="1" applyFill="1" applyBorder="1"/>
    <xf numFmtId="0" fontId="22" fillId="10" borderId="1" xfId="0" applyFont="1" applyFill="1" applyBorder="1"/>
    <xf numFmtId="0" fontId="30" fillId="0" borderId="1" xfId="0" applyFont="1" applyBorder="1" applyAlignment="1">
      <alignment horizontal="left"/>
    </xf>
    <xf numFmtId="0" fontId="22" fillId="28" borderId="0" xfId="0" applyFont="1" applyFill="1" applyBorder="1"/>
    <xf numFmtId="0" fontId="22" fillId="12" borderId="0" xfId="0" applyFont="1" applyFill="1" applyBorder="1"/>
    <xf numFmtId="0" fontId="0" fillId="29" borderId="1" xfId="0" applyFill="1" applyBorder="1"/>
    <xf numFmtId="4" fontId="1" fillId="29" borderId="1" xfId="0" applyNumberFormat="1" applyFont="1" applyFill="1" applyBorder="1"/>
    <xf numFmtId="164" fontId="22" fillId="6" borderId="1" xfId="0" applyNumberFormat="1" applyFont="1" applyFill="1" applyBorder="1"/>
    <xf numFmtId="0" fontId="31" fillId="0" borderId="1" xfId="0" applyFont="1" applyBorder="1"/>
    <xf numFmtId="0" fontId="31" fillId="0" borderId="0" xfId="0" applyFont="1"/>
    <xf numFmtId="0" fontId="31" fillId="6" borderId="1" xfId="0" applyFont="1" applyFill="1" applyBorder="1"/>
    <xf numFmtId="0" fontId="25" fillId="0" borderId="0" xfId="0" applyFont="1" applyBorder="1"/>
    <xf numFmtId="0" fontId="1" fillId="3" borderId="1" xfId="0" applyFont="1" applyFill="1" applyBorder="1"/>
    <xf numFmtId="4" fontId="1" fillId="3" borderId="1" xfId="0" applyNumberFormat="1" applyFont="1" applyFill="1" applyBorder="1"/>
    <xf numFmtId="4" fontId="24" fillId="13" borderId="1" xfId="0" applyNumberFormat="1" applyFont="1" applyFill="1" applyBorder="1"/>
    <xf numFmtId="4" fontId="1" fillId="13" borderId="1" xfId="0" applyNumberFormat="1" applyFont="1" applyFill="1" applyBorder="1"/>
    <xf numFmtId="4" fontId="24" fillId="20" borderId="1" xfId="0" applyNumberFormat="1" applyFont="1" applyFill="1" applyBorder="1"/>
    <xf numFmtId="4" fontId="1" fillId="20" borderId="1" xfId="0" applyNumberFormat="1" applyFont="1" applyFill="1" applyBorder="1"/>
    <xf numFmtId="0" fontId="1" fillId="7" borderId="1" xfId="0" applyFont="1" applyFill="1" applyBorder="1"/>
    <xf numFmtId="0" fontId="0" fillId="30" borderId="1" xfId="0" applyFill="1" applyBorder="1"/>
    <xf numFmtId="4" fontId="1" fillId="30" borderId="1" xfId="0" applyNumberFormat="1" applyFont="1" applyFill="1" applyBorder="1"/>
    <xf numFmtId="0" fontId="1" fillId="12" borderId="1" xfId="0" applyFont="1" applyFill="1" applyBorder="1"/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25" fillId="0" borderId="1" xfId="0" applyFont="1" applyFill="1" applyBorder="1"/>
    <xf numFmtId="0" fontId="29" fillId="0" borderId="1" xfId="0" applyFont="1" applyBorder="1" applyAlignment="1">
      <alignment horizontal="left"/>
    </xf>
    <xf numFmtId="4" fontId="29" fillId="0" borderId="1" xfId="0" applyNumberFormat="1" applyFont="1" applyBorder="1"/>
    <xf numFmtId="164" fontId="29" fillId="0" borderId="1" xfId="0" applyNumberFormat="1" applyFont="1" applyBorder="1"/>
    <xf numFmtId="0" fontId="0" fillId="21" borderId="0" xfId="0" applyFill="1" applyBorder="1"/>
    <xf numFmtId="0" fontId="22" fillId="6" borderId="23" xfId="0" applyFont="1" applyFill="1" applyBorder="1"/>
    <xf numFmtId="4" fontId="1" fillId="17" borderId="1" xfId="0" applyNumberFormat="1" applyFont="1" applyFill="1" applyBorder="1"/>
    <xf numFmtId="4" fontId="22" fillId="17" borderId="1" xfId="0" applyNumberFormat="1" applyFont="1" applyFill="1" applyBorder="1"/>
    <xf numFmtId="0" fontId="0" fillId="25" borderId="0" xfId="0" applyFill="1"/>
    <xf numFmtId="0" fontId="0" fillId="22" borderId="22" xfId="0" applyFill="1" applyBorder="1"/>
    <xf numFmtId="4" fontId="1" fillId="22" borderId="22" xfId="0" applyNumberFormat="1" applyFont="1" applyFill="1" applyBorder="1"/>
    <xf numFmtId="0" fontId="0" fillId="0" borderId="0" xfId="0" applyFill="1"/>
    <xf numFmtId="0" fontId="0" fillId="25" borderId="1" xfId="0" applyFill="1" applyBorder="1" applyAlignment="1">
      <alignment horizontal="right" vertical="center"/>
    </xf>
    <xf numFmtId="4" fontId="0" fillId="25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emf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233</xdr:col>
      <xdr:colOff>324969</xdr:colOff>
      <xdr:row>1</xdr:row>
      <xdr:rowOff>142</xdr:rowOff>
    </xdr:from>
    <xdr:ext cx="5388386" cy="2520000"/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85440" y="190642"/>
          <a:ext cx="5388386" cy="2520000"/>
        </a:xfrm>
        <a:prstGeom prst="rect">
          <a:avLst/>
        </a:prstGeom>
      </xdr:spPr>
    </xdr:pic>
    <xdr:clientData/>
  </xdr:oneCellAnchor>
  <xdr:oneCellAnchor>
    <xdr:from>
      <xdr:col>155</xdr:col>
      <xdr:colOff>0</xdr:colOff>
      <xdr:row>1</xdr:row>
      <xdr:rowOff>0</xdr:rowOff>
    </xdr:from>
    <xdr:ext cx="6409464" cy="2520000"/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0235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176</xdr:col>
      <xdr:colOff>0</xdr:colOff>
      <xdr:row>1</xdr:row>
      <xdr:rowOff>0</xdr:rowOff>
    </xdr:from>
    <xdr:ext cx="6409464" cy="2520000"/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94265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254</xdr:col>
      <xdr:colOff>0</xdr:colOff>
      <xdr:row>1</xdr:row>
      <xdr:rowOff>0</xdr:rowOff>
    </xdr:from>
    <xdr:ext cx="6527051" cy="2520000"/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50382" y="190500"/>
          <a:ext cx="6527051" cy="25200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6409464" cy="2520000"/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66206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78</xdr:col>
      <xdr:colOff>0</xdr:colOff>
      <xdr:row>1</xdr:row>
      <xdr:rowOff>0</xdr:rowOff>
    </xdr:from>
    <xdr:ext cx="6409464" cy="2520000"/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52176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45</xdr:col>
      <xdr:colOff>0</xdr:colOff>
      <xdr:row>1</xdr:row>
      <xdr:rowOff>0</xdr:rowOff>
    </xdr:from>
    <xdr:ext cx="6409464" cy="2520000"/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8147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1</xdr:row>
      <xdr:rowOff>0</xdr:rowOff>
    </xdr:from>
    <xdr:ext cx="6409464" cy="2520000"/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111</xdr:col>
      <xdr:colOff>0</xdr:colOff>
      <xdr:row>1</xdr:row>
      <xdr:rowOff>0</xdr:rowOff>
    </xdr:from>
    <xdr:ext cx="6409464" cy="2520000"/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0235" y="190500"/>
          <a:ext cx="6409464" cy="2520000"/>
        </a:xfrm>
        <a:prstGeom prst="rect">
          <a:avLst/>
        </a:prstGeom>
      </xdr:spPr>
    </xdr:pic>
    <xdr:clientData/>
  </xdr:oneCellAnchor>
  <xdr:twoCellAnchor editAs="oneCell">
    <xdr:from>
      <xdr:col>264</xdr:col>
      <xdr:colOff>0</xdr:colOff>
      <xdr:row>1</xdr:row>
      <xdr:rowOff>123266</xdr:rowOff>
    </xdr:from>
    <xdr:to>
      <xdr:col>453</xdr:col>
      <xdr:colOff>326171</xdr:colOff>
      <xdr:row>1</xdr:row>
      <xdr:rowOff>2475941</xdr:rowOff>
    </xdr:to>
    <xdr:pic>
      <xdr:nvPicPr>
        <xdr:cNvPr id="34" name="Рисунок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94179" y="313766"/>
          <a:ext cx="6633482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132</xdr:col>
      <xdr:colOff>0</xdr:colOff>
      <xdr:row>1</xdr:row>
      <xdr:rowOff>0</xdr:rowOff>
    </xdr:from>
    <xdr:ext cx="6622677" cy="2520000"/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67059" y="190500"/>
          <a:ext cx="6622677" cy="2520000"/>
        </a:xfrm>
        <a:prstGeom prst="rect">
          <a:avLst/>
        </a:prstGeom>
      </xdr:spPr>
    </xdr:pic>
    <xdr:clientData/>
  </xdr:oneCellAnchor>
  <xdr:oneCellAnchor>
    <xdr:from>
      <xdr:col>143</xdr:col>
      <xdr:colOff>0</xdr:colOff>
      <xdr:row>1</xdr:row>
      <xdr:rowOff>0</xdr:rowOff>
    </xdr:from>
    <xdr:ext cx="6622677" cy="2520000"/>
    <xdr:pic>
      <xdr:nvPicPr>
        <xdr:cNvPr id="39" name="Рисунок 3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81088" y="190500"/>
          <a:ext cx="6622677" cy="2520000"/>
        </a:xfrm>
        <a:prstGeom prst="rect">
          <a:avLst/>
        </a:prstGeom>
      </xdr:spPr>
    </xdr:pic>
    <xdr:clientData/>
  </xdr:oneCellAnchor>
  <xdr:twoCellAnchor editAs="oneCell">
    <xdr:from>
      <xdr:col>308</xdr:col>
      <xdr:colOff>0</xdr:colOff>
      <xdr:row>1</xdr:row>
      <xdr:rowOff>0</xdr:rowOff>
    </xdr:from>
    <xdr:to>
      <xdr:col>454</xdr:col>
      <xdr:colOff>489056</xdr:colOff>
      <xdr:row>1</xdr:row>
      <xdr:rowOff>2260063</xdr:rowOff>
    </xdr:to>
    <xdr:pic>
      <xdr:nvPicPr>
        <xdr:cNvPr id="40" name="Рисунок 39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526"/>
        <a:stretch/>
      </xdr:blipFill>
      <xdr:spPr>
        <a:xfrm>
          <a:off x="118009147" y="190500"/>
          <a:ext cx="7205382" cy="2260063"/>
        </a:xfrm>
        <a:prstGeom prst="rect">
          <a:avLst/>
        </a:prstGeom>
      </xdr:spPr>
    </xdr:pic>
    <xdr:clientData/>
  </xdr:twoCellAnchor>
  <xdr:twoCellAnchor editAs="oneCell">
    <xdr:from>
      <xdr:col>121</xdr:col>
      <xdr:colOff>0</xdr:colOff>
      <xdr:row>1</xdr:row>
      <xdr:rowOff>0</xdr:rowOff>
    </xdr:from>
    <xdr:to>
      <xdr:col>453</xdr:col>
      <xdr:colOff>98950</xdr:colOff>
      <xdr:row>1</xdr:row>
      <xdr:rowOff>2520000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0147" y="190500"/>
          <a:ext cx="6409464" cy="2520000"/>
        </a:xfrm>
        <a:prstGeom prst="rect">
          <a:avLst/>
        </a:prstGeom>
      </xdr:spPr>
    </xdr:pic>
    <xdr:clientData/>
  </xdr:twoCellAnchor>
  <xdr:twoCellAnchor>
    <xdr:from>
      <xdr:col>321</xdr:col>
      <xdr:colOff>412935</xdr:colOff>
      <xdr:row>1</xdr:row>
      <xdr:rowOff>3344</xdr:rowOff>
    </xdr:from>
    <xdr:to>
      <xdr:col>328</xdr:col>
      <xdr:colOff>257736</xdr:colOff>
      <xdr:row>1</xdr:row>
      <xdr:rowOff>2409223</xdr:rowOff>
    </xdr:to>
    <xdr:pic>
      <xdr:nvPicPr>
        <xdr:cNvPr id="29" name="Рисунок 2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0393"/>
        <a:stretch/>
      </xdr:blipFill>
      <xdr:spPr bwMode="auto">
        <a:xfrm>
          <a:off x="126232582" y="193844"/>
          <a:ext cx="5537389" cy="2405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211</xdr:col>
      <xdr:colOff>291352</xdr:colOff>
      <xdr:row>1</xdr:row>
      <xdr:rowOff>11206</xdr:rowOff>
    </xdr:from>
    <xdr:to>
      <xdr:col>451</xdr:col>
      <xdr:colOff>220153</xdr:colOff>
      <xdr:row>2</xdr:row>
      <xdr:rowOff>277</xdr:rowOff>
    </xdr:to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71558" y="201706"/>
          <a:ext cx="5388386" cy="2520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220</xdr:col>
          <xdr:colOff>142875</xdr:colOff>
          <xdr:row>1</xdr:row>
          <xdr:rowOff>428625</xdr:rowOff>
        </xdr:from>
        <xdr:to>
          <xdr:col>229</xdr:col>
          <xdr:colOff>819150</xdr:colOff>
          <xdr:row>1</xdr:row>
          <xdr:rowOff>2181225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243</xdr:col>
      <xdr:colOff>0</xdr:colOff>
      <xdr:row>1</xdr:row>
      <xdr:rowOff>0</xdr:rowOff>
    </xdr:from>
    <xdr:ext cx="6527051" cy="2520000"/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0500"/>
          <a:ext cx="6527051" cy="2520000"/>
        </a:xfrm>
        <a:prstGeom prst="rect">
          <a:avLst/>
        </a:prstGeom>
      </xdr:spPr>
    </xdr:pic>
    <xdr:clientData/>
  </xdr:oneCellAnchor>
  <xdr:oneCellAnchor>
    <xdr:from>
      <xdr:col>199</xdr:col>
      <xdr:colOff>0</xdr:colOff>
      <xdr:row>1</xdr:row>
      <xdr:rowOff>0</xdr:rowOff>
    </xdr:from>
    <xdr:ext cx="6409464" cy="2520000"/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166</xdr:col>
      <xdr:colOff>0</xdr:colOff>
      <xdr:row>1</xdr:row>
      <xdr:rowOff>0</xdr:rowOff>
    </xdr:from>
    <xdr:ext cx="6409464" cy="2520000"/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88</xdr:col>
      <xdr:colOff>0</xdr:colOff>
      <xdr:row>1</xdr:row>
      <xdr:rowOff>0</xdr:rowOff>
    </xdr:from>
    <xdr:ext cx="6622677" cy="2520000"/>
    <xdr:pic>
      <xdr:nvPicPr>
        <xdr:cNvPr id="43" name="Рисунок 4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190500"/>
          <a:ext cx="6622677" cy="2520000"/>
        </a:xfrm>
        <a:prstGeom prst="rect">
          <a:avLst/>
        </a:prstGeom>
      </xdr:spPr>
    </xdr:pic>
    <xdr:clientData/>
  </xdr:oneCellAnchor>
  <xdr:oneCellAnchor>
    <xdr:from>
      <xdr:col>188</xdr:col>
      <xdr:colOff>0</xdr:colOff>
      <xdr:row>1</xdr:row>
      <xdr:rowOff>0</xdr:rowOff>
    </xdr:from>
    <xdr:ext cx="6409464" cy="2520000"/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0500"/>
          <a:ext cx="6409464" cy="2520000"/>
        </a:xfrm>
        <a:prstGeom prst="rect">
          <a:avLst/>
        </a:prstGeom>
      </xdr:spPr>
    </xdr:pic>
    <xdr:clientData/>
  </xdr:oneCellAnchor>
  <xdr:twoCellAnchor editAs="oneCell">
    <xdr:from>
      <xdr:col>298</xdr:col>
      <xdr:colOff>0</xdr:colOff>
      <xdr:row>1</xdr:row>
      <xdr:rowOff>0</xdr:rowOff>
    </xdr:from>
    <xdr:to>
      <xdr:col>452</xdr:col>
      <xdr:colOff>759970</xdr:colOff>
      <xdr:row>1</xdr:row>
      <xdr:rowOff>2520000</xdr:rowOff>
    </xdr:to>
    <xdr:pic>
      <xdr:nvPicPr>
        <xdr:cNvPr id="45" name="Рисунок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94235" y="190500"/>
          <a:ext cx="6271664" cy="25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276</xdr:col>
      <xdr:colOff>0</xdr:colOff>
      <xdr:row>1</xdr:row>
      <xdr:rowOff>0</xdr:rowOff>
    </xdr:from>
    <xdr:to>
      <xdr:col>452</xdr:col>
      <xdr:colOff>759971</xdr:colOff>
      <xdr:row>1</xdr:row>
      <xdr:rowOff>2520000</xdr:rowOff>
    </xdr:to>
    <xdr:pic>
      <xdr:nvPicPr>
        <xdr:cNvPr id="47" name="Рисунок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52412" y="190500"/>
          <a:ext cx="6271664" cy="25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287</xdr:col>
      <xdr:colOff>0</xdr:colOff>
      <xdr:row>1</xdr:row>
      <xdr:rowOff>0</xdr:rowOff>
    </xdr:from>
    <xdr:to>
      <xdr:col>452</xdr:col>
      <xdr:colOff>759971</xdr:colOff>
      <xdr:row>1</xdr:row>
      <xdr:rowOff>2520000</xdr:rowOff>
    </xdr:to>
    <xdr:pic>
      <xdr:nvPicPr>
        <xdr:cNvPr id="48" name="Рисунок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23324" y="190500"/>
          <a:ext cx="6271664" cy="25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67</xdr:col>
      <xdr:colOff>0</xdr:colOff>
      <xdr:row>1</xdr:row>
      <xdr:rowOff>0</xdr:rowOff>
    </xdr:from>
    <xdr:ext cx="6409464" cy="2520000"/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56</xdr:col>
      <xdr:colOff>0</xdr:colOff>
      <xdr:row>1</xdr:row>
      <xdr:rowOff>0</xdr:rowOff>
    </xdr:from>
    <xdr:ext cx="6409464" cy="2520000"/>
    <xdr:pic>
      <xdr:nvPicPr>
        <xdr:cNvPr id="36" name="Рисунок 3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5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1</xdr:row>
      <xdr:rowOff>0</xdr:rowOff>
    </xdr:from>
    <xdr:ext cx="6409464" cy="2520000"/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4" y="190500"/>
          <a:ext cx="6409464" cy="25200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0</xdr:row>
      <xdr:rowOff>190499</xdr:rowOff>
    </xdr:from>
    <xdr:to>
      <xdr:col>453</xdr:col>
      <xdr:colOff>136572</xdr:colOff>
      <xdr:row>1</xdr:row>
      <xdr:rowOff>2519999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4" y="190499"/>
          <a:ext cx="6409465" cy="2520000"/>
        </a:xfrm>
        <a:prstGeom prst="rect">
          <a:avLst/>
        </a:prstGeom>
      </xdr:spPr>
    </xdr:pic>
    <xdr:clientData/>
  </xdr:twoCellAnchor>
  <xdr:twoCellAnchor editAs="oneCell">
    <xdr:from>
      <xdr:col>310</xdr:col>
      <xdr:colOff>207818</xdr:colOff>
      <xdr:row>73</xdr:row>
      <xdr:rowOff>155861</xdr:rowOff>
    </xdr:from>
    <xdr:to>
      <xdr:col>452</xdr:col>
      <xdr:colOff>599735</xdr:colOff>
      <xdr:row>86</xdr:row>
      <xdr:rowOff>32597</xdr:rowOff>
    </xdr:to>
    <xdr:pic>
      <xdr:nvPicPr>
        <xdr:cNvPr id="44" name="Рисунок 43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50"/>
        <a:stretch/>
      </xdr:blipFill>
      <xdr:spPr>
        <a:xfrm>
          <a:off x="189253091" y="16746679"/>
          <a:ext cx="6124235" cy="235323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453</xdr:col>
      <xdr:colOff>136572</xdr:colOff>
      <xdr:row>1</xdr:row>
      <xdr:rowOff>2520000</xdr:rowOff>
    </xdr:to>
    <xdr:pic>
      <xdr:nvPicPr>
        <xdr:cNvPr id="41" name="Рисунок 40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9821" y="190500"/>
          <a:ext cx="6409465" cy="2520000"/>
        </a:xfrm>
        <a:prstGeom prst="rect">
          <a:avLst/>
        </a:prstGeom>
      </xdr:spPr>
    </xdr:pic>
    <xdr:clientData/>
  </xdr:twoCellAnchor>
  <xdr:oneCellAnchor>
    <xdr:from>
      <xdr:col>321</xdr:col>
      <xdr:colOff>0</xdr:colOff>
      <xdr:row>1</xdr:row>
      <xdr:rowOff>0</xdr:rowOff>
    </xdr:from>
    <xdr:ext cx="6409464" cy="2520000"/>
    <xdr:pic>
      <xdr:nvPicPr>
        <xdr:cNvPr id="42" name="Рисунок 4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10036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309</xdr:col>
      <xdr:colOff>0</xdr:colOff>
      <xdr:row>1</xdr:row>
      <xdr:rowOff>0</xdr:rowOff>
    </xdr:from>
    <xdr:ext cx="6409464" cy="2520000"/>
    <xdr:pic>
      <xdr:nvPicPr>
        <xdr:cNvPr id="51" name="Рисунок 5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287</xdr:col>
      <xdr:colOff>0</xdr:colOff>
      <xdr:row>1</xdr:row>
      <xdr:rowOff>0</xdr:rowOff>
    </xdr:from>
    <xdr:ext cx="6409464" cy="2520000"/>
    <xdr:pic>
      <xdr:nvPicPr>
        <xdr:cNvPr id="52" name="Рисунок 5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254</xdr:col>
      <xdr:colOff>0</xdr:colOff>
      <xdr:row>1</xdr:row>
      <xdr:rowOff>0</xdr:rowOff>
    </xdr:from>
    <xdr:ext cx="6409464" cy="2520000"/>
    <xdr:pic>
      <xdr:nvPicPr>
        <xdr:cNvPr id="53" name="Рисунок 5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243</xdr:col>
      <xdr:colOff>0</xdr:colOff>
      <xdr:row>1</xdr:row>
      <xdr:rowOff>0</xdr:rowOff>
    </xdr:from>
    <xdr:ext cx="6409464" cy="2520000"/>
    <xdr:pic>
      <xdr:nvPicPr>
        <xdr:cNvPr id="54" name="Рисунок 5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320</xdr:col>
      <xdr:colOff>0</xdr:colOff>
      <xdr:row>1</xdr:row>
      <xdr:rowOff>0</xdr:rowOff>
    </xdr:from>
    <xdr:ext cx="6409464" cy="2520000"/>
    <xdr:pic>
      <xdr:nvPicPr>
        <xdr:cNvPr id="55" name="Рисунок 5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330</xdr:col>
      <xdr:colOff>0</xdr:colOff>
      <xdr:row>1</xdr:row>
      <xdr:rowOff>0</xdr:rowOff>
    </xdr:from>
    <xdr:ext cx="6371843" cy="2520000"/>
    <xdr:pic>
      <xdr:nvPicPr>
        <xdr:cNvPr id="56" name="Рисунок 5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371843" cy="2520000"/>
        </a:xfrm>
        <a:prstGeom prst="rect">
          <a:avLst/>
        </a:prstGeom>
      </xdr:spPr>
    </xdr:pic>
    <xdr:clientData/>
  </xdr:oneCellAnchor>
  <xdr:oneCellAnchor>
    <xdr:from>
      <xdr:col>297</xdr:col>
      <xdr:colOff>0</xdr:colOff>
      <xdr:row>1</xdr:row>
      <xdr:rowOff>0</xdr:rowOff>
    </xdr:from>
    <xdr:ext cx="6622677" cy="2520000"/>
    <xdr:pic>
      <xdr:nvPicPr>
        <xdr:cNvPr id="57" name="Рисунок 5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622677" cy="2520000"/>
        </a:xfrm>
        <a:prstGeom prst="rect">
          <a:avLst/>
        </a:prstGeom>
      </xdr:spPr>
    </xdr:pic>
    <xdr:clientData/>
  </xdr:oneCellAnchor>
  <xdr:oneCellAnchor>
    <xdr:from>
      <xdr:col>276</xdr:col>
      <xdr:colOff>0</xdr:colOff>
      <xdr:row>1</xdr:row>
      <xdr:rowOff>0</xdr:rowOff>
    </xdr:from>
    <xdr:ext cx="6409464" cy="2520000"/>
    <xdr:pic>
      <xdr:nvPicPr>
        <xdr:cNvPr id="58" name="Рисунок 5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265</xdr:col>
      <xdr:colOff>0</xdr:colOff>
      <xdr:row>1</xdr:row>
      <xdr:rowOff>0</xdr:rowOff>
    </xdr:from>
    <xdr:ext cx="6409464" cy="2520000"/>
    <xdr:pic>
      <xdr:nvPicPr>
        <xdr:cNvPr id="59" name="Рисунок 5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232</xdr:col>
      <xdr:colOff>0</xdr:colOff>
      <xdr:row>1</xdr:row>
      <xdr:rowOff>0</xdr:rowOff>
    </xdr:from>
    <xdr:ext cx="6409464" cy="2520000"/>
    <xdr:pic>
      <xdr:nvPicPr>
        <xdr:cNvPr id="60" name="Рисунок 5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210</xdr:col>
      <xdr:colOff>0</xdr:colOff>
      <xdr:row>0</xdr:row>
      <xdr:rowOff>190499</xdr:rowOff>
    </xdr:from>
    <xdr:ext cx="6409465" cy="2520000"/>
    <xdr:pic>
      <xdr:nvPicPr>
        <xdr:cNvPr id="61" name="Рисунок 60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499"/>
          <a:ext cx="6409465" cy="2520000"/>
        </a:xfrm>
        <a:prstGeom prst="rect">
          <a:avLst/>
        </a:prstGeom>
      </xdr:spPr>
    </xdr:pic>
    <xdr:clientData/>
  </xdr:oneCellAnchor>
  <xdr:oneCellAnchor>
    <xdr:from>
      <xdr:col>221</xdr:col>
      <xdr:colOff>0</xdr:colOff>
      <xdr:row>1</xdr:row>
      <xdr:rowOff>0</xdr:rowOff>
    </xdr:from>
    <xdr:ext cx="6409465" cy="2520000"/>
    <xdr:pic>
      <xdr:nvPicPr>
        <xdr:cNvPr id="62" name="Рисунок 6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5" cy="2520000"/>
        </a:xfrm>
        <a:prstGeom prst="rect">
          <a:avLst/>
        </a:prstGeom>
      </xdr:spPr>
    </xdr:pic>
    <xdr:clientData/>
  </xdr:oneCellAnchor>
  <xdr:oneCellAnchor>
    <xdr:from>
      <xdr:col>354</xdr:col>
      <xdr:colOff>204108</xdr:colOff>
      <xdr:row>1</xdr:row>
      <xdr:rowOff>13607</xdr:rowOff>
    </xdr:from>
    <xdr:ext cx="6409465" cy="2520000"/>
    <xdr:pic>
      <xdr:nvPicPr>
        <xdr:cNvPr id="63" name="Рисунок 62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1965" y="204107"/>
          <a:ext cx="6409465" cy="2520000"/>
        </a:xfrm>
        <a:prstGeom prst="rect">
          <a:avLst/>
        </a:prstGeom>
      </xdr:spPr>
    </xdr:pic>
    <xdr:clientData/>
  </xdr:oneCellAnchor>
  <xdr:oneCellAnchor>
    <xdr:from>
      <xdr:col>380</xdr:col>
      <xdr:colOff>0</xdr:colOff>
      <xdr:row>1</xdr:row>
      <xdr:rowOff>0</xdr:rowOff>
    </xdr:from>
    <xdr:ext cx="6409464" cy="2520000"/>
    <xdr:pic>
      <xdr:nvPicPr>
        <xdr:cNvPr id="49" name="Рисунок 4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78975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393</xdr:col>
      <xdr:colOff>0</xdr:colOff>
      <xdr:row>1</xdr:row>
      <xdr:rowOff>0</xdr:rowOff>
    </xdr:from>
    <xdr:ext cx="6409464" cy="2520000"/>
    <xdr:pic>
      <xdr:nvPicPr>
        <xdr:cNvPr id="50" name="Рисунок 4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94143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406</xdr:col>
      <xdr:colOff>0</xdr:colOff>
      <xdr:row>1</xdr:row>
      <xdr:rowOff>0</xdr:rowOff>
    </xdr:from>
    <xdr:ext cx="6409464" cy="2520000"/>
    <xdr:pic>
      <xdr:nvPicPr>
        <xdr:cNvPr id="64" name="Рисунок 6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420</xdr:col>
      <xdr:colOff>0</xdr:colOff>
      <xdr:row>1</xdr:row>
      <xdr:rowOff>0</xdr:rowOff>
    </xdr:from>
    <xdr:ext cx="6409464" cy="2520000"/>
    <xdr:pic>
      <xdr:nvPicPr>
        <xdr:cNvPr id="65" name="Рисунок 6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04357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433</xdr:col>
      <xdr:colOff>0</xdr:colOff>
      <xdr:row>1</xdr:row>
      <xdr:rowOff>0</xdr:rowOff>
    </xdr:from>
    <xdr:ext cx="6409464" cy="2520000"/>
    <xdr:pic>
      <xdr:nvPicPr>
        <xdr:cNvPr id="66" name="Рисунок 6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21786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446</xdr:col>
      <xdr:colOff>0</xdr:colOff>
      <xdr:row>1</xdr:row>
      <xdr:rowOff>0</xdr:rowOff>
    </xdr:from>
    <xdr:ext cx="6409464" cy="2520000"/>
    <xdr:pic>
      <xdr:nvPicPr>
        <xdr:cNvPr id="68" name="Рисунок 6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00275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259</xdr:col>
      <xdr:colOff>324969</xdr:colOff>
      <xdr:row>1</xdr:row>
      <xdr:rowOff>142</xdr:rowOff>
    </xdr:from>
    <xdr:ext cx="5388386" cy="2520000"/>
    <xdr:pic>
      <xdr:nvPicPr>
        <xdr:cNvPr id="69" name="Рисунок 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642"/>
          <a:ext cx="5388386" cy="2520000"/>
        </a:xfrm>
        <a:prstGeom prst="rect">
          <a:avLst/>
        </a:prstGeom>
      </xdr:spPr>
    </xdr:pic>
    <xdr:clientData/>
  </xdr:oneCellAnchor>
  <xdr:oneCellAnchor>
    <xdr:from>
      <xdr:col>181</xdr:col>
      <xdr:colOff>0</xdr:colOff>
      <xdr:row>1</xdr:row>
      <xdr:rowOff>0</xdr:rowOff>
    </xdr:from>
    <xdr:ext cx="6409464" cy="2520000"/>
    <xdr:pic>
      <xdr:nvPicPr>
        <xdr:cNvPr id="70" name="Рисунок 6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202</xdr:col>
      <xdr:colOff>0</xdr:colOff>
      <xdr:row>1</xdr:row>
      <xdr:rowOff>0</xdr:rowOff>
    </xdr:from>
    <xdr:ext cx="6409464" cy="2520000"/>
    <xdr:pic>
      <xdr:nvPicPr>
        <xdr:cNvPr id="71" name="Рисунок 70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280</xdr:col>
      <xdr:colOff>0</xdr:colOff>
      <xdr:row>1</xdr:row>
      <xdr:rowOff>0</xdr:rowOff>
    </xdr:from>
    <xdr:ext cx="6527051" cy="2520000"/>
    <xdr:pic>
      <xdr:nvPicPr>
        <xdr:cNvPr id="72" name="Рисунок 7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527051" cy="2520000"/>
        </a:xfrm>
        <a:prstGeom prst="rect">
          <a:avLst/>
        </a:prstGeom>
      </xdr:spPr>
    </xdr:pic>
    <xdr:clientData/>
  </xdr:oneCellAnchor>
  <xdr:oneCellAnchor>
    <xdr:from>
      <xdr:col>126</xdr:col>
      <xdr:colOff>0</xdr:colOff>
      <xdr:row>1</xdr:row>
      <xdr:rowOff>0</xdr:rowOff>
    </xdr:from>
    <xdr:ext cx="6409464" cy="2520000"/>
    <xdr:pic>
      <xdr:nvPicPr>
        <xdr:cNvPr id="73" name="Рисунок 7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104</xdr:col>
      <xdr:colOff>0</xdr:colOff>
      <xdr:row>1</xdr:row>
      <xdr:rowOff>0</xdr:rowOff>
    </xdr:from>
    <xdr:ext cx="6409464" cy="2520000"/>
    <xdr:pic>
      <xdr:nvPicPr>
        <xdr:cNvPr id="74" name="Рисунок 7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71</xdr:col>
      <xdr:colOff>0</xdr:colOff>
      <xdr:row>1</xdr:row>
      <xdr:rowOff>0</xdr:rowOff>
    </xdr:from>
    <xdr:ext cx="6409464" cy="2520000"/>
    <xdr:pic>
      <xdr:nvPicPr>
        <xdr:cNvPr id="75" name="Рисунок 7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60</xdr:col>
      <xdr:colOff>0</xdr:colOff>
      <xdr:row>1</xdr:row>
      <xdr:rowOff>0</xdr:rowOff>
    </xdr:from>
    <xdr:ext cx="6409464" cy="2520000"/>
    <xdr:pic>
      <xdr:nvPicPr>
        <xdr:cNvPr id="76" name="Рисунок 7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137</xdr:col>
      <xdr:colOff>0</xdr:colOff>
      <xdr:row>1</xdr:row>
      <xdr:rowOff>0</xdr:rowOff>
    </xdr:from>
    <xdr:ext cx="6409464" cy="2520000"/>
    <xdr:pic>
      <xdr:nvPicPr>
        <xdr:cNvPr id="77" name="Рисунок 7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290</xdr:col>
      <xdr:colOff>0</xdr:colOff>
      <xdr:row>1</xdr:row>
      <xdr:rowOff>123266</xdr:rowOff>
    </xdr:from>
    <xdr:ext cx="6599064" cy="2352675"/>
    <xdr:pic>
      <xdr:nvPicPr>
        <xdr:cNvPr id="78" name="Рисунок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766"/>
          <a:ext cx="6599064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158</xdr:col>
      <xdr:colOff>0</xdr:colOff>
      <xdr:row>1</xdr:row>
      <xdr:rowOff>0</xdr:rowOff>
    </xdr:from>
    <xdr:ext cx="6622677" cy="2520000"/>
    <xdr:pic>
      <xdr:nvPicPr>
        <xdr:cNvPr id="79" name="Рисунок 7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622677" cy="2520000"/>
        </a:xfrm>
        <a:prstGeom prst="rect">
          <a:avLst/>
        </a:prstGeom>
      </xdr:spPr>
    </xdr:pic>
    <xdr:clientData/>
  </xdr:oneCellAnchor>
  <xdr:oneCellAnchor>
    <xdr:from>
      <xdr:col>169</xdr:col>
      <xdr:colOff>0</xdr:colOff>
      <xdr:row>1</xdr:row>
      <xdr:rowOff>0</xdr:rowOff>
    </xdr:from>
    <xdr:ext cx="6622677" cy="2520000"/>
    <xdr:pic>
      <xdr:nvPicPr>
        <xdr:cNvPr id="80" name="Рисунок 7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622677" cy="2520000"/>
        </a:xfrm>
        <a:prstGeom prst="rect">
          <a:avLst/>
        </a:prstGeom>
      </xdr:spPr>
    </xdr:pic>
    <xdr:clientData/>
  </xdr:oneCellAnchor>
  <xdr:oneCellAnchor>
    <xdr:from>
      <xdr:col>334</xdr:col>
      <xdr:colOff>0</xdr:colOff>
      <xdr:row>1</xdr:row>
      <xdr:rowOff>0</xdr:rowOff>
    </xdr:from>
    <xdr:ext cx="7156556" cy="2260063"/>
    <xdr:pic>
      <xdr:nvPicPr>
        <xdr:cNvPr id="81" name="Рисунок 8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526"/>
        <a:stretch/>
      </xdr:blipFill>
      <xdr:spPr>
        <a:xfrm>
          <a:off x="0" y="190500"/>
          <a:ext cx="7156556" cy="2260063"/>
        </a:xfrm>
        <a:prstGeom prst="rect">
          <a:avLst/>
        </a:prstGeom>
      </xdr:spPr>
    </xdr:pic>
    <xdr:clientData/>
  </xdr:oneCellAnchor>
  <xdr:oneCellAnchor>
    <xdr:from>
      <xdr:col>147</xdr:col>
      <xdr:colOff>0</xdr:colOff>
      <xdr:row>1</xdr:row>
      <xdr:rowOff>0</xdr:rowOff>
    </xdr:from>
    <xdr:ext cx="6371843" cy="2520000"/>
    <xdr:pic>
      <xdr:nvPicPr>
        <xdr:cNvPr id="82" name="Рисунок 8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371843" cy="2520000"/>
        </a:xfrm>
        <a:prstGeom prst="rect">
          <a:avLst/>
        </a:prstGeom>
      </xdr:spPr>
    </xdr:pic>
    <xdr:clientData/>
  </xdr:oneCellAnchor>
  <xdr:oneCellAnchor>
    <xdr:from>
      <xdr:col>237</xdr:col>
      <xdr:colOff>291352</xdr:colOff>
      <xdr:row>1</xdr:row>
      <xdr:rowOff>11206</xdr:rowOff>
    </xdr:from>
    <xdr:ext cx="5363653" cy="2520000"/>
    <xdr:pic>
      <xdr:nvPicPr>
        <xdr:cNvPr id="83" name="Рисунок 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1706"/>
          <a:ext cx="5363653" cy="2520000"/>
        </a:xfrm>
        <a:prstGeom prst="rect">
          <a:avLst/>
        </a:prstGeom>
      </xdr:spPr>
    </xdr:pic>
    <xdr:clientData/>
  </xdr:oneCellAnchor>
  <xdr:oneCellAnchor>
    <xdr:from>
      <xdr:col>269</xdr:col>
      <xdr:colOff>0</xdr:colOff>
      <xdr:row>1</xdr:row>
      <xdr:rowOff>0</xdr:rowOff>
    </xdr:from>
    <xdr:ext cx="6527051" cy="2520000"/>
    <xdr:pic>
      <xdr:nvPicPr>
        <xdr:cNvPr id="84" name="Рисунок 83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527051" cy="2520000"/>
        </a:xfrm>
        <a:prstGeom prst="rect">
          <a:avLst/>
        </a:prstGeom>
      </xdr:spPr>
    </xdr:pic>
    <xdr:clientData/>
  </xdr:oneCellAnchor>
  <xdr:oneCellAnchor>
    <xdr:from>
      <xdr:col>225</xdr:col>
      <xdr:colOff>0</xdr:colOff>
      <xdr:row>1</xdr:row>
      <xdr:rowOff>0</xdr:rowOff>
    </xdr:from>
    <xdr:ext cx="6409464" cy="2520000"/>
    <xdr:pic>
      <xdr:nvPicPr>
        <xdr:cNvPr id="85" name="Рисунок 8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192</xdr:col>
      <xdr:colOff>0</xdr:colOff>
      <xdr:row>1</xdr:row>
      <xdr:rowOff>0</xdr:rowOff>
    </xdr:from>
    <xdr:ext cx="6409464" cy="2520000"/>
    <xdr:pic>
      <xdr:nvPicPr>
        <xdr:cNvPr id="86" name="Рисунок 8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114</xdr:col>
      <xdr:colOff>0</xdr:colOff>
      <xdr:row>1</xdr:row>
      <xdr:rowOff>0</xdr:rowOff>
    </xdr:from>
    <xdr:ext cx="6622677" cy="2520000"/>
    <xdr:pic>
      <xdr:nvPicPr>
        <xdr:cNvPr id="87" name="Рисунок 8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622677" cy="2520000"/>
        </a:xfrm>
        <a:prstGeom prst="rect">
          <a:avLst/>
        </a:prstGeom>
      </xdr:spPr>
    </xdr:pic>
    <xdr:clientData/>
  </xdr:oneCellAnchor>
  <xdr:oneCellAnchor>
    <xdr:from>
      <xdr:col>214</xdr:col>
      <xdr:colOff>0</xdr:colOff>
      <xdr:row>1</xdr:row>
      <xdr:rowOff>0</xdr:rowOff>
    </xdr:from>
    <xdr:ext cx="6409464" cy="2520000"/>
    <xdr:pic>
      <xdr:nvPicPr>
        <xdr:cNvPr id="88" name="Рисунок 8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324</xdr:col>
      <xdr:colOff>0</xdr:colOff>
      <xdr:row>1</xdr:row>
      <xdr:rowOff>0</xdr:rowOff>
    </xdr:from>
    <xdr:ext cx="6243649" cy="2520000"/>
    <xdr:pic>
      <xdr:nvPicPr>
        <xdr:cNvPr id="89" name="Рисунок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243649" cy="25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302</xdr:col>
      <xdr:colOff>0</xdr:colOff>
      <xdr:row>1</xdr:row>
      <xdr:rowOff>0</xdr:rowOff>
    </xdr:from>
    <xdr:ext cx="6243650" cy="2520000"/>
    <xdr:pic>
      <xdr:nvPicPr>
        <xdr:cNvPr id="90" name="Рисунок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243650" cy="25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313</xdr:col>
      <xdr:colOff>0</xdr:colOff>
      <xdr:row>1</xdr:row>
      <xdr:rowOff>0</xdr:rowOff>
    </xdr:from>
    <xdr:ext cx="6243650" cy="2520000"/>
    <xdr:pic>
      <xdr:nvPicPr>
        <xdr:cNvPr id="91" name="Рисунок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243650" cy="25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93</xdr:col>
      <xdr:colOff>0</xdr:colOff>
      <xdr:row>1</xdr:row>
      <xdr:rowOff>0</xdr:rowOff>
    </xdr:from>
    <xdr:ext cx="6409464" cy="2520000"/>
    <xdr:pic>
      <xdr:nvPicPr>
        <xdr:cNvPr id="92" name="Рисунок 9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82</xdr:col>
      <xdr:colOff>0</xdr:colOff>
      <xdr:row>1</xdr:row>
      <xdr:rowOff>0</xdr:rowOff>
    </xdr:from>
    <xdr:ext cx="6409464" cy="2520000"/>
    <xdr:pic>
      <xdr:nvPicPr>
        <xdr:cNvPr id="93" name="Рисунок 9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49</xdr:col>
      <xdr:colOff>0</xdr:colOff>
      <xdr:row>1</xdr:row>
      <xdr:rowOff>0</xdr:rowOff>
    </xdr:from>
    <xdr:ext cx="6409464" cy="2520000"/>
    <xdr:pic>
      <xdr:nvPicPr>
        <xdr:cNvPr id="94" name="Рисунок 9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27</xdr:col>
      <xdr:colOff>0</xdr:colOff>
      <xdr:row>0</xdr:row>
      <xdr:rowOff>190499</xdr:rowOff>
    </xdr:from>
    <xdr:ext cx="6409465" cy="2520000"/>
    <xdr:pic>
      <xdr:nvPicPr>
        <xdr:cNvPr id="95" name="Рисунок 94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499"/>
          <a:ext cx="6409465" cy="2520000"/>
        </a:xfrm>
        <a:prstGeom prst="rect">
          <a:avLst/>
        </a:prstGeom>
      </xdr:spPr>
    </xdr:pic>
    <xdr:clientData/>
  </xdr:oneCellAnchor>
  <xdr:oneCellAnchor>
    <xdr:from>
      <xdr:col>336</xdr:col>
      <xdr:colOff>207818</xdr:colOff>
      <xdr:row>73</xdr:row>
      <xdr:rowOff>155861</xdr:rowOff>
    </xdr:from>
    <xdr:ext cx="6083414" cy="2353236"/>
    <xdr:pic>
      <xdr:nvPicPr>
        <xdr:cNvPr id="96" name="Рисунок 95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50"/>
        <a:stretch/>
      </xdr:blipFill>
      <xdr:spPr>
        <a:xfrm>
          <a:off x="0" y="16566075"/>
          <a:ext cx="6083414" cy="235323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</xdr:row>
      <xdr:rowOff>0</xdr:rowOff>
    </xdr:from>
    <xdr:ext cx="6409465" cy="2520000"/>
    <xdr:pic>
      <xdr:nvPicPr>
        <xdr:cNvPr id="97" name="Рисунок 96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5" cy="2520000"/>
        </a:xfrm>
        <a:prstGeom prst="rect">
          <a:avLst/>
        </a:prstGeom>
      </xdr:spPr>
    </xdr:pic>
    <xdr:clientData/>
  </xdr:oneCellAnchor>
  <xdr:oneCellAnchor>
    <xdr:from>
      <xdr:col>347</xdr:col>
      <xdr:colOff>0</xdr:colOff>
      <xdr:row>1</xdr:row>
      <xdr:rowOff>0</xdr:rowOff>
    </xdr:from>
    <xdr:ext cx="6409464" cy="2520000"/>
    <xdr:pic>
      <xdr:nvPicPr>
        <xdr:cNvPr id="98" name="Рисунок 9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335</xdr:col>
      <xdr:colOff>0</xdr:colOff>
      <xdr:row>1</xdr:row>
      <xdr:rowOff>0</xdr:rowOff>
    </xdr:from>
    <xdr:ext cx="6409464" cy="2520000"/>
    <xdr:pic>
      <xdr:nvPicPr>
        <xdr:cNvPr id="99" name="Рисунок 9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313</xdr:col>
      <xdr:colOff>0</xdr:colOff>
      <xdr:row>1</xdr:row>
      <xdr:rowOff>0</xdr:rowOff>
    </xdr:from>
    <xdr:ext cx="6409464" cy="2520000"/>
    <xdr:pic>
      <xdr:nvPicPr>
        <xdr:cNvPr id="100" name="Рисунок 9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280</xdr:col>
      <xdr:colOff>0</xdr:colOff>
      <xdr:row>1</xdr:row>
      <xdr:rowOff>0</xdr:rowOff>
    </xdr:from>
    <xdr:ext cx="6409464" cy="2520000"/>
    <xdr:pic>
      <xdr:nvPicPr>
        <xdr:cNvPr id="101" name="Рисунок 10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269</xdr:col>
      <xdr:colOff>0</xdr:colOff>
      <xdr:row>1</xdr:row>
      <xdr:rowOff>0</xdr:rowOff>
    </xdr:from>
    <xdr:ext cx="6409464" cy="2520000"/>
    <xdr:pic>
      <xdr:nvPicPr>
        <xdr:cNvPr id="102" name="Рисунок 10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346</xdr:col>
      <xdr:colOff>0</xdr:colOff>
      <xdr:row>1</xdr:row>
      <xdr:rowOff>0</xdr:rowOff>
    </xdr:from>
    <xdr:ext cx="6409464" cy="2520000"/>
    <xdr:pic>
      <xdr:nvPicPr>
        <xdr:cNvPr id="103" name="Рисунок 10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356</xdr:col>
      <xdr:colOff>0</xdr:colOff>
      <xdr:row>1</xdr:row>
      <xdr:rowOff>0</xdr:rowOff>
    </xdr:from>
    <xdr:ext cx="6371843" cy="2520000"/>
    <xdr:pic>
      <xdr:nvPicPr>
        <xdr:cNvPr id="104" name="Рисунок 10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371843" cy="2520000"/>
        </a:xfrm>
        <a:prstGeom prst="rect">
          <a:avLst/>
        </a:prstGeom>
      </xdr:spPr>
    </xdr:pic>
    <xdr:clientData/>
  </xdr:oneCellAnchor>
  <xdr:oneCellAnchor>
    <xdr:from>
      <xdr:col>323</xdr:col>
      <xdr:colOff>0</xdr:colOff>
      <xdr:row>1</xdr:row>
      <xdr:rowOff>0</xdr:rowOff>
    </xdr:from>
    <xdr:ext cx="6622677" cy="2520000"/>
    <xdr:pic>
      <xdr:nvPicPr>
        <xdr:cNvPr id="105" name="Рисунок 10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622677" cy="2520000"/>
        </a:xfrm>
        <a:prstGeom prst="rect">
          <a:avLst/>
        </a:prstGeom>
      </xdr:spPr>
    </xdr:pic>
    <xdr:clientData/>
  </xdr:oneCellAnchor>
  <xdr:oneCellAnchor>
    <xdr:from>
      <xdr:col>302</xdr:col>
      <xdr:colOff>0</xdr:colOff>
      <xdr:row>1</xdr:row>
      <xdr:rowOff>0</xdr:rowOff>
    </xdr:from>
    <xdr:ext cx="6409464" cy="2520000"/>
    <xdr:pic>
      <xdr:nvPicPr>
        <xdr:cNvPr id="106" name="Рисунок 10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291</xdr:col>
      <xdr:colOff>0</xdr:colOff>
      <xdr:row>1</xdr:row>
      <xdr:rowOff>0</xdr:rowOff>
    </xdr:from>
    <xdr:ext cx="6409464" cy="2520000"/>
    <xdr:pic>
      <xdr:nvPicPr>
        <xdr:cNvPr id="107" name="Рисунок 10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258</xdr:col>
      <xdr:colOff>0</xdr:colOff>
      <xdr:row>1</xdr:row>
      <xdr:rowOff>0</xdr:rowOff>
    </xdr:from>
    <xdr:ext cx="6409464" cy="2520000"/>
    <xdr:pic>
      <xdr:nvPicPr>
        <xdr:cNvPr id="108" name="Рисунок 10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236</xdr:col>
      <xdr:colOff>0</xdr:colOff>
      <xdr:row>0</xdr:row>
      <xdr:rowOff>190499</xdr:rowOff>
    </xdr:from>
    <xdr:ext cx="6409465" cy="2520000"/>
    <xdr:pic>
      <xdr:nvPicPr>
        <xdr:cNvPr id="109" name="Рисунок 10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499"/>
          <a:ext cx="6409465" cy="2520000"/>
        </a:xfrm>
        <a:prstGeom prst="rect">
          <a:avLst/>
        </a:prstGeom>
      </xdr:spPr>
    </xdr:pic>
    <xdr:clientData/>
  </xdr:oneCellAnchor>
  <xdr:oneCellAnchor>
    <xdr:from>
      <xdr:col>247</xdr:col>
      <xdr:colOff>0</xdr:colOff>
      <xdr:row>1</xdr:row>
      <xdr:rowOff>0</xdr:rowOff>
    </xdr:from>
    <xdr:ext cx="6409465" cy="2520000"/>
    <xdr:pic>
      <xdr:nvPicPr>
        <xdr:cNvPr id="110" name="Рисунок 10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5" cy="2520000"/>
        </a:xfrm>
        <a:prstGeom prst="rect">
          <a:avLst/>
        </a:prstGeom>
      </xdr:spPr>
    </xdr:pic>
    <xdr:clientData/>
  </xdr:oneCellAnchor>
  <xdr:oneCellAnchor>
    <xdr:from>
      <xdr:col>380</xdr:col>
      <xdr:colOff>204108</xdr:colOff>
      <xdr:row>1</xdr:row>
      <xdr:rowOff>13607</xdr:rowOff>
    </xdr:from>
    <xdr:ext cx="6409465" cy="2520000"/>
    <xdr:pic>
      <xdr:nvPicPr>
        <xdr:cNvPr id="111" name="Рисунок 110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4107"/>
          <a:ext cx="6409465" cy="2520000"/>
        </a:xfrm>
        <a:prstGeom prst="rect">
          <a:avLst/>
        </a:prstGeom>
      </xdr:spPr>
    </xdr:pic>
    <xdr:clientData/>
  </xdr:oneCellAnchor>
  <xdr:oneCellAnchor>
    <xdr:from>
      <xdr:col>406</xdr:col>
      <xdr:colOff>0</xdr:colOff>
      <xdr:row>1</xdr:row>
      <xdr:rowOff>0</xdr:rowOff>
    </xdr:from>
    <xdr:ext cx="6409464" cy="2520000"/>
    <xdr:pic>
      <xdr:nvPicPr>
        <xdr:cNvPr id="112" name="Рисунок 11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419</xdr:col>
      <xdr:colOff>0</xdr:colOff>
      <xdr:row>1</xdr:row>
      <xdr:rowOff>0</xdr:rowOff>
    </xdr:from>
    <xdr:ext cx="6409464" cy="2520000"/>
    <xdr:pic>
      <xdr:nvPicPr>
        <xdr:cNvPr id="113" name="Рисунок 11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432</xdr:col>
      <xdr:colOff>0</xdr:colOff>
      <xdr:row>1</xdr:row>
      <xdr:rowOff>0</xdr:rowOff>
    </xdr:from>
    <xdr:ext cx="6409464" cy="2520000"/>
    <xdr:pic>
      <xdr:nvPicPr>
        <xdr:cNvPr id="114" name="Рисунок 11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  <xdr:oneCellAnchor>
    <xdr:from>
      <xdr:col>446</xdr:col>
      <xdr:colOff>0</xdr:colOff>
      <xdr:row>1</xdr:row>
      <xdr:rowOff>0</xdr:rowOff>
    </xdr:from>
    <xdr:ext cx="6409464" cy="2520000"/>
    <xdr:pic>
      <xdr:nvPicPr>
        <xdr:cNvPr id="115" name="Рисунок 11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409464" cy="252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310241</xdr:rowOff>
    </xdr:from>
    <xdr:ext cx="6972300" cy="2352675"/>
    <xdr:pic>
      <xdr:nvPicPr>
        <xdr:cNvPr id="3" name="Рисунок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10241"/>
          <a:ext cx="6972300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0</xdr:row>
      <xdr:rowOff>95251</xdr:rowOff>
    </xdr:from>
    <xdr:ext cx="6371843" cy="2520000"/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95251"/>
          <a:ext cx="6371843" cy="2520000"/>
        </a:xfrm>
        <a:prstGeom prst="rect">
          <a:avLst/>
        </a:prstGeom>
      </xdr:spPr>
    </xdr:pic>
    <xdr:clientData/>
  </xdr:oneCellAnchor>
  <xdr:oneCellAnchor>
    <xdr:from>
      <xdr:col>3</xdr:col>
      <xdr:colOff>107156</xdr:colOff>
      <xdr:row>0</xdr:row>
      <xdr:rowOff>35719</xdr:rowOff>
    </xdr:from>
    <xdr:ext cx="6371843" cy="2520000"/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906" y="35719"/>
          <a:ext cx="6371843" cy="2520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559594</xdr:colOff>
      <xdr:row>0</xdr:row>
      <xdr:rowOff>0</xdr:rowOff>
    </xdr:from>
    <xdr:ext cx="6371843" cy="2520000"/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3969" y="0"/>
          <a:ext cx="6371843" cy="25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RA82"/>
  <sheetViews>
    <sheetView topLeftCell="QC4" zoomScale="70" zoomScaleNormal="70" workbookViewId="0">
      <selection activeCell="QG41" sqref="QG41"/>
    </sheetView>
  </sheetViews>
  <sheetFormatPr defaultRowHeight="15" x14ac:dyDescent="0.25"/>
  <cols>
    <col min="1" max="2" width="3.28515625" hidden="1" customWidth="1"/>
    <col min="3" max="3" width="21" hidden="1" customWidth="1"/>
    <col min="4" max="4" width="13.28515625" hidden="1" customWidth="1"/>
    <col min="5" max="5" width="17.5703125" hidden="1" customWidth="1"/>
    <col min="6" max="6" width="9.28515625" hidden="1" customWidth="1"/>
    <col min="7" max="7" width="6.28515625" hidden="1" customWidth="1"/>
    <col min="8" max="8" width="11.85546875" hidden="1" customWidth="1"/>
    <col min="9" max="9" width="6" hidden="1" customWidth="1"/>
    <col min="10" max="10" width="10.7109375" hidden="1" customWidth="1"/>
    <col min="11" max="13" width="3.28515625" hidden="1" customWidth="1"/>
    <col min="14" max="14" width="21" hidden="1" customWidth="1"/>
    <col min="15" max="15" width="13.28515625" hidden="1" customWidth="1"/>
    <col min="16" max="16" width="17.5703125" hidden="1" customWidth="1"/>
    <col min="17" max="17" width="9.28515625" hidden="1" customWidth="1"/>
    <col min="18" max="18" width="6.28515625" hidden="1" customWidth="1"/>
    <col min="19" max="19" width="11.85546875" hidden="1" customWidth="1"/>
    <col min="20" max="20" width="6" hidden="1" customWidth="1"/>
    <col min="21" max="21" width="10.5703125" hidden="1" customWidth="1"/>
    <col min="22" max="24" width="3.28515625" hidden="1" customWidth="1"/>
    <col min="25" max="25" width="21" hidden="1" customWidth="1"/>
    <col min="26" max="26" width="13.28515625" hidden="1" customWidth="1"/>
    <col min="27" max="27" width="17.5703125" hidden="1" customWidth="1"/>
    <col min="28" max="28" width="9.28515625" hidden="1" customWidth="1"/>
    <col min="29" max="29" width="6.28515625" hidden="1" customWidth="1"/>
    <col min="30" max="30" width="11.85546875" hidden="1" customWidth="1"/>
    <col min="31" max="31" width="6" hidden="1" customWidth="1"/>
    <col min="32" max="32" width="10.7109375" hidden="1" customWidth="1"/>
    <col min="33" max="35" width="3.28515625" hidden="1" customWidth="1"/>
    <col min="36" max="36" width="21" hidden="1" customWidth="1"/>
    <col min="37" max="37" width="13.28515625" hidden="1" customWidth="1"/>
    <col min="38" max="38" width="17.5703125" hidden="1" customWidth="1"/>
    <col min="39" max="39" width="8" hidden="1" customWidth="1"/>
    <col min="40" max="40" width="5" hidden="1" customWidth="1"/>
    <col min="41" max="41" width="11.85546875" hidden="1" customWidth="1"/>
    <col min="42" max="42" width="6" hidden="1" customWidth="1"/>
    <col min="43" max="43" width="10.5703125" hidden="1" customWidth="1"/>
    <col min="44" max="46" width="3.28515625" hidden="1" customWidth="1"/>
    <col min="47" max="47" width="21" hidden="1" customWidth="1"/>
    <col min="48" max="48" width="13.28515625" hidden="1" customWidth="1"/>
    <col min="49" max="49" width="17.5703125" hidden="1" customWidth="1"/>
    <col min="50" max="50" width="8" hidden="1" customWidth="1"/>
    <col min="51" max="51" width="5" hidden="1" customWidth="1"/>
    <col min="52" max="52" width="11.85546875" hidden="1" customWidth="1"/>
    <col min="53" max="53" width="6" hidden="1" customWidth="1"/>
    <col min="54" max="54" width="10.5703125" hidden="1" customWidth="1"/>
    <col min="55" max="57" width="3.28515625" hidden="1" customWidth="1"/>
    <col min="58" max="58" width="21" hidden="1" customWidth="1"/>
    <col min="59" max="59" width="13.28515625" hidden="1" customWidth="1"/>
    <col min="60" max="60" width="17.5703125" hidden="1" customWidth="1"/>
    <col min="61" max="61" width="8" hidden="1" customWidth="1"/>
    <col min="62" max="62" width="5" hidden="1" customWidth="1"/>
    <col min="63" max="63" width="11.85546875" hidden="1" customWidth="1"/>
    <col min="64" max="64" width="6" hidden="1" customWidth="1"/>
    <col min="65" max="65" width="10.5703125" hidden="1" customWidth="1"/>
    <col min="66" max="68" width="3.28515625" hidden="1" customWidth="1"/>
    <col min="69" max="69" width="21" hidden="1" customWidth="1"/>
    <col min="70" max="70" width="13.28515625" hidden="1" customWidth="1"/>
    <col min="71" max="71" width="17.5703125" hidden="1" customWidth="1"/>
    <col min="72" max="72" width="8" hidden="1" customWidth="1"/>
    <col min="73" max="73" width="5" hidden="1" customWidth="1"/>
    <col min="74" max="74" width="11.85546875" hidden="1" customWidth="1"/>
    <col min="75" max="75" width="6" hidden="1" customWidth="1"/>
    <col min="76" max="76" width="12.7109375" hidden="1" customWidth="1"/>
    <col min="77" max="79" width="3.28515625" hidden="1" customWidth="1"/>
    <col min="80" max="80" width="21" hidden="1" customWidth="1"/>
    <col min="81" max="81" width="13.28515625" hidden="1" customWidth="1"/>
    <col min="82" max="82" width="17.5703125" hidden="1" customWidth="1"/>
    <col min="83" max="83" width="8" hidden="1" customWidth="1"/>
    <col min="84" max="84" width="5" hidden="1" customWidth="1"/>
    <col min="85" max="85" width="11.85546875" hidden="1" customWidth="1"/>
    <col min="86" max="86" width="6" hidden="1" customWidth="1"/>
    <col min="87" max="87" width="10.5703125" hidden="1" customWidth="1"/>
    <col min="88" max="90" width="3.28515625" hidden="1" customWidth="1"/>
    <col min="91" max="91" width="21" hidden="1" customWidth="1"/>
    <col min="92" max="92" width="13.28515625" hidden="1" customWidth="1"/>
    <col min="93" max="93" width="17.5703125" hidden="1" customWidth="1"/>
    <col min="94" max="94" width="8" hidden="1" customWidth="1"/>
    <col min="95" max="95" width="5" hidden="1" customWidth="1"/>
    <col min="96" max="96" width="11.85546875" hidden="1" customWidth="1"/>
    <col min="97" max="97" width="6" hidden="1" customWidth="1"/>
    <col min="98" max="98" width="10.5703125" hidden="1" customWidth="1"/>
    <col min="99" max="101" width="3.28515625" hidden="1" customWidth="1"/>
    <col min="102" max="102" width="21" hidden="1" customWidth="1"/>
    <col min="103" max="103" width="13.28515625" hidden="1" customWidth="1"/>
    <col min="104" max="104" width="17.5703125" hidden="1" customWidth="1"/>
    <col min="105" max="105" width="8" hidden="1" customWidth="1"/>
    <col min="106" max="106" width="5" hidden="1" customWidth="1"/>
    <col min="107" max="107" width="11.85546875" hidden="1" customWidth="1"/>
    <col min="108" max="108" width="6" hidden="1" customWidth="1"/>
    <col min="109" max="109" width="10.5703125" hidden="1" customWidth="1"/>
    <col min="110" max="112" width="3.28515625" hidden="1" customWidth="1"/>
    <col min="113" max="113" width="21" hidden="1" customWidth="1"/>
    <col min="114" max="114" width="13.28515625" hidden="1" customWidth="1"/>
    <col min="115" max="115" width="17.5703125" hidden="1" customWidth="1"/>
    <col min="116" max="116" width="8" hidden="1" customWidth="1"/>
    <col min="117" max="117" width="5" hidden="1" customWidth="1"/>
    <col min="118" max="118" width="11.85546875" hidden="1" customWidth="1"/>
    <col min="119" max="119" width="6" hidden="1" customWidth="1"/>
    <col min="120" max="120" width="10.5703125" hidden="1" customWidth="1"/>
    <col min="121" max="123" width="3.28515625" hidden="1" customWidth="1"/>
    <col min="124" max="124" width="21" hidden="1" customWidth="1"/>
    <col min="125" max="125" width="13.28515625" hidden="1" customWidth="1"/>
    <col min="126" max="126" width="17.5703125" hidden="1" customWidth="1"/>
    <col min="127" max="127" width="8" hidden="1" customWidth="1"/>
    <col min="128" max="128" width="5" hidden="1" customWidth="1"/>
    <col min="129" max="129" width="11.85546875" hidden="1" customWidth="1"/>
    <col min="130" max="130" width="6" hidden="1" customWidth="1"/>
    <col min="131" max="131" width="10.5703125" hidden="1" customWidth="1"/>
    <col min="132" max="134" width="3.28515625" hidden="1" customWidth="1"/>
    <col min="135" max="135" width="21" hidden="1" customWidth="1"/>
    <col min="136" max="136" width="13.28515625" hidden="1" customWidth="1"/>
    <col min="137" max="137" width="17.5703125" hidden="1" customWidth="1"/>
    <col min="138" max="138" width="8" hidden="1" customWidth="1"/>
    <col min="139" max="139" width="5" hidden="1" customWidth="1"/>
    <col min="140" max="140" width="11.85546875" hidden="1" customWidth="1"/>
    <col min="141" max="141" width="6" hidden="1" customWidth="1"/>
    <col min="142" max="142" width="10.5703125" hidden="1" customWidth="1"/>
    <col min="143" max="145" width="3.28515625" hidden="1" customWidth="1"/>
    <col min="146" max="146" width="21" hidden="1" customWidth="1"/>
    <col min="147" max="147" width="13.28515625" hidden="1" customWidth="1"/>
    <col min="148" max="148" width="17.5703125" hidden="1" customWidth="1"/>
    <col min="149" max="149" width="8" hidden="1" customWidth="1"/>
    <col min="150" max="150" width="5" hidden="1" customWidth="1"/>
    <col min="151" max="151" width="11.85546875" hidden="1" customWidth="1"/>
    <col min="152" max="152" width="6" hidden="1" customWidth="1"/>
    <col min="153" max="153" width="10.5703125" hidden="1" customWidth="1"/>
    <col min="154" max="156" width="3.28515625" hidden="1" customWidth="1"/>
    <col min="157" max="157" width="21" hidden="1" customWidth="1"/>
    <col min="158" max="158" width="13.28515625" hidden="1" customWidth="1"/>
    <col min="159" max="159" width="17.5703125" hidden="1" customWidth="1"/>
    <col min="160" max="160" width="8" hidden="1" customWidth="1"/>
    <col min="161" max="161" width="5" hidden="1" customWidth="1"/>
    <col min="162" max="162" width="11.85546875" hidden="1" customWidth="1"/>
    <col min="163" max="163" width="6" hidden="1" customWidth="1"/>
    <col min="164" max="164" width="10.5703125" hidden="1" customWidth="1"/>
    <col min="165" max="167" width="3.28515625" hidden="1" customWidth="1"/>
    <col min="168" max="168" width="21" hidden="1" customWidth="1"/>
    <col min="169" max="169" width="13.28515625" hidden="1" customWidth="1"/>
    <col min="170" max="170" width="17.5703125" hidden="1" customWidth="1"/>
    <col min="171" max="171" width="8" hidden="1" customWidth="1"/>
    <col min="172" max="172" width="5" hidden="1" customWidth="1"/>
    <col min="173" max="173" width="11.85546875" hidden="1" customWidth="1"/>
    <col min="174" max="174" width="6" hidden="1" customWidth="1"/>
    <col min="175" max="175" width="10.5703125" hidden="1" customWidth="1"/>
    <col min="176" max="178" width="3.28515625" hidden="1" customWidth="1"/>
    <col min="179" max="179" width="21" hidden="1" customWidth="1"/>
    <col min="180" max="180" width="13.28515625" hidden="1" customWidth="1"/>
    <col min="181" max="181" width="17.5703125" hidden="1" customWidth="1"/>
    <col min="182" max="182" width="8" hidden="1" customWidth="1"/>
    <col min="183" max="183" width="5" hidden="1" customWidth="1"/>
    <col min="184" max="184" width="11.85546875" hidden="1" customWidth="1"/>
    <col min="185" max="185" width="6" hidden="1" customWidth="1"/>
    <col min="186" max="186" width="10.5703125" hidden="1" customWidth="1"/>
    <col min="187" max="189" width="3.28515625" hidden="1" customWidth="1"/>
    <col min="190" max="190" width="21" hidden="1" customWidth="1"/>
    <col min="191" max="191" width="13.28515625" hidden="1" customWidth="1"/>
    <col min="192" max="192" width="17.5703125" hidden="1" customWidth="1"/>
    <col min="193" max="193" width="11" hidden="1" customWidth="1"/>
    <col min="194" max="194" width="6.5703125" hidden="1" customWidth="1"/>
    <col min="195" max="195" width="11.85546875" hidden="1" customWidth="1"/>
    <col min="196" max="196" width="6" hidden="1" customWidth="1"/>
    <col min="197" max="197" width="11.42578125" hidden="1" customWidth="1"/>
    <col min="198" max="200" width="3.28515625" hidden="1" customWidth="1"/>
    <col min="201" max="201" width="21" hidden="1" customWidth="1"/>
    <col min="202" max="202" width="13.28515625" hidden="1" customWidth="1"/>
    <col min="203" max="203" width="17.5703125" hidden="1" customWidth="1"/>
    <col min="204" max="204" width="8" hidden="1" customWidth="1"/>
    <col min="205" max="205" width="5" hidden="1" customWidth="1"/>
    <col min="206" max="206" width="11.85546875" hidden="1" customWidth="1"/>
    <col min="207" max="207" width="6" hidden="1" customWidth="1"/>
    <col min="208" max="208" width="10.5703125" hidden="1" customWidth="1"/>
    <col min="209" max="211" width="3.28515625" hidden="1" customWidth="1"/>
    <col min="212" max="212" width="21" hidden="1" customWidth="1"/>
    <col min="213" max="213" width="13.28515625" hidden="1" customWidth="1"/>
    <col min="214" max="214" width="17.5703125" hidden="1" customWidth="1"/>
    <col min="215" max="215" width="8" hidden="1" customWidth="1"/>
    <col min="216" max="216" width="5" hidden="1" customWidth="1"/>
    <col min="217" max="217" width="11.85546875" hidden="1" customWidth="1"/>
    <col min="218" max="218" width="6.7109375" hidden="1" customWidth="1"/>
    <col min="219" max="219" width="13.5703125" hidden="1" customWidth="1"/>
    <col min="220" max="222" width="3.28515625" hidden="1" customWidth="1"/>
    <col min="223" max="223" width="21" hidden="1" customWidth="1"/>
    <col min="224" max="224" width="13.28515625" hidden="1" customWidth="1"/>
    <col min="225" max="225" width="17.5703125" hidden="1" customWidth="1"/>
    <col min="226" max="226" width="8" hidden="1" customWidth="1"/>
    <col min="227" max="227" width="5" hidden="1" customWidth="1"/>
    <col min="228" max="228" width="11.85546875" hidden="1" customWidth="1"/>
    <col min="229" max="229" width="6.7109375" hidden="1" customWidth="1"/>
    <col min="230" max="230" width="13.5703125" hidden="1" customWidth="1"/>
    <col min="231" max="233" width="3.28515625" hidden="1" customWidth="1"/>
    <col min="234" max="234" width="21" hidden="1" customWidth="1"/>
    <col min="235" max="235" width="13.28515625" hidden="1" customWidth="1"/>
    <col min="236" max="236" width="17.5703125" hidden="1" customWidth="1"/>
    <col min="237" max="237" width="8" hidden="1" customWidth="1"/>
    <col min="238" max="238" width="5" hidden="1" customWidth="1"/>
    <col min="239" max="239" width="11.85546875" hidden="1" customWidth="1"/>
    <col min="240" max="240" width="6" hidden="1" customWidth="1"/>
    <col min="241" max="241" width="10.5703125" hidden="1" customWidth="1"/>
    <col min="242" max="244" width="3.28515625" hidden="1" customWidth="1"/>
    <col min="245" max="245" width="21" hidden="1" customWidth="1"/>
    <col min="246" max="246" width="14.42578125" hidden="1" customWidth="1"/>
    <col min="247" max="247" width="17.5703125" hidden="1" customWidth="1"/>
    <col min="248" max="248" width="8" hidden="1" customWidth="1"/>
    <col min="249" max="249" width="5" hidden="1" customWidth="1"/>
    <col min="250" max="250" width="11.85546875" hidden="1" customWidth="1"/>
    <col min="251" max="251" width="6" hidden="1" customWidth="1"/>
    <col min="252" max="252" width="10.5703125" hidden="1" customWidth="1"/>
    <col min="253" max="255" width="3.28515625" hidden="1" customWidth="1"/>
    <col min="256" max="256" width="21" hidden="1" customWidth="1"/>
    <col min="257" max="257" width="13.28515625" hidden="1" customWidth="1"/>
    <col min="258" max="258" width="17.5703125" hidden="1" customWidth="1"/>
    <col min="259" max="259" width="8" hidden="1" customWidth="1"/>
    <col min="260" max="260" width="5" hidden="1" customWidth="1"/>
    <col min="261" max="261" width="11.85546875" hidden="1" customWidth="1"/>
    <col min="262" max="262" width="6" hidden="1" customWidth="1"/>
    <col min="263" max="263" width="10.5703125" hidden="1" customWidth="1"/>
    <col min="264" max="266" width="3.28515625" hidden="1" customWidth="1"/>
    <col min="267" max="267" width="21" hidden="1" customWidth="1"/>
    <col min="268" max="268" width="14.42578125" hidden="1" customWidth="1"/>
    <col min="269" max="269" width="17.5703125" hidden="1" customWidth="1"/>
    <col min="270" max="270" width="8" hidden="1" customWidth="1"/>
    <col min="271" max="271" width="5" hidden="1" customWidth="1"/>
    <col min="272" max="272" width="11.85546875" hidden="1" customWidth="1"/>
    <col min="273" max="273" width="6" hidden="1" customWidth="1"/>
    <col min="274" max="274" width="11.7109375" hidden="1" customWidth="1"/>
    <col min="275" max="277" width="3.28515625" hidden="1" customWidth="1"/>
    <col min="278" max="278" width="21" hidden="1" customWidth="1"/>
    <col min="279" max="279" width="14.42578125" hidden="1" customWidth="1"/>
    <col min="280" max="280" width="17.5703125" hidden="1" customWidth="1"/>
    <col min="281" max="281" width="8" hidden="1" customWidth="1"/>
    <col min="282" max="282" width="5" hidden="1" customWidth="1"/>
    <col min="283" max="283" width="11.85546875" hidden="1" customWidth="1"/>
    <col min="284" max="284" width="6" hidden="1" customWidth="1"/>
    <col min="285" max="285" width="11.7109375" hidden="1" customWidth="1"/>
    <col min="286" max="288" width="3.28515625" hidden="1" customWidth="1"/>
    <col min="289" max="289" width="21" hidden="1" customWidth="1"/>
    <col min="290" max="290" width="14.42578125" hidden="1" customWidth="1"/>
    <col min="291" max="291" width="17.5703125" hidden="1" customWidth="1"/>
    <col min="292" max="292" width="8" hidden="1" customWidth="1"/>
    <col min="293" max="293" width="5" hidden="1" customWidth="1"/>
    <col min="294" max="294" width="11.85546875" hidden="1" customWidth="1"/>
    <col min="295" max="295" width="6" hidden="1" customWidth="1"/>
    <col min="296" max="296" width="11.7109375" hidden="1" customWidth="1"/>
    <col min="297" max="299" width="3.28515625" hidden="1" customWidth="1"/>
    <col min="300" max="300" width="21" hidden="1" customWidth="1"/>
    <col min="301" max="301" width="14.42578125" hidden="1" customWidth="1"/>
    <col min="302" max="302" width="17.5703125" hidden="1" customWidth="1"/>
    <col min="303" max="303" width="8" hidden="1" customWidth="1"/>
    <col min="304" max="304" width="5" hidden="1" customWidth="1"/>
    <col min="305" max="305" width="11.85546875" hidden="1" customWidth="1"/>
    <col min="306" max="306" width="6" hidden="1" customWidth="1"/>
    <col min="307" max="307" width="11.7109375" hidden="1" customWidth="1"/>
    <col min="308" max="310" width="3.28515625" hidden="1" customWidth="1"/>
    <col min="311" max="311" width="24.28515625" hidden="1" customWidth="1"/>
    <col min="312" max="312" width="14.42578125" hidden="1" customWidth="1"/>
    <col min="313" max="313" width="17.5703125" hidden="1" customWidth="1"/>
    <col min="314" max="314" width="8" hidden="1" customWidth="1"/>
    <col min="315" max="315" width="5.140625" hidden="1" customWidth="1"/>
    <col min="316" max="316" width="11.85546875" hidden="1" customWidth="1"/>
    <col min="317" max="317" width="6.7109375" hidden="1" customWidth="1"/>
    <col min="318" max="318" width="11.85546875" hidden="1" customWidth="1"/>
    <col min="319" max="321" width="3.28515625" hidden="1" customWidth="1"/>
    <col min="322" max="322" width="21" hidden="1" customWidth="1"/>
    <col min="323" max="323" width="14.42578125" hidden="1" customWidth="1"/>
    <col min="324" max="324" width="17.5703125" hidden="1" customWidth="1"/>
    <col min="325" max="325" width="8" hidden="1" customWidth="1"/>
    <col min="326" max="326" width="6.140625" hidden="1" customWidth="1"/>
    <col min="327" max="327" width="11.85546875" hidden="1" customWidth="1"/>
    <col min="328" max="328" width="6" hidden="1" customWidth="1"/>
    <col min="329" max="329" width="11.85546875" hidden="1" customWidth="1"/>
    <col min="330" max="332" width="3.28515625" hidden="1" customWidth="1"/>
    <col min="333" max="333" width="21" hidden="1" customWidth="1"/>
    <col min="334" max="334" width="13.28515625" hidden="1" customWidth="1"/>
    <col min="335" max="335" width="17.5703125" hidden="1" customWidth="1"/>
    <col min="336" max="336" width="8" hidden="1" customWidth="1"/>
    <col min="337" max="337" width="5" hidden="1" customWidth="1"/>
    <col min="338" max="338" width="11.85546875" hidden="1" customWidth="1"/>
    <col min="339" max="339" width="6" hidden="1" customWidth="1"/>
    <col min="340" max="340" width="10.5703125" hidden="1" customWidth="1"/>
    <col min="341" max="341" width="3.28515625" hidden="1" customWidth="1"/>
    <col min="342" max="342" width="0" hidden="1" customWidth="1"/>
    <col min="343" max="344" width="3.28515625" hidden="1" customWidth="1"/>
    <col min="345" max="345" width="21" hidden="1" customWidth="1"/>
    <col min="346" max="346" width="13.85546875" hidden="1" customWidth="1"/>
    <col min="347" max="347" width="17.5703125" hidden="1" customWidth="1"/>
    <col min="348" max="348" width="8" hidden="1" customWidth="1"/>
    <col min="349" max="349" width="5" hidden="1" customWidth="1"/>
    <col min="350" max="350" width="11.85546875" hidden="1" customWidth="1"/>
    <col min="351" max="351" width="6" hidden="1" customWidth="1"/>
    <col min="352" max="352" width="10.5703125" hidden="1" customWidth="1"/>
    <col min="353" max="353" width="3.28515625" hidden="1" customWidth="1"/>
    <col min="354" max="354" width="0" hidden="1" customWidth="1"/>
    <col min="355" max="356" width="3.28515625" hidden="1" customWidth="1"/>
    <col min="357" max="357" width="21" hidden="1" customWidth="1"/>
    <col min="358" max="358" width="13.28515625" hidden="1" customWidth="1"/>
    <col min="359" max="359" width="17.5703125" hidden="1" customWidth="1"/>
    <col min="360" max="360" width="8" hidden="1" customWidth="1"/>
    <col min="361" max="361" width="5" hidden="1" customWidth="1"/>
    <col min="362" max="362" width="11.85546875" hidden="1" customWidth="1"/>
    <col min="363" max="363" width="6" hidden="1" customWidth="1"/>
    <col min="364" max="364" width="10.5703125" hidden="1" customWidth="1"/>
    <col min="365" max="365" width="3.28515625" hidden="1" customWidth="1"/>
    <col min="366" max="367" width="0" hidden="1" customWidth="1"/>
    <col min="368" max="369" width="3.28515625" hidden="1" customWidth="1"/>
    <col min="370" max="370" width="21" hidden="1" customWidth="1"/>
    <col min="371" max="371" width="13.28515625" hidden="1" customWidth="1"/>
    <col min="372" max="372" width="17.5703125" hidden="1" customWidth="1"/>
    <col min="373" max="373" width="8" hidden="1" customWidth="1"/>
    <col min="374" max="374" width="5" hidden="1" customWidth="1"/>
    <col min="375" max="375" width="11.85546875" hidden="1" customWidth="1"/>
    <col min="376" max="376" width="6" hidden="1" customWidth="1"/>
    <col min="377" max="377" width="10.5703125" hidden="1" customWidth="1"/>
    <col min="378" max="378" width="3.28515625" hidden="1" customWidth="1"/>
    <col min="379" max="379" width="0" hidden="1" customWidth="1"/>
    <col min="380" max="381" width="3.28515625" hidden="1" customWidth="1"/>
    <col min="382" max="382" width="21" hidden="1" customWidth="1"/>
    <col min="383" max="383" width="14.85546875" hidden="1" customWidth="1"/>
    <col min="384" max="384" width="17.5703125" hidden="1" customWidth="1"/>
    <col min="385" max="385" width="8" hidden="1" customWidth="1"/>
    <col min="386" max="386" width="5" hidden="1" customWidth="1"/>
    <col min="387" max="387" width="11.85546875" hidden="1" customWidth="1"/>
    <col min="388" max="388" width="6" hidden="1" customWidth="1"/>
    <col min="389" max="389" width="10.5703125" hidden="1" customWidth="1"/>
    <col min="390" max="390" width="3.28515625" hidden="1" customWidth="1"/>
    <col min="391" max="392" width="0" hidden="1" customWidth="1"/>
    <col min="393" max="394" width="3.28515625" hidden="1" customWidth="1"/>
    <col min="395" max="395" width="21" hidden="1" customWidth="1"/>
    <col min="396" max="396" width="14.85546875" hidden="1" customWidth="1"/>
    <col min="397" max="397" width="17.5703125" hidden="1" customWidth="1"/>
    <col min="398" max="398" width="8" hidden="1" customWidth="1"/>
    <col min="399" max="399" width="5" hidden="1" customWidth="1"/>
    <col min="400" max="400" width="11.85546875" hidden="1" customWidth="1"/>
    <col min="401" max="401" width="6" hidden="1" customWidth="1"/>
    <col min="402" max="402" width="10.5703125" hidden="1" customWidth="1"/>
    <col min="403" max="403" width="3.28515625" hidden="1" customWidth="1"/>
    <col min="404" max="405" width="0" hidden="1" customWidth="1"/>
    <col min="406" max="407" width="3.28515625" hidden="1" customWidth="1"/>
    <col min="408" max="408" width="21" hidden="1" customWidth="1"/>
    <col min="409" max="409" width="14.85546875" hidden="1" customWidth="1"/>
    <col min="410" max="410" width="17.5703125" hidden="1" customWidth="1"/>
    <col min="411" max="411" width="8" hidden="1" customWidth="1"/>
    <col min="412" max="412" width="5" hidden="1" customWidth="1"/>
    <col min="413" max="413" width="11.85546875" hidden="1" customWidth="1"/>
    <col min="414" max="414" width="6" hidden="1" customWidth="1"/>
    <col min="415" max="415" width="10.5703125" hidden="1" customWidth="1"/>
    <col min="416" max="416" width="3.28515625" hidden="1" customWidth="1"/>
    <col min="417" max="419" width="0" hidden="1" customWidth="1"/>
    <col min="420" max="421" width="3.28515625" hidden="1" customWidth="1"/>
    <col min="422" max="422" width="21" hidden="1" customWidth="1"/>
    <col min="423" max="423" width="14.85546875" hidden="1" customWidth="1"/>
    <col min="424" max="424" width="17.5703125" hidden="1" customWidth="1"/>
    <col min="425" max="425" width="8" hidden="1" customWidth="1"/>
    <col min="426" max="426" width="5" hidden="1" customWidth="1"/>
    <col min="427" max="427" width="11.85546875" hidden="1" customWidth="1"/>
    <col min="428" max="428" width="6" hidden="1" customWidth="1"/>
    <col min="429" max="429" width="10.5703125" hidden="1" customWidth="1"/>
    <col min="430" max="430" width="3.28515625" hidden="1" customWidth="1"/>
    <col min="431" max="431" width="0" hidden="1" customWidth="1"/>
    <col min="432" max="432" width="10.7109375" hidden="1" customWidth="1"/>
    <col min="433" max="434" width="3.28515625" hidden="1" customWidth="1"/>
    <col min="435" max="435" width="21" hidden="1" customWidth="1"/>
    <col min="436" max="436" width="14.85546875" hidden="1" customWidth="1"/>
    <col min="437" max="437" width="17.5703125" hidden="1" customWidth="1"/>
    <col min="438" max="438" width="8" hidden="1" customWidth="1"/>
    <col min="439" max="439" width="5" hidden="1" customWidth="1"/>
    <col min="440" max="440" width="11.85546875" hidden="1" customWidth="1"/>
    <col min="441" max="441" width="6.85546875" hidden="1" customWidth="1"/>
    <col min="442" max="442" width="10.5703125" hidden="1" customWidth="1"/>
    <col min="443" max="443" width="3.28515625" hidden="1" customWidth="1"/>
    <col min="444" max="444" width="0" hidden="1" customWidth="1"/>
    <col min="446" max="447" width="3.28515625" bestFit="1" customWidth="1"/>
    <col min="448" max="448" width="21" bestFit="1" customWidth="1"/>
    <col min="449" max="449" width="14.85546875" customWidth="1"/>
    <col min="450" max="450" width="17.5703125" bestFit="1" customWidth="1"/>
    <col min="451" max="451" width="8" bestFit="1" customWidth="1"/>
    <col min="452" max="452" width="5" bestFit="1" customWidth="1"/>
    <col min="453" max="453" width="11.85546875" bestFit="1" customWidth="1"/>
    <col min="454" max="454" width="6" bestFit="1" customWidth="1"/>
    <col min="455" max="455" width="10.5703125" bestFit="1" customWidth="1"/>
    <col min="456" max="456" width="3.28515625" bestFit="1" customWidth="1"/>
    <col min="459" max="460" width="3.28515625" hidden="1" customWidth="1"/>
    <col min="461" max="461" width="21" hidden="1" customWidth="1"/>
    <col min="462" max="462" width="14.85546875" hidden="1" customWidth="1"/>
    <col min="463" max="463" width="17.5703125" hidden="1" customWidth="1"/>
    <col min="464" max="464" width="8" hidden="1" customWidth="1"/>
    <col min="465" max="465" width="5" hidden="1" customWidth="1"/>
    <col min="466" max="466" width="11.85546875" hidden="1" customWidth="1"/>
    <col min="467" max="467" width="6.85546875" hidden="1" customWidth="1"/>
    <col min="468" max="468" width="10.5703125" hidden="1" customWidth="1"/>
    <col min="469" max="469" width="3.28515625" hidden="1" customWidth="1"/>
    <col min="470" max="470" width="0" hidden="1" customWidth="1"/>
  </cols>
  <sheetData>
    <row r="2" spans="1:469" ht="200.1" customHeight="1" x14ac:dyDescent="0.25"/>
    <row r="3" spans="1:469" ht="19.5" customHeight="1" thickBot="1" x14ac:dyDescent="0.3">
      <c r="A3" s="27"/>
      <c r="B3" s="28"/>
      <c r="C3" s="28"/>
      <c r="D3" s="28"/>
      <c r="E3" s="28"/>
      <c r="F3" s="28"/>
      <c r="G3" s="28"/>
      <c r="H3" s="28"/>
      <c r="I3" s="28"/>
      <c r="J3" s="28"/>
      <c r="K3" s="29"/>
      <c r="L3" s="27"/>
      <c r="M3" s="28"/>
      <c r="N3" s="28"/>
      <c r="O3" s="28"/>
      <c r="P3" s="28"/>
      <c r="Q3" s="28"/>
      <c r="R3" s="28"/>
      <c r="S3" s="28"/>
      <c r="T3" s="28"/>
      <c r="U3" s="28"/>
      <c r="V3" s="29"/>
      <c r="W3" s="27"/>
      <c r="X3" s="28"/>
      <c r="Y3" s="28"/>
      <c r="Z3" s="28"/>
      <c r="AA3" s="28"/>
      <c r="AB3" s="28"/>
      <c r="AC3" s="28"/>
      <c r="AD3" s="28"/>
      <c r="AE3" s="28"/>
      <c r="AF3" s="28"/>
      <c r="AG3" s="29"/>
      <c r="AH3" s="27"/>
      <c r="AI3" s="28"/>
      <c r="AJ3" s="28"/>
      <c r="AK3" s="28"/>
      <c r="AL3" s="28"/>
      <c r="AM3" s="28"/>
      <c r="AN3" s="28"/>
      <c r="AO3" s="28"/>
      <c r="AP3" s="28"/>
      <c r="AQ3" s="28"/>
      <c r="AR3" s="29"/>
      <c r="AS3" s="27"/>
      <c r="AT3" s="28"/>
      <c r="AU3" s="28"/>
      <c r="AV3" s="28"/>
      <c r="AW3" s="28"/>
      <c r="AX3" s="28"/>
      <c r="AY3" s="28"/>
      <c r="AZ3" s="28"/>
      <c r="BA3" s="28"/>
      <c r="BB3" s="28"/>
      <c r="BC3" s="29"/>
      <c r="BD3" s="27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27"/>
      <c r="BP3" s="28"/>
      <c r="BQ3" s="28"/>
      <c r="BR3" s="28"/>
      <c r="BS3" s="28"/>
      <c r="BT3" s="28"/>
      <c r="BU3" s="28"/>
      <c r="BV3" s="28"/>
      <c r="BW3" s="28"/>
      <c r="BX3" s="28"/>
      <c r="BY3" s="29"/>
      <c r="BZ3" s="27"/>
      <c r="CA3" s="28"/>
      <c r="CB3" s="28"/>
      <c r="CC3" s="28"/>
      <c r="CD3" s="28"/>
      <c r="CE3" s="28"/>
      <c r="CF3" s="28"/>
      <c r="CG3" s="28"/>
      <c r="CH3" s="28"/>
      <c r="CI3" s="28"/>
      <c r="CJ3" s="29"/>
      <c r="CK3" s="27"/>
      <c r="CL3" s="28"/>
      <c r="CM3" s="28"/>
      <c r="CN3" s="28"/>
      <c r="CO3" s="28"/>
      <c r="CP3" s="28"/>
      <c r="CQ3" s="28"/>
      <c r="CR3" s="28"/>
      <c r="CS3" s="28"/>
      <c r="CT3" s="28"/>
      <c r="CU3" s="29"/>
      <c r="CV3" s="27"/>
      <c r="CW3" s="28"/>
      <c r="CX3" s="28"/>
      <c r="CY3" s="28"/>
      <c r="CZ3" s="28"/>
      <c r="DA3" s="28"/>
      <c r="DB3" s="28"/>
      <c r="DC3" s="28"/>
      <c r="DD3" s="28"/>
      <c r="DE3" s="28"/>
      <c r="DF3" s="29"/>
      <c r="DG3" s="27"/>
      <c r="DH3" s="28"/>
      <c r="DI3" s="28"/>
      <c r="DJ3" s="28"/>
      <c r="DK3" s="28"/>
      <c r="DL3" s="28"/>
      <c r="DM3" s="28"/>
      <c r="DN3" s="28"/>
      <c r="DO3" s="28"/>
      <c r="DP3" s="28"/>
      <c r="DQ3" s="29"/>
      <c r="DR3" s="27"/>
      <c r="DS3" s="28"/>
      <c r="DT3" s="28"/>
      <c r="DU3" s="28"/>
      <c r="DV3" s="28"/>
      <c r="DW3" s="28"/>
      <c r="DX3" s="28"/>
      <c r="DY3" s="28"/>
      <c r="DZ3" s="28"/>
      <c r="EA3" s="28"/>
      <c r="EB3" s="29"/>
      <c r="EC3" s="27"/>
      <c r="ED3" s="28"/>
      <c r="EE3" s="28"/>
      <c r="EF3" s="28"/>
      <c r="EG3" s="28"/>
      <c r="EH3" s="28"/>
      <c r="EI3" s="28"/>
      <c r="EJ3" s="28"/>
      <c r="EK3" s="28"/>
      <c r="EL3" s="28"/>
      <c r="EM3" s="29"/>
      <c r="EN3" s="27"/>
      <c r="EO3" s="28"/>
      <c r="EP3" s="28"/>
      <c r="EQ3" s="28"/>
      <c r="ER3" s="28"/>
      <c r="ES3" s="28"/>
      <c r="ET3" s="28"/>
      <c r="EU3" s="28"/>
      <c r="EV3" s="28"/>
      <c r="EW3" s="28"/>
      <c r="EX3" s="29"/>
      <c r="EY3" s="27"/>
      <c r="EZ3" s="28"/>
      <c r="FA3" s="28"/>
      <c r="FB3" s="28"/>
      <c r="FC3" s="28"/>
      <c r="FD3" s="28"/>
      <c r="FE3" s="28"/>
      <c r="FF3" s="28"/>
      <c r="FG3" s="28"/>
      <c r="FH3" s="28"/>
      <c r="FI3" s="29"/>
      <c r="FJ3" s="27"/>
      <c r="FK3" s="28"/>
      <c r="FL3" s="28"/>
      <c r="FM3" s="28"/>
      <c r="FN3" s="28"/>
      <c r="FO3" s="28"/>
      <c r="FP3" s="28"/>
      <c r="FQ3" s="28"/>
      <c r="FR3" s="28"/>
      <c r="FS3" s="28"/>
      <c r="FT3" s="29"/>
      <c r="FU3" s="27"/>
      <c r="FV3" s="28"/>
      <c r="FW3" s="28"/>
      <c r="FX3" s="28"/>
      <c r="FY3" s="28"/>
      <c r="FZ3" s="28"/>
      <c r="GA3" s="28"/>
      <c r="GB3" s="28"/>
      <c r="GC3" s="28"/>
      <c r="GD3" s="28"/>
      <c r="GE3" s="29"/>
      <c r="GF3" s="27"/>
      <c r="GG3" s="28"/>
      <c r="GH3" s="28"/>
      <c r="GI3" s="28"/>
      <c r="GJ3" s="28"/>
      <c r="GK3" s="28"/>
      <c r="GL3" s="28"/>
      <c r="GM3" s="28"/>
      <c r="GN3" s="28"/>
      <c r="GO3" s="28"/>
      <c r="GP3" s="29"/>
      <c r="GQ3" s="27"/>
      <c r="GR3" s="28"/>
      <c r="GS3" s="28"/>
      <c r="GT3" s="28"/>
      <c r="GU3" s="28"/>
      <c r="GV3" s="28"/>
      <c r="GW3" s="28"/>
      <c r="GX3" s="28"/>
      <c r="GY3" s="28"/>
      <c r="GZ3" s="28"/>
      <c r="HA3" s="29"/>
      <c r="HB3" s="27"/>
      <c r="HC3" s="28"/>
      <c r="HD3" s="28"/>
      <c r="HE3" s="28"/>
      <c r="HF3" s="28"/>
      <c r="HG3" s="28"/>
      <c r="HH3" s="28"/>
      <c r="HI3" s="28"/>
      <c r="HJ3" s="28"/>
      <c r="HK3" s="28"/>
      <c r="HL3" s="29"/>
      <c r="HM3" s="27"/>
      <c r="HN3" s="28"/>
      <c r="HO3" s="28"/>
      <c r="HP3" s="28"/>
      <c r="HQ3" s="28"/>
      <c r="HR3" s="28"/>
      <c r="HS3" s="28"/>
      <c r="HT3" s="28"/>
      <c r="HU3" s="28"/>
      <c r="HV3" s="28"/>
      <c r="HW3" s="29"/>
      <c r="HX3" s="27"/>
      <c r="HY3" s="28"/>
      <c r="HZ3" s="28"/>
      <c r="IA3" s="28"/>
      <c r="IB3" s="28"/>
      <c r="IC3" s="28"/>
      <c r="ID3" s="28"/>
      <c r="IE3" s="28"/>
      <c r="IF3" s="28"/>
      <c r="IG3" s="28"/>
      <c r="IH3" s="29"/>
      <c r="II3" s="27"/>
      <c r="IJ3" s="28"/>
      <c r="IK3" s="28"/>
      <c r="IL3" s="28"/>
      <c r="IM3" s="28"/>
      <c r="IN3" s="28"/>
      <c r="IO3" s="28"/>
      <c r="IP3" s="28"/>
      <c r="IQ3" s="28"/>
      <c r="IR3" s="28"/>
      <c r="IS3" s="29"/>
      <c r="IT3" s="27"/>
      <c r="IU3" s="28"/>
      <c r="IV3" s="28"/>
      <c r="IW3" s="28"/>
      <c r="IX3" s="28"/>
      <c r="IY3" s="28"/>
      <c r="IZ3" s="28"/>
      <c r="JA3" s="28"/>
      <c r="JB3" s="28"/>
      <c r="JC3" s="28"/>
      <c r="JD3" s="29"/>
      <c r="JE3" s="27"/>
      <c r="JF3" s="28"/>
      <c r="JG3" s="28"/>
      <c r="JH3" s="28"/>
      <c r="JI3" s="28"/>
      <c r="JJ3" s="28"/>
      <c r="JK3" s="28"/>
      <c r="JL3" s="28"/>
      <c r="JM3" s="28"/>
      <c r="JN3" s="28"/>
      <c r="JO3" s="29"/>
      <c r="JP3" s="27"/>
      <c r="JQ3" s="28"/>
      <c r="JR3" s="28"/>
      <c r="JS3" s="28"/>
      <c r="JT3" s="28"/>
      <c r="JU3" s="28"/>
      <c r="JV3" s="28"/>
      <c r="JW3" s="28"/>
      <c r="JX3" s="28"/>
      <c r="JY3" s="28"/>
      <c r="JZ3" s="29"/>
      <c r="KA3" s="27"/>
      <c r="KB3" s="28"/>
      <c r="KC3" s="28"/>
      <c r="KD3" s="28"/>
      <c r="KE3" s="28"/>
      <c r="KF3" s="28"/>
      <c r="KG3" s="28"/>
      <c r="KH3" s="28"/>
      <c r="KI3" s="28"/>
      <c r="KJ3" s="28"/>
      <c r="KK3" s="29"/>
      <c r="KL3" s="27"/>
      <c r="KM3" s="28"/>
      <c r="KN3" s="28"/>
      <c r="KO3" s="28"/>
      <c r="KP3" s="28"/>
      <c r="KQ3" s="28"/>
      <c r="KR3" s="28"/>
      <c r="KS3" s="28"/>
      <c r="KT3" s="28"/>
      <c r="KU3" s="28"/>
      <c r="KV3" s="29"/>
      <c r="KW3" s="27"/>
      <c r="KX3" s="28"/>
      <c r="KY3" s="28"/>
      <c r="KZ3" s="28"/>
      <c r="LA3" s="28"/>
      <c r="LB3" s="28"/>
      <c r="LC3" s="28"/>
      <c r="LD3" s="28"/>
      <c r="LE3" s="28"/>
      <c r="LF3" s="28"/>
      <c r="LG3" s="29"/>
      <c r="LH3" s="27"/>
      <c r="LI3" s="28"/>
      <c r="LJ3" s="28"/>
      <c r="LK3" s="28"/>
      <c r="LL3" s="28"/>
      <c r="LM3" s="28"/>
      <c r="LN3" s="28"/>
      <c r="LO3" s="28"/>
      <c r="LP3" s="28"/>
      <c r="LQ3" s="28"/>
      <c r="LR3" s="29"/>
      <c r="LS3" s="27"/>
      <c r="LT3" s="28"/>
      <c r="LU3" s="28"/>
      <c r="LV3" s="28"/>
      <c r="LW3" s="28"/>
      <c r="LX3" s="28"/>
      <c r="LY3" s="28"/>
      <c r="LZ3" s="28"/>
      <c r="MA3" s="28"/>
      <c r="MB3" s="28"/>
      <c r="MC3" s="29"/>
      <c r="ME3" s="27"/>
      <c r="MF3" s="28"/>
      <c r="MG3" s="28"/>
      <c r="MH3" s="28"/>
      <c r="MI3" s="28"/>
      <c r="MJ3" s="28"/>
      <c r="MK3" s="28"/>
      <c r="ML3" s="28"/>
      <c r="MM3" s="28"/>
      <c r="MN3" s="28"/>
      <c r="MO3" s="29"/>
      <c r="MQ3" s="27"/>
      <c r="MR3" s="28"/>
      <c r="MS3" s="28"/>
      <c r="MT3" s="28"/>
      <c r="MU3" s="28"/>
      <c r="MV3" s="28"/>
      <c r="MW3" s="28"/>
      <c r="MX3" s="28"/>
      <c r="MY3" s="28"/>
      <c r="MZ3" s="28"/>
      <c r="NA3" s="29"/>
      <c r="ND3" s="27"/>
      <c r="NE3" s="28"/>
      <c r="NF3" s="28"/>
      <c r="NG3" s="28"/>
      <c r="NH3" s="28"/>
      <c r="NI3" s="28"/>
      <c r="NJ3" s="28"/>
      <c r="NK3" s="28"/>
      <c r="NL3" s="28"/>
      <c r="NM3" s="28"/>
      <c r="NN3" s="29"/>
      <c r="NP3" s="27"/>
      <c r="NQ3" s="28"/>
      <c r="NR3" s="28"/>
      <c r="NS3" s="28"/>
      <c r="NT3" s="28"/>
      <c r="NU3" s="28"/>
      <c r="NV3" s="28"/>
      <c r="NW3" s="28"/>
      <c r="NX3" s="28"/>
      <c r="NY3" s="28"/>
      <c r="NZ3" s="29"/>
      <c r="OC3" s="27"/>
      <c r="OD3" s="28"/>
      <c r="OE3" s="28"/>
      <c r="OF3" s="28"/>
      <c r="OG3" s="28"/>
      <c r="OH3" s="28"/>
      <c r="OI3" s="28"/>
      <c r="OJ3" s="28"/>
      <c r="OK3" s="28"/>
      <c r="OL3" s="28"/>
      <c r="OM3" s="29"/>
      <c r="OP3" s="27"/>
      <c r="OQ3" s="28"/>
      <c r="OR3" s="28"/>
      <c r="OS3" s="28"/>
      <c r="OT3" s="28"/>
      <c r="OU3" s="28"/>
      <c r="OV3" s="28"/>
      <c r="OW3" s="28"/>
      <c r="OX3" s="28"/>
      <c r="OY3" s="28"/>
      <c r="OZ3" s="29"/>
      <c r="PD3" s="27"/>
      <c r="PE3" s="28"/>
      <c r="PF3" s="28"/>
      <c r="PG3" s="28"/>
      <c r="PH3" s="28"/>
      <c r="PI3" s="28"/>
      <c r="PJ3" s="28"/>
      <c r="PK3" s="28"/>
      <c r="PL3" s="28"/>
      <c r="PM3" s="28"/>
      <c r="PN3" s="29"/>
      <c r="PQ3" s="27"/>
      <c r="PR3" s="28"/>
      <c r="PS3" s="28"/>
      <c r="PT3" s="28"/>
      <c r="PU3" s="28"/>
      <c r="PV3" s="28"/>
      <c r="PW3" s="28"/>
      <c r="PX3" s="28"/>
      <c r="PY3" s="28"/>
      <c r="PZ3" s="28"/>
      <c r="QA3" s="29"/>
      <c r="QD3" s="27"/>
      <c r="QE3" s="28"/>
      <c r="QF3" s="28"/>
      <c r="QG3" s="28"/>
      <c r="QH3" s="28"/>
      <c r="QI3" s="28"/>
      <c r="QJ3" s="28"/>
      <c r="QK3" s="28"/>
      <c r="QL3" s="28"/>
      <c r="QM3" s="28"/>
      <c r="QN3" s="29"/>
      <c r="QQ3" s="27"/>
      <c r="QR3" s="28"/>
      <c r="QS3" s="28"/>
      <c r="QT3" s="28"/>
      <c r="QU3" s="28"/>
      <c r="QV3" s="28"/>
      <c r="QW3" s="28"/>
      <c r="QX3" s="28"/>
      <c r="QY3" s="28"/>
      <c r="QZ3" s="28"/>
      <c r="RA3" s="29"/>
    </row>
    <row r="4" spans="1:469" ht="19.5" customHeight="1" thickBot="1" x14ac:dyDescent="0.4">
      <c r="A4" s="30"/>
      <c r="B4" s="18"/>
      <c r="C4" s="45" t="s">
        <v>47</v>
      </c>
      <c r="D4" s="46">
        <v>3</v>
      </c>
      <c r="E4" s="18"/>
      <c r="F4" s="215" t="s">
        <v>324</v>
      </c>
      <c r="G4" s="18"/>
      <c r="H4" s="18"/>
      <c r="I4" s="18"/>
      <c r="J4" s="18"/>
      <c r="K4" s="31"/>
      <c r="L4" s="30"/>
      <c r="M4" s="18"/>
      <c r="N4" s="45" t="s">
        <v>47</v>
      </c>
      <c r="O4" s="46">
        <v>5.5</v>
      </c>
      <c r="P4" s="18"/>
      <c r="Q4" s="215" t="s">
        <v>327</v>
      </c>
      <c r="R4" s="18"/>
      <c r="S4" s="18"/>
      <c r="T4" s="18"/>
      <c r="U4" s="18"/>
      <c r="V4" s="31"/>
      <c r="W4" s="30"/>
      <c r="X4" s="18"/>
      <c r="Y4" s="45" t="s">
        <v>47</v>
      </c>
      <c r="Z4" s="46">
        <v>6</v>
      </c>
      <c r="AA4" s="18"/>
      <c r="AB4" s="215" t="s">
        <v>329</v>
      </c>
      <c r="AC4" s="18"/>
      <c r="AD4" s="18"/>
      <c r="AE4" s="18"/>
      <c r="AF4" s="18"/>
      <c r="AG4" s="31"/>
      <c r="AH4" s="30"/>
      <c r="AI4" s="18"/>
      <c r="AJ4" s="45" t="s">
        <v>47</v>
      </c>
      <c r="AK4" s="46">
        <v>9</v>
      </c>
      <c r="AL4" s="18"/>
      <c r="AM4" s="18"/>
      <c r="AN4" s="18"/>
      <c r="AO4" s="18"/>
      <c r="AP4" s="18"/>
      <c r="AQ4" s="18"/>
      <c r="AR4" s="31"/>
      <c r="AS4" s="30"/>
      <c r="AT4" s="18"/>
      <c r="AU4" s="45" t="s">
        <v>47</v>
      </c>
      <c r="AV4" s="46">
        <v>12</v>
      </c>
      <c r="AW4" s="18"/>
      <c r="AX4" s="18"/>
      <c r="AY4" s="18"/>
      <c r="AZ4" s="18"/>
      <c r="BA4" s="18"/>
      <c r="BB4" s="18"/>
      <c r="BC4" s="31"/>
      <c r="BD4" s="30"/>
      <c r="BE4" s="18"/>
      <c r="BF4" s="45" t="s">
        <v>47</v>
      </c>
      <c r="BG4" s="46">
        <v>12.4</v>
      </c>
      <c r="BH4" s="18"/>
      <c r="BI4" s="18"/>
      <c r="BJ4" s="18"/>
      <c r="BK4" s="18"/>
      <c r="BL4" s="18"/>
      <c r="BM4" s="18"/>
      <c r="BN4" s="31"/>
      <c r="BO4" s="30"/>
      <c r="BP4" s="18"/>
      <c r="BQ4" s="45" t="s">
        <v>47</v>
      </c>
      <c r="BR4" s="46">
        <v>12</v>
      </c>
      <c r="BS4" s="18" t="s">
        <v>312</v>
      </c>
      <c r="BT4" s="18"/>
      <c r="BU4" s="18"/>
      <c r="BV4" s="18"/>
      <c r="BW4" s="18"/>
      <c r="BX4" s="18"/>
      <c r="BY4" s="31"/>
      <c r="BZ4" s="30"/>
      <c r="CA4" s="18"/>
      <c r="CB4" s="45" t="s">
        <v>47</v>
      </c>
      <c r="CC4" s="46">
        <v>15</v>
      </c>
      <c r="CD4" s="18"/>
      <c r="CE4" s="18"/>
      <c r="CF4" s="18"/>
      <c r="CG4" s="18"/>
      <c r="CH4" s="18"/>
      <c r="CI4" s="18"/>
      <c r="CJ4" s="31"/>
      <c r="CK4" s="30"/>
      <c r="CL4" s="18"/>
      <c r="CM4" s="45" t="s">
        <v>47</v>
      </c>
      <c r="CN4" s="46">
        <v>15.5</v>
      </c>
      <c r="CO4" s="18" t="s">
        <v>277</v>
      </c>
      <c r="CP4" s="18"/>
      <c r="CQ4" s="18"/>
      <c r="CR4" s="18"/>
      <c r="CS4" s="18"/>
      <c r="CT4" s="18"/>
      <c r="CU4" s="31"/>
      <c r="CV4" s="30"/>
      <c r="CW4" s="18"/>
      <c r="CX4" s="45" t="s">
        <v>47</v>
      </c>
      <c r="CY4" s="46">
        <v>4</v>
      </c>
      <c r="CZ4" s="18"/>
      <c r="DA4" s="18"/>
      <c r="DB4" s="18"/>
      <c r="DC4" s="18"/>
      <c r="DD4" s="18"/>
      <c r="DE4" s="18"/>
      <c r="DF4" s="31"/>
      <c r="DG4" s="30"/>
      <c r="DH4" s="18"/>
      <c r="DI4" s="45" t="s">
        <v>47</v>
      </c>
      <c r="DJ4" s="46">
        <v>18</v>
      </c>
      <c r="DK4" s="18"/>
      <c r="DL4" s="18"/>
      <c r="DM4" s="18"/>
      <c r="DN4" s="18"/>
      <c r="DO4" s="18"/>
      <c r="DP4" s="18"/>
      <c r="DQ4" s="31"/>
      <c r="DR4" s="30"/>
      <c r="DS4" s="18"/>
      <c r="DT4" s="45" t="s">
        <v>47</v>
      </c>
      <c r="DU4" s="46">
        <v>10</v>
      </c>
      <c r="DV4" s="18"/>
      <c r="DW4" s="18"/>
      <c r="DX4" s="18"/>
      <c r="DY4" s="18"/>
      <c r="DZ4" s="18"/>
      <c r="EA4" s="18"/>
      <c r="EB4" s="31"/>
      <c r="EC4" s="30"/>
      <c r="ED4" s="18"/>
      <c r="EE4" s="45" t="s">
        <v>47</v>
      </c>
      <c r="EF4" s="46">
        <v>20.399999999999999</v>
      </c>
      <c r="EG4" s="18"/>
      <c r="EH4" s="18"/>
      <c r="EI4" s="18"/>
      <c r="EJ4" s="125" t="s">
        <v>212</v>
      </c>
      <c r="EK4" s="18"/>
      <c r="EL4" s="18"/>
      <c r="EM4" s="31"/>
      <c r="EN4" s="30"/>
      <c r="EO4" s="18"/>
      <c r="EP4" s="45" t="s">
        <v>47</v>
      </c>
      <c r="EQ4" s="46">
        <v>20.399999999999999</v>
      </c>
      <c r="ER4" s="18"/>
      <c r="ES4" s="18"/>
      <c r="ET4" s="18"/>
      <c r="EU4" s="125" t="s">
        <v>213</v>
      </c>
      <c r="EV4" s="18"/>
      <c r="EW4" s="18"/>
      <c r="EX4" s="31"/>
      <c r="EY4" s="30"/>
      <c r="EZ4" s="18"/>
      <c r="FA4" s="45" t="s">
        <v>47</v>
      </c>
      <c r="FB4" s="46">
        <v>21</v>
      </c>
      <c r="FC4" s="18"/>
      <c r="FD4" s="18"/>
      <c r="FE4" s="18"/>
      <c r="FF4" s="18"/>
      <c r="FG4" s="18"/>
      <c r="FH4" s="18"/>
      <c r="FI4" s="31"/>
      <c r="FJ4" s="30"/>
      <c r="FK4" s="18"/>
      <c r="FL4" s="45" t="s">
        <v>47</v>
      </c>
      <c r="FM4" s="46">
        <v>21</v>
      </c>
      <c r="FN4" s="18"/>
      <c r="FO4" s="18"/>
      <c r="FP4" s="18"/>
      <c r="FQ4" s="18"/>
      <c r="FR4" s="18"/>
      <c r="FS4" s="18"/>
      <c r="FT4" s="31"/>
      <c r="FU4" s="30"/>
      <c r="FV4" s="18"/>
      <c r="FW4" s="45" t="s">
        <v>47</v>
      </c>
      <c r="FX4" s="46">
        <v>24</v>
      </c>
      <c r="FY4" s="18"/>
      <c r="FZ4" s="18"/>
      <c r="GA4" s="18"/>
      <c r="GB4" s="18"/>
      <c r="GC4" s="18"/>
      <c r="GD4" s="18"/>
      <c r="GE4" s="31"/>
      <c r="GF4" s="30"/>
      <c r="GG4" s="18"/>
      <c r="GH4" s="45" t="s">
        <v>47</v>
      </c>
      <c r="GI4" s="46">
        <v>24</v>
      </c>
      <c r="GJ4" s="18" t="s">
        <v>262</v>
      </c>
      <c r="GK4" s="18"/>
      <c r="GL4" s="18"/>
      <c r="GM4" s="18"/>
      <c r="GN4" s="18"/>
      <c r="GO4" s="18"/>
      <c r="GP4" s="31"/>
      <c r="GQ4" s="30"/>
      <c r="GR4" s="18"/>
      <c r="GS4" s="45" t="s">
        <v>47</v>
      </c>
      <c r="GT4" s="46">
        <v>25</v>
      </c>
      <c r="GU4" s="18" t="s">
        <v>254</v>
      </c>
      <c r="GV4" s="18"/>
      <c r="GW4" s="18"/>
      <c r="GX4" s="18"/>
      <c r="GY4" s="18"/>
      <c r="GZ4" s="18"/>
      <c r="HA4" s="31"/>
      <c r="HB4" s="30"/>
      <c r="HC4" s="18"/>
      <c r="HD4" s="45" t="s">
        <v>47</v>
      </c>
      <c r="HE4" s="46">
        <v>25</v>
      </c>
      <c r="HF4" s="18"/>
      <c r="HG4" s="18"/>
      <c r="HH4" s="18"/>
      <c r="HI4" s="18"/>
      <c r="HJ4" s="18"/>
      <c r="HK4" s="18"/>
      <c r="HL4" s="31"/>
      <c r="HM4" s="30"/>
      <c r="HN4" s="18"/>
      <c r="HO4" s="45" t="s">
        <v>47</v>
      </c>
      <c r="HP4" s="46">
        <v>25</v>
      </c>
      <c r="HQ4" s="18"/>
      <c r="HR4" s="18"/>
      <c r="HS4" s="18"/>
      <c r="HT4" s="18"/>
      <c r="HU4" s="18"/>
      <c r="HV4" s="18"/>
      <c r="HW4" s="31"/>
      <c r="HX4" s="30"/>
      <c r="HY4" s="18"/>
      <c r="HZ4" s="45" t="s">
        <v>47</v>
      </c>
      <c r="IA4" s="46">
        <v>36</v>
      </c>
      <c r="IB4" s="18"/>
      <c r="IC4" s="18"/>
      <c r="ID4" s="18"/>
      <c r="IE4" s="18"/>
      <c r="IF4" s="18"/>
      <c r="IG4" s="18"/>
      <c r="IH4" s="31"/>
      <c r="II4" s="30"/>
      <c r="IJ4" s="18"/>
      <c r="IK4" s="45" t="s">
        <v>47</v>
      </c>
      <c r="IL4" s="46">
        <v>32.6</v>
      </c>
      <c r="IM4" s="18"/>
      <c r="IN4" s="326" t="s">
        <v>209</v>
      </c>
      <c r="IO4" s="326"/>
      <c r="IP4" s="125"/>
      <c r="IQ4" s="125"/>
      <c r="IR4" s="125"/>
      <c r="IS4" s="31"/>
      <c r="IT4" s="30"/>
      <c r="IU4" s="18"/>
      <c r="IV4" s="45" t="s">
        <v>47</v>
      </c>
      <c r="IW4" s="46">
        <v>32.6</v>
      </c>
      <c r="IX4" s="18"/>
      <c r="IY4" s="326" t="s">
        <v>209</v>
      </c>
      <c r="IZ4" s="326"/>
      <c r="JA4" s="18"/>
      <c r="JB4" s="18"/>
      <c r="JC4" s="18"/>
      <c r="JD4" s="31"/>
      <c r="JE4" s="30"/>
      <c r="JF4" s="18"/>
      <c r="JG4" s="45" t="s">
        <v>47</v>
      </c>
      <c r="JH4" s="46">
        <v>32</v>
      </c>
      <c r="JI4" s="18"/>
      <c r="JJ4" s="326" t="s">
        <v>209</v>
      </c>
      <c r="JK4" s="326"/>
      <c r="JL4" s="18"/>
      <c r="JM4" s="18"/>
      <c r="JN4" s="18"/>
      <c r="JO4" s="31"/>
      <c r="JP4" s="30"/>
      <c r="JQ4" s="18"/>
      <c r="JR4" s="45" t="s">
        <v>47</v>
      </c>
      <c r="JS4" s="46">
        <v>28</v>
      </c>
      <c r="JT4" s="18"/>
      <c r="JU4" s="326" t="s">
        <v>294</v>
      </c>
      <c r="JV4" s="326"/>
      <c r="JW4" s="328" t="s">
        <v>295</v>
      </c>
      <c r="JX4" s="328"/>
      <c r="JY4" s="328"/>
      <c r="JZ4" s="31"/>
      <c r="KA4" s="30"/>
      <c r="KB4" s="18"/>
      <c r="KC4" s="45" t="s">
        <v>47</v>
      </c>
      <c r="KD4" s="46">
        <v>28</v>
      </c>
      <c r="KE4" s="18"/>
      <c r="KF4" s="326" t="s">
        <v>294</v>
      </c>
      <c r="KG4" s="326"/>
      <c r="KH4" s="328" t="s">
        <v>295</v>
      </c>
      <c r="KI4" s="328"/>
      <c r="KJ4" s="328"/>
      <c r="KK4" s="31"/>
      <c r="KL4" s="30"/>
      <c r="KM4" s="18"/>
      <c r="KN4" s="45" t="s">
        <v>47</v>
      </c>
      <c r="KO4" s="46">
        <v>28</v>
      </c>
      <c r="KP4" s="18"/>
      <c r="KQ4" s="326" t="s">
        <v>138</v>
      </c>
      <c r="KR4" s="326"/>
      <c r="KS4" s="18"/>
      <c r="KT4" s="18"/>
      <c r="KU4" s="18"/>
      <c r="KV4" s="31"/>
      <c r="KW4" s="30"/>
      <c r="KX4" s="18"/>
      <c r="KY4" s="45" t="s">
        <v>47</v>
      </c>
      <c r="KZ4" s="46">
        <v>45</v>
      </c>
      <c r="LA4" s="18"/>
      <c r="LB4" s="18"/>
      <c r="LC4" s="18"/>
      <c r="LD4" s="18"/>
      <c r="LE4" s="18"/>
      <c r="LF4" s="18"/>
      <c r="LG4" s="31"/>
      <c r="LH4" s="30"/>
      <c r="LI4" s="18"/>
      <c r="LJ4" s="45" t="s">
        <v>47</v>
      </c>
      <c r="LK4" s="46">
        <v>36</v>
      </c>
      <c r="LL4" s="18"/>
      <c r="LM4" s="18"/>
      <c r="LN4" s="18"/>
      <c r="LO4" s="18"/>
      <c r="LP4" s="18"/>
      <c r="LQ4" s="18"/>
      <c r="LR4" s="31"/>
      <c r="LS4" s="30"/>
      <c r="LT4" s="18"/>
      <c r="LU4" s="45" t="s">
        <v>47</v>
      </c>
      <c r="LV4" s="46">
        <v>10</v>
      </c>
      <c r="LW4" s="18"/>
      <c r="LX4" s="18"/>
      <c r="LY4" s="18"/>
      <c r="LZ4" s="18"/>
      <c r="MA4" s="18"/>
      <c r="MB4" s="18"/>
      <c r="MC4" s="31"/>
      <c r="ME4" s="30"/>
      <c r="MF4" s="18"/>
      <c r="MG4" s="45" t="s">
        <v>47</v>
      </c>
      <c r="MH4" s="46">
        <v>12</v>
      </c>
      <c r="MI4" s="18"/>
      <c r="MJ4" s="18"/>
      <c r="MK4" s="18"/>
      <c r="ML4" s="18"/>
      <c r="MM4" s="18"/>
      <c r="MN4" s="18"/>
      <c r="MO4" s="31"/>
      <c r="MQ4" s="30"/>
      <c r="MR4" s="18"/>
      <c r="MS4" s="45" t="s">
        <v>47</v>
      </c>
      <c r="MT4" s="46">
        <v>7</v>
      </c>
      <c r="MU4" s="18"/>
      <c r="MV4" s="18"/>
      <c r="MW4" s="18"/>
      <c r="MX4" s="18" t="s">
        <v>347</v>
      </c>
      <c r="MY4" s="18"/>
      <c r="MZ4" s="18"/>
      <c r="NA4" s="31"/>
      <c r="ND4" s="30"/>
      <c r="NE4" s="18"/>
      <c r="NF4" s="45" t="s">
        <v>47</v>
      </c>
      <c r="NG4" s="46">
        <v>18</v>
      </c>
      <c r="NH4" s="18"/>
      <c r="NI4" s="18"/>
      <c r="NJ4" s="18"/>
      <c r="NK4" s="18" t="s">
        <v>338</v>
      </c>
      <c r="NL4" s="18"/>
      <c r="NM4" s="18"/>
      <c r="NN4" s="31"/>
      <c r="NP4" s="30"/>
      <c r="NQ4" s="18"/>
      <c r="NR4" s="45" t="s">
        <v>47</v>
      </c>
      <c r="NS4" s="46">
        <v>7</v>
      </c>
      <c r="NT4" s="18"/>
      <c r="NU4" s="18"/>
      <c r="NV4" s="18"/>
      <c r="NW4" s="277" t="s">
        <v>345</v>
      </c>
      <c r="NX4" s="18"/>
      <c r="NY4" s="18"/>
      <c r="NZ4" s="31"/>
      <c r="OC4" s="30"/>
      <c r="OD4" s="18"/>
      <c r="OE4" s="45" t="s">
        <v>47</v>
      </c>
      <c r="OF4" s="46">
        <v>7</v>
      </c>
      <c r="OG4" s="18"/>
      <c r="OH4" s="18"/>
      <c r="OI4" s="18"/>
      <c r="OJ4" s="277" t="s">
        <v>345</v>
      </c>
      <c r="OK4" s="18"/>
      <c r="OL4" s="18"/>
      <c r="OM4" s="31"/>
      <c r="OP4" s="30"/>
      <c r="OQ4" s="18"/>
      <c r="OR4" s="45" t="s">
        <v>47</v>
      </c>
      <c r="OS4" s="46">
        <v>7</v>
      </c>
      <c r="OT4" s="18"/>
      <c r="OU4" s="18"/>
      <c r="OV4" s="18"/>
      <c r="OW4" s="277" t="s">
        <v>345</v>
      </c>
      <c r="OX4" s="18"/>
      <c r="OY4" s="18"/>
      <c r="OZ4" s="31"/>
      <c r="PD4" s="30"/>
      <c r="PE4" s="18"/>
      <c r="PF4" s="45" t="s">
        <v>47</v>
      </c>
      <c r="PG4" s="46">
        <v>7</v>
      </c>
      <c r="PH4" s="18"/>
      <c r="PI4" s="18"/>
      <c r="PJ4" s="18"/>
      <c r="PK4" s="277" t="s">
        <v>345</v>
      </c>
      <c r="PL4" s="18"/>
      <c r="PM4" s="18"/>
      <c r="PN4" s="31"/>
      <c r="PQ4" s="30"/>
      <c r="PR4" s="18"/>
      <c r="PS4" s="45" t="s">
        <v>47</v>
      </c>
      <c r="PT4" s="46">
        <v>7</v>
      </c>
      <c r="PU4" s="18"/>
      <c r="PV4" s="18"/>
      <c r="PW4" s="18"/>
      <c r="PX4" s="277" t="s">
        <v>345</v>
      </c>
      <c r="PY4" s="18"/>
      <c r="PZ4" s="18"/>
      <c r="QA4" s="31"/>
      <c r="QD4" s="30"/>
      <c r="QE4" s="18"/>
      <c r="QF4" s="45" t="s">
        <v>47</v>
      </c>
      <c r="QG4" s="46">
        <v>10</v>
      </c>
      <c r="QH4" s="18"/>
      <c r="QI4" s="18"/>
      <c r="QJ4" s="18"/>
      <c r="QK4" s="277" t="s">
        <v>345</v>
      </c>
      <c r="QL4" s="18"/>
      <c r="QM4" s="18"/>
      <c r="QN4" s="31"/>
      <c r="QQ4" s="30"/>
      <c r="QR4" s="18"/>
      <c r="QS4" s="45" t="s">
        <v>47</v>
      </c>
      <c r="QT4" s="46">
        <v>7</v>
      </c>
      <c r="QU4" s="18"/>
      <c r="QV4" s="18"/>
      <c r="QW4" s="18"/>
      <c r="QX4" s="277" t="s">
        <v>345</v>
      </c>
      <c r="QY4" s="18"/>
      <c r="QZ4" s="18"/>
      <c r="RA4" s="31"/>
    </row>
    <row r="5" spans="1:469" ht="15" customHeight="1" thickBot="1" x14ac:dyDescent="0.3">
      <c r="A5" s="30"/>
      <c r="B5" s="18"/>
      <c r="C5" s="44" t="s">
        <v>46</v>
      </c>
      <c r="D5" s="223">
        <v>2.5</v>
      </c>
      <c r="G5" s="18"/>
      <c r="H5" s="18"/>
      <c r="I5" s="18"/>
      <c r="J5" s="18"/>
      <c r="K5" s="31"/>
      <c r="L5" s="30"/>
      <c r="M5" s="18"/>
      <c r="N5" s="44" t="s">
        <v>46</v>
      </c>
      <c r="O5" s="251">
        <v>3.2</v>
      </c>
      <c r="R5" s="18"/>
      <c r="S5" s="18"/>
      <c r="T5" s="18"/>
      <c r="U5" s="18"/>
      <c r="V5" s="31"/>
      <c r="W5" s="30"/>
      <c r="X5" s="18"/>
      <c r="Y5" s="44" t="s">
        <v>46</v>
      </c>
      <c r="Z5" s="223">
        <v>5.2</v>
      </c>
      <c r="AC5" s="18"/>
      <c r="AD5" s="18"/>
      <c r="AE5" s="18"/>
      <c r="AF5" s="18"/>
      <c r="AG5" s="31"/>
      <c r="AH5" s="30"/>
      <c r="AI5" s="18"/>
      <c r="AJ5" s="44" t="s">
        <v>46</v>
      </c>
      <c r="AK5" s="223">
        <v>3.6</v>
      </c>
      <c r="AN5" s="18"/>
      <c r="AO5" s="18"/>
      <c r="AP5" s="18"/>
      <c r="AQ5" s="18"/>
      <c r="AR5" s="31"/>
      <c r="AS5" s="30"/>
      <c r="AT5" s="18"/>
      <c r="AU5" s="44" t="s">
        <v>46</v>
      </c>
      <c r="AV5" s="223">
        <v>3.6</v>
      </c>
      <c r="AW5" s="18"/>
      <c r="AX5" s="18"/>
      <c r="AY5" s="18"/>
      <c r="AZ5" s="18"/>
      <c r="BA5" s="18"/>
      <c r="BB5" s="18"/>
      <c r="BC5" s="31"/>
      <c r="BD5" s="30"/>
      <c r="BE5" s="18"/>
      <c r="BF5" s="44" t="s">
        <v>46</v>
      </c>
      <c r="BG5" s="223">
        <v>4.5</v>
      </c>
      <c r="BH5" s="18"/>
      <c r="BI5" s="18"/>
      <c r="BJ5" s="18"/>
      <c r="BK5" s="18"/>
      <c r="BL5" s="18"/>
      <c r="BM5" s="18"/>
      <c r="BN5" s="31"/>
      <c r="BO5" s="30"/>
      <c r="BP5" s="18"/>
      <c r="BQ5" s="44" t="s">
        <v>46</v>
      </c>
      <c r="BR5" s="223">
        <v>4.7</v>
      </c>
      <c r="BS5" s="18" t="s">
        <v>296</v>
      </c>
      <c r="BT5" s="18"/>
      <c r="BU5" s="18"/>
      <c r="BV5" s="18"/>
      <c r="BW5" s="18"/>
      <c r="BX5" s="18"/>
      <c r="BY5" s="31"/>
      <c r="BZ5" s="30"/>
      <c r="CA5" s="18"/>
      <c r="CB5" s="44" t="s">
        <v>46</v>
      </c>
      <c r="CC5" s="223">
        <v>3.6</v>
      </c>
      <c r="CD5" s="18"/>
      <c r="CE5" s="18"/>
      <c r="CF5" s="18"/>
      <c r="CG5" s="18"/>
      <c r="CH5" s="18"/>
      <c r="CI5" s="18"/>
      <c r="CJ5" s="31"/>
      <c r="CK5" s="30"/>
      <c r="CL5" s="18"/>
      <c r="CM5" s="44" t="s">
        <v>46</v>
      </c>
      <c r="CN5" s="223">
        <v>9</v>
      </c>
      <c r="CO5" s="18"/>
      <c r="CP5" s="18"/>
      <c r="CQ5" s="18"/>
      <c r="CR5" s="18"/>
      <c r="CS5" s="18"/>
      <c r="CT5" s="18"/>
      <c r="CU5" s="31"/>
      <c r="CV5" s="30"/>
      <c r="CW5" s="18"/>
      <c r="CX5" s="44" t="s">
        <v>46</v>
      </c>
      <c r="CY5" s="223">
        <v>4.7</v>
      </c>
      <c r="CZ5" s="18"/>
      <c r="DA5" s="18"/>
      <c r="DB5" s="18"/>
      <c r="DC5" s="18"/>
      <c r="DD5" s="18"/>
      <c r="DE5" s="18"/>
      <c r="DF5" s="31"/>
      <c r="DG5" s="30"/>
      <c r="DH5" s="18"/>
      <c r="DI5" s="44" t="s">
        <v>46</v>
      </c>
      <c r="DJ5" s="223">
        <v>3.6</v>
      </c>
      <c r="DK5" s="18"/>
      <c r="DL5" s="18"/>
      <c r="DM5" s="18"/>
      <c r="DN5" s="18"/>
      <c r="DO5" s="18"/>
      <c r="DP5" s="18"/>
      <c r="DQ5" s="31"/>
      <c r="DR5" s="30"/>
      <c r="DS5" s="18"/>
      <c r="DT5" s="44" t="s">
        <v>46</v>
      </c>
      <c r="DU5" s="223">
        <v>4</v>
      </c>
      <c r="DV5" s="18" t="s">
        <v>332</v>
      </c>
      <c r="DW5" s="18"/>
      <c r="DX5" s="18"/>
      <c r="DY5" s="18" t="s">
        <v>335</v>
      </c>
      <c r="DZ5" s="18"/>
      <c r="EA5" s="18"/>
      <c r="EB5" s="31"/>
      <c r="EC5" s="30"/>
      <c r="ED5" s="18"/>
      <c r="EE5" s="44" t="s">
        <v>46</v>
      </c>
      <c r="EF5" s="223">
        <v>4.3</v>
      </c>
      <c r="EG5" s="18"/>
      <c r="EH5" s="18"/>
      <c r="EI5" s="18"/>
      <c r="EJ5" s="18"/>
      <c r="EK5" s="18"/>
      <c r="EL5" s="18"/>
      <c r="EM5" s="31"/>
      <c r="EN5" s="30"/>
      <c r="EO5" s="18"/>
      <c r="EP5" s="44" t="s">
        <v>46</v>
      </c>
      <c r="EQ5" s="223">
        <v>4.3</v>
      </c>
      <c r="ER5" s="18"/>
      <c r="ES5" s="18"/>
      <c r="ET5" s="18"/>
      <c r="EU5" s="18"/>
      <c r="EV5" s="18"/>
      <c r="EW5" s="18"/>
      <c r="EX5" s="31"/>
      <c r="EY5" s="30"/>
      <c r="EZ5" s="18"/>
      <c r="FA5" s="44" t="s">
        <v>46</v>
      </c>
      <c r="FB5" s="223">
        <v>3.6</v>
      </c>
      <c r="FC5" s="18"/>
      <c r="FD5" s="18"/>
      <c r="FE5" s="18"/>
      <c r="FF5" s="18"/>
      <c r="FG5" s="18"/>
      <c r="FH5" s="18"/>
      <c r="FI5" s="31"/>
      <c r="FJ5" s="30"/>
      <c r="FK5" s="18"/>
      <c r="FL5" s="44" t="s">
        <v>46</v>
      </c>
      <c r="FM5" s="223">
        <v>6.3</v>
      </c>
      <c r="FN5" s="18"/>
      <c r="FO5" s="18"/>
      <c r="FP5" s="18"/>
      <c r="FQ5" s="18"/>
      <c r="FR5" s="18"/>
      <c r="FS5" s="18"/>
      <c r="FT5" s="31"/>
      <c r="FU5" s="30"/>
      <c r="FV5" s="18"/>
      <c r="FW5" s="44" t="s">
        <v>46</v>
      </c>
      <c r="FX5" s="223">
        <v>3.6</v>
      </c>
      <c r="FY5" s="18"/>
      <c r="FZ5" s="18"/>
      <c r="GA5" s="18"/>
      <c r="GB5" s="18"/>
      <c r="GC5" s="18"/>
      <c r="GD5" s="18"/>
      <c r="GE5" s="31"/>
      <c r="GF5" s="30"/>
      <c r="GG5" s="18"/>
      <c r="GH5" s="44" t="s">
        <v>46</v>
      </c>
      <c r="GI5" s="223">
        <v>8.9</v>
      </c>
      <c r="GJ5" s="18"/>
      <c r="GK5" s="18"/>
      <c r="GL5" s="18"/>
      <c r="GM5" s="18"/>
      <c r="GN5" s="18"/>
      <c r="GO5" s="18"/>
      <c r="GP5" s="31"/>
      <c r="GQ5" s="30"/>
      <c r="GR5" s="18"/>
      <c r="GS5" s="44" t="s">
        <v>46</v>
      </c>
      <c r="GT5" s="223">
        <v>6.8</v>
      </c>
      <c r="GU5" s="18"/>
      <c r="GV5" s="18"/>
      <c r="GW5" s="18"/>
      <c r="GX5" s="18"/>
      <c r="GY5" s="18"/>
      <c r="GZ5" s="18"/>
      <c r="HA5" s="31"/>
      <c r="HB5" s="30"/>
      <c r="HC5" s="18"/>
      <c r="HD5" s="44" t="s">
        <v>46</v>
      </c>
      <c r="HE5" s="223">
        <v>2.5</v>
      </c>
      <c r="HF5" s="18"/>
      <c r="HG5" s="18"/>
      <c r="HH5" s="18"/>
      <c r="HI5" s="18"/>
      <c r="HJ5" s="18"/>
      <c r="HK5" s="18"/>
      <c r="HL5" s="31"/>
      <c r="HM5" s="30"/>
      <c r="HN5" s="18"/>
      <c r="HO5" s="44" t="s">
        <v>46</v>
      </c>
      <c r="HP5" s="223">
        <v>2.5</v>
      </c>
      <c r="HQ5" s="18"/>
      <c r="HR5" s="18"/>
      <c r="HS5" s="18"/>
      <c r="HT5" s="18"/>
      <c r="HU5" s="18"/>
      <c r="HV5" s="18"/>
      <c r="HW5" s="31"/>
      <c r="HX5" s="30"/>
      <c r="HY5" s="18"/>
      <c r="HZ5" s="44" t="s">
        <v>46</v>
      </c>
      <c r="IA5" s="223">
        <v>3.6</v>
      </c>
      <c r="IB5" s="18"/>
      <c r="IC5" s="18"/>
      <c r="ID5" s="18"/>
      <c r="IE5" s="18"/>
      <c r="IF5" s="18"/>
      <c r="IG5" s="18"/>
      <c r="IH5" s="31"/>
      <c r="II5" s="30"/>
      <c r="IJ5" s="18"/>
      <c r="IK5" s="44" t="s">
        <v>46</v>
      </c>
      <c r="IL5" s="223">
        <v>4</v>
      </c>
      <c r="IM5" s="18"/>
      <c r="IN5" s="326"/>
      <c r="IO5" s="326"/>
      <c r="IP5" s="18"/>
      <c r="IQ5" s="18"/>
      <c r="IR5" s="18"/>
      <c r="IS5" s="31"/>
      <c r="IT5" s="30"/>
      <c r="IU5" s="18"/>
      <c r="IV5" s="44" t="s">
        <v>46</v>
      </c>
      <c r="IW5" s="223">
        <v>4</v>
      </c>
      <c r="IX5" s="18"/>
      <c r="IY5" s="326"/>
      <c r="IZ5" s="326"/>
      <c r="JA5" s="18"/>
      <c r="JB5" s="18"/>
      <c r="JC5" s="18"/>
      <c r="JD5" s="31"/>
      <c r="JE5" s="30"/>
      <c r="JF5" s="18"/>
      <c r="JG5" s="44" t="s">
        <v>46</v>
      </c>
      <c r="JH5" s="223">
        <v>4.2</v>
      </c>
      <c r="JI5" s="18"/>
      <c r="JJ5" s="326"/>
      <c r="JK5" s="326"/>
      <c r="JL5" s="18"/>
      <c r="JM5" s="18"/>
      <c r="JN5" s="18"/>
      <c r="JO5" s="31"/>
      <c r="JP5" s="30"/>
      <c r="JQ5" s="18"/>
      <c r="JR5" s="44" t="s">
        <v>46</v>
      </c>
      <c r="JS5" s="223">
        <v>4</v>
      </c>
      <c r="JT5" s="18"/>
      <c r="JU5" s="326"/>
      <c r="JV5" s="326"/>
      <c r="JW5" s="18" t="s">
        <v>305</v>
      </c>
      <c r="JX5" s="18"/>
      <c r="JY5" s="18"/>
      <c r="JZ5" s="31"/>
      <c r="KA5" s="30"/>
      <c r="KB5" s="18"/>
      <c r="KC5" s="44" t="s">
        <v>46</v>
      </c>
      <c r="KD5" s="223">
        <v>4</v>
      </c>
      <c r="KE5" s="18"/>
      <c r="KF5" s="326"/>
      <c r="KG5" s="326"/>
      <c r="KH5" s="18" t="s">
        <v>296</v>
      </c>
      <c r="KI5" s="18"/>
      <c r="KJ5" s="18"/>
      <c r="KK5" s="31"/>
      <c r="KL5" s="30"/>
      <c r="KM5" s="18"/>
      <c r="KN5" s="44" t="s">
        <v>46</v>
      </c>
      <c r="KO5" s="223">
        <v>4</v>
      </c>
      <c r="KP5" s="18"/>
      <c r="KQ5" s="326"/>
      <c r="KR5" s="326"/>
      <c r="KS5" s="18" t="s">
        <v>248</v>
      </c>
      <c r="KT5" s="18"/>
      <c r="KU5" s="18"/>
      <c r="KV5" s="31"/>
      <c r="KW5" s="30"/>
      <c r="KX5" s="18"/>
      <c r="KY5" s="44" t="s">
        <v>46</v>
      </c>
      <c r="KZ5" s="223">
        <v>8.1999999999999993</v>
      </c>
      <c r="LA5" s="18"/>
      <c r="LB5" s="18"/>
      <c r="LC5" s="18"/>
      <c r="LD5" s="18"/>
      <c r="LE5" s="18"/>
      <c r="LF5" s="18"/>
      <c r="LG5" s="31"/>
      <c r="LH5" s="30"/>
      <c r="LI5" s="18"/>
      <c r="LJ5" s="44" t="s">
        <v>46</v>
      </c>
      <c r="LK5" s="223">
        <v>7.5</v>
      </c>
      <c r="LL5" s="18"/>
      <c r="LM5" s="18"/>
      <c r="LN5" s="18"/>
      <c r="LO5" s="18"/>
      <c r="LP5" s="18"/>
      <c r="LQ5" s="18"/>
      <c r="LR5" s="31"/>
      <c r="LS5" s="30"/>
      <c r="LT5" s="18"/>
      <c r="LU5" s="44" t="s">
        <v>46</v>
      </c>
      <c r="LV5" s="223">
        <v>4</v>
      </c>
      <c r="LW5" s="18" t="s">
        <v>332</v>
      </c>
      <c r="LX5" s="18"/>
      <c r="LY5" s="18"/>
      <c r="LZ5" s="18" t="s">
        <v>335</v>
      </c>
      <c r="MA5" s="18"/>
      <c r="MB5" s="18"/>
      <c r="MC5" s="31"/>
      <c r="ME5" s="30"/>
      <c r="MF5" s="18"/>
      <c r="MG5" s="44" t="s">
        <v>46</v>
      </c>
      <c r="MH5" s="223">
        <v>5</v>
      </c>
      <c r="MI5" s="18" t="s">
        <v>332</v>
      </c>
      <c r="MJ5" s="18"/>
      <c r="MK5" s="18"/>
      <c r="ML5" s="18" t="s">
        <v>336</v>
      </c>
      <c r="MM5" s="18"/>
      <c r="MN5" s="18"/>
      <c r="MO5" s="31"/>
      <c r="MQ5" s="30"/>
      <c r="MR5" s="18"/>
      <c r="MS5" s="44" t="s">
        <v>46</v>
      </c>
      <c r="MT5" s="251">
        <v>5.5</v>
      </c>
      <c r="MU5" s="18"/>
      <c r="MV5" s="18"/>
      <c r="MW5" s="18"/>
      <c r="MX5" s="18" t="s">
        <v>336</v>
      </c>
      <c r="MY5" s="18"/>
      <c r="MZ5" s="18"/>
      <c r="NA5" s="31"/>
      <c r="ND5" s="30"/>
      <c r="NE5" s="18"/>
      <c r="NF5" s="44" t="s">
        <v>46</v>
      </c>
      <c r="NG5" s="251">
        <v>7.5</v>
      </c>
      <c r="NH5" s="18"/>
      <c r="NI5" s="18"/>
      <c r="NJ5" s="18"/>
      <c r="NK5" s="18"/>
      <c r="NL5" s="18"/>
      <c r="NM5" s="18"/>
      <c r="NN5" s="31"/>
      <c r="NP5" s="30"/>
      <c r="NQ5" s="18"/>
      <c r="NR5" s="44" t="s">
        <v>46</v>
      </c>
      <c r="NS5" s="251">
        <v>5.5</v>
      </c>
      <c r="NT5" s="18"/>
      <c r="NU5" s="18"/>
      <c r="NV5" s="18"/>
      <c r="NW5" s="286"/>
      <c r="NX5" s="18"/>
      <c r="NY5" s="18"/>
      <c r="NZ5" s="31"/>
      <c r="OC5" s="30"/>
      <c r="OD5" s="18"/>
      <c r="OE5" s="44" t="s">
        <v>46</v>
      </c>
      <c r="OF5" s="251">
        <v>5.5</v>
      </c>
      <c r="OG5" s="18"/>
      <c r="OH5" s="18"/>
      <c r="OI5" s="18"/>
      <c r="OJ5" s="286" t="s">
        <v>349</v>
      </c>
      <c r="OK5" s="18"/>
      <c r="OL5" s="18"/>
      <c r="OM5" s="31"/>
      <c r="OP5" s="30"/>
      <c r="OQ5" s="18"/>
      <c r="OR5" s="44" t="s">
        <v>46</v>
      </c>
      <c r="OS5" s="251">
        <v>5.5</v>
      </c>
      <c r="OT5" s="18"/>
      <c r="OU5" s="18"/>
      <c r="OV5" s="18"/>
      <c r="OW5" s="286" t="s">
        <v>350</v>
      </c>
      <c r="OX5" s="18"/>
      <c r="OY5" s="18"/>
      <c r="OZ5" s="31"/>
      <c r="PD5" s="30"/>
      <c r="PE5" s="18"/>
      <c r="PF5" s="44" t="s">
        <v>46</v>
      </c>
      <c r="PG5" s="251">
        <v>5.5</v>
      </c>
      <c r="PH5" s="18"/>
      <c r="PI5" s="18"/>
      <c r="PJ5" s="18"/>
      <c r="PK5" s="286" t="s">
        <v>351</v>
      </c>
      <c r="PL5" s="18"/>
      <c r="PM5" s="18"/>
      <c r="PN5" s="31"/>
      <c r="PQ5" s="30"/>
      <c r="PR5" s="18"/>
      <c r="PS5" s="44" t="s">
        <v>46</v>
      </c>
      <c r="PT5" s="251">
        <v>5.5</v>
      </c>
      <c r="PU5" s="18"/>
      <c r="PV5" s="18"/>
      <c r="PW5" s="18"/>
      <c r="PX5" s="286" t="s">
        <v>352</v>
      </c>
      <c r="PY5" s="18"/>
      <c r="PZ5" s="18"/>
      <c r="QA5" s="31"/>
      <c r="QD5" s="30"/>
      <c r="QE5" s="18"/>
      <c r="QF5" s="44" t="s">
        <v>46</v>
      </c>
      <c r="QG5" s="251">
        <v>5</v>
      </c>
      <c r="QH5" s="18"/>
      <c r="QI5" s="18"/>
      <c r="QJ5" s="18"/>
      <c r="QK5" s="286" t="s">
        <v>356</v>
      </c>
      <c r="QL5" s="18"/>
      <c r="QM5" s="18"/>
      <c r="QN5" s="31"/>
      <c r="QQ5" s="30"/>
      <c r="QR5" s="18"/>
      <c r="QS5" s="44" t="s">
        <v>46</v>
      </c>
      <c r="QT5" s="251">
        <v>5.5</v>
      </c>
      <c r="QU5" s="18"/>
      <c r="QV5" s="18"/>
      <c r="QW5" s="18"/>
      <c r="QX5" s="286" t="s">
        <v>357</v>
      </c>
      <c r="QY5" s="18"/>
      <c r="QZ5" s="18"/>
      <c r="RA5" s="31"/>
    </row>
    <row r="6" spans="1:469" x14ac:dyDescent="0.25">
      <c r="A6" s="30"/>
      <c r="B6" s="18"/>
      <c r="C6" s="36" t="s">
        <v>51</v>
      </c>
      <c r="D6" s="38">
        <v>1</v>
      </c>
      <c r="E6" s="18"/>
      <c r="F6" s="18"/>
      <c r="G6" s="18"/>
      <c r="H6" s="18"/>
      <c r="I6" s="18"/>
      <c r="J6" s="18"/>
      <c r="K6" s="31"/>
      <c r="L6" s="30"/>
      <c r="M6" s="18"/>
      <c r="N6" s="36" t="s">
        <v>51</v>
      </c>
      <c r="O6" s="38">
        <v>1</v>
      </c>
      <c r="P6" s="18"/>
      <c r="Q6" s="18"/>
      <c r="R6" s="18"/>
      <c r="S6" s="18"/>
      <c r="T6" s="18"/>
      <c r="U6" s="18"/>
      <c r="V6" s="31"/>
      <c r="W6" s="30"/>
      <c r="X6" s="18"/>
      <c r="Y6" s="36" t="s">
        <v>51</v>
      </c>
      <c r="Z6" s="38">
        <v>6</v>
      </c>
      <c r="AA6" s="18"/>
      <c r="AB6" s="18"/>
      <c r="AC6" s="18"/>
      <c r="AD6" s="18"/>
      <c r="AE6" s="18"/>
      <c r="AF6" s="18"/>
      <c r="AG6" s="31"/>
      <c r="AH6" s="30"/>
      <c r="AI6" s="18"/>
      <c r="AJ6" s="36" t="s">
        <v>51</v>
      </c>
      <c r="AK6" s="38">
        <v>7</v>
      </c>
      <c r="AL6" s="18"/>
      <c r="AM6" s="18"/>
      <c r="AN6" s="18"/>
      <c r="AO6" s="18"/>
      <c r="AP6" s="18"/>
      <c r="AQ6" s="18"/>
      <c r="AR6" s="31"/>
      <c r="AS6" s="30"/>
      <c r="AT6" s="18"/>
      <c r="AU6" s="36" t="s">
        <v>51</v>
      </c>
      <c r="AV6" s="38">
        <v>7</v>
      </c>
      <c r="AW6" s="18"/>
      <c r="AX6" s="18"/>
      <c r="AY6" s="18"/>
      <c r="AZ6" s="18"/>
      <c r="BA6" s="18"/>
      <c r="BB6" s="18"/>
      <c r="BC6" s="31"/>
      <c r="BD6" s="30"/>
      <c r="BE6" s="18"/>
      <c r="BF6" s="36" t="s">
        <v>51</v>
      </c>
      <c r="BG6" s="38">
        <v>8</v>
      </c>
      <c r="BH6" s="18"/>
      <c r="BI6" s="18"/>
      <c r="BJ6" s="18"/>
      <c r="BK6" s="18"/>
      <c r="BL6" s="18"/>
      <c r="BM6" s="18"/>
      <c r="BN6" s="31"/>
      <c r="BO6" s="30"/>
      <c r="BP6" s="18"/>
      <c r="BQ6" s="36" t="s">
        <v>51</v>
      </c>
      <c r="BR6" s="38">
        <v>5</v>
      </c>
      <c r="BS6" s="18"/>
      <c r="BT6" s="18"/>
      <c r="BU6" s="18"/>
      <c r="BV6" s="18"/>
      <c r="BW6" s="18"/>
      <c r="BX6" s="18"/>
      <c r="BY6" s="31"/>
      <c r="BZ6" s="30"/>
      <c r="CA6" s="18"/>
      <c r="CB6" s="36" t="s">
        <v>51</v>
      </c>
      <c r="CC6" s="38">
        <v>7</v>
      </c>
      <c r="CD6" s="18"/>
      <c r="CE6" s="18"/>
      <c r="CF6" s="18"/>
      <c r="CG6" s="18"/>
      <c r="CH6" s="18"/>
      <c r="CI6" s="18"/>
      <c r="CJ6" s="31"/>
      <c r="CK6" s="30"/>
      <c r="CL6" s="18"/>
      <c r="CM6" s="36" t="s">
        <v>51</v>
      </c>
      <c r="CN6" s="38">
        <v>5</v>
      </c>
      <c r="CO6" s="18"/>
      <c r="CP6" s="18"/>
      <c r="CQ6" s="18"/>
      <c r="CR6" s="18"/>
      <c r="CS6" s="18"/>
      <c r="CT6" s="18"/>
      <c r="CU6" s="31"/>
      <c r="CV6" s="30"/>
      <c r="CW6" s="18"/>
      <c r="CX6" s="36" t="s">
        <v>51</v>
      </c>
      <c r="CY6" s="38">
        <v>12</v>
      </c>
      <c r="CZ6" s="18"/>
      <c r="DA6" s="18"/>
      <c r="DB6" s="18"/>
      <c r="DC6" s="18"/>
      <c r="DD6" s="18"/>
      <c r="DE6" s="18"/>
      <c r="DF6" s="31"/>
      <c r="DG6" s="30"/>
      <c r="DH6" s="18"/>
      <c r="DI6" s="36" t="s">
        <v>51</v>
      </c>
      <c r="DJ6" s="38">
        <v>7</v>
      </c>
      <c r="DK6" s="18"/>
      <c r="DL6" s="18"/>
      <c r="DM6" s="18"/>
      <c r="DN6" s="18"/>
      <c r="DO6" s="18"/>
      <c r="DP6" s="18"/>
      <c r="DQ6" s="31"/>
      <c r="DR6" s="30"/>
      <c r="DS6" s="18"/>
      <c r="DT6" s="36" t="s">
        <v>51</v>
      </c>
      <c r="DU6" s="38">
        <v>10</v>
      </c>
      <c r="DV6" s="18"/>
      <c r="DW6" s="18"/>
      <c r="DX6" s="18"/>
      <c r="DY6" s="18"/>
      <c r="DZ6" s="18"/>
      <c r="EA6" s="18"/>
      <c r="EB6" s="31"/>
      <c r="EC6" s="30"/>
      <c r="ED6" s="18"/>
      <c r="EE6" s="36" t="s">
        <v>51</v>
      </c>
      <c r="EF6" s="38">
        <v>10</v>
      </c>
      <c r="EG6" s="18"/>
      <c r="EH6" s="18"/>
      <c r="EI6" s="18"/>
      <c r="EJ6" s="18"/>
      <c r="EK6" s="18"/>
      <c r="EL6" s="18"/>
      <c r="EM6" s="31"/>
      <c r="EN6" s="30"/>
      <c r="EO6" s="18"/>
      <c r="EP6" s="36" t="s">
        <v>51</v>
      </c>
      <c r="EQ6" s="38">
        <v>10</v>
      </c>
      <c r="ER6" s="18"/>
      <c r="ES6" s="18"/>
      <c r="ET6" s="18"/>
      <c r="EU6" s="18"/>
      <c r="EV6" s="18"/>
      <c r="EW6" s="18"/>
      <c r="EX6" s="31"/>
      <c r="EY6" s="30"/>
      <c r="EZ6" s="18"/>
      <c r="FA6" s="36" t="s">
        <v>51</v>
      </c>
      <c r="FB6" s="38">
        <v>7</v>
      </c>
      <c r="FC6" s="18"/>
      <c r="FD6" s="18"/>
      <c r="FE6" s="18"/>
      <c r="FF6" s="18"/>
      <c r="FG6" s="18"/>
      <c r="FH6" s="18"/>
      <c r="FI6" s="31"/>
      <c r="FJ6" s="30"/>
      <c r="FK6" s="18"/>
      <c r="FL6" s="36" t="s">
        <v>51</v>
      </c>
      <c r="FM6" s="38">
        <v>9</v>
      </c>
      <c r="FN6" s="18"/>
      <c r="FO6" s="18"/>
      <c r="FP6" s="18"/>
      <c r="FQ6" s="18"/>
      <c r="FR6" s="18"/>
      <c r="FS6" s="18"/>
      <c r="FT6" s="31"/>
      <c r="FU6" s="30"/>
      <c r="FV6" s="18"/>
      <c r="FW6" s="36" t="s">
        <v>51</v>
      </c>
      <c r="FX6" s="38">
        <v>7</v>
      </c>
      <c r="FY6" s="18"/>
      <c r="FZ6" s="18"/>
      <c r="GA6" s="18"/>
      <c r="GB6" s="18"/>
      <c r="GC6" s="18"/>
      <c r="GD6" s="18"/>
      <c r="GE6" s="31"/>
      <c r="GF6" s="30"/>
      <c r="GG6" s="18"/>
      <c r="GH6" s="36" t="s">
        <v>51</v>
      </c>
      <c r="GI6" s="38">
        <v>15</v>
      </c>
      <c r="GJ6" s="18"/>
      <c r="GK6" s="224" t="s">
        <v>326</v>
      </c>
      <c r="GL6" s="18"/>
      <c r="GM6" s="18"/>
      <c r="GN6" s="18"/>
      <c r="GO6" s="18"/>
      <c r="GP6" s="31"/>
      <c r="GQ6" s="30"/>
      <c r="GR6" s="18"/>
      <c r="GS6" s="36" t="s">
        <v>51</v>
      </c>
      <c r="GT6" s="38">
        <v>8</v>
      </c>
      <c r="GU6" s="18"/>
      <c r="GV6" s="18"/>
      <c r="GW6" s="18"/>
      <c r="GX6" s="18"/>
      <c r="GY6" s="18"/>
      <c r="GZ6" s="18"/>
      <c r="HA6" s="31"/>
      <c r="HB6" s="30"/>
      <c r="HC6" s="18"/>
      <c r="HD6" s="36" t="s">
        <v>51</v>
      </c>
      <c r="HE6" s="38">
        <v>12</v>
      </c>
      <c r="HF6" s="18"/>
      <c r="HG6" s="18"/>
      <c r="HH6" s="18"/>
      <c r="HI6" s="18"/>
      <c r="HJ6" s="18"/>
      <c r="HK6" s="18"/>
      <c r="HL6" s="31"/>
      <c r="HM6" s="30"/>
      <c r="HN6" s="18"/>
      <c r="HO6" s="36" t="s">
        <v>51</v>
      </c>
      <c r="HP6" s="38">
        <v>8</v>
      </c>
      <c r="HQ6" s="18"/>
      <c r="HR6" s="18"/>
      <c r="HS6" s="18"/>
      <c r="HT6" s="18"/>
      <c r="HU6" s="18"/>
      <c r="HV6" s="18"/>
      <c r="HW6" s="31"/>
      <c r="HX6" s="30"/>
      <c r="HY6" s="18"/>
      <c r="HZ6" s="36" t="s">
        <v>51</v>
      </c>
      <c r="IA6" s="38">
        <v>7</v>
      </c>
      <c r="IB6" s="18"/>
      <c r="IC6" s="18"/>
      <c r="ID6" s="18"/>
      <c r="IE6" s="18"/>
      <c r="IF6" s="18"/>
      <c r="IG6" s="18"/>
      <c r="IH6" s="31"/>
      <c r="II6" s="30"/>
      <c r="IJ6" s="18"/>
      <c r="IK6" s="36" t="s">
        <v>51</v>
      </c>
      <c r="IL6" s="38">
        <v>19</v>
      </c>
      <c r="IM6" s="18"/>
      <c r="IN6" s="18"/>
      <c r="IO6" s="18"/>
      <c r="IP6" s="224" t="s">
        <v>325</v>
      </c>
      <c r="IQ6" s="18"/>
      <c r="IR6" s="18"/>
      <c r="IS6" s="31"/>
      <c r="IT6" s="30"/>
      <c r="IU6" s="18"/>
      <c r="IV6" s="36" t="s">
        <v>51</v>
      </c>
      <c r="IW6" s="38">
        <v>19</v>
      </c>
      <c r="IX6" s="18"/>
      <c r="IY6" s="18"/>
      <c r="IZ6" s="18"/>
      <c r="JA6" s="18"/>
      <c r="JB6" s="18"/>
      <c r="JC6" s="18"/>
      <c r="JD6" s="31"/>
      <c r="JE6" s="30"/>
      <c r="JF6" s="18"/>
      <c r="JG6" s="36" t="s">
        <v>51</v>
      </c>
      <c r="JH6" s="38">
        <v>19</v>
      </c>
      <c r="JI6" s="18"/>
      <c r="JJ6" s="18"/>
      <c r="JK6" s="18"/>
      <c r="JL6" s="18"/>
      <c r="JM6" s="18"/>
      <c r="JN6" s="18"/>
      <c r="JO6" s="31"/>
      <c r="JP6" s="30"/>
      <c r="JQ6" s="18"/>
      <c r="JR6" s="36" t="s">
        <v>51</v>
      </c>
      <c r="JS6" s="38">
        <v>19</v>
      </c>
      <c r="JT6" s="18"/>
      <c r="JU6" s="18"/>
      <c r="JV6" s="18"/>
      <c r="JW6" s="224" t="s">
        <v>325</v>
      </c>
      <c r="JX6" s="18"/>
      <c r="JY6" s="18"/>
      <c r="JZ6" s="31"/>
      <c r="KA6" s="30"/>
      <c r="KB6" s="18"/>
      <c r="KC6" s="36" t="s">
        <v>51</v>
      </c>
      <c r="KD6" s="38">
        <v>19</v>
      </c>
      <c r="KE6" s="18"/>
      <c r="KF6" s="18"/>
      <c r="KG6" s="18"/>
      <c r="KH6" s="224" t="s">
        <v>325</v>
      </c>
      <c r="KI6" s="18"/>
      <c r="KJ6" s="18"/>
      <c r="KK6" s="31"/>
      <c r="KL6" s="30"/>
      <c r="KM6" s="18"/>
      <c r="KN6" s="36" t="s">
        <v>51</v>
      </c>
      <c r="KO6" s="38">
        <v>19</v>
      </c>
      <c r="KP6" s="18"/>
      <c r="KQ6" s="18"/>
      <c r="KR6" s="18"/>
      <c r="KS6" s="18"/>
      <c r="KT6" s="18"/>
      <c r="KU6" s="18"/>
      <c r="KV6" s="31"/>
      <c r="KW6" s="30"/>
      <c r="KX6" s="18"/>
      <c r="KY6" s="36" t="s">
        <v>176</v>
      </c>
      <c r="KZ6" s="38">
        <v>24</v>
      </c>
      <c r="LA6" s="18"/>
      <c r="LB6" s="18"/>
      <c r="LC6" s="18"/>
      <c r="LD6" s="18"/>
      <c r="LE6" s="18"/>
      <c r="LF6" s="18"/>
      <c r="LG6" s="31"/>
      <c r="LH6" s="30"/>
      <c r="LI6" s="18"/>
      <c r="LJ6" s="36" t="s">
        <v>177</v>
      </c>
      <c r="LK6" s="38">
        <v>19</v>
      </c>
      <c r="LL6" s="18"/>
      <c r="LM6" s="18"/>
      <c r="LN6" s="18"/>
      <c r="LO6" s="18"/>
      <c r="LP6" s="18"/>
      <c r="LQ6" s="18"/>
      <c r="LR6" s="31"/>
      <c r="LS6" s="30"/>
      <c r="LT6" s="18"/>
      <c r="LU6" s="36" t="s">
        <v>51</v>
      </c>
      <c r="LV6" s="38">
        <v>6</v>
      </c>
      <c r="LW6" s="18"/>
      <c r="LX6" s="18"/>
      <c r="LY6" s="18"/>
      <c r="LZ6" s="18"/>
      <c r="MA6" s="18"/>
      <c r="MB6" s="18"/>
      <c r="MC6" s="31"/>
      <c r="ME6" s="30"/>
      <c r="MF6" s="18"/>
      <c r="MG6" s="36" t="s">
        <v>51</v>
      </c>
      <c r="MH6" s="38">
        <v>5</v>
      </c>
      <c r="MI6" s="18"/>
      <c r="MJ6" s="18"/>
      <c r="MK6" s="18"/>
      <c r="ML6" s="18"/>
      <c r="MM6" s="18"/>
      <c r="MN6" s="18"/>
      <c r="MO6" s="31"/>
      <c r="MQ6" s="30"/>
      <c r="MR6" s="18"/>
      <c r="MS6" s="36" t="s">
        <v>51</v>
      </c>
      <c r="MT6" s="38">
        <v>3</v>
      </c>
      <c r="MU6" s="18"/>
      <c r="MV6" s="18"/>
      <c r="MW6" s="18"/>
      <c r="MX6" s="18" t="s">
        <v>337</v>
      </c>
      <c r="MY6" s="18"/>
      <c r="MZ6" s="18"/>
      <c r="NA6" s="31"/>
      <c r="ND6" s="30"/>
      <c r="NE6" s="18"/>
      <c r="NF6" s="36" t="s">
        <v>51</v>
      </c>
      <c r="NG6" s="38">
        <v>10</v>
      </c>
      <c r="NH6" s="18"/>
      <c r="NI6" s="18"/>
      <c r="NJ6" s="18"/>
      <c r="NK6" s="18" t="s">
        <v>339</v>
      </c>
      <c r="NL6" s="18"/>
      <c r="NM6" s="18"/>
      <c r="NN6" s="31"/>
      <c r="NP6" s="30"/>
      <c r="NQ6" s="18"/>
      <c r="NR6" s="36" t="s">
        <v>51</v>
      </c>
      <c r="NS6" s="38">
        <v>3</v>
      </c>
      <c r="NT6" s="18"/>
      <c r="NU6" s="18"/>
      <c r="NV6" s="18"/>
      <c r="NW6" s="18"/>
      <c r="NX6" s="18"/>
      <c r="NY6" s="18"/>
      <c r="NZ6" s="31"/>
      <c r="OC6" s="30"/>
      <c r="OD6" s="18"/>
      <c r="OE6" s="36" t="s">
        <v>51</v>
      </c>
      <c r="OF6" s="38">
        <v>4</v>
      </c>
      <c r="OG6" s="18"/>
      <c r="OH6" s="18"/>
      <c r="OI6" s="18"/>
      <c r="OJ6" s="18"/>
      <c r="OK6" s="18"/>
      <c r="OL6" s="18"/>
      <c r="OM6" s="31"/>
      <c r="OP6" s="30"/>
      <c r="OQ6" s="18"/>
      <c r="OR6" s="36" t="s">
        <v>51</v>
      </c>
      <c r="OS6" s="38">
        <v>4</v>
      </c>
      <c r="OT6" s="18"/>
      <c r="OU6" s="18"/>
      <c r="OV6" s="18"/>
      <c r="OW6" s="18"/>
      <c r="OX6" s="18"/>
      <c r="OY6" s="18"/>
      <c r="OZ6" s="31"/>
      <c r="PD6" s="30"/>
      <c r="PE6" s="18"/>
      <c r="PF6" s="36" t="s">
        <v>51</v>
      </c>
      <c r="PG6" s="38">
        <v>4</v>
      </c>
      <c r="PH6" s="18"/>
      <c r="PI6" s="18"/>
      <c r="PJ6" s="18"/>
      <c r="PK6" s="18"/>
      <c r="PL6" s="18"/>
      <c r="PM6" s="18"/>
      <c r="PN6" s="31"/>
      <c r="PQ6" s="30"/>
      <c r="PR6" s="18"/>
      <c r="PS6" s="36" t="s">
        <v>51</v>
      </c>
      <c r="PT6" s="38">
        <v>4</v>
      </c>
      <c r="PU6" s="18"/>
      <c r="PV6" s="18"/>
      <c r="PW6" s="18"/>
      <c r="PX6" s="18"/>
      <c r="PY6" s="18"/>
      <c r="PZ6" s="18"/>
      <c r="QA6" s="31"/>
      <c r="QD6" s="30"/>
      <c r="QE6" s="18"/>
      <c r="QF6" s="36" t="s">
        <v>51</v>
      </c>
      <c r="QG6" s="38">
        <v>2</v>
      </c>
      <c r="QH6" s="18"/>
      <c r="QI6" s="18"/>
      <c r="QJ6" s="18"/>
      <c r="QK6" s="18"/>
      <c r="QL6" s="18"/>
      <c r="QM6" s="18"/>
      <c r="QN6" s="31"/>
      <c r="QQ6" s="30"/>
      <c r="QR6" s="18"/>
      <c r="QS6" s="36" t="s">
        <v>51</v>
      </c>
      <c r="QT6" s="38">
        <v>4</v>
      </c>
      <c r="QU6" s="18"/>
      <c r="QV6" s="18"/>
      <c r="QW6" s="18"/>
      <c r="QX6" s="18"/>
      <c r="QY6" s="18"/>
      <c r="QZ6" s="18"/>
      <c r="RA6" s="31"/>
    </row>
    <row r="7" spans="1:469" x14ac:dyDescent="0.25">
      <c r="A7" s="30"/>
      <c r="B7" s="18"/>
      <c r="C7" s="36" t="s">
        <v>64</v>
      </c>
      <c r="D7" s="38">
        <v>1</v>
      </c>
      <c r="E7" s="18" t="s">
        <v>73</v>
      </c>
      <c r="F7" s="18"/>
      <c r="G7" s="18"/>
      <c r="H7" s="18"/>
      <c r="I7" s="18"/>
      <c r="J7" s="18"/>
      <c r="K7" s="31"/>
      <c r="L7" s="30"/>
      <c r="M7" s="18"/>
      <c r="N7" s="36" t="s">
        <v>64</v>
      </c>
      <c r="O7" s="38">
        <v>1</v>
      </c>
      <c r="P7" s="18" t="s">
        <v>73</v>
      </c>
      <c r="Q7" s="18"/>
      <c r="R7" s="18"/>
      <c r="S7" s="18"/>
      <c r="T7" s="18"/>
      <c r="U7" s="18"/>
      <c r="V7" s="31"/>
      <c r="W7" s="30"/>
      <c r="X7" s="18"/>
      <c r="Y7" s="36" t="s">
        <v>64</v>
      </c>
      <c r="Z7" s="38">
        <v>1</v>
      </c>
      <c r="AA7" s="18" t="s">
        <v>73</v>
      </c>
      <c r="AB7" s="18"/>
      <c r="AC7" s="18"/>
      <c r="AD7" s="18"/>
      <c r="AE7" s="18"/>
      <c r="AF7" s="18"/>
      <c r="AG7" s="31"/>
      <c r="AH7" s="30"/>
      <c r="AI7" s="18"/>
      <c r="AJ7" s="36" t="s">
        <v>64</v>
      </c>
      <c r="AK7" s="38">
        <v>1</v>
      </c>
      <c r="AL7" s="18" t="s">
        <v>73</v>
      </c>
      <c r="AM7" s="18"/>
      <c r="AN7" s="18"/>
      <c r="AO7" s="18"/>
      <c r="AP7" s="18"/>
      <c r="AQ7" s="18"/>
      <c r="AR7" s="31"/>
      <c r="AS7" s="30"/>
      <c r="AT7" s="18"/>
      <c r="AU7" s="36" t="s">
        <v>64</v>
      </c>
      <c r="AV7" s="38">
        <v>1</v>
      </c>
      <c r="AW7" s="18" t="s">
        <v>73</v>
      </c>
      <c r="AX7" s="18"/>
      <c r="AY7" s="18"/>
      <c r="AZ7" s="18"/>
      <c r="BA7" s="18"/>
      <c r="BB7" s="18"/>
      <c r="BC7" s="31"/>
      <c r="BD7" s="30"/>
      <c r="BE7" s="18"/>
      <c r="BF7" s="36" t="s">
        <v>64</v>
      </c>
      <c r="BG7" s="38">
        <v>1</v>
      </c>
      <c r="BH7" s="18" t="s">
        <v>73</v>
      </c>
      <c r="BI7" s="18"/>
      <c r="BJ7" s="18"/>
      <c r="BK7" s="18"/>
      <c r="BL7" s="18"/>
      <c r="BM7" s="18"/>
      <c r="BN7" s="31"/>
      <c r="BO7" s="30"/>
      <c r="BP7" s="18"/>
      <c r="BQ7" s="36" t="s">
        <v>64</v>
      </c>
      <c r="BR7" s="38">
        <v>1</v>
      </c>
      <c r="BS7" s="18" t="s">
        <v>73</v>
      </c>
      <c r="BT7" s="18"/>
      <c r="BU7" s="18"/>
      <c r="BV7" s="18"/>
      <c r="BW7" s="18"/>
      <c r="BX7" s="18"/>
      <c r="BY7" s="31"/>
      <c r="BZ7" s="30"/>
      <c r="CA7" s="18"/>
      <c r="CB7" s="36" t="s">
        <v>64</v>
      </c>
      <c r="CC7" s="38">
        <v>1</v>
      </c>
      <c r="CD7" s="18" t="s">
        <v>73</v>
      </c>
      <c r="CE7" s="18"/>
      <c r="CF7" s="18"/>
      <c r="CG7" s="18"/>
      <c r="CH7" s="18"/>
      <c r="CI7" s="18"/>
      <c r="CJ7" s="31"/>
      <c r="CK7" s="30"/>
      <c r="CL7" s="18"/>
      <c r="CM7" s="36" t="s">
        <v>64</v>
      </c>
      <c r="CN7" s="38">
        <v>1</v>
      </c>
      <c r="CO7" s="18" t="s">
        <v>73</v>
      </c>
      <c r="CP7" s="18"/>
      <c r="CQ7" s="18"/>
      <c r="CR7" s="18"/>
      <c r="CS7" s="18"/>
      <c r="CT7" s="18"/>
      <c r="CU7" s="31"/>
      <c r="CV7" s="30"/>
      <c r="CW7" s="18"/>
      <c r="CX7" s="36" t="s">
        <v>64</v>
      </c>
      <c r="CY7" s="38">
        <v>2</v>
      </c>
      <c r="CZ7" s="18" t="s">
        <v>73</v>
      </c>
      <c r="DA7" s="18"/>
      <c r="DB7" s="18"/>
      <c r="DC7" s="18"/>
      <c r="DD7" s="18"/>
      <c r="DE7" s="18"/>
      <c r="DF7" s="31"/>
      <c r="DG7" s="30"/>
      <c r="DH7" s="18"/>
      <c r="DI7" s="36" t="s">
        <v>64</v>
      </c>
      <c r="DJ7" s="38">
        <v>1</v>
      </c>
      <c r="DK7" s="18" t="s">
        <v>73</v>
      </c>
      <c r="DL7" s="18"/>
      <c r="DM7" s="18"/>
      <c r="DN7" s="18"/>
      <c r="DO7" s="18"/>
      <c r="DP7" s="18"/>
      <c r="DQ7" s="31"/>
      <c r="DR7" s="30"/>
      <c r="DS7" s="18"/>
      <c r="DT7" s="36" t="s">
        <v>64</v>
      </c>
      <c r="DU7" s="38">
        <v>2</v>
      </c>
      <c r="DV7" s="18" t="s">
        <v>73</v>
      </c>
      <c r="DW7" s="18"/>
      <c r="DX7" s="18"/>
      <c r="DY7" s="18"/>
      <c r="DZ7" s="18"/>
      <c r="EA7" s="18"/>
      <c r="EB7" s="31"/>
      <c r="EC7" s="30"/>
      <c r="ED7" s="18"/>
      <c r="EE7" s="36" t="s">
        <v>64</v>
      </c>
      <c r="EF7" s="38">
        <v>2</v>
      </c>
      <c r="EG7" s="18" t="s">
        <v>73</v>
      </c>
      <c r="EH7" s="18"/>
      <c r="EI7" s="18"/>
      <c r="EJ7" s="18"/>
      <c r="EK7" s="18"/>
      <c r="EL7" s="18"/>
      <c r="EM7" s="31"/>
      <c r="EN7" s="30"/>
      <c r="EO7" s="18"/>
      <c r="EP7" s="36" t="s">
        <v>64</v>
      </c>
      <c r="EQ7" s="38">
        <v>2</v>
      </c>
      <c r="ER7" s="18" t="s">
        <v>73</v>
      </c>
      <c r="ES7" s="18"/>
      <c r="ET7" s="18"/>
      <c r="EU7" s="18"/>
      <c r="EV7" s="18"/>
      <c r="EW7" s="18"/>
      <c r="EX7" s="31"/>
      <c r="EY7" s="30"/>
      <c r="EZ7" s="18"/>
      <c r="FA7" s="36" t="s">
        <v>64</v>
      </c>
      <c r="FB7" s="38">
        <v>1</v>
      </c>
      <c r="FC7" s="18" t="s">
        <v>73</v>
      </c>
      <c r="FD7" s="18"/>
      <c r="FE7" s="18"/>
      <c r="FF7" s="18"/>
      <c r="FG7" s="18"/>
      <c r="FH7" s="18"/>
      <c r="FI7" s="31"/>
      <c r="FJ7" s="30"/>
      <c r="FK7" s="18"/>
      <c r="FL7" s="36" t="s">
        <v>64</v>
      </c>
      <c r="FM7" s="38">
        <v>1</v>
      </c>
      <c r="FN7" s="18" t="s">
        <v>73</v>
      </c>
      <c r="FO7" s="18"/>
      <c r="FP7" s="18"/>
      <c r="FQ7" s="18"/>
      <c r="FR7" s="18"/>
      <c r="FS7" s="18"/>
      <c r="FT7" s="31"/>
      <c r="FU7" s="30"/>
      <c r="FV7" s="18"/>
      <c r="FW7" s="36" t="s">
        <v>64</v>
      </c>
      <c r="FX7" s="38">
        <v>1</v>
      </c>
      <c r="FY7" s="18" t="s">
        <v>73</v>
      </c>
      <c r="FZ7" s="18"/>
      <c r="GA7" s="18"/>
      <c r="GB7" s="18"/>
      <c r="GC7" s="18"/>
      <c r="GD7" s="18"/>
      <c r="GE7" s="31"/>
      <c r="GF7" s="30"/>
      <c r="GG7" s="18"/>
      <c r="GH7" s="36" t="s">
        <v>64</v>
      </c>
      <c r="GI7" s="38">
        <v>2</v>
      </c>
      <c r="GJ7" s="18" t="s">
        <v>73</v>
      </c>
      <c r="GK7" s="18"/>
      <c r="GL7" s="18"/>
      <c r="GM7" s="18"/>
      <c r="GN7" s="18"/>
      <c r="GO7" s="18"/>
      <c r="GP7" s="31"/>
      <c r="GQ7" s="30"/>
      <c r="GR7" s="18"/>
      <c r="GS7" s="36" t="s">
        <v>64</v>
      </c>
      <c r="GT7" s="38">
        <v>1</v>
      </c>
      <c r="GU7" s="18" t="s">
        <v>73</v>
      </c>
      <c r="GV7" s="18"/>
      <c r="GW7" s="18"/>
      <c r="GX7" s="18"/>
      <c r="GY7" s="18"/>
      <c r="GZ7" s="18"/>
      <c r="HA7" s="31"/>
      <c r="HB7" s="30"/>
      <c r="HC7" s="18"/>
      <c r="HD7" s="36" t="s">
        <v>64</v>
      </c>
      <c r="HE7" s="38">
        <v>1</v>
      </c>
      <c r="HF7" s="18" t="s">
        <v>73</v>
      </c>
      <c r="HG7" s="18"/>
      <c r="HH7" s="18"/>
      <c r="HI7" s="18"/>
      <c r="HJ7" s="18"/>
      <c r="HK7" s="18"/>
      <c r="HL7" s="31"/>
      <c r="HM7" s="30"/>
      <c r="HN7" s="18"/>
      <c r="HO7" s="36" t="s">
        <v>64</v>
      </c>
      <c r="HP7" s="38">
        <v>1</v>
      </c>
      <c r="HQ7" s="18" t="s">
        <v>73</v>
      </c>
      <c r="HR7" s="18"/>
      <c r="HS7" s="18"/>
      <c r="HT7" s="18"/>
      <c r="HU7" s="18"/>
      <c r="HV7" s="18"/>
      <c r="HW7" s="31"/>
      <c r="HX7" s="30"/>
      <c r="HY7" s="18"/>
      <c r="HZ7" s="36" t="s">
        <v>64</v>
      </c>
      <c r="IA7" s="38">
        <v>1</v>
      </c>
      <c r="IB7" s="18" t="s">
        <v>73</v>
      </c>
      <c r="IC7" s="18"/>
      <c r="ID7" s="18"/>
      <c r="IE7" s="18"/>
      <c r="IF7" s="18"/>
      <c r="IG7" s="18"/>
      <c r="IH7" s="31"/>
      <c r="II7" s="30"/>
      <c r="IJ7" s="18"/>
      <c r="IK7" s="36" t="s">
        <v>64</v>
      </c>
      <c r="IL7" s="38">
        <v>3</v>
      </c>
      <c r="IM7" s="18" t="s">
        <v>73</v>
      </c>
      <c r="IN7" s="18"/>
      <c r="IO7" s="18"/>
      <c r="IP7" s="18"/>
      <c r="IQ7" s="18"/>
      <c r="IR7" s="18"/>
      <c r="IS7" s="31"/>
      <c r="IT7" s="30"/>
      <c r="IU7" s="18"/>
      <c r="IV7" s="36" t="s">
        <v>64</v>
      </c>
      <c r="IW7" s="38">
        <v>3</v>
      </c>
      <c r="IX7" s="18" t="s">
        <v>73</v>
      </c>
      <c r="IY7" s="18"/>
      <c r="IZ7" s="18"/>
      <c r="JA7" s="18"/>
      <c r="JB7" s="18"/>
      <c r="JC7" s="18"/>
      <c r="JD7" s="31"/>
      <c r="JE7" s="30"/>
      <c r="JF7" s="18"/>
      <c r="JG7" s="36" t="s">
        <v>64</v>
      </c>
      <c r="JH7" s="38">
        <v>3</v>
      </c>
      <c r="JI7" s="18" t="s">
        <v>73</v>
      </c>
      <c r="JJ7" s="18"/>
      <c r="JK7" s="18"/>
      <c r="JL7" s="18"/>
      <c r="JM7" s="18"/>
      <c r="JN7" s="18"/>
      <c r="JO7" s="31"/>
      <c r="JP7" s="30"/>
      <c r="JQ7" s="18"/>
      <c r="JR7" s="36" t="s">
        <v>64</v>
      </c>
      <c r="JS7" s="38">
        <v>3</v>
      </c>
      <c r="JT7" s="18" t="s">
        <v>73</v>
      </c>
      <c r="JU7" s="18"/>
      <c r="JV7" s="18"/>
      <c r="JW7" s="18"/>
      <c r="JX7" s="18"/>
      <c r="JY7" s="18"/>
      <c r="JZ7" s="31"/>
      <c r="KA7" s="30"/>
      <c r="KB7" s="18"/>
      <c r="KC7" s="36" t="s">
        <v>64</v>
      </c>
      <c r="KD7" s="38">
        <v>3</v>
      </c>
      <c r="KE7" s="18" t="s">
        <v>73</v>
      </c>
      <c r="KF7" s="18"/>
      <c r="KG7" s="18"/>
      <c r="KH7" s="18"/>
      <c r="KI7" s="18"/>
      <c r="KJ7" s="18"/>
      <c r="KK7" s="31"/>
      <c r="KL7" s="30"/>
      <c r="KM7" s="18"/>
      <c r="KN7" s="36" t="s">
        <v>64</v>
      </c>
      <c r="KO7" s="38">
        <v>3</v>
      </c>
      <c r="KP7" s="18" t="s">
        <v>73</v>
      </c>
      <c r="KQ7" s="18"/>
      <c r="KR7" s="18"/>
      <c r="KS7" s="18"/>
      <c r="KT7" s="18"/>
      <c r="KU7" s="18"/>
      <c r="KV7" s="31"/>
      <c r="KW7" s="30"/>
      <c r="KX7" s="18"/>
      <c r="KY7" s="36" t="s">
        <v>177</v>
      </c>
      <c r="KZ7" s="37">
        <f>KZ6*2</f>
        <v>48</v>
      </c>
      <c r="LA7" s="18"/>
      <c r="LB7" s="18"/>
      <c r="LC7" s="18"/>
      <c r="LD7" s="18"/>
      <c r="LE7" s="18"/>
      <c r="LF7" s="18"/>
      <c r="LG7" s="31"/>
      <c r="LH7" s="30"/>
      <c r="LI7" s="18"/>
      <c r="LJ7" s="36" t="s">
        <v>64</v>
      </c>
      <c r="LK7" s="38">
        <v>4</v>
      </c>
      <c r="LL7" s="18" t="s">
        <v>73</v>
      </c>
      <c r="LM7" s="18"/>
      <c r="LN7" s="18"/>
      <c r="LO7" s="18"/>
      <c r="LP7" s="18"/>
      <c r="LQ7" s="18"/>
      <c r="LR7" s="31"/>
      <c r="LS7" s="30"/>
      <c r="LT7" s="18"/>
      <c r="LU7" s="36" t="s">
        <v>64</v>
      </c>
      <c r="LV7" s="38">
        <v>1</v>
      </c>
      <c r="LW7" s="18" t="s">
        <v>73</v>
      </c>
      <c r="LX7" s="18"/>
      <c r="LY7" s="18"/>
      <c r="LZ7" s="18"/>
      <c r="MA7" s="18"/>
      <c r="MB7" s="18"/>
      <c r="MC7" s="31"/>
      <c r="ME7" s="30"/>
      <c r="MF7" s="18"/>
      <c r="MG7" s="36" t="s">
        <v>64</v>
      </c>
      <c r="MH7" s="38">
        <v>1</v>
      </c>
      <c r="MI7" s="18" t="s">
        <v>73</v>
      </c>
      <c r="MJ7" s="18"/>
      <c r="MK7" s="18"/>
      <c r="ML7" s="18"/>
      <c r="MM7" s="18"/>
      <c r="MN7" s="18"/>
      <c r="MO7" s="31"/>
      <c r="MQ7" s="30"/>
      <c r="MR7" s="18"/>
      <c r="MS7" s="36" t="s">
        <v>64</v>
      </c>
      <c r="MT7" s="38">
        <v>1</v>
      </c>
      <c r="MU7" s="18" t="s">
        <v>73</v>
      </c>
      <c r="MV7" s="18"/>
      <c r="MW7" s="18"/>
      <c r="MX7" s="18"/>
      <c r="MY7" s="18"/>
      <c r="MZ7" s="18"/>
      <c r="NA7" s="31"/>
      <c r="ND7" s="30"/>
      <c r="NE7" s="18"/>
      <c r="NF7" s="36" t="s">
        <v>64</v>
      </c>
      <c r="NG7" s="38">
        <v>2</v>
      </c>
      <c r="NH7" s="18" t="s">
        <v>73</v>
      </c>
      <c r="NI7" s="18"/>
      <c r="NJ7" s="18"/>
      <c r="NK7" s="18"/>
      <c r="NL7" s="18"/>
      <c r="NM7" s="18"/>
      <c r="NN7" s="31"/>
      <c r="NP7" s="30"/>
      <c r="NQ7" s="18"/>
      <c r="NR7" s="36" t="s">
        <v>64</v>
      </c>
      <c r="NS7" s="38">
        <v>1</v>
      </c>
      <c r="NT7" s="18" t="s">
        <v>73</v>
      </c>
      <c r="NU7" s="18"/>
      <c r="NV7" s="18"/>
      <c r="NW7" s="18"/>
      <c r="NX7" s="18"/>
      <c r="NY7" s="18"/>
      <c r="NZ7" s="31"/>
      <c r="OC7" s="30"/>
      <c r="OD7" s="18"/>
      <c r="OE7" s="36" t="s">
        <v>64</v>
      </c>
      <c r="OF7" s="38">
        <v>1</v>
      </c>
      <c r="OG7" s="18" t="s">
        <v>73</v>
      </c>
      <c r="OH7" s="18"/>
      <c r="OI7" s="18"/>
      <c r="OJ7" s="18"/>
      <c r="OK7" s="18"/>
      <c r="OL7" s="18"/>
      <c r="OM7" s="31"/>
      <c r="OP7" s="30"/>
      <c r="OQ7" s="18"/>
      <c r="OR7" s="36" t="s">
        <v>64</v>
      </c>
      <c r="OS7" s="38">
        <v>1</v>
      </c>
      <c r="OT7" s="18" t="s">
        <v>73</v>
      </c>
      <c r="OU7" s="18"/>
      <c r="OV7" s="18"/>
      <c r="OW7" s="18"/>
      <c r="OX7" s="18"/>
      <c r="OY7" s="18"/>
      <c r="OZ7" s="31"/>
      <c r="PD7" s="30"/>
      <c r="PE7" s="18"/>
      <c r="PF7" s="36" t="s">
        <v>64</v>
      </c>
      <c r="PG7" s="38">
        <v>1</v>
      </c>
      <c r="PH7" s="18" t="s">
        <v>73</v>
      </c>
      <c r="PI7" s="18"/>
      <c r="PJ7" s="18"/>
      <c r="PK7" s="18"/>
      <c r="PL7" s="18"/>
      <c r="PM7" s="18"/>
      <c r="PN7" s="31"/>
      <c r="PQ7" s="30"/>
      <c r="PR7" s="18"/>
      <c r="PS7" s="36" t="s">
        <v>64</v>
      </c>
      <c r="PT7" s="38">
        <v>1</v>
      </c>
      <c r="PU7" s="18" t="s">
        <v>73</v>
      </c>
      <c r="PV7" s="18"/>
      <c r="PW7" s="18"/>
      <c r="PX7" s="18"/>
      <c r="PY7" s="18"/>
      <c r="PZ7" s="18"/>
      <c r="QA7" s="31"/>
      <c r="QD7" s="30"/>
      <c r="QE7" s="18"/>
      <c r="QF7" s="36" t="s">
        <v>64</v>
      </c>
      <c r="QG7" s="38">
        <v>1</v>
      </c>
      <c r="QH7" s="18" t="s">
        <v>73</v>
      </c>
      <c r="QI7" s="18"/>
      <c r="QJ7" s="18"/>
      <c r="QK7" s="18"/>
      <c r="QL7" s="18"/>
      <c r="QM7" s="18"/>
      <c r="QN7" s="31"/>
      <c r="QQ7" s="30"/>
      <c r="QR7" s="18"/>
      <c r="QS7" s="36" t="s">
        <v>64</v>
      </c>
      <c r="QT7" s="38">
        <v>1</v>
      </c>
      <c r="QU7" s="18" t="s">
        <v>73</v>
      </c>
      <c r="QV7" s="18"/>
      <c r="QW7" s="18"/>
      <c r="QX7" s="18"/>
      <c r="QY7" s="18"/>
      <c r="QZ7" s="18"/>
      <c r="RA7" s="31"/>
    </row>
    <row r="8" spans="1:469" x14ac:dyDescent="0.25">
      <c r="A8" s="30"/>
      <c r="B8" s="18"/>
      <c r="C8" s="36" t="s">
        <v>71</v>
      </c>
      <c r="D8" s="38">
        <v>1</v>
      </c>
      <c r="E8" s="18" t="s">
        <v>57</v>
      </c>
      <c r="F8" s="18" t="s">
        <v>56</v>
      </c>
      <c r="G8" s="18"/>
      <c r="H8" s="18"/>
      <c r="I8" s="18"/>
      <c r="J8" s="18"/>
      <c r="K8" s="31"/>
      <c r="L8" s="30"/>
      <c r="M8" s="18"/>
      <c r="N8" s="36" t="s">
        <v>71</v>
      </c>
      <c r="O8" s="38">
        <v>1</v>
      </c>
      <c r="P8" s="18" t="s">
        <v>57</v>
      </c>
      <c r="Q8" s="18" t="s">
        <v>56</v>
      </c>
      <c r="R8" s="18"/>
      <c r="S8" s="18"/>
      <c r="T8" s="18"/>
      <c r="U8" s="18"/>
      <c r="V8" s="31"/>
      <c r="W8" s="30"/>
      <c r="X8" s="18"/>
      <c r="Y8" s="36" t="s">
        <v>71</v>
      </c>
      <c r="Z8" s="38">
        <v>4</v>
      </c>
      <c r="AA8" s="18" t="s">
        <v>57</v>
      </c>
      <c r="AB8" s="18" t="s">
        <v>56</v>
      </c>
      <c r="AC8" s="18"/>
      <c r="AD8" s="18"/>
      <c r="AE8" s="18"/>
      <c r="AF8" s="18"/>
      <c r="AG8" s="31"/>
      <c r="AH8" s="30"/>
      <c r="AI8" s="18"/>
      <c r="AJ8" s="36" t="s">
        <v>71</v>
      </c>
      <c r="AK8" s="38">
        <v>1</v>
      </c>
      <c r="AL8" s="18" t="s">
        <v>57</v>
      </c>
      <c r="AM8" s="18" t="s">
        <v>56</v>
      </c>
      <c r="AN8" s="18"/>
      <c r="AO8" s="18"/>
      <c r="AP8" s="18"/>
      <c r="AQ8" s="18"/>
      <c r="AR8" s="31"/>
      <c r="AS8" s="30"/>
      <c r="AT8" s="18"/>
      <c r="AU8" s="36" t="s">
        <v>71</v>
      </c>
      <c r="AV8" s="38">
        <v>1</v>
      </c>
      <c r="AW8" s="18" t="s">
        <v>57</v>
      </c>
      <c r="AX8" s="18" t="s">
        <v>56</v>
      </c>
      <c r="AY8" s="18"/>
      <c r="AZ8" s="18"/>
      <c r="BA8" s="18"/>
      <c r="BB8" s="18"/>
      <c r="BC8" s="31"/>
      <c r="BD8" s="30"/>
      <c r="BE8" s="18"/>
      <c r="BF8" s="36" t="s">
        <v>71</v>
      </c>
      <c r="BG8" s="38">
        <v>1</v>
      </c>
      <c r="BH8" s="18" t="s">
        <v>57</v>
      </c>
      <c r="BI8" s="18" t="s">
        <v>56</v>
      </c>
      <c r="BJ8" s="18"/>
      <c r="BK8" s="18"/>
      <c r="BL8" s="18"/>
      <c r="BM8" s="18"/>
      <c r="BN8" s="31"/>
      <c r="BO8" s="30"/>
      <c r="BP8" s="18"/>
      <c r="BQ8" s="36" t="s">
        <v>71</v>
      </c>
      <c r="BR8" s="38">
        <v>2</v>
      </c>
      <c r="BS8" s="18" t="s">
        <v>57</v>
      </c>
      <c r="BT8" s="18" t="s">
        <v>56</v>
      </c>
      <c r="BU8" s="18"/>
      <c r="BV8" s="18"/>
      <c r="BW8" s="18"/>
      <c r="BX8" s="18"/>
      <c r="BY8" s="31"/>
      <c r="BZ8" s="30"/>
      <c r="CA8" s="18"/>
      <c r="CB8" s="36" t="s">
        <v>71</v>
      </c>
      <c r="CC8" s="38">
        <v>1</v>
      </c>
      <c r="CD8" s="18" t="s">
        <v>57</v>
      </c>
      <c r="CE8" s="18" t="s">
        <v>56</v>
      </c>
      <c r="CF8" s="18"/>
      <c r="CG8" s="18"/>
      <c r="CH8" s="18"/>
      <c r="CI8" s="18"/>
      <c r="CJ8" s="31"/>
      <c r="CK8" s="30"/>
      <c r="CL8" s="18"/>
      <c r="CM8" s="36" t="s">
        <v>71</v>
      </c>
      <c r="CN8" s="38">
        <v>4</v>
      </c>
      <c r="CO8" s="18" t="s">
        <v>57</v>
      </c>
      <c r="CP8" s="18" t="s">
        <v>56</v>
      </c>
      <c r="CQ8" s="18"/>
      <c r="CR8" s="18"/>
      <c r="CS8" s="18"/>
      <c r="CT8" s="18"/>
      <c r="CU8" s="31"/>
      <c r="CV8" s="30"/>
      <c r="CW8" s="18"/>
      <c r="CX8" s="36" t="s">
        <v>71</v>
      </c>
      <c r="CY8" s="38">
        <v>1</v>
      </c>
      <c r="CZ8" s="18" t="s">
        <v>57</v>
      </c>
      <c r="DA8" s="18" t="s">
        <v>56</v>
      </c>
      <c r="DB8" s="18"/>
      <c r="DC8" s="18"/>
      <c r="DD8" s="18"/>
      <c r="DE8" s="18"/>
      <c r="DF8" s="31"/>
      <c r="DG8" s="30"/>
      <c r="DH8" s="18"/>
      <c r="DI8" s="36" t="s">
        <v>71</v>
      </c>
      <c r="DJ8" s="38">
        <v>1</v>
      </c>
      <c r="DK8" s="18" t="s">
        <v>57</v>
      </c>
      <c r="DL8" s="18" t="s">
        <v>56</v>
      </c>
      <c r="DM8" s="18"/>
      <c r="DN8" s="18"/>
      <c r="DO8" s="18"/>
      <c r="DP8" s="18"/>
      <c r="DQ8" s="31"/>
      <c r="DR8" s="30"/>
      <c r="DS8" s="18"/>
      <c r="DT8" s="36" t="s">
        <v>71</v>
      </c>
      <c r="DU8" s="38">
        <v>3</v>
      </c>
      <c r="DV8" s="18" t="s">
        <v>57</v>
      </c>
      <c r="DW8" s="18" t="s">
        <v>56</v>
      </c>
      <c r="DX8" s="18"/>
      <c r="DY8" s="18"/>
      <c r="DZ8" s="18"/>
      <c r="EA8" s="18"/>
      <c r="EB8" s="31"/>
      <c r="EC8" s="30"/>
      <c r="ED8" s="18"/>
      <c r="EE8" s="36" t="s">
        <v>71</v>
      </c>
      <c r="EF8" s="38">
        <v>3</v>
      </c>
      <c r="EG8" s="18" t="s">
        <v>57</v>
      </c>
      <c r="EH8" s="18" t="s">
        <v>56</v>
      </c>
      <c r="EI8" s="18"/>
      <c r="EJ8" s="18"/>
      <c r="EK8" s="18"/>
      <c r="EL8" s="18"/>
      <c r="EM8" s="31"/>
      <c r="EN8" s="30"/>
      <c r="EO8" s="18"/>
      <c r="EP8" s="36" t="s">
        <v>71</v>
      </c>
      <c r="EQ8" s="38">
        <v>3</v>
      </c>
      <c r="ER8" s="18" t="s">
        <v>57</v>
      </c>
      <c r="ES8" s="18" t="s">
        <v>56</v>
      </c>
      <c r="ET8" s="18"/>
      <c r="EU8" s="18"/>
      <c r="EV8" s="18"/>
      <c r="EW8" s="18"/>
      <c r="EX8" s="31"/>
      <c r="EY8" s="30"/>
      <c r="EZ8" s="18"/>
      <c r="FA8" s="36" t="s">
        <v>71</v>
      </c>
      <c r="FB8" s="38">
        <v>1</v>
      </c>
      <c r="FC8" s="18" t="s">
        <v>57</v>
      </c>
      <c r="FD8" s="18" t="s">
        <v>56</v>
      </c>
      <c r="FE8" s="18"/>
      <c r="FF8" s="18"/>
      <c r="FG8" s="18"/>
      <c r="FH8" s="18"/>
      <c r="FI8" s="31"/>
      <c r="FJ8" s="30"/>
      <c r="FK8" s="18"/>
      <c r="FL8" s="36" t="s">
        <v>71</v>
      </c>
      <c r="FM8" s="38">
        <v>4</v>
      </c>
      <c r="FN8" s="18" t="s">
        <v>57</v>
      </c>
      <c r="FO8" s="18" t="s">
        <v>56</v>
      </c>
      <c r="FP8" s="18"/>
      <c r="FQ8" s="18"/>
      <c r="FR8" s="18"/>
      <c r="FS8" s="18"/>
      <c r="FT8" s="31"/>
      <c r="FU8" s="30"/>
      <c r="FV8" s="18"/>
      <c r="FW8" s="36" t="s">
        <v>71</v>
      </c>
      <c r="FX8" s="38">
        <v>1</v>
      </c>
      <c r="FY8" s="18" t="s">
        <v>57</v>
      </c>
      <c r="FZ8" s="18" t="s">
        <v>56</v>
      </c>
      <c r="GA8" s="18"/>
      <c r="GB8" s="18"/>
      <c r="GC8" s="18"/>
      <c r="GD8" s="18"/>
      <c r="GE8" s="31"/>
      <c r="GF8" s="30"/>
      <c r="GG8" s="18"/>
      <c r="GH8" s="36" t="s">
        <v>71</v>
      </c>
      <c r="GI8" s="38">
        <v>8</v>
      </c>
      <c r="GJ8" s="18" t="s">
        <v>57</v>
      </c>
      <c r="GK8" s="18" t="s">
        <v>56</v>
      </c>
      <c r="GL8" s="18"/>
      <c r="GM8" s="18"/>
      <c r="GN8" s="18"/>
      <c r="GO8" s="18"/>
      <c r="GP8" s="31"/>
      <c r="GQ8" s="30"/>
      <c r="GR8" s="18"/>
      <c r="GS8" s="36" t="s">
        <v>71</v>
      </c>
      <c r="GT8" s="38">
        <v>3</v>
      </c>
      <c r="GU8" s="18" t="s">
        <v>57</v>
      </c>
      <c r="GV8" s="18" t="s">
        <v>56</v>
      </c>
      <c r="GW8" s="18"/>
      <c r="GX8" s="18"/>
      <c r="GY8" s="18"/>
      <c r="GZ8" s="18"/>
      <c r="HA8" s="31"/>
      <c r="HB8" s="30"/>
      <c r="HC8" s="18"/>
      <c r="HD8" s="36" t="s">
        <v>71</v>
      </c>
      <c r="HE8" s="38">
        <v>1</v>
      </c>
      <c r="HF8" s="18" t="s">
        <v>57</v>
      </c>
      <c r="HG8" s="18" t="s">
        <v>56</v>
      </c>
      <c r="HH8" s="18"/>
      <c r="HI8" s="18"/>
      <c r="HJ8" s="18"/>
      <c r="HK8" s="18"/>
      <c r="HL8" s="31"/>
      <c r="HM8" s="30"/>
      <c r="HN8" s="18"/>
      <c r="HO8" s="36" t="s">
        <v>71</v>
      </c>
      <c r="HP8" s="38">
        <v>1</v>
      </c>
      <c r="HQ8" s="18" t="s">
        <v>57</v>
      </c>
      <c r="HR8" s="18" t="s">
        <v>56</v>
      </c>
      <c r="HS8" s="18"/>
      <c r="HT8" s="18"/>
      <c r="HU8" s="18"/>
      <c r="HV8" s="18"/>
      <c r="HW8" s="31"/>
      <c r="HX8" s="30"/>
      <c r="HY8" s="18"/>
      <c r="HZ8" s="36" t="s">
        <v>71</v>
      </c>
      <c r="IA8" s="38">
        <v>1</v>
      </c>
      <c r="IB8" s="18" t="s">
        <v>57</v>
      </c>
      <c r="IC8" s="18" t="s">
        <v>56</v>
      </c>
      <c r="ID8" s="18"/>
      <c r="IE8" s="18"/>
      <c r="IF8" s="18"/>
      <c r="IG8" s="18"/>
      <c r="IH8" s="31"/>
      <c r="II8" s="30"/>
      <c r="IJ8" s="18"/>
      <c r="IK8" s="36" t="s">
        <v>71</v>
      </c>
      <c r="IL8" s="38">
        <v>1</v>
      </c>
      <c r="IM8" s="18" t="s">
        <v>57</v>
      </c>
      <c r="IN8" s="18" t="s">
        <v>56</v>
      </c>
      <c r="IO8" s="18"/>
      <c r="IP8" s="18"/>
      <c r="IQ8" s="18"/>
      <c r="IR8" s="18"/>
      <c r="IS8" s="31"/>
      <c r="IT8" s="30"/>
      <c r="IU8" s="18"/>
      <c r="IV8" s="36" t="s">
        <v>71</v>
      </c>
      <c r="IW8" s="38">
        <v>1</v>
      </c>
      <c r="IX8" s="18" t="s">
        <v>57</v>
      </c>
      <c r="IY8" s="18" t="s">
        <v>56</v>
      </c>
      <c r="IZ8" s="18"/>
      <c r="JA8" s="18"/>
      <c r="JB8" s="18"/>
      <c r="JC8" s="18"/>
      <c r="JD8" s="31"/>
      <c r="JE8" s="30"/>
      <c r="JF8" s="18"/>
      <c r="JG8" s="36" t="s">
        <v>71</v>
      </c>
      <c r="JH8" s="38">
        <v>1</v>
      </c>
      <c r="JI8" s="18" t="s">
        <v>57</v>
      </c>
      <c r="JJ8" s="18" t="s">
        <v>56</v>
      </c>
      <c r="JK8" s="18"/>
      <c r="JL8" s="18"/>
      <c r="JM8" s="18"/>
      <c r="JN8" s="18"/>
      <c r="JO8" s="31"/>
      <c r="JP8" s="30"/>
      <c r="JQ8" s="18"/>
      <c r="JR8" s="36" t="s">
        <v>71</v>
      </c>
      <c r="JS8" s="38">
        <v>1</v>
      </c>
      <c r="JT8" s="18" t="s">
        <v>57</v>
      </c>
      <c r="JU8" s="18" t="s">
        <v>56</v>
      </c>
      <c r="JV8" s="18"/>
      <c r="JW8" s="18"/>
      <c r="JX8" s="18"/>
      <c r="JY8" s="18"/>
      <c r="JZ8" s="31"/>
      <c r="KA8" s="30"/>
      <c r="KB8" s="18"/>
      <c r="KC8" s="36" t="s">
        <v>71</v>
      </c>
      <c r="KD8" s="38">
        <v>1</v>
      </c>
      <c r="KE8" s="18" t="s">
        <v>57</v>
      </c>
      <c r="KF8" s="18" t="s">
        <v>56</v>
      </c>
      <c r="KG8" s="18"/>
      <c r="KH8" s="18"/>
      <c r="KI8" s="18"/>
      <c r="KJ8" s="18"/>
      <c r="KK8" s="31"/>
      <c r="KL8" s="30"/>
      <c r="KM8" s="18"/>
      <c r="KN8" s="36" t="s">
        <v>71</v>
      </c>
      <c r="KO8" s="38">
        <v>1</v>
      </c>
      <c r="KP8" s="18" t="s">
        <v>57</v>
      </c>
      <c r="KQ8" s="18" t="s">
        <v>56</v>
      </c>
      <c r="KR8" s="18"/>
      <c r="KS8" s="18"/>
      <c r="KT8" s="18"/>
      <c r="KU8" s="18"/>
      <c r="KV8" s="31"/>
      <c r="KW8" s="30"/>
      <c r="KX8" s="18"/>
      <c r="KY8" s="36" t="s">
        <v>64</v>
      </c>
      <c r="KZ8" s="38">
        <v>5</v>
      </c>
      <c r="LA8" s="18" t="s">
        <v>73</v>
      </c>
      <c r="LB8" s="18"/>
      <c r="LC8" s="18"/>
      <c r="LD8" s="18"/>
      <c r="LE8" s="18"/>
      <c r="LF8" s="18"/>
      <c r="LG8" s="31"/>
      <c r="LH8" s="30"/>
      <c r="LI8" s="18"/>
      <c r="LJ8" s="36" t="s">
        <v>71</v>
      </c>
      <c r="LK8" s="38">
        <v>1</v>
      </c>
      <c r="LL8" s="18" t="s">
        <v>57</v>
      </c>
      <c r="LM8" s="18" t="s">
        <v>56</v>
      </c>
      <c r="LN8" s="18"/>
      <c r="LO8" s="18"/>
      <c r="LP8" s="18"/>
      <c r="LQ8" s="18"/>
      <c r="LR8" s="31"/>
      <c r="LS8" s="30"/>
      <c r="LT8" s="18"/>
      <c r="LU8" s="36" t="s">
        <v>71</v>
      </c>
      <c r="LV8" s="38">
        <v>3</v>
      </c>
      <c r="LW8" s="18" t="s">
        <v>57</v>
      </c>
      <c r="LX8" s="18" t="s">
        <v>56</v>
      </c>
      <c r="LY8" s="18"/>
      <c r="LZ8" s="18"/>
      <c r="MA8" s="18"/>
      <c r="MB8" s="18"/>
      <c r="MC8" s="31"/>
      <c r="ME8" s="30"/>
      <c r="MF8" s="18"/>
      <c r="MG8" s="36" t="s">
        <v>71</v>
      </c>
      <c r="MH8" s="38">
        <v>2</v>
      </c>
      <c r="MI8" s="18" t="s">
        <v>57</v>
      </c>
      <c r="MJ8" s="18" t="s">
        <v>56</v>
      </c>
      <c r="MK8" s="18"/>
      <c r="ML8" s="18"/>
      <c r="MM8" s="18"/>
      <c r="MN8" s="18"/>
      <c r="MO8" s="31"/>
      <c r="MQ8" s="30"/>
      <c r="MR8" s="18"/>
      <c r="MS8" s="36" t="s">
        <v>71</v>
      </c>
      <c r="MT8" s="38">
        <v>2</v>
      </c>
      <c r="MU8" s="18" t="s">
        <v>57</v>
      </c>
      <c r="MV8" s="18" t="s">
        <v>56</v>
      </c>
      <c r="MW8" s="18"/>
      <c r="MX8" s="18"/>
      <c r="MY8" s="18"/>
      <c r="MZ8" s="18"/>
      <c r="NA8" s="31"/>
      <c r="ND8" s="30"/>
      <c r="NE8" s="18"/>
      <c r="NF8" s="36" t="s">
        <v>71</v>
      </c>
      <c r="NG8" s="38">
        <v>3</v>
      </c>
      <c r="NH8" s="18" t="s">
        <v>57</v>
      </c>
      <c r="NI8" s="18" t="s">
        <v>56</v>
      </c>
      <c r="NJ8" s="18"/>
      <c r="NK8" s="18"/>
      <c r="NL8" s="18"/>
      <c r="NM8" s="18"/>
      <c r="NN8" s="31"/>
      <c r="NP8" s="30"/>
      <c r="NQ8" s="18"/>
      <c r="NR8" s="36" t="s">
        <v>71</v>
      </c>
      <c r="NS8" s="38">
        <v>2</v>
      </c>
      <c r="NT8" s="18" t="s">
        <v>57</v>
      </c>
      <c r="NU8" s="18" t="s">
        <v>56</v>
      </c>
      <c r="NV8" s="18"/>
      <c r="NW8" s="18"/>
      <c r="NX8" s="18"/>
      <c r="NY8" s="18"/>
      <c r="NZ8" s="31"/>
      <c r="OC8" s="30"/>
      <c r="OD8" s="18"/>
      <c r="OE8" s="36" t="s">
        <v>71</v>
      </c>
      <c r="OF8" s="38">
        <v>2</v>
      </c>
      <c r="OG8" s="18" t="s">
        <v>57</v>
      </c>
      <c r="OH8" s="18" t="s">
        <v>56</v>
      </c>
      <c r="OI8" s="18"/>
      <c r="OJ8" s="18"/>
      <c r="OK8" s="18"/>
      <c r="OL8" s="18"/>
      <c r="OM8" s="31"/>
      <c r="OP8" s="30"/>
      <c r="OQ8" s="18"/>
      <c r="OR8" s="36" t="s">
        <v>71</v>
      </c>
      <c r="OS8" s="38">
        <v>2</v>
      </c>
      <c r="OT8" s="18" t="s">
        <v>57</v>
      </c>
      <c r="OU8" s="18" t="s">
        <v>56</v>
      </c>
      <c r="OV8" s="18"/>
      <c r="OW8" s="18"/>
      <c r="OX8" s="18"/>
      <c r="OY8" s="18"/>
      <c r="OZ8" s="31"/>
      <c r="PD8" s="30"/>
      <c r="PE8" s="18"/>
      <c r="PF8" s="36" t="s">
        <v>71</v>
      </c>
      <c r="PG8" s="38">
        <v>2</v>
      </c>
      <c r="PH8" s="18" t="s">
        <v>57</v>
      </c>
      <c r="PI8" s="18" t="s">
        <v>56</v>
      </c>
      <c r="PJ8" s="18"/>
      <c r="PK8" s="18"/>
      <c r="PL8" s="18"/>
      <c r="PM8" s="18"/>
      <c r="PN8" s="31"/>
      <c r="PQ8" s="30"/>
      <c r="PR8" s="18"/>
      <c r="PS8" s="36" t="s">
        <v>71</v>
      </c>
      <c r="PT8" s="38">
        <v>2</v>
      </c>
      <c r="PU8" s="18" t="s">
        <v>57</v>
      </c>
      <c r="PV8" s="18" t="s">
        <v>56</v>
      </c>
      <c r="PW8" s="18"/>
      <c r="PX8" s="18"/>
      <c r="PY8" s="18"/>
      <c r="PZ8" s="18"/>
      <c r="QA8" s="31"/>
      <c r="QD8" s="30"/>
      <c r="QE8" s="18"/>
      <c r="QF8" s="36" t="s">
        <v>71</v>
      </c>
      <c r="QG8" s="38">
        <v>3</v>
      </c>
      <c r="QH8" s="18" t="s">
        <v>57</v>
      </c>
      <c r="QI8" s="18" t="s">
        <v>56</v>
      </c>
      <c r="QJ8" s="18"/>
      <c r="QK8" s="18"/>
      <c r="QL8" s="18"/>
      <c r="QM8" s="18"/>
      <c r="QN8" s="31"/>
      <c r="QQ8" s="30"/>
      <c r="QR8" s="18"/>
      <c r="QS8" s="36" t="s">
        <v>71</v>
      </c>
      <c r="QT8" s="38">
        <v>2</v>
      </c>
      <c r="QU8" s="18" t="s">
        <v>57</v>
      </c>
      <c r="QV8" s="18" t="s">
        <v>56</v>
      </c>
      <c r="QW8" s="18"/>
      <c r="QX8" s="18"/>
      <c r="QY8" s="18"/>
      <c r="QZ8" s="18"/>
      <c r="RA8" s="31"/>
    </row>
    <row r="9" spans="1:469" x14ac:dyDescent="0.25">
      <c r="A9" s="30"/>
      <c r="B9" s="18"/>
      <c r="C9" s="36" t="s">
        <v>52</v>
      </c>
      <c r="D9" s="37">
        <v>3</v>
      </c>
      <c r="E9" s="18"/>
      <c r="F9" s="18"/>
      <c r="G9" s="18"/>
      <c r="H9" s="18"/>
      <c r="I9" s="18"/>
      <c r="J9" s="18"/>
      <c r="K9" s="31"/>
      <c r="L9" s="30"/>
      <c r="M9" s="18"/>
      <c r="N9" s="36" t="s">
        <v>52</v>
      </c>
      <c r="O9" s="37">
        <v>5</v>
      </c>
      <c r="P9" s="18"/>
      <c r="Q9" s="18"/>
      <c r="R9" s="18"/>
      <c r="S9" s="18"/>
      <c r="T9" s="18"/>
      <c r="U9" s="18"/>
      <c r="V9" s="31"/>
      <c r="W9" s="30"/>
      <c r="X9" s="18"/>
      <c r="Y9" s="36" t="s">
        <v>52</v>
      </c>
      <c r="Z9" s="37">
        <v>4.5</v>
      </c>
      <c r="AA9" s="18"/>
      <c r="AB9" s="18"/>
      <c r="AC9" s="18"/>
      <c r="AD9" s="18"/>
      <c r="AE9" s="18"/>
      <c r="AF9" s="18"/>
      <c r="AG9" s="31"/>
      <c r="AH9" s="30"/>
      <c r="AI9" s="18"/>
      <c r="AJ9" s="36" t="s">
        <v>52</v>
      </c>
      <c r="AK9" s="37">
        <v>4</v>
      </c>
      <c r="AL9" s="18"/>
      <c r="AM9" s="18"/>
      <c r="AN9" s="18"/>
      <c r="AO9" s="18"/>
      <c r="AP9" s="18"/>
      <c r="AQ9" s="18"/>
      <c r="AR9" s="31"/>
      <c r="AS9" s="30"/>
      <c r="AT9" s="18"/>
      <c r="AU9" s="36" t="s">
        <v>52</v>
      </c>
      <c r="AV9" s="37">
        <v>4</v>
      </c>
      <c r="AW9" s="18"/>
      <c r="AX9" s="18"/>
      <c r="AY9" s="18"/>
      <c r="AZ9" s="18"/>
      <c r="BA9" s="18"/>
      <c r="BB9" s="18"/>
      <c r="BC9" s="31"/>
      <c r="BD9" s="30"/>
      <c r="BE9" s="18"/>
      <c r="BF9" s="36" t="s">
        <v>52</v>
      </c>
      <c r="BG9" s="37">
        <v>4</v>
      </c>
      <c r="BH9" s="18"/>
      <c r="BI9" s="18"/>
      <c r="BJ9" s="18"/>
      <c r="BK9" s="18"/>
      <c r="BL9" s="18"/>
      <c r="BM9" s="18"/>
      <c r="BN9" s="31"/>
      <c r="BO9" s="30"/>
      <c r="BP9" s="18"/>
      <c r="BQ9" s="36" t="s">
        <v>52</v>
      </c>
      <c r="BR9" s="37">
        <v>5</v>
      </c>
      <c r="BS9" s="18"/>
      <c r="BT9" s="18"/>
      <c r="BU9" s="18"/>
      <c r="BV9" s="18"/>
      <c r="BW9" s="18"/>
      <c r="BX9" s="18"/>
      <c r="BY9" s="31"/>
      <c r="BZ9" s="30"/>
      <c r="CA9" s="18"/>
      <c r="CB9" s="36" t="s">
        <v>52</v>
      </c>
      <c r="CC9" s="37">
        <v>4.5</v>
      </c>
      <c r="CD9" s="18"/>
      <c r="CE9" s="18"/>
      <c r="CF9" s="18"/>
      <c r="CG9" s="18"/>
      <c r="CH9" s="18"/>
      <c r="CI9" s="18"/>
      <c r="CJ9" s="31"/>
      <c r="CK9" s="30"/>
      <c r="CL9" s="18"/>
      <c r="CM9" s="36" t="s">
        <v>52</v>
      </c>
      <c r="CN9" s="37">
        <v>4.4000000000000004</v>
      </c>
      <c r="CO9" s="18"/>
      <c r="CP9" s="18"/>
      <c r="CQ9" s="18"/>
      <c r="CR9" s="18"/>
      <c r="CS9" s="18"/>
      <c r="CT9" s="18"/>
      <c r="CU9" s="31"/>
      <c r="CV9" s="30"/>
      <c r="CW9" s="18"/>
      <c r="CX9" s="36" t="s">
        <v>52</v>
      </c>
      <c r="CY9" s="37">
        <v>5</v>
      </c>
      <c r="CZ9" s="18"/>
      <c r="DA9" s="18"/>
      <c r="DB9" s="18"/>
      <c r="DC9" s="18"/>
      <c r="DD9" s="18"/>
      <c r="DE9" s="18"/>
      <c r="DF9" s="31"/>
      <c r="DG9" s="30"/>
      <c r="DH9" s="18"/>
      <c r="DI9" s="36" t="s">
        <v>52</v>
      </c>
      <c r="DJ9" s="37">
        <v>4</v>
      </c>
      <c r="DK9" s="18"/>
      <c r="DL9" s="18"/>
      <c r="DM9" s="18"/>
      <c r="DN9" s="18"/>
      <c r="DO9" s="18"/>
      <c r="DP9" s="18"/>
      <c r="DQ9" s="31"/>
      <c r="DR9" s="30"/>
      <c r="DS9" s="18"/>
      <c r="DT9" s="36" t="s">
        <v>52</v>
      </c>
      <c r="DU9" s="37">
        <v>4.5</v>
      </c>
      <c r="DV9" s="18"/>
      <c r="DW9" s="18"/>
      <c r="DX9" s="18"/>
      <c r="DY9" s="18"/>
      <c r="DZ9" s="18"/>
      <c r="EA9" s="18"/>
      <c r="EB9" s="31"/>
      <c r="EC9" s="30"/>
      <c r="ED9" s="18"/>
      <c r="EE9" s="36" t="s">
        <v>52</v>
      </c>
      <c r="EF9" s="37">
        <v>4.8</v>
      </c>
      <c r="EG9" s="18"/>
      <c r="EH9" s="18"/>
      <c r="EI9" s="18"/>
      <c r="EJ9" s="18"/>
      <c r="EK9" s="18"/>
      <c r="EL9" s="18"/>
      <c r="EM9" s="31"/>
      <c r="EN9" s="30"/>
      <c r="EO9" s="18"/>
      <c r="EP9" s="36" t="s">
        <v>52</v>
      </c>
      <c r="EQ9" s="37">
        <v>4.8</v>
      </c>
      <c r="ER9" s="18"/>
      <c r="ES9" s="18"/>
      <c r="ET9" s="18"/>
      <c r="EU9" s="18"/>
      <c r="EV9" s="18"/>
      <c r="EW9" s="18"/>
      <c r="EX9" s="31"/>
      <c r="EY9" s="30"/>
      <c r="EZ9" s="18"/>
      <c r="FA9" s="36" t="s">
        <v>52</v>
      </c>
      <c r="FB9" s="37">
        <v>3.5</v>
      </c>
      <c r="FC9" s="18"/>
      <c r="FD9" s="18"/>
      <c r="FE9" s="18"/>
      <c r="FF9" s="18"/>
      <c r="FG9" s="18"/>
      <c r="FH9" s="18"/>
      <c r="FI9" s="31"/>
      <c r="FJ9" s="30"/>
      <c r="FK9" s="18"/>
      <c r="FL9" s="36" t="s">
        <v>52</v>
      </c>
      <c r="FM9" s="37">
        <v>3.5</v>
      </c>
      <c r="FN9" s="18"/>
      <c r="FO9" s="18"/>
      <c r="FP9" s="18"/>
      <c r="FQ9" s="18"/>
      <c r="FR9" s="18"/>
      <c r="FS9" s="18"/>
      <c r="FT9" s="31"/>
      <c r="FU9" s="30"/>
      <c r="FV9" s="18"/>
      <c r="FW9" s="36" t="s">
        <v>52</v>
      </c>
      <c r="FX9" s="37">
        <v>4</v>
      </c>
      <c r="FY9" s="18"/>
      <c r="FZ9" s="18"/>
      <c r="GA9" s="18"/>
      <c r="GB9" s="18"/>
      <c r="GC9" s="18"/>
      <c r="GD9" s="18"/>
      <c r="GE9" s="31"/>
      <c r="GF9" s="30"/>
      <c r="GG9" s="18"/>
      <c r="GH9" s="36" t="s">
        <v>52</v>
      </c>
      <c r="GI9" s="37">
        <v>5</v>
      </c>
      <c r="GJ9" s="18"/>
      <c r="GK9" s="18"/>
      <c r="GL9" s="18"/>
      <c r="GM9" s="18"/>
      <c r="GN9" s="18"/>
      <c r="GO9" s="18"/>
      <c r="GP9" s="31"/>
      <c r="GQ9" s="30"/>
      <c r="GR9" s="18"/>
      <c r="GS9" s="36" t="s">
        <v>52</v>
      </c>
      <c r="GT9" s="37">
        <v>4</v>
      </c>
      <c r="GU9" s="18"/>
      <c r="GV9" s="18"/>
      <c r="GW9" s="18"/>
      <c r="GX9" s="18"/>
      <c r="GY9" s="18"/>
      <c r="GZ9" s="18"/>
      <c r="HA9" s="31"/>
      <c r="HB9" s="30"/>
      <c r="HC9" s="18"/>
      <c r="HD9" s="36" t="s">
        <v>52</v>
      </c>
      <c r="HE9" s="37">
        <v>4</v>
      </c>
      <c r="HF9" s="18"/>
      <c r="HG9" s="18"/>
      <c r="HH9" s="18"/>
      <c r="HI9" s="18"/>
      <c r="HJ9" s="18"/>
      <c r="HK9" s="18"/>
      <c r="HL9" s="31"/>
      <c r="HM9" s="30"/>
      <c r="HN9" s="18"/>
      <c r="HO9" s="36" t="s">
        <v>52</v>
      </c>
      <c r="HP9" s="37">
        <v>6</v>
      </c>
      <c r="HQ9" s="18"/>
      <c r="HR9" s="18"/>
      <c r="HS9" s="18"/>
      <c r="HT9" s="18"/>
      <c r="HU9" s="18"/>
      <c r="HV9" s="18"/>
      <c r="HW9" s="31"/>
      <c r="HX9" s="30"/>
      <c r="HY9" s="18"/>
      <c r="HZ9" s="36" t="s">
        <v>52</v>
      </c>
      <c r="IA9" s="37">
        <v>4.5</v>
      </c>
      <c r="IB9" s="18"/>
      <c r="IC9" s="18"/>
      <c r="ID9" s="18"/>
      <c r="IE9" s="18"/>
      <c r="IF9" s="18"/>
      <c r="IG9" s="18"/>
      <c r="IH9" s="31"/>
      <c r="II9" s="30"/>
      <c r="IJ9" s="18"/>
      <c r="IK9" s="36" t="s">
        <v>52</v>
      </c>
      <c r="IL9" s="37">
        <v>4.8</v>
      </c>
      <c r="IM9" s="18"/>
      <c r="IN9" s="18"/>
      <c r="IO9" s="18"/>
      <c r="IP9" s="18"/>
      <c r="IQ9" s="18"/>
      <c r="IR9" s="18"/>
      <c r="IS9" s="31"/>
      <c r="IT9" s="30"/>
      <c r="IU9" s="18"/>
      <c r="IV9" s="36" t="s">
        <v>52</v>
      </c>
      <c r="IW9" s="37">
        <v>4.8</v>
      </c>
      <c r="IX9" s="18"/>
      <c r="IY9" s="18"/>
      <c r="IZ9" s="18"/>
      <c r="JA9" s="18"/>
      <c r="JB9" s="18"/>
      <c r="JC9" s="18"/>
      <c r="JD9" s="31"/>
      <c r="JE9" s="30"/>
      <c r="JF9" s="18"/>
      <c r="JG9" s="36" t="s">
        <v>52</v>
      </c>
      <c r="JH9" s="37">
        <v>4.8</v>
      </c>
      <c r="JI9" s="18"/>
      <c r="JJ9" s="18"/>
      <c r="JK9" s="18"/>
      <c r="JL9" s="18"/>
      <c r="JM9" s="18"/>
      <c r="JN9" s="18"/>
      <c r="JO9" s="31"/>
      <c r="JP9" s="30"/>
      <c r="JQ9" s="18"/>
      <c r="JR9" s="36" t="s">
        <v>52</v>
      </c>
      <c r="JS9" s="37">
        <v>5</v>
      </c>
      <c r="JT9" s="18"/>
      <c r="JU9" s="18"/>
      <c r="JV9" s="18"/>
      <c r="JW9" s="18"/>
      <c r="JX9" s="18"/>
      <c r="JY9" s="18"/>
      <c r="JZ9" s="31"/>
      <c r="KA9" s="30"/>
      <c r="KB9" s="18"/>
      <c r="KC9" s="36" t="s">
        <v>52</v>
      </c>
      <c r="KD9" s="37">
        <v>5</v>
      </c>
      <c r="KE9" s="18"/>
      <c r="KF9" s="18"/>
      <c r="KG9" s="18"/>
      <c r="KH9" s="18"/>
      <c r="KI9" s="18"/>
      <c r="KJ9" s="18"/>
      <c r="KK9" s="31"/>
      <c r="KL9" s="30"/>
      <c r="KM9" s="18"/>
      <c r="KN9" s="36" t="s">
        <v>52</v>
      </c>
      <c r="KO9" s="37">
        <v>4.8</v>
      </c>
      <c r="KP9" s="18"/>
      <c r="KQ9" s="18"/>
      <c r="KR9" s="18"/>
      <c r="KS9" s="18"/>
      <c r="KT9" s="18"/>
      <c r="KU9" s="18"/>
      <c r="KV9" s="31"/>
      <c r="KW9" s="30"/>
      <c r="KX9" s="18"/>
      <c r="KY9" s="36" t="s">
        <v>71</v>
      </c>
      <c r="KZ9" s="38">
        <v>3</v>
      </c>
      <c r="LA9" s="18" t="s">
        <v>57</v>
      </c>
      <c r="LB9" s="18" t="s">
        <v>56</v>
      </c>
      <c r="LC9" s="18"/>
      <c r="LD9" s="18"/>
      <c r="LE9" s="18"/>
      <c r="LF9" s="18"/>
      <c r="LG9" s="31"/>
      <c r="LH9" s="30"/>
      <c r="LI9" s="18"/>
      <c r="LJ9" s="36" t="s">
        <v>52</v>
      </c>
      <c r="LK9" s="38">
        <v>6</v>
      </c>
      <c r="LL9" s="18"/>
      <c r="LM9" s="18"/>
      <c r="LN9" s="18"/>
      <c r="LO9" s="18"/>
      <c r="LP9" s="18"/>
      <c r="LQ9" s="18"/>
      <c r="LR9" s="31"/>
      <c r="LS9" s="30"/>
      <c r="LT9" s="18"/>
      <c r="LU9" s="36" t="s">
        <v>52</v>
      </c>
      <c r="LV9" s="37">
        <v>4.5</v>
      </c>
      <c r="LW9" s="18"/>
      <c r="LX9" s="18"/>
      <c r="LY9" s="18"/>
      <c r="LZ9" s="18"/>
      <c r="MA9" s="18"/>
      <c r="MB9" s="18"/>
      <c r="MC9" s="31"/>
      <c r="ME9" s="30"/>
      <c r="MF9" s="18"/>
      <c r="MG9" s="36" t="s">
        <v>52</v>
      </c>
      <c r="MH9" s="37">
        <v>4.5</v>
      </c>
      <c r="MI9" s="18"/>
      <c r="MJ9" s="18"/>
      <c r="MK9" s="18"/>
      <c r="ML9" s="18"/>
      <c r="MM9" s="18"/>
      <c r="MN9" s="18"/>
      <c r="MO9" s="31"/>
      <c r="MQ9" s="30"/>
      <c r="MR9" s="18"/>
      <c r="MS9" s="36" t="s">
        <v>52</v>
      </c>
      <c r="MT9" s="37">
        <v>5</v>
      </c>
      <c r="MU9" s="18"/>
      <c r="MV9" s="18"/>
      <c r="MW9" s="18"/>
      <c r="MX9" s="18"/>
      <c r="MY9" s="18"/>
      <c r="MZ9" s="18"/>
      <c r="NA9" s="31"/>
      <c r="ND9" s="30"/>
      <c r="NE9" s="18"/>
      <c r="NF9" s="36" t="s">
        <v>52</v>
      </c>
      <c r="NG9" s="37">
        <v>4.5</v>
      </c>
      <c r="NH9" s="18"/>
      <c r="NI9" s="18"/>
      <c r="NJ9" s="18"/>
      <c r="NK9" s="18"/>
      <c r="NL9" s="18"/>
      <c r="NM9" s="18"/>
      <c r="NN9" s="31"/>
      <c r="NP9" s="30"/>
      <c r="NQ9" s="18"/>
      <c r="NR9" s="36" t="s">
        <v>52</v>
      </c>
      <c r="NS9" s="37">
        <v>5</v>
      </c>
      <c r="NT9" s="18"/>
      <c r="NU9" s="18"/>
      <c r="NV9" s="18"/>
      <c r="NW9" s="18"/>
      <c r="NX9" s="18"/>
      <c r="NY9" s="18"/>
      <c r="NZ9" s="31"/>
      <c r="OC9" s="30"/>
      <c r="OD9" s="18"/>
      <c r="OE9" s="36" t="s">
        <v>52</v>
      </c>
      <c r="OF9" s="37">
        <v>5</v>
      </c>
      <c r="OG9" s="18"/>
      <c r="OH9" s="18"/>
      <c r="OI9" s="18"/>
      <c r="OJ9" s="18"/>
      <c r="OK9" s="18"/>
      <c r="OL9" s="18"/>
      <c r="OM9" s="31"/>
      <c r="OP9" s="30"/>
      <c r="OQ9" s="18"/>
      <c r="OR9" s="36" t="s">
        <v>52</v>
      </c>
      <c r="OS9" s="37">
        <v>5</v>
      </c>
      <c r="OT9" s="18"/>
      <c r="OU9" s="18"/>
      <c r="OV9" s="18"/>
      <c r="OW9" s="18"/>
      <c r="OX9" s="18"/>
      <c r="OY9" s="18"/>
      <c r="OZ9" s="31"/>
      <c r="PD9" s="30"/>
      <c r="PE9" s="18"/>
      <c r="PF9" s="36" t="s">
        <v>52</v>
      </c>
      <c r="PG9" s="37">
        <v>5</v>
      </c>
      <c r="PH9" s="18"/>
      <c r="PI9" s="18"/>
      <c r="PJ9" s="18"/>
      <c r="PK9" s="18"/>
      <c r="PL9" s="18"/>
      <c r="PM9" s="18"/>
      <c r="PN9" s="31"/>
      <c r="PQ9" s="30"/>
      <c r="PR9" s="18"/>
      <c r="PS9" s="36" t="s">
        <v>52</v>
      </c>
      <c r="PT9" s="37">
        <v>5</v>
      </c>
      <c r="PU9" s="18"/>
      <c r="PV9" s="18"/>
      <c r="PW9" s="18"/>
      <c r="PX9" s="18"/>
      <c r="PY9" s="18"/>
      <c r="PZ9" s="18"/>
      <c r="QA9" s="31"/>
      <c r="QD9" s="30"/>
      <c r="QE9" s="18"/>
      <c r="QF9" s="36" t="s">
        <v>52</v>
      </c>
      <c r="QG9" s="37">
        <v>6</v>
      </c>
      <c r="QH9" s="18"/>
      <c r="QI9" s="18"/>
      <c r="QJ9" s="18"/>
      <c r="QK9" s="18"/>
      <c r="QL9" s="18"/>
      <c r="QM9" s="18"/>
      <c r="QN9" s="31"/>
      <c r="QQ9" s="30"/>
      <c r="QR9" s="18"/>
      <c r="QS9" s="36" t="s">
        <v>52</v>
      </c>
      <c r="QT9" s="37">
        <v>5</v>
      </c>
      <c r="QU9" s="18"/>
      <c r="QV9" s="18"/>
      <c r="QW9" s="18"/>
      <c r="QX9" s="18"/>
      <c r="QY9" s="18"/>
      <c r="QZ9" s="18"/>
      <c r="RA9" s="31"/>
    </row>
    <row r="10" spans="1:469" x14ac:dyDescent="0.25">
      <c r="A10" s="30"/>
      <c r="B10" s="18"/>
      <c r="C10" s="36" t="s">
        <v>45</v>
      </c>
      <c r="D10" s="37">
        <f>D6*D9</f>
        <v>3</v>
      </c>
      <c r="E10" s="18"/>
      <c r="F10" s="18"/>
      <c r="G10" s="18"/>
      <c r="H10" s="18"/>
      <c r="I10" s="18"/>
      <c r="J10" s="18"/>
      <c r="K10" s="31"/>
      <c r="L10" s="30"/>
      <c r="M10" s="18"/>
      <c r="N10" s="36" t="s">
        <v>45</v>
      </c>
      <c r="O10" s="37">
        <f>O6*O9</f>
        <v>5</v>
      </c>
      <c r="P10" s="18"/>
      <c r="Q10" s="18"/>
      <c r="R10" s="18"/>
      <c r="S10" s="18"/>
      <c r="T10" s="18"/>
      <c r="U10" s="18"/>
      <c r="V10" s="31"/>
      <c r="W10" s="30"/>
      <c r="X10" s="18"/>
      <c r="Y10" s="36" t="s">
        <v>45</v>
      </c>
      <c r="Z10" s="37">
        <f>Z6*Z9</f>
        <v>27</v>
      </c>
      <c r="AA10" s="18"/>
      <c r="AB10" s="18"/>
      <c r="AC10" s="18"/>
      <c r="AD10" s="18"/>
      <c r="AE10" s="18"/>
      <c r="AF10" s="18"/>
      <c r="AG10" s="31"/>
      <c r="AH10" s="30"/>
      <c r="AI10" s="18"/>
      <c r="AJ10" s="36" t="s">
        <v>45</v>
      </c>
      <c r="AK10" s="37">
        <f>AK6*AK9</f>
        <v>28</v>
      </c>
      <c r="AL10" s="18"/>
      <c r="AM10" s="18"/>
      <c r="AN10" s="18"/>
      <c r="AO10" s="18"/>
      <c r="AP10" s="18"/>
      <c r="AQ10" s="18"/>
      <c r="AR10" s="31"/>
      <c r="AS10" s="30"/>
      <c r="AT10" s="18"/>
      <c r="AU10" s="36" t="s">
        <v>45</v>
      </c>
      <c r="AV10" s="37">
        <f>AV6*AV9</f>
        <v>28</v>
      </c>
      <c r="AW10" s="18"/>
      <c r="AX10" s="18"/>
      <c r="AY10" s="18"/>
      <c r="AZ10" s="18"/>
      <c r="BA10" s="18"/>
      <c r="BB10" s="18"/>
      <c r="BC10" s="31"/>
      <c r="BD10" s="30"/>
      <c r="BE10" s="18"/>
      <c r="BF10" s="36" t="s">
        <v>45</v>
      </c>
      <c r="BG10" s="37">
        <f>BG6*BG9</f>
        <v>32</v>
      </c>
      <c r="BH10" s="18"/>
      <c r="BI10" s="18"/>
      <c r="BJ10" s="18"/>
      <c r="BK10" s="18"/>
      <c r="BL10" s="18"/>
      <c r="BM10" s="18"/>
      <c r="BN10" s="31"/>
      <c r="BO10" s="30"/>
      <c r="BP10" s="18"/>
      <c r="BQ10" s="36" t="s">
        <v>45</v>
      </c>
      <c r="BR10" s="37">
        <f>BR6*BR9</f>
        <v>25</v>
      </c>
      <c r="BS10" s="18"/>
      <c r="BT10" s="18"/>
      <c r="BU10" s="18"/>
      <c r="BV10" s="18"/>
      <c r="BW10" s="18"/>
      <c r="BX10" s="18"/>
      <c r="BY10" s="31"/>
      <c r="BZ10" s="30"/>
      <c r="CA10" s="18"/>
      <c r="CB10" s="36" t="s">
        <v>45</v>
      </c>
      <c r="CC10" s="37">
        <f>CC6*CC9</f>
        <v>31.5</v>
      </c>
      <c r="CD10" s="18"/>
      <c r="CE10" s="18"/>
      <c r="CF10" s="18"/>
      <c r="CG10" s="18"/>
      <c r="CH10" s="18"/>
      <c r="CI10" s="18"/>
      <c r="CJ10" s="31"/>
      <c r="CK10" s="30"/>
      <c r="CL10" s="18"/>
      <c r="CM10" s="36" t="s">
        <v>45</v>
      </c>
      <c r="CN10" s="37">
        <f>CN6*CN9</f>
        <v>22</v>
      </c>
      <c r="CO10" s="18"/>
      <c r="CP10" s="18"/>
      <c r="CQ10" s="18"/>
      <c r="CR10" s="18"/>
      <c r="CS10" s="18"/>
      <c r="CT10" s="18"/>
      <c r="CU10" s="31"/>
      <c r="CV10" s="30"/>
      <c r="CW10" s="18"/>
      <c r="CX10" s="36" t="s">
        <v>45</v>
      </c>
      <c r="CY10" s="37">
        <f>CY6*CY9</f>
        <v>60</v>
      </c>
      <c r="CZ10" s="18"/>
      <c r="DA10" s="18"/>
      <c r="DB10" s="18"/>
      <c r="DC10" s="18"/>
      <c r="DD10" s="18"/>
      <c r="DE10" s="18"/>
      <c r="DF10" s="31"/>
      <c r="DG10" s="30"/>
      <c r="DH10" s="18"/>
      <c r="DI10" s="36" t="s">
        <v>45</v>
      </c>
      <c r="DJ10" s="37">
        <f>DJ6*DJ9</f>
        <v>28</v>
      </c>
      <c r="DK10" s="18"/>
      <c r="DL10" s="18"/>
      <c r="DM10" s="18"/>
      <c r="DN10" s="18"/>
      <c r="DO10" s="18"/>
      <c r="DP10" s="18"/>
      <c r="DQ10" s="31"/>
      <c r="DR10" s="30"/>
      <c r="DS10" s="18"/>
      <c r="DT10" s="36" t="s">
        <v>45</v>
      </c>
      <c r="DU10" s="37">
        <f>DU6*DU9</f>
        <v>45</v>
      </c>
      <c r="DV10" s="18"/>
      <c r="DW10" s="18"/>
      <c r="DX10" s="18"/>
      <c r="DY10" s="18"/>
      <c r="DZ10" s="18"/>
      <c r="EA10" s="18"/>
      <c r="EB10" s="31"/>
      <c r="EC10" s="30"/>
      <c r="ED10" s="18"/>
      <c r="EE10" s="36" t="s">
        <v>45</v>
      </c>
      <c r="EF10" s="37">
        <f>EF6*EF9</f>
        <v>48</v>
      </c>
      <c r="EG10" s="18"/>
      <c r="EH10" s="18"/>
      <c r="EI10" s="18"/>
      <c r="EJ10" s="18"/>
      <c r="EK10" s="18"/>
      <c r="EL10" s="18"/>
      <c r="EM10" s="31"/>
      <c r="EN10" s="30"/>
      <c r="EO10" s="18"/>
      <c r="EP10" s="36" t="s">
        <v>45</v>
      </c>
      <c r="EQ10" s="37">
        <f>EQ6*EQ9</f>
        <v>48</v>
      </c>
      <c r="ER10" s="18"/>
      <c r="ES10" s="18"/>
      <c r="ET10" s="18"/>
      <c r="EU10" s="18"/>
      <c r="EV10" s="18"/>
      <c r="EW10" s="18"/>
      <c r="EX10" s="31"/>
      <c r="EY10" s="30"/>
      <c r="EZ10" s="18"/>
      <c r="FA10" s="36" t="s">
        <v>45</v>
      </c>
      <c r="FB10" s="37">
        <f>FB6*FB9</f>
        <v>24.5</v>
      </c>
      <c r="FC10" s="18"/>
      <c r="FD10" s="18"/>
      <c r="FE10" s="18"/>
      <c r="FF10" s="18"/>
      <c r="FG10" s="18"/>
      <c r="FH10" s="18"/>
      <c r="FI10" s="31"/>
      <c r="FJ10" s="30"/>
      <c r="FK10" s="18"/>
      <c r="FL10" s="36" t="s">
        <v>45</v>
      </c>
      <c r="FM10" s="37">
        <f>FM6*FM9</f>
        <v>31.5</v>
      </c>
      <c r="FN10" s="18"/>
      <c r="FO10" s="18"/>
      <c r="FP10" s="18"/>
      <c r="FQ10" s="18"/>
      <c r="FR10" s="18"/>
      <c r="FS10" s="18"/>
      <c r="FT10" s="31"/>
      <c r="FU10" s="30"/>
      <c r="FV10" s="18"/>
      <c r="FW10" s="36" t="s">
        <v>45</v>
      </c>
      <c r="FX10" s="37">
        <f>FX6*FX9</f>
        <v>28</v>
      </c>
      <c r="FY10" s="18"/>
      <c r="FZ10" s="18"/>
      <c r="GA10" s="18"/>
      <c r="GB10" s="18"/>
      <c r="GC10" s="18"/>
      <c r="GD10" s="18"/>
      <c r="GE10" s="31"/>
      <c r="GF10" s="30"/>
      <c r="GG10" s="18"/>
      <c r="GH10" s="36" t="s">
        <v>45</v>
      </c>
      <c r="GI10" s="37">
        <f>GI6*GI9</f>
        <v>75</v>
      </c>
      <c r="GJ10" s="18"/>
      <c r="GK10" s="18"/>
      <c r="GL10" s="18"/>
      <c r="GM10" s="18"/>
      <c r="GN10" s="18"/>
      <c r="GO10" s="18"/>
      <c r="GP10" s="31"/>
      <c r="GQ10" s="30"/>
      <c r="GR10" s="18"/>
      <c r="GS10" s="36" t="s">
        <v>45</v>
      </c>
      <c r="GT10" s="37">
        <f>GT6*GT9</f>
        <v>32</v>
      </c>
      <c r="GU10" s="18"/>
      <c r="GV10" s="18"/>
      <c r="GW10" s="18"/>
      <c r="GX10" s="18"/>
      <c r="GY10" s="18"/>
      <c r="GZ10" s="18"/>
      <c r="HA10" s="31"/>
      <c r="HB10" s="30"/>
      <c r="HC10" s="18"/>
      <c r="HD10" s="36" t="s">
        <v>45</v>
      </c>
      <c r="HE10" s="37">
        <f>HE6*HE9</f>
        <v>48</v>
      </c>
      <c r="HF10" s="18"/>
      <c r="HG10" s="18"/>
      <c r="HH10" s="18"/>
      <c r="HI10" s="18"/>
      <c r="HJ10" s="18"/>
      <c r="HK10" s="18"/>
      <c r="HL10" s="31"/>
      <c r="HM10" s="30"/>
      <c r="HN10" s="18"/>
      <c r="HO10" s="36" t="s">
        <v>45</v>
      </c>
      <c r="HP10" s="37">
        <f>HP6*HP9</f>
        <v>48</v>
      </c>
      <c r="HQ10" s="18"/>
      <c r="HR10" s="18"/>
      <c r="HS10" s="18"/>
      <c r="HT10" s="18"/>
      <c r="HU10" s="18"/>
      <c r="HV10" s="18"/>
      <c r="HW10" s="31"/>
      <c r="HX10" s="30"/>
      <c r="HY10" s="18"/>
      <c r="HZ10" s="36" t="s">
        <v>45</v>
      </c>
      <c r="IA10" s="37">
        <f>IA6*IA9</f>
        <v>31.5</v>
      </c>
      <c r="IB10" s="18"/>
      <c r="IC10" s="18"/>
      <c r="ID10" s="18"/>
      <c r="IE10" s="18"/>
      <c r="IF10" s="18"/>
      <c r="IG10" s="18"/>
      <c r="IH10" s="31"/>
      <c r="II10" s="30"/>
      <c r="IJ10" s="18"/>
      <c r="IK10" s="36" t="s">
        <v>45</v>
      </c>
      <c r="IL10" s="37">
        <f>IL6*IL9</f>
        <v>91.2</v>
      </c>
      <c r="IM10" s="18"/>
      <c r="IN10" s="18"/>
      <c r="IO10" s="18"/>
      <c r="IP10" s="18"/>
      <c r="IQ10" s="18"/>
      <c r="IR10" s="18"/>
      <c r="IS10" s="31"/>
      <c r="IT10" s="30"/>
      <c r="IU10" s="18"/>
      <c r="IV10" s="36" t="s">
        <v>45</v>
      </c>
      <c r="IW10" s="37">
        <f>IW6*IW9</f>
        <v>91.2</v>
      </c>
      <c r="IX10" s="18"/>
      <c r="IY10" s="18"/>
      <c r="IZ10" s="18"/>
      <c r="JA10" s="18"/>
      <c r="JB10" s="18"/>
      <c r="JC10" s="18"/>
      <c r="JD10" s="31"/>
      <c r="JE10" s="30"/>
      <c r="JF10" s="18"/>
      <c r="JG10" s="36" t="s">
        <v>45</v>
      </c>
      <c r="JH10" s="37">
        <f>JH6*JH9</f>
        <v>91.2</v>
      </c>
      <c r="JI10" s="18"/>
      <c r="JJ10" s="18"/>
      <c r="JK10" s="18"/>
      <c r="JL10" s="18"/>
      <c r="JM10" s="18"/>
      <c r="JN10" s="18"/>
      <c r="JO10" s="31"/>
      <c r="JP10" s="30"/>
      <c r="JQ10" s="18"/>
      <c r="JR10" s="36" t="s">
        <v>45</v>
      </c>
      <c r="JS10" s="37">
        <f>JS6*JS9</f>
        <v>95</v>
      </c>
      <c r="JT10" s="18"/>
      <c r="JU10" s="18"/>
      <c r="JV10" s="18"/>
      <c r="JW10" s="18"/>
      <c r="JX10" s="18"/>
      <c r="JY10" s="18"/>
      <c r="JZ10" s="31"/>
      <c r="KA10" s="30"/>
      <c r="KB10" s="18"/>
      <c r="KC10" s="36" t="s">
        <v>45</v>
      </c>
      <c r="KD10" s="37">
        <f>KD6*KD9</f>
        <v>95</v>
      </c>
      <c r="KE10" s="18"/>
      <c r="KF10" s="18"/>
      <c r="KG10" s="18"/>
      <c r="KH10" s="18"/>
      <c r="KI10" s="18"/>
      <c r="KJ10" s="18"/>
      <c r="KK10" s="31"/>
      <c r="KL10" s="30"/>
      <c r="KM10" s="18"/>
      <c r="KN10" s="36" t="s">
        <v>45</v>
      </c>
      <c r="KO10" s="37">
        <f>KO6*KO9</f>
        <v>91.2</v>
      </c>
      <c r="KP10" s="18"/>
      <c r="KQ10" s="18"/>
      <c r="KR10" s="18"/>
      <c r="KS10" s="18"/>
      <c r="KT10" s="18"/>
      <c r="KU10" s="18"/>
      <c r="KV10" s="31"/>
      <c r="KW10" s="30"/>
      <c r="KX10" s="18"/>
      <c r="KY10" s="36" t="s">
        <v>52</v>
      </c>
      <c r="KZ10" s="37">
        <v>9</v>
      </c>
      <c r="LA10" s="18"/>
      <c r="LB10" s="18"/>
      <c r="LC10" s="18"/>
      <c r="LD10" s="18"/>
      <c r="LE10" s="18"/>
      <c r="LF10" s="18"/>
      <c r="LG10" s="31"/>
      <c r="LH10" s="30"/>
      <c r="LI10" s="18"/>
      <c r="LJ10" s="36" t="s">
        <v>45</v>
      </c>
      <c r="LK10" s="37">
        <f>LK6*LK9</f>
        <v>114</v>
      </c>
      <c r="LL10" s="18"/>
      <c r="LM10" s="18"/>
      <c r="LN10" s="18"/>
      <c r="LO10" s="18"/>
      <c r="LP10" s="18"/>
      <c r="LQ10" s="18"/>
      <c r="LR10" s="31"/>
      <c r="LS10" s="30"/>
      <c r="LT10" s="18"/>
      <c r="LU10" s="36" t="s">
        <v>45</v>
      </c>
      <c r="LV10" s="37">
        <f>LV6*LV9</f>
        <v>27</v>
      </c>
      <c r="LW10" s="18"/>
      <c r="LX10" s="18"/>
      <c r="LY10" s="18"/>
      <c r="LZ10" s="18"/>
      <c r="MA10" s="18"/>
      <c r="MB10" s="18"/>
      <c r="MC10" s="31"/>
      <c r="ME10" s="30"/>
      <c r="MF10" s="18"/>
      <c r="MG10" s="36" t="s">
        <v>45</v>
      </c>
      <c r="MH10" s="37">
        <f>MH6*MH9</f>
        <v>22.5</v>
      </c>
      <c r="MI10" s="18"/>
      <c r="MJ10" s="18"/>
      <c r="MK10" s="18"/>
      <c r="ML10" s="18"/>
      <c r="MM10" s="18"/>
      <c r="MN10" s="18"/>
      <c r="MO10" s="31"/>
      <c r="MQ10" s="30"/>
      <c r="MR10" s="18"/>
      <c r="MS10" s="36" t="s">
        <v>45</v>
      </c>
      <c r="MT10" s="37">
        <f>MT6*MT9</f>
        <v>15</v>
      </c>
      <c r="MU10" s="18"/>
      <c r="MV10" s="18"/>
      <c r="MW10" s="18"/>
      <c r="MX10" s="18"/>
      <c r="MY10" s="18"/>
      <c r="MZ10" s="18"/>
      <c r="NA10" s="31"/>
      <c r="ND10" s="30"/>
      <c r="NE10" s="18"/>
      <c r="NF10" s="36" t="s">
        <v>45</v>
      </c>
      <c r="NG10" s="37">
        <f>NG6*NG9</f>
        <v>45</v>
      </c>
      <c r="NH10" s="18"/>
      <c r="NI10" s="18"/>
      <c r="NJ10" s="18"/>
      <c r="NK10" s="18"/>
      <c r="NL10" s="18"/>
      <c r="NM10" s="18"/>
      <c r="NN10" s="31"/>
      <c r="NP10" s="30"/>
      <c r="NQ10" s="18"/>
      <c r="NR10" s="36" t="s">
        <v>45</v>
      </c>
      <c r="NS10" s="37">
        <f>NS6*NS9</f>
        <v>15</v>
      </c>
      <c r="NT10" s="18"/>
      <c r="NU10" s="18"/>
      <c r="NV10" s="18"/>
      <c r="NW10" s="18"/>
      <c r="NX10" s="18"/>
      <c r="NY10" s="18"/>
      <c r="NZ10" s="31"/>
      <c r="OC10" s="30"/>
      <c r="OD10" s="18"/>
      <c r="OE10" s="36" t="s">
        <v>45</v>
      </c>
      <c r="OF10" s="37">
        <f>OF6*OF9</f>
        <v>20</v>
      </c>
      <c r="OG10" s="18"/>
      <c r="OH10" s="18"/>
      <c r="OI10" s="18"/>
      <c r="OJ10" s="18"/>
      <c r="OK10" s="18"/>
      <c r="OL10" s="18"/>
      <c r="OM10" s="31"/>
      <c r="OP10" s="30"/>
      <c r="OQ10" s="18"/>
      <c r="OR10" s="36" t="s">
        <v>45</v>
      </c>
      <c r="OS10" s="37">
        <f>OS6*OS9</f>
        <v>20</v>
      </c>
      <c r="OT10" s="18"/>
      <c r="OU10" s="18"/>
      <c r="OV10" s="18"/>
      <c r="OW10" s="18"/>
      <c r="OX10" s="18"/>
      <c r="OY10" s="18"/>
      <c r="OZ10" s="31"/>
      <c r="PD10" s="30"/>
      <c r="PE10" s="18"/>
      <c r="PF10" s="36" t="s">
        <v>45</v>
      </c>
      <c r="PG10" s="37">
        <f>PG6*PG9</f>
        <v>20</v>
      </c>
      <c r="PH10" s="18"/>
      <c r="PI10" s="18"/>
      <c r="PJ10" s="18"/>
      <c r="PK10" s="18"/>
      <c r="PL10" s="18"/>
      <c r="PM10" s="18"/>
      <c r="PN10" s="31"/>
      <c r="PQ10" s="30"/>
      <c r="PR10" s="18"/>
      <c r="PS10" s="36" t="s">
        <v>45</v>
      </c>
      <c r="PT10" s="37">
        <f>PT6*PT9</f>
        <v>20</v>
      </c>
      <c r="PU10" s="18"/>
      <c r="PV10" s="18"/>
      <c r="PW10" s="18"/>
      <c r="PX10" s="18"/>
      <c r="PY10" s="18"/>
      <c r="PZ10" s="18"/>
      <c r="QA10" s="31"/>
      <c r="QD10" s="30"/>
      <c r="QE10" s="18"/>
      <c r="QF10" s="36" t="s">
        <v>45</v>
      </c>
      <c r="QG10" s="37">
        <f>QG6*QG9</f>
        <v>12</v>
      </c>
      <c r="QH10" s="18"/>
      <c r="QI10" s="18"/>
      <c r="QJ10" s="18"/>
      <c r="QK10" s="18"/>
      <c r="QL10" s="18"/>
      <c r="QM10" s="18"/>
      <c r="QN10" s="31"/>
      <c r="QQ10" s="30"/>
      <c r="QR10" s="18"/>
      <c r="QS10" s="36" t="s">
        <v>45</v>
      </c>
      <c r="QT10" s="37">
        <f>QT6*QT9</f>
        <v>20</v>
      </c>
      <c r="QU10" s="18"/>
      <c r="QV10" s="18"/>
      <c r="QW10" s="18"/>
      <c r="QX10" s="18"/>
      <c r="QY10" s="18"/>
      <c r="QZ10" s="18"/>
      <c r="RA10" s="31"/>
    </row>
    <row r="11" spans="1:469" ht="15.75" thickBot="1" x14ac:dyDescent="0.3">
      <c r="A11" s="30"/>
      <c r="B11" s="18"/>
      <c r="C11" s="39" t="s">
        <v>48</v>
      </c>
      <c r="D11" s="40">
        <f>D4*D10</f>
        <v>9</v>
      </c>
      <c r="E11" s="18"/>
      <c r="F11" s="18"/>
      <c r="G11" s="18"/>
      <c r="H11" s="18"/>
      <c r="I11" s="18"/>
      <c r="J11" s="18"/>
      <c r="K11" s="31"/>
      <c r="L11" s="30"/>
      <c r="M11" s="18"/>
      <c r="N11" s="39" t="s">
        <v>48</v>
      </c>
      <c r="O11" s="40">
        <f>O4*O10</f>
        <v>27.5</v>
      </c>
      <c r="P11" s="18"/>
      <c r="Q11" s="18"/>
      <c r="R11" s="18"/>
      <c r="S11" s="18"/>
      <c r="T11" s="18"/>
      <c r="U11" s="18"/>
      <c r="V11" s="31"/>
      <c r="W11" s="30"/>
      <c r="X11" s="18"/>
      <c r="Y11" s="39" t="s">
        <v>48</v>
      </c>
      <c r="Z11" s="40">
        <f>Z4*Z10</f>
        <v>162</v>
      </c>
      <c r="AA11" s="18"/>
      <c r="AB11" s="18"/>
      <c r="AC11" s="18"/>
      <c r="AD11" s="18"/>
      <c r="AE11" s="18"/>
      <c r="AF11" s="18"/>
      <c r="AG11" s="31"/>
      <c r="AH11" s="30"/>
      <c r="AI11" s="18"/>
      <c r="AJ11" s="39" t="s">
        <v>48</v>
      </c>
      <c r="AK11" s="40">
        <f>AK4*AK10</f>
        <v>252</v>
      </c>
      <c r="AL11" s="18"/>
      <c r="AM11" s="18"/>
      <c r="AN11" s="18"/>
      <c r="AO11" s="18"/>
      <c r="AP11" s="18"/>
      <c r="AQ11" s="18"/>
      <c r="AR11" s="31"/>
      <c r="AS11" s="30"/>
      <c r="AT11" s="18"/>
      <c r="AU11" s="39" t="s">
        <v>48</v>
      </c>
      <c r="AV11" s="40">
        <f>AV4*AV10</f>
        <v>336</v>
      </c>
      <c r="AW11" s="18"/>
      <c r="AX11" s="18"/>
      <c r="AY11" s="18"/>
      <c r="AZ11" s="18"/>
      <c r="BA11" s="18"/>
      <c r="BB11" s="18"/>
      <c r="BC11" s="31"/>
      <c r="BD11" s="30"/>
      <c r="BE11" s="18"/>
      <c r="BF11" s="39" t="s">
        <v>48</v>
      </c>
      <c r="BG11" s="40">
        <f>BG4*BG10</f>
        <v>396.8</v>
      </c>
      <c r="BH11" s="18"/>
      <c r="BI11" s="18"/>
      <c r="BJ11" s="18"/>
      <c r="BK11" s="18"/>
      <c r="BL11" s="18"/>
      <c r="BM11" s="18"/>
      <c r="BN11" s="31"/>
      <c r="BO11" s="30"/>
      <c r="BP11" s="18"/>
      <c r="BQ11" s="39" t="s">
        <v>48</v>
      </c>
      <c r="BR11" s="40">
        <f>BR4*BR10</f>
        <v>300</v>
      </c>
      <c r="BS11" s="18"/>
      <c r="BT11" s="18"/>
      <c r="BU11" s="18"/>
      <c r="BV11" s="18"/>
      <c r="BW11" s="18"/>
      <c r="BX11" s="18"/>
      <c r="BY11" s="31"/>
      <c r="BZ11" s="30"/>
      <c r="CA11" s="18"/>
      <c r="CB11" s="39" t="s">
        <v>48</v>
      </c>
      <c r="CC11" s="40">
        <f>CC4*CC10</f>
        <v>472.5</v>
      </c>
      <c r="CD11" s="18"/>
      <c r="CE11" s="18"/>
      <c r="CF11" s="18"/>
      <c r="CG11" s="18"/>
      <c r="CH11" s="18"/>
      <c r="CI11" s="18"/>
      <c r="CJ11" s="31"/>
      <c r="CK11" s="30"/>
      <c r="CL11" s="18"/>
      <c r="CM11" s="39" t="s">
        <v>48</v>
      </c>
      <c r="CN11" s="40">
        <f>CN4*CN10</f>
        <v>341</v>
      </c>
      <c r="CO11" s="18"/>
      <c r="CP11" s="18"/>
      <c r="CQ11" s="18"/>
      <c r="CR11" s="18"/>
      <c r="CS11" s="18"/>
      <c r="CT11" s="18"/>
      <c r="CU11" s="31"/>
      <c r="CV11" s="30"/>
      <c r="CW11" s="18"/>
      <c r="CX11" s="39" t="s">
        <v>48</v>
      </c>
      <c r="CY11" s="40">
        <f>CY4*CY10</f>
        <v>240</v>
      </c>
      <c r="CZ11" s="18"/>
      <c r="DA11" s="18"/>
      <c r="DB11" s="18"/>
      <c r="DC11" s="18"/>
      <c r="DD11" s="18"/>
      <c r="DE11" s="18"/>
      <c r="DF11" s="31"/>
      <c r="DG11" s="30"/>
      <c r="DH11" s="18"/>
      <c r="DI11" s="39" t="s">
        <v>48</v>
      </c>
      <c r="DJ11" s="40">
        <f>DJ4*DJ10</f>
        <v>504</v>
      </c>
      <c r="DK11" s="18"/>
      <c r="DL11" s="18"/>
      <c r="DM11" s="18"/>
      <c r="DN11" s="18"/>
      <c r="DO11" s="18"/>
      <c r="DP11" s="18"/>
      <c r="DQ11" s="31"/>
      <c r="DR11" s="30"/>
      <c r="DS11" s="18"/>
      <c r="DT11" s="39" t="s">
        <v>48</v>
      </c>
      <c r="DU11" s="40">
        <f>DU4*DU10</f>
        <v>450</v>
      </c>
      <c r="DV11" s="18"/>
      <c r="DW11" s="18"/>
      <c r="DX11" s="18"/>
      <c r="DY11" s="18"/>
      <c r="DZ11" s="18"/>
      <c r="EA11" s="18"/>
      <c r="EB11" s="31"/>
      <c r="EC11" s="30"/>
      <c r="ED11" s="18"/>
      <c r="EE11" s="39" t="s">
        <v>48</v>
      </c>
      <c r="EF11" s="40">
        <f>EF4*EF10</f>
        <v>979.19999999999993</v>
      </c>
      <c r="EG11" s="18"/>
      <c r="EH11" s="18"/>
      <c r="EI11" s="18"/>
      <c r="EJ11" s="18"/>
      <c r="EK11" s="18"/>
      <c r="EL11" s="18"/>
      <c r="EM11" s="31"/>
      <c r="EN11" s="30"/>
      <c r="EO11" s="18"/>
      <c r="EP11" s="39" t="s">
        <v>48</v>
      </c>
      <c r="EQ11" s="40">
        <f>EQ4*EQ10</f>
        <v>979.19999999999993</v>
      </c>
      <c r="ER11" s="18"/>
      <c r="ES11" s="18"/>
      <c r="ET11" s="18"/>
      <c r="EU11" s="18"/>
      <c r="EV11" s="18"/>
      <c r="EW11" s="18"/>
      <c r="EX11" s="31"/>
      <c r="EY11" s="30"/>
      <c r="EZ11" s="18"/>
      <c r="FA11" s="39" t="s">
        <v>48</v>
      </c>
      <c r="FB11" s="40">
        <f>FB4*FB10</f>
        <v>514.5</v>
      </c>
      <c r="FC11" s="18"/>
      <c r="FD11" s="18"/>
      <c r="FE11" s="18"/>
      <c r="FF11" s="18"/>
      <c r="FG11" s="18"/>
      <c r="FH11" s="18"/>
      <c r="FI11" s="31"/>
      <c r="FJ11" s="30"/>
      <c r="FK11" s="18"/>
      <c r="FL11" s="39" t="s">
        <v>48</v>
      </c>
      <c r="FM11" s="40">
        <f>(FM4+FN4)*FM10</f>
        <v>661.5</v>
      </c>
      <c r="FN11" s="18"/>
      <c r="FO11" s="18"/>
      <c r="FP11" s="18"/>
      <c r="FQ11" s="18"/>
      <c r="FR11" s="18"/>
      <c r="FS11" s="18"/>
      <c r="FT11" s="31"/>
      <c r="FU11" s="30"/>
      <c r="FV11" s="18"/>
      <c r="FW11" s="39" t="s">
        <v>48</v>
      </c>
      <c r="FX11" s="40">
        <f>FX4*FX10</f>
        <v>672</v>
      </c>
      <c r="FY11" s="18"/>
      <c r="FZ11" s="18"/>
      <c r="GA11" s="18"/>
      <c r="GB11" s="18"/>
      <c r="GC11" s="18"/>
      <c r="GD11" s="18"/>
      <c r="GE11" s="31"/>
      <c r="GF11" s="30"/>
      <c r="GG11" s="18"/>
      <c r="GH11" s="39" t="s">
        <v>48</v>
      </c>
      <c r="GI11" s="40">
        <f>GI4*GI10</f>
        <v>1800</v>
      </c>
      <c r="GJ11" s="18"/>
      <c r="GK11" s="18"/>
      <c r="GL11" s="18"/>
      <c r="GM11" s="18"/>
      <c r="GN11" s="18"/>
      <c r="GO11" s="18"/>
      <c r="GP11" s="31"/>
      <c r="GQ11" s="30"/>
      <c r="GR11" s="18"/>
      <c r="GS11" s="39" t="s">
        <v>48</v>
      </c>
      <c r="GT11" s="40">
        <f>GT4*GT10</f>
        <v>800</v>
      </c>
      <c r="GU11" s="18"/>
      <c r="GV11" s="18"/>
      <c r="GW11" s="18"/>
      <c r="GX11" s="18"/>
      <c r="GY11" s="18"/>
      <c r="GZ11" s="18"/>
      <c r="HA11" s="31"/>
      <c r="HB11" s="30"/>
      <c r="HC11" s="18"/>
      <c r="HD11" s="39" t="s">
        <v>48</v>
      </c>
      <c r="HE11" s="40">
        <f>HE4*HE10</f>
        <v>1200</v>
      </c>
      <c r="HF11" s="18"/>
      <c r="HG11" s="18"/>
      <c r="HH11" s="18"/>
      <c r="HI11" s="18"/>
      <c r="HJ11" s="18"/>
      <c r="HK11" s="18"/>
      <c r="HL11" s="31"/>
      <c r="HM11" s="30"/>
      <c r="HN11" s="18"/>
      <c r="HO11" s="39" t="s">
        <v>48</v>
      </c>
      <c r="HP11" s="40">
        <f>HP4*HP10</f>
        <v>1200</v>
      </c>
      <c r="HQ11" s="18"/>
      <c r="HR11" s="18"/>
      <c r="HS11" s="18"/>
      <c r="HT11" s="18"/>
      <c r="HU11" s="18"/>
      <c r="HV11" s="18"/>
      <c r="HW11" s="31"/>
      <c r="HX11" s="30"/>
      <c r="HY11" s="18"/>
      <c r="HZ11" s="39" t="s">
        <v>48</v>
      </c>
      <c r="IA11" s="40">
        <f>IA4*IA10</f>
        <v>1134</v>
      </c>
      <c r="IB11" s="18"/>
      <c r="IC11" s="18"/>
      <c r="ID11" s="18"/>
      <c r="IE11" s="18"/>
      <c r="IF11" s="18"/>
      <c r="IG11" s="18"/>
      <c r="IH11" s="31"/>
      <c r="II11" s="30"/>
      <c r="IJ11" s="18"/>
      <c r="IK11" s="39" t="s">
        <v>48</v>
      </c>
      <c r="IL11" s="40">
        <f>IL4*IL10</f>
        <v>2973.1200000000003</v>
      </c>
      <c r="IM11" s="18"/>
      <c r="IN11" s="18"/>
      <c r="IO11" s="18"/>
      <c r="IP11" s="18"/>
      <c r="IQ11" s="18"/>
      <c r="IR11" s="18"/>
      <c r="IS11" s="31"/>
      <c r="IT11" s="30"/>
      <c r="IU11" s="18"/>
      <c r="IV11" s="39" t="s">
        <v>48</v>
      </c>
      <c r="IW11" s="40">
        <f>IW4*IW10</f>
        <v>2973.1200000000003</v>
      </c>
      <c r="IX11" s="18"/>
      <c r="IY11" s="18"/>
      <c r="IZ11" s="18"/>
      <c r="JA11" s="18"/>
      <c r="JB11" s="18"/>
      <c r="JC11" s="18"/>
      <c r="JD11" s="31"/>
      <c r="JE11" s="30"/>
      <c r="JF11" s="18"/>
      <c r="JG11" s="39" t="s">
        <v>48</v>
      </c>
      <c r="JH11" s="40">
        <f>JH4*JH10</f>
        <v>2918.4</v>
      </c>
      <c r="JI11" s="18"/>
      <c r="JJ11" s="18"/>
      <c r="JK11" s="18"/>
      <c r="JL11" s="18"/>
      <c r="JM11" s="18"/>
      <c r="JN11" s="18"/>
      <c r="JO11" s="31"/>
      <c r="JP11" s="30"/>
      <c r="JQ11" s="18"/>
      <c r="JR11" s="39" t="s">
        <v>48</v>
      </c>
      <c r="JS11" s="40">
        <f>JS4*JS10</f>
        <v>2660</v>
      </c>
      <c r="JT11" s="18"/>
      <c r="JU11" s="18"/>
      <c r="JV11" s="18"/>
      <c r="JW11" s="18"/>
      <c r="JX11" s="18"/>
      <c r="JY11" s="18"/>
      <c r="JZ11" s="31"/>
      <c r="KA11" s="30"/>
      <c r="KB11" s="18"/>
      <c r="KC11" s="39" t="s">
        <v>48</v>
      </c>
      <c r="KD11" s="40">
        <f>KD4*KD10</f>
        <v>2660</v>
      </c>
      <c r="KE11" s="18"/>
      <c r="KF11" s="18"/>
      <c r="KG11" s="18"/>
      <c r="KH11" s="18"/>
      <c r="KI11" s="18"/>
      <c r="KJ11" s="18"/>
      <c r="KK11" s="31"/>
      <c r="KL11" s="30"/>
      <c r="KM11" s="18"/>
      <c r="KN11" s="39" t="s">
        <v>48</v>
      </c>
      <c r="KO11" s="40">
        <f>KO4*KO10</f>
        <v>2553.6</v>
      </c>
      <c r="KP11" s="18"/>
      <c r="KQ11" s="18"/>
      <c r="KR11" s="18"/>
      <c r="KS11" s="18"/>
      <c r="KT11" s="18"/>
      <c r="KU11" s="18"/>
      <c r="KV11" s="31"/>
      <c r="KW11" s="30"/>
      <c r="KX11" s="18"/>
      <c r="KY11" s="36" t="s">
        <v>178</v>
      </c>
      <c r="KZ11" s="37">
        <f>KZ10/2</f>
        <v>4.5</v>
      </c>
      <c r="LA11" s="18"/>
      <c r="LB11" s="18"/>
      <c r="LC11" s="18"/>
      <c r="LD11" s="18"/>
      <c r="LE11" s="18"/>
      <c r="LF11" s="18"/>
      <c r="LG11" s="31"/>
      <c r="LH11" s="30"/>
      <c r="LI11" s="18"/>
      <c r="LJ11" s="39" t="s">
        <v>48</v>
      </c>
      <c r="LK11" s="40">
        <f>LK4*LK10</f>
        <v>4104</v>
      </c>
      <c r="LL11" s="18"/>
      <c r="LM11" s="18"/>
      <c r="LN11" s="18"/>
      <c r="LO11" s="18"/>
      <c r="LP11" s="18"/>
      <c r="LQ11" s="18"/>
      <c r="LR11" s="31"/>
      <c r="LS11" s="30"/>
      <c r="LT11" s="18"/>
      <c r="LU11" s="39" t="s">
        <v>48</v>
      </c>
      <c r="LV11" s="40">
        <f>LV4*LV10</f>
        <v>270</v>
      </c>
      <c r="LW11" s="18"/>
      <c r="LX11" s="18"/>
      <c r="LY11" s="18"/>
      <c r="LZ11" s="18"/>
      <c r="MA11" s="18"/>
      <c r="MB11" s="18"/>
      <c r="MC11" s="31"/>
      <c r="ME11" s="30"/>
      <c r="MF11" s="18"/>
      <c r="MG11" s="39" t="s">
        <v>48</v>
      </c>
      <c r="MH11" s="40">
        <f>MH4*MH10</f>
        <v>270</v>
      </c>
      <c r="MI11" s="18"/>
      <c r="MJ11" s="18"/>
      <c r="MK11" s="18"/>
      <c r="ML11" s="18"/>
      <c r="MM11" s="18"/>
      <c r="MN11" s="18"/>
      <c r="MO11" s="31"/>
      <c r="MQ11" s="30"/>
      <c r="MR11" s="18"/>
      <c r="MS11" s="39" t="s">
        <v>48</v>
      </c>
      <c r="MT11" s="40">
        <f>MT4*MT10</f>
        <v>105</v>
      </c>
      <c r="MU11" s="18"/>
      <c r="MV11" s="18"/>
      <c r="MW11" s="18"/>
      <c r="MX11" s="18"/>
      <c r="MY11" s="18"/>
      <c r="MZ11" s="18"/>
      <c r="NA11" s="31"/>
      <c r="ND11" s="30"/>
      <c r="NE11" s="18"/>
      <c r="NF11" s="39" t="s">
        <v>48</v>
      </c>
      <c r="NG11" s="40">
        <f>NG4*NG10</f>
        <v>810</v>
      </c>
      <c r="NH11" s="18"/>
      <c r="NI11" s="18"/>
      <c r="NJ11" s="18"/>
      <c r="NK11" s="18"/>
      <c r="NL11" s="18"/>
      <c r="NM11" s="18"/>
      <c r="NN11" s="31"/>
      <c r="NP11" s="30"/>
      <c r="NQ11" s="18"/>
      <c r="NR11" s="39" t="s">
        <v>48</v>
      </c>
      <c r="NS11" s="40">
        <f>NS4*NS10</f>
        <v>105</v>
      </c>
      <c r="NT11" s="18"/>
      <c r="NU11" s="18"/>
      <c r="NV11" s="18"/>
      <c r="NW11" s="18"/>
      <c r="NX11" s="18"/>
      <c r="NY11" s="18"/>
      <c r="NZ11" s="31"/>
      <c r="OC11" s="30"/>
      <c r="OD11" s="18"/>
      <c r="OE11" s="39" t="s">
        <v>48</v>
      </c>
      <c r="OF11" s="40">
        <f>OF4*OF10</f>
        <v>140</v>
      </c>
      <c r="OG11" s="18"/>
      <c r="OH11" s="18"/>
      <c r="OI11" s="18"/>
      <c r="OJ11" s="18"/>
      <c r="OK11" s="18"/>
      <c r="OL11" s="18"/>
      <c r="OM11" s="31"/>
      <c r="OP11" s="30"/>
      <c r="OQ11" s="18"/>
      <c r="OR11" s="39" t="s">
        <v>48</v>
      </c>
      <c r="OS11" s="40">
        <f>OS4*OS10</f>
        <v>140</v>
      </c>
      <c r="OT11" s="18"/>
      <c r="OU11" s="18"/>
      <c r="OV11" s="18"/>
      <c r="OW11" s="18"/>
      <c r="OX11" s="18"/>
      <c r="OY11" s="18"/>
      <c r="OZ11" s="31"/>
      <c r="PD11" s="30"/>
      <c r="PE11" s="18"/>
      <c r="PF11" s="39" t="s">
        <v>48</v>
      </c>
      <c r="PG11" s="40">
        <f>PG4*PG10</f>
        <v>140</v>
      </c>
      <c r="PH11" s="18"/>
      <c r="PI11" s="18"/>
      <c r="PJ11" s="18"/>
      <c r="PK11" s="18"/>
      <c r="PL11" s="18"/>
      <c r="PM11" s="18"/>
      <c r="PN11" s="31"/>
      <c r="PQ11" s="30"/>
      <c r="PR11" s="18"/>
      <c r="PS11" s="39" t="s">
        <v>48</v>
      </c>
      <c r="PT11" s="40">
        <f>PT4*PT10</f>
        <v>140</v>
      </c>
      <c r="PU11" s="18"/>
      <c r="PV11" s="18"/>
      <c r="PW11" s="18"/>
      <c r="PX11" s="18"/>
      <c r="PY11" s="18"/>
      <c r="PZ11" s="18"/>
      <c r="QA11" s="31"/>
      <c r="QD11" s="30"/>
      <c r="QE11" s="18"/>
      <c r="QF11" s="39" t="s">
        <v>48</v>
      </c>
      <c r="QG11" s="40">
        <f>QG4*QG10</f>
        <v>120</v>
      </c>
      <c r="QH11" s="18"/>
      <c r="QI11" s="18"/>
      <c r="QJ11" s="18"/>
      <c r="QK11" s="18"/>
      <c r="QL11" s="18"/>
      <c r="QM11" s="18"/>
      <c r="QN11" s="31"/>
      <c r="QQ11" s="30"/>
      <c r="QR11" s="18"/>
      <c r="QS11" s="39" t="s">
        <v>48</v>
      </c>
      <c r="QT11" s="40">
        <f>QT4*QT10</f>
        <v>140</v>
      </c>
      <c r="QU11" s="18"/>
      <c r="QV11" s="18"/>
      <c r="QW11" s="18"/>
      <c r="QX11" s="18"/>
      <c r="QY11" s="18"/>
      <c r="QZ11" s="18"/>
      <c r="RA11" s="31"/>
    </row>
    <row r="12" spans="1:469" x14ac:dyDescent="0.25">
      <c r="A12" s="30"/>
      <c r="B12" s="18"/>
      <c r="C12" s="18"/>
      <c r="D12" s="18"/>
      <c r="E12" s="18"/>
      <c r="F12" s="18"/>
      <c r="G12" s="18"/>
      <c r="H12" s="18"/>
      <c r="I12" s="18"/>
      <c r="J12" s="18"/>
      <c r="K12" s="31"/>
      <c r="L12" s="30"/>
      <c r="M12" s="18"/>
      <c r="N12" s="18"/>
      <c r="O12" s="18"/>
      <c r="P12" s="18"/>
      <c r="Q12" s="18"/>
      <c r="R12" s="18"/>
      <c r="S12" s="18"/>
      <c r="T12" s="18"/>
      <c r="U12" s="18"/>
      <c r="V12" s="31"/>
      <c r="W12" s="30"/>
      <c r="X12" s="18"/>
      <c r="Y12" s="18"/>
      <c r="Z12" s="18"/>
      <c r="AA12" s="18"/>
      <c r="AB12" s="18"/>
      <c r="AC12" s="18"/>
      <c r="AD12" s="18"/>
      <c r="AE12" s="18"/>
      <c r="AF12" s="18"/>
      <c r="AG12" s="31"/>
      <c r="AH12" s="30"/>
      <c r="AI12" s="18"/>
      <c r="AJ12" s="18"/>
      <c r="AK12" s="18"/>
      <c r="AL12" s="18"/>
      <c r="AM12" s="18"/>
      <c r="AN12" s="18"/>
      <c r="AO12" s="18"/>
      <c r="AP12" s="18"/>
      <c r="AQ12" s="18"/>
      <c r="AR12" s="31"/>
      <c r="AS12" s="30"/>
      <c r="AT12" s="18"/>
      <c r="AU12" s="18"/>
      <c r="AV12" s="18"/>
      <c r="AW12" s="18"/>
      <c r="AX12" s="18"/>
      <c r="AY12" s="18"/>
      <c r="AZ12" s="18"/>
      <c r="BA12" s="18"/>
      <c r="BB12" s="18"/>
      <c r="BC12" s="31"/>
      <c r="BD12" s="30"/>
      <c r="BE12" s="18"/>
      <c r="BF12" s="18"/>
      <c r="BG12" s="18"/>
      <c r="BH12" s="18"/>
      <c r="BI12" s="18"/>
      <c r="BJ12" s="18"/>
      <c r="BK12" s="18"/>
      <c r="BL12" s="18"/>
      <c r="BM12" s="18"/>
      <c r="BN12" s="31"/>
      <c r="BO12" s="30"/>
      <c r="BP12" s="18"/>
      <c r="BQ12" s="18"/>
      <c r="BR12" s="18"/>
      <c r="BS12" s="18"/>
      <c r="BT12" s="18"/>
      <c r="BU12" s="18"/>
      <c r="BV12" s="18"/>
      <c r="BW12" s="18"/>
      <c r="BX12" s="18"/>
      <c r="BY12" s="31"/>
      <c r="BZ12" s="30"/>
      <c r="CA12" s="18"/>
      <c r="CB12" s="18"/>
      <c r="CC12" s="18"/>
      <c r="CD12" s="18"/>
      <c r="CE12" s="18"/>
      <c r="CF12" s="18"/>
      <c r="CG12" s="18"/>
      <c r="CH12" s="18"/>
      <c r="CI12" s="18"/>
      <c r="CJ12" s="31"/>
      <c r="CK12" s="30"/>
      <c r="CL12" s="18"/>
      <c r="CM12" s="18"/>
      <c r="CN12" s="18"/>
      <c r="CO12" s="18"/>
      <c r="CP12" s="18"/>
      <c r="CQ12" s="18"/>
      <c r="CR12" s="18"/>
      <c r="CS12" s="18"/>
      <c r="CT12" s="18"/>
      <c r="CU12" s="31"/>
      <c r="CV12" s="30"/>
      <c r="CW12" s="18"/>
      <c r="CX12" s="18"/>
      <c r="CY12" s="18"/>
      <c r="CZ12" s="18"/>
      <c r="DA12" s="18"/>
      <c r="DB12" s="18"/>
      <c r="DC12" s="18"/>
      <c r="DD12" s="18"/>
      <c r="DE12" s="18"/>
      <c r="DF12" s="31"/>
      <c r="DG12" s="30"/>
      <c r="DH12" s="18"/>
      <c r="DI12" s="18"/>
      <c r="DJ12" s="18"/>
      <c r="DK12" s="18"/>
      <c r="DL12" s="18"/>
      <c r="DM12" s="18"/>
      <c r="DN12" s="18"/>
      <c r="DO12" s="18"/>
      <c r="DP12" s="18"/>
      <c r="DQ12" s="31"/>
      <c r="DR12" s="30"/>
      <c r="DS12" s="18"/>
      <c r="DT12" s="18"/>
      <c r="DU12" s="18"/>
      <c r="DV12" s="18"/>
      <c r="DW12" s="18"/>
      <c r="DX12" s="18"/>
      <c r="DY12" s="18"/>
      <c r="DZ12" s="18"/>
      <c r="EA12" s="18"/>
      <c r="EB12" s="31"/>
      <c r="EC12" s="30"/>
      <c r="ED12" s="18"/>
      <c r="EE12" s="18"/>
      <c r="EF12" s="18"/>
      <c r="EG12" s="18"/>
      <c r="EH12" s="18"/>
      <c r="EI12" s="18"/>
      <c r="EJ12" s="18"/>
      <c r="EK12" s="18"/>
      <c r="EL12" s="18"/>
      <c r="EM12" s="31"/>
      <c r="EN12" s="30"/>
      <c r="EO12" s="18"/>
      <c r="EP12" s="18"/>
      <c r="EQ12" s="18"/>
      <c r="ER12" s="18"/>
      <c r="ES12" s="18"/>
      <c r="ET12" s="18"/>
      <c r="EU12" s="18"/>
      <c r="EV12" s="18"/>
      <c r="EW12" s="18"/>
      <c r="EX12" s="31"/>
      <c r="EY12" s="30"/>
      <c r="EZ12" s="18"/>
      <c r="FA12" s="18"/>
      <c r="FB12" s="18"/>
      <c r="FC12" s="18"/>
      <c r="FD12" s="18"/>
      <c r="FE12" s="18"/>
      <c r="FF12" s="18"/>
      <c r="FG12" s="18"/>
      <c r="FH12" s="18"/>
      <c r="FI12" s="31"/>
      <c r="FJ12" s="30"/>
      <c r="FK12" s="18"/>
      <c r="FL12" s="18"/>
      <c r="FM12" s="18"/>
      <c r="FN12" s="18"/>
      <c r="FO12" s="18"/>
      <c r="FP12" s="18"/>
      <c r="FQ12" s="18"/>
      <c r="FR12" s="18"/>
      <c r="FS12" s="18"/>
      <c r="FT12" s="31"/>
      <c r="FU12" s="30"/>
      <c r="FV12" s="18"/>
      <c r="FW12" s="18"/>
      <c r="FX12" s="18"/>
      <c r="FY12" s="18"/>
      <c r="FZ12" s="18"/>
      <c r="GA12" s="18"/>
      <c r="GB12" s="18"/>
      <c r="GC12" s="18"/>
      <c r="GD12" s="18"/>
      <c r="GE12" s="31"/>
      <c r="GF12" s="30"/>
      <c r="GG12" s="18"/>
      <c r="GH12" s="18"/>
      <c r="GI12" s="18"/>
      <c r="GJ12" s="18"/>
      <c r="GK12" s="18"/>
      <c r="GL12" s="18"/>
      <c r="GM12" s="18"/>
      <c r="GN12" s="18"/>
      <c r="GO12" s="18"/>
      <c r="GP12" s="31"/>
      <c r="GQ12" s="30"/>
      <c r="GR12" s="18"/>
      <c r="GS12" s="18"/>
      <c r="GT12" s="18"/>
      <c r="GU12" s="18"/>
      <c r="GV12" s="18"/>
      <c r="GW12" s="18"/>
      <c r="GX12" s="18"/>
      <c r="GY12" s="18"/>
      <c r="GZ12" s="18"/>
      <c r="HA12" s="31"/>
      <c r="HB12" s="30"/>
      <c r="HC12" s="18"/>
      <c r="HD12" s="18"/>
      <c r="HE12" s="18"/>
      <c r="HF12" s="18"/>
      <c r="HG12" s="18"/>
      <c r="HH12" s="18"/>
      <c r="HI12" s="18"/>
      <c r="HJ12" s="18"/>
      <c r="HK12" s="18"/>
      <c r="HL12" s="31"/>
      <c r="HM12" s="30"/>
      <c r="HN12" s="18"/>
      <c r="HO12" s="18"/>
      <c r="HP12" s="18"/>
      <c r="HQ12" s="18"/>
      <c r="HR12" s="18"/>
      <c r="HS12" s="18"/>
      <c r="HT12" s="18"/>
      <c r="HU12" s="18"/>
      <c r="HV12" s="18"/>
      <c r="HW12" s="31"/>
      <c r="HX12" s="30"/>
      <c r="HY12" s="18"/>
      <c r="HZ12" s="18"/>
      <c r="IA12" s="18"/>
      <c r="IB12" s="18"/>
      <c r="IC12" s="18"/>
      <c r="ID12" s="18"/>
      <c r="IE12" s="18"/>
      <c r="IF12" s="18"/>
      <c r="IG12" s="18"/>
      <c r="IH12" s="31"/>
      <c r="II12" s="30"/>
      <c r="IJ12" s="18"/>
      <c r="IK12" s="18"/>
      <c r="IL12" s="18"/>
      <c r="IM12" s="18"/>
      <c r="IN12" s="18"/>
      <c r="IO12" s="18"/>
      <c r="IP12" s="18"/>
      <c r="IQ12" s="18"/>
      <c r="IR12" s="18"/>
      <c r="IS12" s="31"/>
      <c r="IT12" s="30"/>
      <c r="IU12" s="18"/>
      <c r="IV12" s="18"/>
      <c r="IW12" s="18"/>
      <c r="IX12" s="18"/>
      <c r="IY12" s="18"/>
      <c r="IZ12" s="18"/>
      <c r="JA12" s="18"/>
      <c r="JB12" s="18"/>
      <c r="JC12" s="18"/>
      <c r="JD12" s="31"/>
      <c r="JE12" s="30"/>
      <c r="JF12" s="18"/>
      <c r="JG12" s="18"/>
      <c r="JH12" s="18"/>
      <c r="JI12" s="18"/>
      <c r="JJ12" s="18"/>
      <c r="JK12" s="18"/>
      <c r="JL12" s="18"/>
      <c r="JM12" s="18"/>
      <c r="JN12" s="18"/>
      <c r="JO12" s="31"/>
      <c r="JP12" s="30"/>
      <c r="JQ12" s="18"/>
      <c r="JR12" s="18"/>
      <c r="JS12" s="18"/>
      <c r="JT12" s="18"/>
      <c r="JU12" s="18"/>
      <c r="JV12" s="18"/>
      <c r="JW12" s="18"/>
      <c r="JX12" s="18"/>
      <c r="JY12" s="18"/>
      <c r="JZ12" s="31"/>
      <c r="KA12" s="30"/>
      <c r="KB12" s="18"/>
      <c r="KC12" s="18"/>
      <c r="KD12" s="18"/>
      <c r="KE12" s="18"/>
      <c r="KF12" s="18"/>
      <c r="KG12" s="18"/>
      <c r="KH12" s="18"/>
      <c r="KI12" s="18"/>
      <c r="KJ12" s="18"/>
      <c r="KK12" s="31"/>
      <c r="KL12" s="30"/>
      <c r="KM12" s="18"/>
      <c r="KN12" s="18"/>
      <c r="KO12" s="18"/>
      <c r="KP12" s="18"/>
      <c r="KQ12" s="18"/>
      <c r="KR12" s="18"/>
      <c r="KS12" s="18"/>
      <c r="KT12" s="18"/>
      <c r="KU12" s="18"/>
      <c r="KV12" s="31"/>
      <c r="KW12" s="30"/>
      <c r="KX12" s="18"/>
      <c r="KY12" s="36" t="s">
        <v>45</v>
      </c>
      <c r="KZ12" s="37">
        <f>KZ6*KZ10</f>
        <v>216</v>
      </c>
      <c r="LA12" s="18"/>
      <c r="LB12" s="18"/>
      <c r="LC12" s="18"/>
      <c r="LD12" s="18"/>
      <c r="LE12" s="18"/>
      <c r="LF12" s="18"/>
      <c r="LG12" s="31"/>
      <c r="LH12" s="30"/>
      <c r="LI12" s="18"/>
      <c r="LJ12" s="18"/>
      <c r="LK12" s="18"/>
      <c r="LL12" s="18"/>
      <c r="LM12" s="18"/>
      <c r="LN12" s="18"/>
      <c r="LO12" s="18"/>
      <c r="LP12" s="18"/>
      <c r="LQ12" s="18"/>
      <c r="LR12" s="31"/>
      <c r="LS12" s="30"/>
      <c r="LT12" s="18"/>
      <c r="LU12" s="18"/>
      <c r="LV12" s="18"/>
      <c r="LW12" s="18"/>
      <c r="LX12" s="18"/>
      <c r="LY12" s="18"/>
      <c r="LZ12" s="18"/>
      <c r="MA12" s="18"/>
      <c r="MB12" s="18"/>
      <c r="MC12" s="31"/>
      <c r="ME12" s="30"/>
      <c r="MF12" s="18"/>
      <c r="MG12" s="18"/>
      <c r="MH12" s="18"/>
      <c r="MI12" s="18"/>
      <c r="MJ12" s="18"/>
      <c r="MK12" s="18"/>
      <c r="ML12" s="18"/>
      <c r="MM12" s="18"/>
      <c r="MN12" s="18"/>
      <c r="MO12" s="31"/>
      <c r="MQ12" s="30"/>
      <c r="MR12" s="18"/>
      <c r="MS12" s="18"/>
      <c r="MT12" s="18"/>
      <c r="MU12" s="18"/>
      <c r="MV12" s="18"/>
      <c r="MW12" s="18"/>
      <c r="MX12" s="18"/>
      <c r="MY12" s="18"/>
      <c r="MZ12" s="18"/>
      <c r="NA12" s="31"/>
      <c r="ND12" s="30"/>
      <c r="NE12" s="18"/>
      <c r="NF12" s="18"/>
      <c r="NG12" s="18"/>
      <c r="NH12" s="18"/>
      <c r="NI12" s="18"/>
      <c r="NJ12" s="18"/>
      <c r="NK12" s="18"/>
      <c r="NL12" s="18"/>
      <c r="NM12" s="18"/>
      <c r="NN12" s="31"/>
      <c r="NP12" s="30"/>
      <c r="NQ12" s="18"/>
      <c r="NR12" s="18"/>
      <c r="NS12" s="18"/>
      <c r="NT12" s="18"/>
      <c r="NU12" s="18"/>
      <c r="NV12" s="18"/>
      <c r="NW12" s="18"/>
      <c r="NX12" s="18"/>
      <c r="NY12" s="18"/>
      <c r="NZ12" s="31"/>
      <c r="OC12" s="30"/>
      <c r="OD12" s="18"/>
      <c r="OE12" s="18"/>
      <c r="OF12" s="18"/>
      <c r="OG12" s="18"/>
      <c r="OH12" s="18"/>
      <c r="OI12" s="18"/>
      <c r="OJ12" s="18"/>
      <c r="OK12" s="18"/>
      <c r="OL12" s="18"/>
      <c r="OM12" s="31"/>
      <c r="OP12" s="30"/>
      <c r="OQ12" s="18"/>
      <c r="OR12" s="18"/>
      <c r="OS12" s="18"/>
      <c r="OT12" s="18"/>
      <c r="OU12" s="18"/>
      <c r="OV12" s="18"/>
      <c r="OW12" s="18"/>
      <c r="OX12" s="18"/>
      <c r="OY12" s="18"/>
      <c r="OZ12" s="31"/>
      <c r="PD12" s="30"/>
      <c r="PE12" s="18"/>
      <c r="PF12" s="18"/>
      <c r="PG12" s="18"/>
      <c r="PH12" s="18"/>
      <c r="PI12" s="18"/>
      <c r="PJ12" s="18"/>
      <c r="PK12" s="18"/>
      <c r="PL12" s="18"/>
      <c r="PM12" s="18"/>
      <c r="PN12" s="31"/>
      <c r="PQ12" s="30"/>
      <c r="PR12" s="18"/>
      <c r="PS12" s="18"/>
      <c r="PT12" s="18"/>
      <c r="PU12" s="18"/>
      <c r="PV12" s="18"/>
      <c r="PW12" s="18"/>
      <c r="PX12" s="18"/>
      <c r="PY12" s="18"/>
      <c r="PZ12" s="18"/>
      <c r="QA12" s="31"/>
      <c r="QD12" s="30"/>
      <c r="QE12" s="18"/>
      <c r="QF12" s="18"/>
      <c r="QG12" s="18"/>
      <c r="QH12" s="18"/>
      <c r="QI12" s="18"/>
      <c r="QJ12" s="18"/>
      <c r="QK12" s="18"/>
      <c r="QL12" s="18"/>
      <c r="QM12" s="18"/>
      <c r="QN12" s="31"/>
      <c r="QQ12" s="30"/>
      <c r="QR12" s="18"/>
      <c r="QS12" s="18"/>
      <c r="QT12" s="18"/>
      <c r="QU12" s="18"/>
      <c r="QV12" s="18"/>
      <c r="QW12" s="18"/>
      <c r="QX12" s="18"/>
      <c r="QY12" s="18"/>
      <c r="QZ12" s="18"/>
      <c r="RA12" s="31"/>
    </row>
    <row r="13" spans="1:469" ht="15.75" thickBot="1" x14ac:dyDescent="0.3">
      <c r="A13" s="30"/>
      <c r="B13" s="18"/>
      <c r="C13" s="18"/>
      <c r="D13" s="18"/>
      <c r="E13" s="18"/>
      <c r="F13" s="18"/>
      <c r="G13" s="18"/>
      <c r="H13" s="18"/>
      <c r="I13" s="18"/>
      <c r="J13" s="18"/>
      <c r="K13" s="31"/>
      <c r="L13" s="30"/>
      <c r="M13" s="18"/>
      <c r="N13" s="18"/>
      <c r="O13" s="18"/>
      <c r="P13" s="18"/>
      <c r="Q13" s="18"/>
      <c r="R13" s="18"/>
      <c r="S13" s="18"/>
      <c r="T13" s="18"/>
      <c r="U13" s="18"/>
      <c r="V13" s="31"/>
      <c r="W13" s="30"/>
      <c r="X13" s="18"/>
      <c r="Y13" s="18"/>
      <c r="Z13" s="18"/>
      <c r="AA13" s="18"/>
      <c r="AB13" s="18"/>
      <c r="AC13" s="18"/>
      <c r="AD13" s="18"/>
      <c r="AE13" s="18"/>
      <c r="AF13" s="18"/>
      <c r="AG13" s="31"/>
      <c r="AH13" s="30"/>
      <c r="AI13" s="18"/>
      <c r="AJ13" s="18"/>
      <c r="AK13" s="18"/>
      <c r="AL13" s="18"/>
      <c r="AM13" s="18"/>
      <c r="AN13" s="18"/>
      <c r="AO13" s="18"/>
      <c r="AP13" s="18"/>
      <c r="AQ13" s="18"/>
      <c r="AR13" s="31"/>
      <c r="AS13" s="30"/>
      <c r="AT13" s="18"/>
      <c r="AU13" s="18"/>
      <c r="AV13" s="18"/>
      <c r="AW13" s="18"/>
      <c r="AX13" s="18"/>
      <c r="AY13" s="18"/>
      <c r="AZ13" s="18"/>
      <c r="BA13" s="18"/>
      <c r="BB13" s="18"/>
      <c r="BC13" s="31"/>
      <c r="BD13" s="30"/>
      <c r="BE13" s="18"/>
      <c r="BF13" s="18"/>
      <c r="BG13" s="18"/>
      <c r="BH13" s="18"/>
      <c r="BI13" s="18"/>
      <c r="BJ13" s="18"/>
      <c r="BK13" s="18"/>
      <c r="BL13" s="18"/>
      <c r="BM13" s="18"/>
      <c r="BN13" s="31"/>
      <c r="BO13" s="30"/>
      <c r="BP13" s="18"/>
      <c r="BQ13" s="18"/>
      <c r="BR13" s="18"/>
      <c r="BS13" s="18"/>
      <c r="BT13" s="18"/>
      <c r="BU13" s="18"/>
      <c r="BV13" s="18"/>
      <c r="BW13" s="18"/>
      <c r="BX13" s="18"/>
      <c r="BY13" s="31"/>
      <c r="BZ13" s="30"/>
      <c r="CA13" s="18"/>
      <c r="CB13" s="18"/>
      <c r="CC13" s="18"/>
      <c r="CD13" s="18"/>
      <c r="CE13" s="18"/>
      <c r="CF13" s="18"/>
      <c r="CG13" s="18"/>
      <c r="CH13" s="18"/>
      <c r="CI13" s="18"/>
      <c r="CJ13" s="31"/>
      <c r="CK13" s="30"/>
      <c r="CL13" s="18"/>
      <c r="CM13" s="18"/>
      <c r="CN13" s="18"/>
      <c r="CO13" s="18"/>
      <c r="CP13" s="18"/>
      <c r="CQ13" s="18"/>
      <c r="CR13" s="18"/>
      <c r="CS13" s="18"/>
      <c r="CT13" s="18"/>
      <c r="CU13" s="31"/>
      <c r="CV13" s="30"/>
      <c r="CW13" s="18"/>
      <c r="CX13" s="18"/>
      <c r="CY13" s="18"/>
      <c r="CZ13" s="18"/>
      <c r="DA13" s="18"/>
      <c r="DB13" s="18"/>
      <c r="DC13" s="18"/>
      <c r="DD13" s="18"/>
      <c r="DE13" s="18"/>
      <c r="DF13" s="31"/>
      <c r="DG13" s="30"/>
      <c r="DH13" s="18"/>
      <c r="DI13" s="18"/>
      <c r="DJ13" s="18"/>
      <c r="DK13" s="18"/>
      <c r="DL13" s="18"/>
      <c r="DM13" s="18"/>
      <c r="DN13" s="18"/>
      <c r="DO13" s="18"/>
      <c r="DP13" s="18"/>
      <c r="DQ13" s="31"/>
      <c r="DR13" s="30"/>
      <c r="DS13" s="18"/>
      <c r="DT13" s="18"/>
      <c r="DU13" s="18"/>
      <c r="DV13" s="18"/>
      <c r="DW13" s="18"/>
      <c r="DX13" s="18"/>
      <c r="DY13" s="18"/>
      <c r="DZ13" s="18"/>
      <c r="EA13" s="18"/>
      <c r="EB13" s="31"/>
      <c r="EC13" s="30"/>
      <c r="ED13" s="18"/>
      <c r="EE13" s="18"/>
      <c r="EF13" s="18"/>
      <c r="EG13" s="18"/>
      <c r="EH13" s="18"/>
      <c r="EI13" s="18"/>
      <c r="EJ13" s="18"/>
      <c r="EK13" s="18"/>
      <c r="EL13" s="18"/>
      <c r="EM13" s="31"/>
      <c r="EN13" s="30"/>
      <c r="EO13" s="18"/>
      <c r="EP13" s="18"/>
      <c r="EQ13" s="18"/>
      <c r="ER13" s="18"/>
      <c r="ES13" s="18"/>
      <c r="ET13" s="18"/>
      <c r="EU13" s="18"/>
      <c r="EV13" s="18"/>
      <c r="EW13" s="18"/>
      <c r="EX13" s="31"/>
      <c r="EY13" s="30"/>
      <c r="EZ13" s="18"/>
      <c r="FA13" s="18"/>
      <c r="FB13" s="18"/>
      <c r="FC13" s="18"/>
      <c r="FD13" s="18"/>
      <c r="FE13" s="18"/>
      <c r="FF13" s="18"/>
      <c r="FG13" s="18"/>
      <c r="FH13" s="18"/>
      <c r="FI13" s="31"/>
      <c r="FJ13" s="30"/>
      <c r="FK13" s="18"/>
      <c r="FL13" s="18"/>
      <c r="FM13" s="18"/>
      <c r="FN13" s="18"/>
      <c r="FO13" s="18"/>
      <c r="FP13" s="18"/>
      <c r="FQ13" s="18"/>
      <c r="FR13" s="18"/>
      <c r="FS13" s="18"/>
      <c r="FT13" s="31"/>
      <c r="FU13" s="30"/>
      <c r="FV13" s="18"/>
      <c r="FW13" s="18"/>
      <c r="FX13" s="18"/>
      <c r="FY13" s="18"/>
      <c r="FZ13" s="18"/>
      <c r="GA13" s="18"/>
      <c r="GB13" s="18"/>
      <c r="GC13" s="18"/>
      <c r="GD13" s="18"/>
      <c r="GE13" s="31"/>
      <c r="GF13" s="30"/>
      <c r="GG13" s="18"/>
      <c r="GH13" s="18"/>
      <c r="GI13" s="18"/>
      <c r="GJ13" s="18"/>
      <c r="GK13" s="18"/>
      <c r="GL13" s="18"/>
      <c r="GM13" s="18"/>
      <c r="GN13" s="18"/>
      <c r="GO13" s="18"/>
      <c r="GP13" s="31"/>
      <c r="GQ13" s="30"/>
      <c r="GR13" s="18"/>
      <c r="GS13" s="18"/>
      <c r="GT13" s="18"/>
      <c r="GU13" s="18"/>
      <c r="GV13" s="18"/>
      <c r="GW13" s="18"/>
      <c r="GX13" s="18"/>
      <c r="GY13" s="18"/>
      <c r="GZ13" s="18"/>
      <c r="HA13" s="31"/>
      <c r="HB13" s="30"/>
      <c r="HC13" s="18"/>
      <c r="HD13" s="18"/>
      <c r="HE13" s="18"/>
      <c r="HF13" s="18"/>
      <c r="HG13" s="18"/>
      <c r="HH13" s="18"/>
      <c r="HI13" s="18"/>
      <c r="HJ13" s="18"/>
      <c r="HK13" s="18"/>
      <c r="HL13" s="31"/>
      <c r="HM13" s="30"/>
      <c r="HN13" s="18"/>
      <c r="HO13" s="18"/>
      <c r="HP13" s="18"/>
      <c r="HQ13" s="18"/>
      <c r="HR13" s="18"/>
      <c r="HS13" s="18"/>
      <c r="HT13" s="18"/>
      <c r="HU13" s="18"/>
      <c r="HV13" s="18"/>
      <c r="HW13" s="31"/>
      <c r="HX13" s="30"/>
      <c r="HY13" s="18"/>
      <c r="HZ13" s="18"/>
      <c r="IA13" s="18"/>
      <c r="IB13" s="18"/>
      <c r="IC13" s="18"/>
      <c r="ID13" s="18"/>
      <c r="IE13" s="18"/>
      <c r="IF13" s="18"/>
      <c r="IG13" s="18"/>
      <c r="IH13" s="31"/>
      <c r="II13" s="30"/>
      <c r="IJ13" s="18"/>
      <c r="IK13" s="18"/>
      <c r="IL13" s="18"/>
      <c r="IM13" s="18"/>
      <c r="IN13" s="18"/>
      <c r="IO13" s="18"/>
      <c r="IP13" s="18"/>
      <c r="IQ13" s="18"/>
      <c r="IR13" s="18"/>
      <c r="IS13" s="31"/>
      <c r="IT13" s="30"/>
      <c r="IU13" s="18"/>
      <c r="IV13" s="18"/>
      <c r="IW13" s="18"/>
      <c r="IX13" s="18"/>
      <c r="IY13" s="18"/>
      <c r="IZ13" s="18"/>
      <c r="JA13" s="18"/>
      <c r="JB13" s="18"/>
      <c r="JC13" s="18"/>
      <c r="JD13" s="31"/>
      <c r="JE13" s="30"/>
      <c r="JF13" s="18"/>
      <c r="JG13" s="18"/>
      <c r="JH13" s="18"/>
      <c r="JI13" s="18"/>
      <c r="JJ13" s="18"/>
      <c r="JK13" s="18"/>
      <c r="JL13" s="18"/>
      <c r="JM13" s="18"/>
      <c r="JN13" s="18"/>
      <c r="JO13" s="31"/>
      <c r="JP13" s="30"/>
      <c r="JQ13" s="18"/>
      <c r="JR13" s="18"/>
      <c r="JS13" s="18"/>
      <c r="JT13" s="18"/>
      <c r="JU13" s="18"/>
      <c r="JV13" s="18"/>
      <c r="JW13" s="18"/>
      <c r="JX13" s="18"/>
      <c r="JY13" s="18"/>
      <c r="JZ13" s="31"/>
      <c r="KA13" s="30"/>
      <c r="KB13" s="18"/>
      <c r="KC13" s="18"/>
      <c r="KD13" s="18"/>
      <c r="KE13" s="18"/>
      <c r="KF13" s="18"/>
      <c r="KG13" s="18"/>
      <c r="KH13" s="18"/>
      <c r="KI13" s="18"/>
      <c r="KJ13" s="18"/>
      <c r="KK13" s="31"/>
      <c r="KL13" s="30"/>
      <c r="KM13" s="18"/>
      <c r="KN13" s="18"/>
      <c r="KO13" s="18"/>
      <c r="KP13" s="18"/>
      <c r="KQ13" s="18"/>
      <c r="KR13" s="18"/>
      <c r="KS13" s="18"/>
      <c r="KT13" s="18"/>
      <c r="KU13" s="18"/>
      <c r="KV13" s="31"/>
      <c r="KW13" s="30"/>
      <c r="KX13" s="18"/>
      <c r="KY13" s="39" t="s">
        <v>48</v>
      </c>
      <c r="KZ13" s="40">
        <f>KZ4*KZ12</f>
        <v>9720</v>
      </c>
      <c r="LA13" s="18"/>
      <c r="LB13" s="18"/>
      <c r="LC13" s="18"/>
      <c r="LD13" s="18"/>
      <c r="LE13" s="18"/>
      <c r="LF13" s="18"/>
      <c r="LG13" s="31"/>
      <c r="LH13" s="30"/>
      <c r="LI13" s="18"/>
      <c r="LJ13" s="18"/>
      <c r="LK13" s="18"/>
      <c r="LL13" s="18"/>
      <c r="LM13" s="18"/>
      <c r="LN13" s="18"/>
      <c r="LO13" s="18"/>
      <c r="LP13" s="18"/>
      <c r="LQ13" s="18"/>
      <c r="LR13" s="31"/>
      <c r="LS13" s="30"/>
      <c r="LT13" s="18"/>
      <c r="LU13" s="18"/>
      <c r="LV13" s="18"/>
      <c r="LW13" s="18"/>
      <c r="LX13" s="18"/>
      <c r="LY13" s="18"/>
      <c r="LZ13" s="18"/>
      <c r="MA13" s="18"/>
      <c r="MB13" s="18"/>
      <c r="MC13" s="31"/>
      <c r="ME13" s="30"/>
      <c r="MF13" s="18"/>
      <c r="MG13" s="18"/>
      <c r="MH13" s="18"/>
      <c r="MI13" s="18"/>
      <c r="MJ13" s="18"/>
      <c r="MK13" s="18"/>
      <c r="ML13" s="18"/>
      <c r="MM13" s="18"/>
      <c r="MN13" s="18"/>
      <c r="MO13" s="31"/>
      <c r="MQ13" s="30"/>
      <c r="MR13" s="260" t="s">
        <v>8</v>
      </c>
      <c r="MS13" s="260" t="s">
        <v>0</v>
      </c>
      <c r="MT13" s="260" t="s">
        <v>1</v>
      </c>
      <c r="MU13" s="260" t="s">
        <v>2</v>
      </c>
      <c r="MV13" s="260" t="s">
        <v>4</v>
      </c>
      <c r="MW13" s="260" t="s">
        <v>3</v>
      </c>
      <c r="MX13" s="260" t="s">
        <v>5</v>
      </c>
      <c r="MY13" s="260" t="s">
        <v>6</v>
      </c>
      <c r="MZ13" s="260" t="s">
        <v>7</v>
      </c>
      <c r="NA13" s="31"/>
      <c r="ND13" s="30"/>
      <c r="NE13" s="260" t="s">
        <v>8</v>
      </c>
      <c r="NF13" s="260" t="s">
        <v>0</v>
      </c>
      <c r="NG13" s="260" t="s">
        <v>1</v>
      </c>
      <c r="NH13" s="260" t="s">
        <v>2</v>
      </c>
      <c r="NI13" s="260" t="s">
        <v>4</v>
      </c>
      <c r="NJ13" s="260" t="s">
        <v>3</v>
      </c>
      <c r="NK13" s="260" t="s">
        <v>5</v>
      </c>
      <c r="NL13" s="260" t="s">
        <v>6</v>
      </c>
      <c r="NM13" s="260" t="s">
        <v>7</v>
      </c>
      <c r="NN13" s="31"/>
      <c r="NP13" s="30"/>
      <c r="NQ13" s="273" t="s">
        <v>8</v>
      </c>
      <c r="NR13" s="273" t="s">
        <v>0</v>
      </c>
      <c r="NS13" s="273" t="s">
        <v>1</v>
      </c>
      <c r="NT13" s="273" t="s">
        <v>2</v>
      </c>
      <c r="NU13" s="273" t="s">
        <v>4</v>
      </c>
      <c r="NV13" s="273" t="s">
        <v>3</v>
      </c>
      <c r="NW13" s="273" t="s">
        <v>5</v>
      </c>
      <c r="NX13" s="273" t="s">
        <v>6</v>
      </c>
      <c r="NY13" s="273" t="s">
        <v>7</v>
      </c>
      <c r="NZ13" s="31"/>
      <c r="OC13" s="30"/>
      <c r="OD13" s="276" t="s">
        <v>8</v>
      </c>
      <c r="OE13" s="276" t="s">
        <v>0</v>
      </c>
      <c r="OF13" s="276" t="s">
        <v>1</v>
      </c>
      <c r="OG13" s="276" t="s">
        <v>2</v>
      </c>
      <c r="OH13" s="276" t="s">
        <v>4</v>
      </c>
      <c r="OI13" s="276" t="s">
        <v>3</v>
      </c>
      <c r="OJ13" s="276" t="s">
        <v>5</v>
      </c>
      <c r="OK13" s="276" t="s">
        <v>6</v>
      </c>
      <c r="OL13" s="276" t="s">
        <v>7</v>
      </c>
      <c r="OM13" s="31"/>
      <c r="OP13" s="30"/>
      <c r="OQ13" s="279" t="s">
        <v>8</v>
      </c>
      <c r="OR13" s="279" t="s">
        <v>0</v>
      </c>
      <c r="OS13" s="279" t="s">
        <v>1</v>
      </c>
      <c r="OT13" s="279" t="s">
        <v>2</v>
      </c>
      <c r="OU13" s="279" t="s">
        <v>4</v>
      </c>
      <c r="OV13" s="279" t="s">
        <v>3</v>
      </c>
      <c r="OW13" s="279" t="s">
        <v>5</v>
      </c>
      <c r="OX13" s="279" t="s">
        <v>6</v>
      </c>
      <c r="OY13" s="279" t="s">
        <v>7</v>
      </c>
      <c r="OZ13" s="31"/>
      <c r="PD13" s="30"/>
      <c r="PE13" s="283" t="s">
        <v>8</v>
      </c>
      <c r="PF13" s="283" t="s">
        <v>0</v>
      </c>
      <c r="PG13" s="283" t="s">
        <v>1</v>
      </c>
      <c r="PH13" s="283" t="s">
        <v>2</v>
      </c>
      <c r="PI13" s="283" t="s">
        <v>4</v>
      </c>
      <c r="PJ13" s="283" t="s">
        <v>3</v>
      </c>
      <c r="PK13" s="283" t="s">
        <v>5</v>
      </c>
      <c r="PL13" s="283" t="s">
        <v>6</v>
      </c>
      <c r="PM13" s="283" t="s">
        <v>7</v>
      </c>
      <c r="PN13" s="31"/>
      <c r="PQ13" s="30"/>
      <c r="PR13" s="287" t="s">
        <v>8</v>
      </c>
      <c r="PS13" s="287" t="s">
        <v>0</v>
      </c>
      <c r="PT13" s="287" t="s">
        <v>1</v>
      </c>
      <c r="PU13" s="287" t="s">
        <v>2</v>
      </c>
      <c r="PV13" s="287" t="s">
        <v>4</v>
      </c>
      <c r="PW13" s="287" t="s">
        <v>3</v>
      </c>
      <c r="PX13" s="287" t="s">
        <v>5</v>
      </c>
      <c r="PY13" s="287" t="s">
        <v>6</v>
      </c>
      <c r="PZ13" s="287" t="s">
        <v>7</v>
      </c>
      <c r="QA13" s="31"/>
      <c r="QD13" s="30"/>
      <c r="QE13" s="290" t="s">
        <v>8</v>
      </c>
      <c r="QF13" s="290" t="s">
        <v>0</v>
      </c>
      <c r="QG13" s="290" t="s">
        <v>1</v>
      </c>
      <c r="QH13" s="290" t="s">
        <v>2</v>
      </c>
      <c r="QI13" s="290" t="s">
        <v>4</v>
      </c>
      <c r="QJ13" s="290" t="s">
        <v>3</v>
      </c>
      <c r="QK13" s="290" t="s">
        <v>5</v>
      </c>
      <c r="QL13" s="290" t="s">
        <v>6</v>
      </c>
      <c r="QM13" s="290" t="s">
        <v>7</v>
      </c>
      <c r="QN13" s="31"/>
      <c r="QQ13" s="30"/>
      <c r="QR13" s="293" t="s">
        <v>8</v>
      </c>
      <c r="QS13" s="293" t="s">
        <v>0</v>
      </c>
      <c r="QT13" s="293" t="s">
        <v>1</v>
      </c>
      <c r="QU13" s="293" t="s">
        <v>2</v>
      </c>
      <c r="QV13" s="293" t="s">
        <v>4</v>
      </c>
      <c r="QW13" s="293" t="s">
        <v>3</v>
      </c>
      <c r="QX13" s="293" t="s">
        <v>5</v>
      </c>
      <c r="QY13" s="293" t="s">
        <v>6</v>
      </c>
      <c r="QZ13" s="293" t="s">
        <v>7</v>
      </c>
      <c r="RA13" s="31"/>
    </row>
    <row r="14" spans="1:469" x14ac:dyDescent="0.25">
      <c r="A14" s="30"/>
      <c r="B14" s="18"/>
      <c r="C14" s="18"/>
      <c r="D14" s="18"/>
      <c r="E14" s="18"/>
      <c r="F14" s="18"/>
      <c r="G14" s="18"/>
      <c r="H14" s="18"/>
      <c r="I14" s="18"/>
      <c r="J14" s="18"/>
      <c r="K14" s="31"/>
      <c r="L14" s="30"/>
      <c r="M14" s="18"/>
      <c r="N14" s="18"/>
      <c r="O14" s="18"/>
      <c r="P14" s="18"/>
      <c r="Q14" s="18"/>
      <c r="R14" s="18"/>
      <c r="S14" s="18"/>
      <c r="T14" s="18"/>
      <c r="U14" s="18"/>
      <c r="V14" s="31"/>
      <c r="W14" s="30"/>
      <c r="X14" s="18"/>
      <c r="Y14" s="18"/>
      <c r="Z14" s="18"/>
      <c r="AA14" s="18"/>
      <c r="AB14" s="18"/>
      <c r="AC14" s="18"/>
      <c r="AD14" s="18"/>
      <c r="AE14" s="18"/>
      <c r="AF14" s="18"/>
      <c r="AG14" s="31"/>
      <c r="AH14" s="30"/>
      <c r="AI14" s="18"/>
      <c r="AJ14" s="18"/>
      <c r="AK14" s="18"/>
      <c r="AL14" s="18"/>
      <c r="AM14" s="18"/>
      <c r="AN14" s="18"/>
      <c r="AO14" s="18"/>
      <c r="AP14" s="18"/>
      <c r="AQ14" s="18"/>
      <c r="AR14" s="31"/>
      <c r="AS14" s="30"/>
      <c r="AT14" s="18"/>
      <c r="AU14" s="18"/>
      <c r="AV14" s="18"/>
      <c r="AW14" s="18"/>
      <c r="AX14" s="18"/>
      <c r="AY14" s="18"/>
      <c r="AZ14" s="18"/>
      <c r="BA14" s="18"/>
      <c r="BB14" s="18"/>
      <c r="BC14" s="31"/>
      <c r="BD14" s="30"/>
      <c r="BE14" s="18"/>
      <c r="BF14" s="18"/>
      <c r="BG14" s="18"/>
      <c r="BH14" s="18"/>
      <c r="BI14" s="18"/>
      <c r="BJ14" s="18"/>
      <c r="BK14" s="18"/>
      <c r="BL14" s="18"/>
      <c r="BM14" s="18"/>
      <c r="BN14" s="31"/>
      <c r="BO14" s="30"/>
      <c r="BP14" s="18"/>
      <c r="BQ14" s="18"/>
      <c r="BR14" s="18"/>
      <c r="BS14" s="18"/>
      <c r="BT14" s="18"/>
      <c r="BU14" s="18"/>
      <c r="BV14" s="18"/>
      <c r="BW14" s="18"/>
      <c r="BX14" s="18"/>
      <c r="BY14" s="31"/>
      <c r="BZ14" s="30"/>
      <c r="CA14" s="18"/>
      <c r="CB14" s="18"/>
      <c r="CC14" s="18"/>
      <c r="CD14" s="18"/>
      <c r="CE14" s="18"/>
      <c r="CF14" s="18"/>
      <c r="CG14" s="18"/>
      <c r="CH14" s="18"/>
      <c r="CI14" s="18"/>
      <c r="CJ14" s="31"/>
      <c r="CK14" s="30"/>
      <c r="CL14" s="18"/>
      <c r="CM14" s="18"/>
      <c r="CN14" s="18"/>
      <c r="CO14" s="18"/>
      <c r="CP14" s="18"/>
      <c r="CQ14" s="18"/>
      <c r="CR14" s="18"/>
      <c r="CS14" s="18"/>
      <c r="CT14" s="18"/>
      <c r="CU14" s="31"/>
      <c r="CV14" s="30"/>
      <c r="CW14" s="18"/>
      <c r="CX14" s="18"/>
      <c r="CY14" s="18"/>
      <c r="CZ14" s="18"/>
      <c r="DA14" s="18"/>
      <c r="DB14" s="18"/>
      <c r="DC14" s="18"/>
      <c r="DD14" s="18"/>
      <c r="DE14" s="18"/>
      <c r="DF14" s="31"/>
      <c r="DG14" s="30"/>
      <c r="DH14" s="18"/>
      <c r="DI14" s="18"/>
      <c r="DJ14" s="18"/>
      <c r="DK14" s="18"/>
      <c r="DL14" s="18"/>
      <c r="DM14" s="18"/>
      <c r="DN14" s="18"/>
      <c r="DO14" s="18"/>
      <c r="DP14" s="18"/>
      <c r="DQ14" s="31"/>
      <c r="DR14" s="30"/>
      <c r="DS14" s="18"/>
      <c r="DT14" s="18"/>
      <c r="DU14" s="18"/>
      <c r="DV14" s="18"/>
      <c r="DW14" s="18"/>
      <c r="DX14" s="18"/>
      <c r="DY14" s="18"/>
      <c r="DZ14" s="18"/>
      <c r="EA14" s="18"/>
      <c r="EB14" s="31"/>
      <c r="EC14" s="30"/>
      <c r="ED14" s="18"/>
      <c r="EE14" s="18"/>
      <c r="EF14" s="18"/>
      <c r="EG14" s="18"/>
      <c r="EH14" s="18"/>
      <c r="EI14" s="18"/>
      <c r="EJ14" s="18"/>
      <c r="EK14" s="18"/>
      <c r="EL14" s="18"/>
      <c r="EM14" s="31"/>
      <c r="EN14" s="30"/>
      <c r="EO14" s="18"/>
      <c r="EP14" s="18"/>
      <c r="EQ14" s="18"/>
      <c r="ER14" s="18"/>
      <c r="ES14" s="18"/>
      <c r="ET14" s="18"/>
      <c r="EU14" s="18"/>
      <c r="EV14" s="18"/>
      <c r="EW14" s="18"/>
      <c r="EX14" s="31"/>
      <c r="EY14" s="30"/>
      <c r="EZ14" s="18"/>
      <c r="FA14" s="18"/>
      <c r="FB14" s="18"/>
      <c r="FC14" s="18"/>
      <c r="FD14" s="18"/>
      <c r="FE14" s="18"/>
      <c r="FF14" s="18"/>
      <c r="FG14" s="18"/>
      <c r="FH14" s="18"/>
      <c r="FI14" s="31"/>
      <c r="FJ14" s="30"/>
      <c r="FK14" s="18"/>
      <c r="FL14" s="18"/>
      <c r="FM14" s="18"/>
      <c r="FN14" s="18"/>
      <c r="FO14" s="18"/>
      <c r="FP14" s="18"/>
      <c r="FQ14" s="18"/>
      <c r="FR14" s="18"/>
      <c r="FS14" s="18"/>
      <c r="FT14" s="31"/>
      <c r="FU14" s="30"/>
      <c r="FV14" s="18"/>
      <c r="FW14" s="18"/>
      <c r="FX14" s="18"/>
      <c r="FY14" s="18"/>
      <c r="FZ14" s="18"/>
      <c r="GA14" s="18"/>
      <c r="GB14" s="18"/>
      <c r="GC14" s="18"/>
      <c r="GD14" s="18"/>
      <c r="GE14" s="31"/>
      <c r="GF14" s="30"/>
      <c r="GG14" s="18"/>
      <c r="GH14" s="18"/>
      <c r="GI14" s="18"/>
      <c r="GJ14" s="18"/>
      <c r="GK14" s="18"/>
      <c r="GL14" s="18"/>
      <c r="GM14" s="18"/>
      <c r="GN14" s="18"/>
      <c r="GO14" s="18"/>
      <c r="GP14" s="31"/>
      <c r="GQ14" s="30"/>
      <c r="GR14" s="18"/>
      <c r="GS14" s="18"/>
      <c r="GT14" s="18"/>
      <c r="GU14" s="18"/>
      <c r="GV14" s="18"/>
      <c r="GW14" s="18"/>
      <c r="GX14" s="18"/>
      <c r="GY14" s="18"/>
      <c r="GZ14" s="18"/>
      <c r="HA14" s="31"/>
      <c r="HB14" s="30"/>
      <c r="HC14" s="18"/>
      <c r="HD14" s="18"/>
      <c r="HE14" s="18"/>
      <c r="HF14" s="18"/>
      <c r="HG14" s="18"/>
      <c r="HH14" s="18"/>
      <c r="HI14" s="18"/>
      <c r="HJ14" s="18"/>
      <c r="HK14" s="18"/>
      <c r="HL14" s="31"/>
      <c r="HM14" s="30"/>
      <c r="HN14" s="18"/>
      <c r="HO14" s="18"/>
      <c r="HP14" s="18"/>
      <c r="HQ14" s="18"/>
      <c r="HR14" s="18"/>
      <c r="HS14" s="18"/>
      <c r="HT14" s="18"/>
      <c r="HU14" s="18"/>
      <c r="HV14" s="18"/>
      <c r="HW14" s="31"/>
      <c r="HX14" s="30"/>
      <c r="HY14" s="18"/>
      <c r="HZ14" s="18"/>
      <c r="IA14" s="18"/>
      <c r="IB14" s="18"/>
      <c r="IC14" s="18"/>
      <c r="ID14" s="18"/>
      <c r="IE14" s="18"/>
      <c r="IF14" s="18"/>
      <c r="IG14" s="18"/>
      <c r="IH14" s="31"/>
      <c r="II14" s="30"/>
      <c r="IJ14" s="18"/>
      <c r="IK14" s="18"/>
      <c r="IL14" s="18"/>
      <c r="IM14" s="18"/>
      <c r="IN14" s="18"/>
      <c r="IO14" s="18"/>
      <c r="IP14" s="18"/>
      <c r="IQ14" s="18"/>
      <c r="IR14" s="18"/>
      <c r="IS14" s="31"/>
      <c r="IT14" s="30"/>
      <c r="IU14" s="18"/>
      <c r="IV14" s="18"/>
      <c r="IW14" s="18"/>
      <c r="IX14" s="18"/>
      <c r="IY14" s="18"/>
      <c r="IZ14" s="18"/>
      <c r="JA14" s="18"/>
      <c r="JB14" s="18"/>
      <c r="JC14" s="18"/>
      <c r="JD14" s="31"/>
      <c r="JE14" s="30"/>
      <c r="JF14" s="18"/>
      <c r="JG14" s="18"/>
      <c r="JH14" s="18"/>
      <c r="JI14" s="18"/>
      <c r="JJ14" s="18"/>
      <c r="JK14" s="18"/>
      <c r="JL14" s="18"/>
      <c r="JM14" s="18"/>
      <c r="JN14" s="18"/>
      <c r="JO14" s="31"/>
      <c r="JP14" s="30"/>
      <c r="JQ14" s="18"/>
      <c r="JR14" s="18"/>
      <c r="JS14" s="18"/>
      <c r="JT14" s="18"/>
      <c r="JU14" s="18"/>
      <c r="JV14" s="18"/>
      <c r="JW14" s="18"/>
      <c r="JX14" s="18"/>
      <c r="JY14" s="18"/>
      <c r="JZ14" s="31"/>
      <c r="KA14" s="30"/>
      <c r="KB14" s="18"/>
      <c r="KC14" s="18"/>
      <c r="KD14" s="18"/>
      <c r="KE14" s="18"/>
      <c r="KF14" s="18"/>
      <c r="KG14" s="18"/>
      <c r="KH14" s="18"/>
      <c r="KI14" s="18"/>
      <c r="KJ14" s="18"/>
      <c r="KK14" s="31"/>
      <c r="KL14" s="30"/>
      <c r="KM14" s="18"/>
      <c r="KN14" s="18"/>
      <c r="KO14" s="18"/>
      <c r="KP14" s="18"/>
      <c r="KQ14" s="18"/>
      <c r="KR14" s="18"/>
      <c r="KS14" s="18"/>
      <c r="KT14" s="18"/>
      <c r="KU14" s="18"/>
      <c r="KV14" s="31"/>
      <c r="KW14" s="30"/>
      <c r="KX14" s="18"/>
      <c r="KY14" s="18"/>
      <c r="KZ14" s="18"/>
      <c r="LA14" s="18"/>
      <c r="LB14" s="18"/>
      <c r="LC14" s="18"/>
      <c r="LD14" s="18"/>
      <c r="LE14" s="18"/>
      <c r="LF14" s="18"/>
      <c r="LG14" s="31"/>
      <c r="LH14" s="30"/>
      <c r="LI14" s="18"/>
      <c r="LJ14" s="18"/>
      <c r="LK14" s="18"/>
      <c r="LL14" s="18"/>
      <c r="LM14" s="18"/>
      <c r="LN14" s="18"/>
      <c r="LO14" s="18"/>
      <c r="LP14" s="18"/>
      <c r="LQ14" s="18"/>
      <c r="LR14" s="31"/>
      <c r="LS14" s="30"/>
      <c r="LT14" s="18"/>
      <c r="LU14" s="18"/>
      <c r="LV14" s="18"/>
      <c r="LW14" s="18"/>
      <c r="LX14" s="18"/>
      <c r="LY14" s="18"/>
      <c r="LZ14" s="18"/>
      <c r="MA14" s="18"/>
      <c r="MB14" s="18"/>
      <c r="MC14" s="31"/>
      <c r="ME14" s="30"/>
      <c r="MF14" s="18"/>
      <c r="MG14" s="18"/>
      <c r="MH14" s="18"/>
      <c r="MI14" s="18"/>
      <c r="MJ14" s="18"/>
      <c r="MK14" s="18"/>
      <c r="ML14" s="18"/>
      <c r="MM14" s="18"/>
      <c r="MN14" s="18"/>
      <c r="MO14" s="31"/>
      <c r="MQ14" s="30"/>
      <c r="MR14" s="1">
        <v>1</v>
      </c>
      <c r="MS14" s="1" t="s">
        <v>38</v>
      </c>
      <c r="MT14" s="1" t="s">
        <v>39</v>
      </c>
      <c r="MU14" s="3" t="s">
        <v>62</v>
      </c>
      <c r="MV14" s="1">
        <f>MT4*1000*1.04</f>
        <v>7280</v>
      </c>
      <c r="MW14" s="49">
        <f>(MT6+1)*2</f>
        <v>8</v>
      </c>
      <c r="MX14" s="3">
        <f>MV14/1000*MW14</f>
        <v>58.24</v>
      </c>
      <c r="MY14" s="3">
        <v>10.1</v>
      </c>
      <c r="MZ14" s="261">
        <f>MX14*MY14</f>
        <v>588.22400000000005</v>
      </c>
      <c r="NA14" s="31"/>
      <c r="ND14" s="30"/>
      <c r="NE14" s="1">
        <v>1</v>
      </c>
      <c r="NF14" s="1" t="s">
        <v>21</v>
      </c>
      <c r="NG14" s="1" t="s">
        <v>27</v>
      </c>
      <c r="NH14" s="3" t="s">
        <v>62</v>
      </c>
      <c r="NI14" s="1">
        <f>NG4*1.02*1000</f>
        <v>18360</v>
      </c>
      <c r="NJ14" s="1">
        <f>(NG6+1)*2</f>
        <v>22</v>
      </c>
      <c r="NK14" s="3">
        <f t="shared" ref="NK14:NK33" si="0">NI14/1000*NJ14</f>
        <v>403.91999999999996</v>
      </c>
      <c r="NL14" s="3">
        <v>10.199999999999999</v>
      </c>
      <c r="NM14" s="261">
        <f t="shared" ref="NM14:NM33" si="1">NK14*NL14</f>
        <v>4119.9839999999995</v>
      </c>
      <c r="NN14" s="31"/>
      <c r="NP14" s="30"/>
      <c r="NQ14" s="1">
        <v>1</v>
      </c>
      <c r="NR14" s="1" t="s">
        <v>38</v>
      </c>
      <c r="NS14" s="1" t="s">
        <v>39</v>
      </c>
      <c r="NT14" s="5" t="s">
        <v>63</v>
      </c>
      <c r="NU14" s="1">
        <f>NS4*1000/2*1.044</f>
        <v>3654</v>
      </c>
      <c r="NV14" s="1">
        <f>(2+2*NS6)*2</f>
        <v>16</v>
      </c>
      <c r="NW14" s="5">
        <f>NU14/1000*NV14</f>
        <v>58.463999999999999</v>
      </c>
      <c r="NX14" s="5">
        <v>8.3000000000000007</v>
      </c>
      <c r="NY14" s="263">
        <f>NW14*NX14</f>
        <v>485.25120000000004</v>
      </c>
      <c r="NZ14" s="31"/>
      <c r="OC14" s="30"/>
      <c r="OD14" s="1">
        <v>1</v>
      </c>
      <c r="OE14" s="1" t="s">
        <v>38</v>
      </c>
      <c r="OF14" s="1" t="s">
        <v>39</v>
      </c>
      <c r="OG14" s="5" t="s">
        <v>63</v>
      </c>
      <c r="OH14" s="1">
        <f>OF4*1000/2*1.044</f>
        <v>3654</v>
      </c>
      <c r="OI14" s="1">
        <f>(2+2*OF6)*2</f>
        <v>20</v>
      </c>
      <c r="OJ14" s="5">
        <f>OH14/1000*OI14</f>
        <v>73.08</v>
      </c>
      <c r="OK14" s="5">
        <v>8.3000000000000007</v>
      </c>
      <c r="OL14" s="263">
        <f>OJ14*OK14</f>
        <v>606.56400000000008</v>
      </c>
      <c r="OM14" s="31"/>
      <c r="OP14" s="30"/>
      <c r="OQ14" s="1">
        <v>1</v>
      </c>
      <c r="OR14" s="1" t="s">
        <v>38</v>
      </c>
      <c r="OS14" s="1" t="s">
        <v>39</v>
      </c>
      <c r="OT14" s="5" t="s">
        <v>63</v>
      </c>
      <c r="OU14" s="1">
        <f>OS4*1000/2*1.044</f>
        <v>3654</v>
      </c>
      <c r="OV14" s="1">
        <f>(2+2*OS6)*2</f>
        <v>20</v>
      </c>
      <c r="OW14" s="5">
        <f>OU14/1000*OV14</f>
        <v>73.08</v>
      </c>
      <c r="OX14" s="5">
        <v>8.3000000000000007</v>
      </c>
      <c r="OY14" s="263">
        <f>OW14*OX14</f>
        <v>606.56400000000008</v>
      </c>
      <c r="OZ14" s="31"/>
      <c r="PD14" s="30"/>
      <c r="PE14" s="1">
        <v>1</v>
      </c>
      <c r="PF14" s="1" t="s">
        <v>38</v>
      </c>
      <c r="PG14" s="1" t="s">
        <v>39</v>
      </c>
      <c r="PH14" s="5" t="s">
        <v>63</v>
      </c>
      <c r="PI14" s="1">
        <f>PG4*1000/2*1.044</f>
        <v>3654</v>
      </c>
      <c r="PJ14" s="1">
        <f>(2+2*PG6)*2</f>
        <v>20</v>
      </c>
      <c r="PK14" s="5">
        <f>PI14/1000*PJ14</f>
        <v>73.08</v>
      </c>
      <c r="PL14" s="5">
        <v>8.3000000000000007</v>
      </c>
      <c r="PM14" s="263">
        <f>PK14*PL14</f>
        <v>606.56400000000008</v>
      </c>
      <c r="PN14" s="31"/>
      <c r="PQ14" s="30"/>
      <c r="PR14" s="1">
        <v>1</v>
      </c>
      <c r="PS14" s="1" t="s">
        <v>38</v>
      </c>
      <c r="PT14" s="1" t="s">
        <v>39</v>
      </c>
      <c r="PU14" s="5" t="s">
        <v>63</v>
      </c>
      <c r="PV14" s="1">
        <f>PT4*1000/2*1.044</f>
        <v>3654</v>
      </c>
      <c r="PW14" s="1">
        <f>(2+2*PT6)*2</f>
        <v>20</v>
      </c>
      <c r="PX14" s="5">
        <f>PV14/1000*PW14</f>
        <v>73.08</v>
      </c>
      <c r="PY14" s="5">
        <v>8.3000000000000007</v>
      </c>
      <c r="PZ14" s="263">
        <f>PX14*PY14</f>
        <v>606.56400000000008</v>
      </c>
      <c r="QA14" s="31"/>
      <c r="QD14" s="30"/>
      <c r="QE14" s="1">
        <v>1</v>
      </c>
      <c r="QF14" s="1" t="s">
        <v>38</v>
      </c>
      <c r="QG14" s="1" t="s">
        <v>39</v>
      </c>
      <c r="QH14" s="296" t="s">
        <v>353</v>
      </c>
      <c r="QI14" s="1">
        <f>QG4*1000/2*1.044</f>
        <v>5220</v>
      </c>
      <c r="QJ14" s="1">
        <f>(2+2*QG6)*2</f>
        <v>12</v>
      </c>
      <c r="QK14" s="296">
        <f>QI14/1000*QJ14</f>
        <v>62.64</v>
      </c>
      <c r="QL14" s="296">
        <v>7.1</v>
      </c>
      <c r="QM14" s="297">
        <f>QK14*QL14</f>
        <v>444.74399999999997</v>
      </c>
      <c r="QN14" s="31"/>
      <c r="QQ14" s="30"/>
      <c r="QR14" s="1">
        <v>1</v>
      </c>
      <c r="QS14" s="1" t="s">
        <v>38</v>
      </c>
      <c r="QT14" s="1" t="s">
        <v>39</v>
      </c>
      <c r="QU14" s="5" t="s">
        <v>63</v>
      </c>
      <c r="QV14" s="1">
        <f>QT4*1000/2*1.044</f>
        <v>3654</v>
      </c>
      <c r="QW14" s="1">
        <f>(2+2*QT6)*2</f>
        <v>20</v>
      </c>
      <c r="QX14" s="5">
        <f>QV14/1000*QW14</f>
        <v>73.08</v>
      </c>
      <c r="QY14" s="5">
        <v>8.3000000000000007</v>
      </c>
      <c r="QZ14" s="263">
        <f>QX14*QY14</f>
        <v>606.56400000000008</v>
      </c>
      <c r="RA14" s="31"/>
    </row>
    <row r="15" spans="1:469" x14ac:dyDescent="0.25">
      <c r="A15" s="30"/>
      <c r="B15" s="196" t="s">
        <v>8</v>
      </c>
      <c r="C15" s="196" t="s">
        <v>0</v>
      </c>
      <c r="D15" s="196" t="s">
        <v>1</v>
      </c>
      <c r="E15" s="196" t="s">
        <v>2</v>
      </c>
      <c r="F15" s="196" t="s">
        <v>4</v>
      </c>
      <c r="G15" s="196" t="s">
        <v>3</v>
      </c>
      <c r="H15" s="196" t="s">
        <v>5</v>
      </c>
      <c r="I15" s="196" t="s">
        <v>6</v>
      </c>
      <c r="J15" s="196" t="s">
        <v>7</v>
      </c>
      <c r="K15" s="31"/>
      <c r="L15" s="30"/>
      <c r="M15" s="242" t="s">
        <v>8</v>
      </c>
      <c r="N15" s="242" t="s">
        <v>0</v>
      </c>
      <c r="O15" s="242" t="s">
        <v>1</v>
      </c>
      <c r="P15" s="242" t="s">
        <v>2</v>
      </c>
      <c r="Q15" s="242" t="s">
        <v>4</v>
      </c>
      <c r="R15" s="242" t="s">
        <v>3</v>
      </c>
      <c r="S15" s="242" t="s">
        <v>5</v>
      </c>
      <c r="T15" s="242" t="s">
        <v>6</v>
      </c>
      <c r="U15" s="242" t="s">
        <v>7</v>
      </c>
      <c r="V15" s="31"/>
      <c r="W15" s="30"/>
      <c r="X15" s="196" t="s">
        <v>8</v>
      </c>
      <c r="Y15" s="196" t="s">
        <v>0</v>
      </c>
      <c r="Z15" s="196" t="s">
        <v>1</v>
      </c>
      <c r="AA15" s="196" t="s">
        <v>2</v>
      </c>
      <c r="AB15" s="196" t="s">
        <v>4</v>
      </c>
      <c r="AC15" s="196" t="s">
        <v>3</v>
      </c>
      <c r="AD15" s="196" t="s">
        <v>5</v>
      </c>
      <c r="AE15" s="196" t="s">
        <v>6</v>
      </c>
      <c r="AF15" s="196" t="s">
        <v>7</v>
      </c>
      <c r="AG15" s="31"/>
      <c r="AH15" s="30"/>
      <c r="AI15" s="17" t="s">
        <v>8</v>
      </c>
      <c r="AJ15" s="17" t="s">
        <v>0</v>
      </c>
      <c r="AK15" s="17" t="s">
        <v>1</v>
      </c>
      <c r="AL15" s="17" t="s">
        <v>2</v>
      </c>
      <c r="AM15" s="17" t="s">
        <v>4</v>
      </c>
      <c r="AN15" s="17" t="s">
        <v>3</v>
      </c>
      <c r="AO15" s="17" t="s">
        <v>5</v>
      </c>
      <c r="AP15" s="17" t="s">
        <v>6</v>
      </c>
      <c r="AQ15" s="17" t="s">
        <v>7</v>
      </c>
      <c r="AR15" s="31"/>
      <c r="AS15" s="30"/>
      <c r="AT15" s="17" t="s">
        <v>8</v>
      </c>
      <c r="AU15" s="17" t="s">
        <v>0</v>
      </c>
      <c r="AV15" s="17" t="s">
        <v>1</v>
      </c>
      <c r="AW15" s="17" t="s">
        <v>2</v>
      </c>
      <c r="AX15" s="17" t="s">
        <v>4</v>
      </c>
      <c r="AY15" s="17" t="s">
        <v>3</v>
      </c>
      <c r="AZ15" s="17" t="s">
        <v>5</v>
      </c>
      <c r="BA15" s="17" t="s">
        <v>6</v>
      </c>
      <c r="BB15" s="17" t="s">
        <v>7</v>
      </c>
      <c r="BC15" s="31"/>
      <c r="BD15" s="30"/>
      <c r="BE15" s="196" t="s">
        <v>8</v>
      </c>
      <c r="BF15" s="196" t="s">
        <v>0</v>
      </c>
      <c r="BG15" s="196" t="s">
        <v>1</v>
      </c>
      <c r="BH15" s="196" t="s">
        <v>2</v>
      </c>
      <c r="BI15" s="196" t="s">
        <v>4</v>
      </c>
      <c r="BJ15" s="196" t="s">
        <v>3</v>
      </c>
      <c r="BK15" s="196" t="s">
        <v>5</v>
      </c>
      <c r="BL15" s="196" t="s">
        <v>6</v>
      </c>
      <c r="BM15" s="196" t="s">
        <v>7</v>
      </c>
      <c r="BN15" s="31"/>
      <c r="BO15" s="30"/>
      <c r="BP15" s="196" t="s">
        <v>8</v>
      </c>
      <c r="BQ15" s="196" t="s">
        <v>0</v>
      </c>
      <c r="BR15" s="196" t="s">
        <v>1</v>
      </c>
      <c r="BS15" s="196" t="s">
        <v>2</v>
      </c>
      <c r="BT15" s="196" t="s">
        <v>4</v>
      </c>
      <c r="BU15" s="196" t="s">
        <v>3</v>
      </c>
      <c r="BV15" s="196" t="s">
        <v>5</v>
      </c>
      <c r="BW15" s="196" t="s">
        <v>6</v>
      </c>
      <c r="BX15" s="196" t="s">
        <v>7</v>
      </c>
      <c r="BY15" s="31"/>
      <c r="BZ15" s="30"/>
      <c r="CA15" s="17" t="s">
        <v>8</v>
      </c>
      <c r="CB15" s="17" t="s">
        <v>0</v>
      </c>
      <c r="CC15" s="17" t="s">
        <v>1</v>
      </c>
      <c r="CD15" s="17" t="s">
        <v>2</v>
      </c>
      <c r="CE15" s="17" t="s">
        <v>4</v>
      </c>
      <c r="CF15" s="17" t="s">
        <v>3</v>
      </c>
      <c r="CG15" s="17" t="s">
        <v>5</v>
      </c>
      <c r="CH15" s="17" t="s">
        <v>6</v>
      </c>
      <c r="CI15" s="17" t="s">
        <v>7</v>
      </c>
      <c r="CJ15" s="31"/>
      <c r="CK15" s="30"/>
      <c r="CL15" s="162" t="s">
        <v>8</v>
      </c>
      <c r="CM15" s="162" t="s">
        <v>0</v>
      </c>
      <c r="CN15" s="162" t="s">
        <v>1</v>
      </c>
      <c r="CO15" s="162" t="s">
        <v>2</v>
      </c>
      <c r="CP15" s="162" t="s">
        <v>4</v>
      </c>
      <c r="CQ15" s="162" t="s">
        <v>3</v>
      </c>
      <c r="CR15" s="162" t="s">
        <v>5</v>
      </c>
      <c r="CS15" s="162" t="s">
        <v>6</v>
      </c>
      <c r="CT15" s="162" t="s">
        <v>7</v>
      </c>
      <c r="CU15" s="31"/>
      <c r="CV15" s="30"/>
      <c r="CW15" s="17" t="s">
        <v>8</v>
      </c>
      <c r="CX15" s="17" t="s">
        <v>0</v>
      </c>
      <c r="CY15" s="17" t="s">
        <v>1</v>
      </c>
      <c r="CZ15" s="17" t="s">
        <v>2</v>
      </c>
      <c r="DA15" s="17" t="s">
        <v>4</v>
      </c>
      <c r="DB15" s="17" t="s">
        <v>3</v>
      </c>
      <c r="DC15" s="17" t="s">
        <v>5</v>
      </c>
      <c r="DD15" s="17" t="s">
        <v>6</v>
      </c>
      <c r="DE15" s="17" t="s">
        <v>7</v>
      </c>
      <c r="DF15" s="31"/>
      <c r="DG15" s="30"/>
      <c r="DH15" s="63" t="s">
        <v>8</v>
      </c>
      <c r="DI15" s="63" t="s">
        <v>0</v>
      </c>
      <c r="DJ15" s="63" t="s">
        <v>1</v>
      </c>
      <c r="DK15" s="63" t="s">
        <v>2</v>
      </c>
      <c r="DL15" s="63" t="s">
        <v>4</v>
      </c>
      <c r="DM15" s="63" t="s">
        <v>3</v>
      </c>
      <c r="DN15" s="63" t="s">
        <v>5</v>
      </c>
      <c r="DO15" s="63" t="s">
        <v>6</v>
      </c>
      <c r="DP15" s="63" t="s">
        <v>7</v>
      </c>
      <c r="DQ15" s="31"/>
      <c r="DR15" s="30"/>
      <c r="DS15" s="102" t="s">
        <v>8</v>
      </c>
      <c r="DT15" s="102" t="s">
        <v>0</v>
      </c>
      <c r="DU15" s="102" t="s">
        <v>1</v>
      </c>
      <c r="DV15" s="102" t="s">
        <v>2</v>
      </c>
      <c r="DW15" s="102" t="s">
        <v>4</v>
      </c>
      <c r="DX15" s="102" t="s">
        <v>3</v>
      </c>
      <c r="DY15" s="102" t="s">
        <v>5</v>
      </c>
      <c r="DZ15" s="102" t="s">
        <v>6</v>
      </c>
      <c r="EA15" s="102" t="s">
        <v>7</v>
      </c>
      <c r="EB15" s="31"/>
      <c r="EC15" s="30"/>
      <c r="ED15" s="98" t="s">
        <v>8</v>
      </c>
      <c r="EE15" s="98" t="s">
        <v>0</v>
      </c>
      <c r="EF15" s="98" t="s">
        <v>1</v>
      </c>
      <c r="EG15" s="98" t="s">
        <v>2</v>
      </c>
      <c r="EH15" s="98" t="s">
        <v>4</v>
      </c>
      <c r="EI15" s="98" t="s">
        <v>3</v>
      </c>
      <c r="EJ15" s="98" t="s">
        <v>5</v>
      </c>
      <c r="EK15" s="98" t="s">
        <v>6</v>
      </c>
      <c r="EL15" s="98" t="s">
        <v>7</v>
      </c>
      <c r="EM15" s="31"/>
      <c r="EN15" s="30"/>
      <c r="EO15" s="83" t="s">
        <v>8</v>
      </c>
      <c r="EP15" s="83" t="s">
        <v>0</v>
      </c>
      <c r="EQ15" s="83" t="s">
        <v>1</v>
      </c>
      <c r="ER15" s="83" t="s">
        <v>2</v>
      </c>
      <c r="ES15" s="83" t="s">
        <v>4</v>
      </c>
      <c r="ET15" s="83" t="s">
        <v>3</v>
      </c>
      <c r="EU15" s="83" t="s">
        <v>5</v>
      </c>
      <c r="EV15" s="83" t="s">
        <v>6</v>
      </c>
      <c r="EW15" s="83" t="s">
        <v>7</v>
      </c>
      <c r="EX15" s="31"/>
      <c r="EY15" s="30"/>
      <c r="EZ15" s="17" t="s">
        <v>8</v>
      </c>
      <c r="FA15" s="17" t="s">
        <v>0</v>
      </c>
      <c r="FB15" s="17" t="s">
        <v>1</v>
      </c>
      <c r="FC15" s="17" t="s">
        <v>2</v>
      </c>
      <c r="FD15" s="17" t="s">
        <v>4</v>
      </c>
      <c r="FE15" s="17" t="s">
        <v>3</v>
      </c>
      <c r="FF15" s="17" t="s">
        <v>5</v>
      </c>
      <c r="FG15" s="17" t="s">
        <v>6</v>
      </c>
      <c r="FH15" s="17" t="s">
        <v>7</v>
      </c>
      <c r="FI15" s="31"/>
      <c r="FJ15" s="30"/>
      <c r="FK15" s="157" t="s">
        <v>8</v>
      </c>
      <c r="FL15" s="157" t="s">
        <v>0</v>
      </c>
      <c r="FM15" s="157" t="s">
        <v>1</v>
      </c>
      <c r="FN15" s="157" t="s">
        <v>2</v>
      </c>
      <c r="FO15" s="157" t="s">
        <v>4</v>
      </c>
      <c r="FP15" s="157" t="s">
        <v>3</v>
      </c>
      <c r="FQ15" s="157" t="s">
        <v>5</v>
      </c>
      <c r="FR15" s="157" t="s">
        <v>6</v>
      </c>
      <c r="FS15" s="157" t="s">
        <v>7</v>
      </c>
      <c r="FT15" s="31"/>
      <c r="FU15" s="30"/>
      <c r="FV15" s="102" t="s">
        <v>8</v>
      </c>
      <c r="FW15" s="102" t="s">
        <v>0</v>
      </c>
      <c r="FX15" s="102" t="s">
        <v>1</v>
      </c>
      <c r="FY15" s="102" t="s">
        <v>2</v>
      </c>
      <c r="FZ15" s="102" t="s">
        <v>4</v>
      </c>
      <c r="GA15" s="102" t="s">
        <v>3</v>
      </c>
      <c r="GB15" s="102" t="s">
        <v>5</v>
      </c>
      <c r="GC15" s="102" t="s">
        <v>6</v>
      </c>
      <c r="GD15" s="102" t="s">
        <v>7</v>
      </c>
      <c r="GE15" s="31"/>
      <c r="GF15" s="30"/>
      <c r="GG15" s="170" t="s">
        <v>8</v>
      </c>
      <c r="GH15" s="170" t="s">
        <v>0</v>
      </c>
      <c r="GI15" s="170" t="s">
        <v>1</v>
      </c>
      <c r="GJ15" s="170" t="s">
        <v>2</v>
      </c>
      <c r="GK15" s="170" t="s">
        <v>4</v>
      </c>
      <c r="GL15" s="170" t="s">
        <v>3</v>
      </c>
      <c r="GM15" s="170" t="s">
        <v>5</v>
      </c>
      <c r="GN15" s="170" t="s">
        <v>6</v>
      </c>
      <c r="GO15" s="170" t="s">
        <v>7</v>
      </c>
      <c r="GP15" s="31"/>
      <c r="GQ15" s="30"/>
      <c r="GR15" s="156" t="s">
        <v>8</v>
      </c>
      <c r="GS15" s="156" t="s">
        <v>0</v>
      </c>
      <c r="GT15" s="156" t="s">
        <v>1</v>
      </c>
      <c r="GU15" s="156" t="s">
        <v>2</v>
      </c>
      <c r="GV15" s="156" t="s">
        <v>4</v>
      </c>
      <c r="GW15" s="156" t="s">
        <v>3</v>
      </c>
      <c r="GX15" s="156" t="s">
        <v>5</v>
      </c>
      <c r="GY15" s="156" t="s">
        <v>6</v>
      </c>
      <c r="GZ15" s="156" t="s">
        <v>7</v>
      </c>
      <c r="HA15" s="31"/>
      <c r="HB15" s="30"/>
      <c r="HC15" s="102" t="s">
        <v>8</v>
      </c>
      <c r="HD15" s="102" t="s">
        <v>0</v>
      </c>
      <c r="HE15" s="102" t="s">
        <v>1</v>
      </c>
      <c r="HF15" s="102" t="s">
        <v>2</v>
      </c>
      <c r="HG15" s="102" t="s">
        <v>4</v>
      </c>
      <c r="HH15" s="102" t="s">
        <v>3</v>
      </c>
      <c r="HI15" s="102" t="s">
        <v>5</v>
      </c>
      <c r="HJ15" s="102" t="s">
        <v>6</v>
      </c>
      <c r="HK15" s="102" t="s">
        <v>7</v>
      </c>
      <c r="HL15" s="31"/>
      <c r="HM15" s="30"/>
      <c r="HN15" s="102" t="s">
        <v>8</v>
      </c>
      <c r="HO15" s="102" t="s">
        <v>0</v>
      </c>
      <c r="HP15" s="102" t="s">
        <v>1</v>
      </c>
      <c r="HQ15" s="102" t="s">
        <v>2</v>
      </c>
      <c r="HR15" s="102" t="s">
        <v>4</v>
      </c>
      <c r="HS15" s="102" t="s">
        <v>3</v>
      </c>
      <c r="HT15" s="102" t="s">
        <v>5</v>
      </c>
      <c r="HU15" s="102" t="s">
        <v>6</v>
      </c>
      <c r="HV15" s="102" t="s">
        <v>7</v>
      </c>
      <c r="HW15" s="31"/>
      <c r="HX15" s="30"/>
      <c r="HY15" s="17" t="s">
        <v>8</v>
      </c>
      <c r="HZ15" s="17" t="s">
        <v>0</v>
      </c>
      <c r="IA15" s="17" t="s">
        <v>1</v>
      </c>
      <c r="IB15" s="17" t="s">
        <v>2</v>
      </c>
      <c r="IC15" s="17" t="s">
        <v>4</v>
      </c>
      <c r="ID15" s="17" t="s">
        <v>3</v>
      </c>
      <c r="IE15" s="17" t="s">
        <v>5</v>
      </c>
      <c r="IF15" s="17" t="s">
        <v>6</v>
      </c>
      <c r="IG15" s="17" t="s">
        <v>7</v>
      </c>
      <c r="IH15" s="31"/>
      <c r="II15" s="30"/>
      <c r="IJ15" s="140" t="s">
        <v>8</v>
      </c>
      <c r="IK15" s="140" t="s">
        <v>0</v>
      </c>
      <c r="IL15" s="140" t="s">
        <v>1</v>
      </c>
      <c r="IM15" s="140" t="s">
        <v>2</v>
      </c>
      <c r="IN15" s="140" t="s">
        <v>4</v>
      </c>
      <c r="IO15" s="140" t="s">
        <v>3</v>
      </c>
      <c r="IP15" s="140" t="s">
        <v>5</v>
      </c>
      <c r="IQ15" s="140" t="s">
        <v>6</v>
      </c>
      <c r="IR15" s="140" t="s">
        <v>7</v>
      </c>
      <c r="IS15" s="31"/>
      <c r="IT15" s="30"/>
      <c r="IU15" s="140" t="s">
        <v>8</v>
      </c>
      <c r="IV15" s="140" t="s">
        <v>0</v>
      </c>
      <c r="IW15" s="140" t="s">
        <v>1</v>
      </c>
      <c r="IX15" s="140" t="s">
        <v>2</v>
      </c>
      <c r="IY15" s="140" t="s">
        <v>4</v>
      </c>
      <c r="IZ15" s="140" t="s">
        <v>3</v>
      </c>
      <c r="JA15" s="140" t="s">
        <v>5</v>
      </c>
      <c r="JB15" s="140" t="s">
        <v>6</v>
      </c>
      <c r="JC15" s="140" t="s">
        <v>7</v>
      </c>
      <c r="JD15" s="31"/>
      <c r="JE15" s="30"/>
      <c r="JF15" s="98" t="s">
        <v>8</v>
      </c>
      <c r="JG15" s="98" t="s">
        <v>0</v>
      </c>
      <c r="JH15" s="98" t="s">
        <v>1</v>
      </c>
      <c r="JI15" s="98" t="s">
        <v>2</v>
      </c>
      <c r="JJ15" s="98" t="s">
        <v>4</v>
      </c>
      <c r="JK15" s="98" t="s">
        <v>3</v>
      </c>
      <c r="JL15" s="98" t="s">
        <v>5</v>
      </c>
      <c r="JM15" s="98" t="s">
        <v>6</v>
      </c>
      <c r="JN15" s="98" t="s">
        <v>7</v>
      </c>
      <c r="JO15" s="31"/>
      <c r="JP15" s="30"/>
      <c r="JQ15" s="187" t="s">
        <v>8</v>
      </c>
      <c r="JR15" s="187" t="s">
        <v>0</v>
      </c>
      <c r="JS15" s="187" t="s">
        <v>1</v>
      </c>
      <c r="JT15" s="187" t="s">
        <v>2</v>
      </c>
      <c r="JU15" s="187" t="s">
        <v>4</v>
      </c>
      <c r="JV15" s="187" t="s">
        <v>3</v>
      </c>
      <c r="JW15" s="187" t="s">
        <v>5</v>
      </c>
      <c r="JX15" s="187" t="s">
        <v>6</v>
      </c>
      <c r="JY15" s="187" t="s">
        <v>7</v>
      </c>
      <c r="JZ15" s="31"/>
      <c r="KA15" s="30"/>
      <c r="KB15" s="187" t="s">
        <v>8</v>
      </c>
      <c r="KC15" s="187" t="s">
        <v>0</v>
      </c>
      <c r="KD15" s="187" t="s">
        <v>1</v>
      </c>
      <c r="KE15" s="187" t="s">
        <v>2</v>
      </c>
      <c r="KF15" s="187" t="s">
        <v>4</v>
      </c>
      <c r="KG15" s="187" t="s">
        <v>3</v>
      </c>
      <c r="KH15" s="187" t="s">
        <v>5</v>
      </c>
      <c r="KI15" s="187" t="s">
        <v>6</v>
      </c>
      <c r="KJ15" s="187" t="s">
        <v>7</v>
      </c>
      <c r="KK15" s="31"/>
      <c r="KL15" s="30"/>
      <c r="KM15" s="102" t="s">
        <v>8</v>
      </c>
      <c r="KN15" s="102" t="s">
        <v>0</v>
      </c>
      <c r="KO15" s="102" t="s">
        <v>1</v>
      </c>
      <c r="KP15" s="102" t="s">
        <v>2</v>
      </c>
      <c r="KQ15" s="102" t="s">
        <v>4</v>
      </c>
      <c r="KR15" s="102" t="s">
        <v>3</v>
      </c>
      <c r="KS15" s="102" t="s">
        <v>5</v>
      </c>
      <c r="KT15" s="102" t="s">
        <v>6</v>
      </c>
      <c r="KU15" s="102" t="s">
        <v>7</v>
      </c>
      <c r="KV15" s="31"/>
      <c r="KW15" s="30"/>
      <c r="KX15" s="98" t="s">
        <v>8</v>
      </c>
      <c r="KY15" s="98" t="s">
        <v>0</v>
      </c>
      <c r="KZ15" s="98" t="s">
        <v>1</v>
      </c>
      <c r="LA15" s="98" t="s">
        <v>2</v>
      </c>
      <c r="LB15" s="98" t="s">
        <v>4</v>
      </c>
      <c r="LC15" s="98" t="s">
        <v>3</v>
      </c>
      <c r="LD15" s="98" t="s">
        <v>5</v>
      </c>
      <c r="LE15" s="98" t="s">
        <v>6</v>
      </c>
      <c r="LF15" s="98" t="s">
        <v>7</v>
      </c>
      <c r="LG15" s="31"/>
      <c r="LH15" s="30"/>
      <c r="LI15" s="102" t="s">
        <v>8</v>
      </c>
      <c r="LJ15" s="102" t="s">
        <v>0</v>
      </c>
      <c r="LK15" s="102" t="s">
        <v>1</v>
      </c>
      <c r="LL15" s="102" t="s">
        <v>2</v>
      </c>
      <c r="LM15" s="102" t="s">
        <v>4</v>
      </c>
      <c r="LN15" s="102" t="s">
        <v>3</v>
      </c>
      <c r="LO15" s="102" t="s">
        <v>5</v>
      </c>
      <c r="LP15" s="102" t="s">
        <v>6</v>
      </c>
      <c r="LQ15" s="102" t="s">
        <v>7</v>
      </c>
      <c r="LR15" s="31"/>
      <c r="LS15" s="30"/>
      <c r="LT15" s="268" t="s">
        <v>8</v>
      </c>
      <c r="LU15" s="268" t="s">
        <v>0</v>
      </c>
      <c r="LV15" s="268" t="s">
        <v>1</v>
      </c>
      <c r="LW15" s="268" t="s">
        <v>2</v>
      </c>
      <c r="LX15" s="268" t="s">
        <v>4</v>
      </c>
      <c r="LY15" s="268" t="s">
        <v>3</v>
      </c>
      <c r="LZ15" s="268" t="s">
        <v>5</v>
      </c>
      <c r="MA15" s="268" t="s">
        <v>6</v>
      </c>
      <c r="MB15" s="268" t="s">
        <v>7</v>
      </c>
      <c r="MC15" s="31"/>
      <c r="ME15" s="30"/>
      <c r="MF15" s="256" t="s">
        <v>8</v>
      </c>
      <c r="MG15" s="256" t="s">
        <v>0</v>
      </c>
      <c r="MH15" s="256" t="s">
        <v>1</v>
      </c>
      <c r="MI15" s="256" t="s">
        <v>2</v>
      </c>
      <c r="MJ15" s="256" t="s">
        <v>4</v>
      </c>
      <c r="MK15" s="256" t="s">
        <v>3</v>
      </c>
      <c r="ML15" s="256" t="s">
        <v>5</v>
      </c>
      <c r="MM15" s="256" t="s">
        <v>6</v>
      </c>
      <c r="MN15" s="256" t="s">
        <v>7</v>
      </c>
      <c r="MO15" s="31"/>
      <c r="MQ15" s="30"/>
      <c r="MR15" s="1">
        <f>MR14+1</f>
        <v>2</v>
      </c>
      <c r="MS15" s="1" t="s">
        <v>23</v>
      </c>
      <c r="MT15" s="1" t="s">
        <v>24</v>
      </c>
      <c r="MU15" s="66" t="s">
        <v>135</v>
      </c>
      <c r="MV15" s="1">
        <f>MT9*1000</f>
        <v>5000</v>
      </c>
      <c r="MW15" s="49">
        <f>6*(MT6)</f>
        <v>18</v>
      </c>
      <c r="MX15" s="66">
        <f t="shared" ref="MX15" si="2">MV15/1000*MW15</f>
        <v>90</v>
      </c>
      <c r="MY15" s="66">
        <v>6.6</v>
      </c>
      <c r="MZ15" s="262">
        <f t="shared" ref="MZ15" si="3">MX15*MY15</f>
        <v>594</v>
      </c>
      <c r="NA15" s="31"/>
      <c r="ND15" s="30"/>
      <c r="NE15" s="1">
        <f>NE14+1</f>
        <v>2</v>
      </c>
      <c r="NF15" s="1" t="s">
        <v>22</v>
      </c>
      <c r="NG15" s="1" t="s">
        <v>26</v>
      </c>
      <c r="NH15" s="11" t="s">
        <v>40</v>
      </c>
      <c r="NI15" s="1">
        <f>NG4/2*1000</f>
        <v>9000</v>
      </c>
      <c r="NJ15" s="1">
        <f>(NG6-1)*2</f>
        <v>18</v>
      </c>
      <c r="NK15" s="11">
        <f t="shared" si="0"/>
        <v>162</v>
      </c>
      <c r="NL15" s="11">
        <v>6.9</v>
      </c>
      <c r="NM15" s="264">
        <f t="shared" si="1"/>
        <v>1117.8</v>
      </c>
      <c r="NN15" s="31"/>
      <c r="NP15" s="30"/>
      <c r="NQ15" s="1">
        <f>NQ14+1</f>
        <v>2</v>
      </c>
      <c r="NR15" s="1" t="s">
        <v>23</v>
      </c>
      <c r="NS15" s="1" t="s">
        <v>24</v>
      </c>
      <c r="NT15" s="5" t="s">
        <v>63</v>
      </c>
      <c r="NU15" s="1">
        <f>NS9*1000</f>
        <v>5000</v>
      </c>
      <c r="NV15" s="1">
        <f>8*NS6</f>
        <v>24</v>
      </c>
      <c r="NW15" s="5">
        <f>NU15/1000*NV15</f>
        <v>120</v>
      </c>
      <c r="NX15" s="5">
        <v>8.3000000000000007</v>
      </c>
      <c r="NY15" s="263">
        <f>NW15*NX15</f>
        <v>996.00000000000011</v>
      </c>
      <c r="NZ15" s="31"/>
      <c r="OC15" s="30"/>
      <c r="OD15" s="1">
        <f>OD14+1</f>
        <v>2</v>
      </c>
      <c r="OE15" s="1" t="s">
        <v>23</v>
      </c>
      <c r="OF15" s="1" t="s">
        <v>24</v>
      </c>
      <c r="OG15" s="5" t="s">
        <v>63</v>
      </c>
      <c r="OH15" s="1">
        <f>OF9*1000</f>
        <v>5000</v>
      </c>
      <c r="OI15" s="1">
        <f>8*OF6</f>
        <v>32</v>
      </c>
      <c r="OJ15" s="5">
        <f>OH15/1000*OI15</f>
        <v>160</v>
      </c>
      <c r="OK15" s="5">
        <v>8.3000000000000007</v>
      </c>
      <c r="OL15" s="263">
        <f>OJ15*OK15</f>
        <v>1328</v>
      </c>
      <c r="OM15" s="31"/>
      <c r="OP15" s="30"/>
      <c r="OQ15" s="1">
        <f>OQ14+1</f>
        <v>2</v>
      </c>
      <c r="OR15" s="1" t="s">
        <v>23</v>
      </c>
      <c r="OS15" s="1" t="s">
        <v>24</v>
      </c>
      <c r="OT15" s="5" t="s">
        <v>63</v>
      </c>
      <c r="OU15" s="1">
        <f>OS9*1000</f>
        <v>5000</v>
      </c>
      <c r="OV15" s="1">
        <f>8*OS6</f>
        <v>32</v>
      </c>
      <c r="OW15" s="5">
        <f>OU15/1000*OV15</f>
        <v>160</v>
      </c>
      <c r="OX15" s="5">
        <v>8.3000000000000007</v>
      </c>
      <c r="OY15" s="263">
        <f>OW15*OX15</f>
        <v>1328</v>
      </c>
      <c r="OZ15" s="31"/>
      <c r="PD15" s="30"/>
      <c r="PE15" s="1">
        <f>PE14+1</f>
        <v>2</v>
      </c>
      <c r="PF15" s="1" t="s">
        <v>23</v>
      </c>
      <c r="PG15" s="1" t="s">
        <v>24</v>
      </c>
      <c r="PH15" s="5" t="s">
        <v>63</v>
      </c>
      <c r="PI15" s="1">
        <f>PG9*1000</f>
        <v>5000</v>
      </c>
      <c r="PJ15" s="1">
        <f>8*PG6</f>
        <v>32</v>
      </c>
      <c r="PK15" s="5">
        <f>PI15/1000*PJ15</f>
        <v>160</v>
      </c>
      <c r="PL15" s="5">
        <v>8.3000000000000007</v>
      </c>
      <c r="PM15" s="263">
        <f>PK15*PL15</f>
        <v>1328</v>
      </c>
      <c r="PN15" s="31"/>
      <c r="PQ15" s="30"/>
      <c r="PR15" s="1">
        <f>PR14+1</f>
        <v>2</v>
      </c>
      <c r="PS15" s="1" t="s">
        <v>23</v>
      </c>
      <c r="PT15" s="1" t="s">
        <v>24</v>
      </c>
      <c r="PU15" s="5" t="s">
        <v>63</v>
      </c>
      <c r="PV15" s="1">
        <f>PT9*1000</f>
        <v>5000</v>
      </c>
      <c r="PW15" s="1">
        <f>8*PT6</f>
        <v>32</v>
      </c>
      <c r="PX15" s="5">
        <f>PV15/1000*PW15</f>
        <v>160</v>
      </c>
      <c r="PY15" s="5">
        <v>8.3000000000000007</v>
      </c>
      <c r="PZ15" s="263">
        <f>PX15*PY15</f>
        <v>1328</v>
      </c>
      <c r="QA15" s="31"/>
      <c r="QD15" s="30"/>
      <c r="QE15" s="1">
        <f>QE14+1</f>
        <v>2</v>
      </c>
      <c r="QF15" s="1" t="s">
        <v>23</v>
      </c>
      <c r="QG15" s="1" t="s">
        <v>24</v>
      </c>
      <c r="QH15" s="298" t="s">
        <v>354</v>
      </c>
      <c r="QI15" s="1">
        <f>QG9*1000</f>
        <v>6000</v>
      </c>
      <c r="QJ15" s="1">
        <f>8*QG6</f>
        <v>16</v>
      </c>
      <c r="QK15" s="298">
        <f>QI15/1000*QJ15</f>
        <v>96</v>
      </c>
      <c r="QL15" s="298">
        <v>6.4</v>
      </c>
      <c r="QM15" s="299">
        <f>QK15*QL15</f>
        <v>614.40000000000009</v>
      </c>
      <c r="QN15" s="31"/>
      <c r="QQ15" s="30"/>
      <c r="QR15" s="1">
        <f>QR14+1</f>
        <v>2</v>
      </c>
      <c r="QS15" s="1" t="s">
        <v>23</v>
      </c>
      <c r="QT15" s="1" t="s">
        <v>24</v>
      </c>
      <c r="QU15" s="5" t="s">
        <v>63</v>
      </c>
      <c r="QV15" s="1">
        <f>QT9*1000</f>
        <v>5000</v>
      </c>
      <c r="QW15" s="1">
        <f>8*QT6</f>
        <v>32</v>
      </c>
      <c r="QX15" s="5">
        <f>QV15/1000*QW15</f>
        <v>160</v>
      </c>
      <c r="QY15" s="5">
        <v>8.3000000000000007</v>
      </c>
      <c r="QZ15" s="263">
        <f>QX15*QY15</f>
        <v>1328</v>
      </c>
      <c r="RA15" s="31"/>
    </row>
    <row r="16" spans="1:469" x14ac:dyDescent="0.25">
      <c r="A16" s="30"/>
      <c r="B16" s="1">
        <v>1</v>
      </c>
      <c r="C16" s="1" t="s">
        <v>38</v>
      </c>
      <c r="D16" s="1" t="s">
        <v>39</v>
      </c>
      <c r="E16" s="11" t="s">
        <v>40</v>
      </c>
      <c r="F16" s="1">
        <f>D4*1000*1.05</f>
        <v>3150</v>
      </c>
      <c r="G16" s="1">
        <f>(2+2*D6)</f>
        <v>4</v>
      </c>
      <c r="H16" s="11">
        <f t="shared" ref="H16:H20" si="4">F16/1000*G16</f>
        <v>12.6</v>
      </c>
      <c r="I16" s="11">
        <v>6.6</v>
      </c>
      <c r="J16" s="213">
        <f t="shared" ref="J16:J20" si="5">H16*I16</f>
        <v>83.16</v>
      </c>
      <c r="K16" s="31"/>
      <c r="L16" s="30"/>
      <c r="M16" s="1">
        <v>1</v>
      </c>
      <c r="N16" s="1" t="s">
        <v>38</v>
      </c>
      <c r="O16" s="1" t="s">
        <v>39</v>
      </c>
      <c r="P16" s="11" t="s">
        <v>40</v>
      </c>
      <c r="Q16" s="1">
        <f>O4*1000*1.05</f>
        <v>5775</v>
      </c>
      <c r="R16" s="1">
        <f>(2+2*O6)</f>
        <v>4</v>
      </c>
      <c r="S16" s="11">
        <f t="shared" ref="S16:S20" si="6">Q16/1000*R16</f>
        <v>23.1</v>
      </c>
      <c r="T16" s="11">
        <v>6.6</v>
      </c>
      <c r="U16" s="252">
        <f t="shared" ref="U16:U20" si="7">S16*T16</f>
        <v>152.46</v>
      </c>
      <c r="V16" s="31"/>
      <c r="W16" s="30"/>
      <c r="X16" s="1">
        <v>1</v>
      </c>
      <c r="Y16" s="1" t="s">
        <v>38</v>
      </c>
      <c r="Z16" s="1" t="s">
        <v>39</v>
      </c>
      <c r="AA16" s="11" t="s">
        <v>40</v>
      </c>
      <c r="AB16" s="1">
        <f>Z4*1000/2*1.08</f>
        <v>3240</v>
      </c>
      <c r="AC16" s="1">
        <f>(2+2*Z6)*2</f>
        <v>28</v>
      </c>
      <c r="AD16" s="11">
        <f t="shared" ref="AD16:AD21" si="8">AB16/1000*AC16</f>
        <v>90.72</v>
      </c>
      <c r="AE16" s="11">
        <v>6.6</v>
      </c>
      <c r="AF16" s="213">
        <f t="shared" ref="AF16:AF21" si="9">AD16*AE16</f>
        <v>598.75199999999995</v>
      </c>
      <c r="AG16" s="31"/>
      <c r="AH16" s="30"/>
      <c r="AI16" s="1">
        <v>1</v>
      </c>
      <c r="AJ16" s="1" t="s">
        <v>38</v>
      </c>
      <c r="AK16" s="1" t="s">
        <v>39</v>
      </c>
      <c r="AL16" s="11" t="s">
        <v>40</v>
      </c>
      <c r="AM16" s="1">
        <f>AK4*1000/2*1.044</f>
        <v>4698</v>
      </c>
      <c r="AN16" s="1">
        <f>(2+2*AK6)*2</f>
        <v>32</v>
      </c>
      <c r="AO16" s="11">
        <f t="shared" ref="AO16:AO21" si="10">AM16/1000*AN16</f>
        <v>150.33600000000001</v>
      </c>
      <c r="AP16" s="11">
        <v>6.6</v>
      </c>
      <c r="AQ16" s="12">
        <f t="shared" ref="AQ16:AQ21" si="11">AO16*AP16</f>
        <v>992.21760000000006</v>
      </c>
      <c r="AR16" s="31"/>
      <c r="AS16" s="30"/>
      <c r="AT16" s="1">
        <v>1</v>
      </c>
      <c r="AU16" s="1" t="s">
        <v>38</v>
      </c>
      <c r="AV16" s="1" t="s">
        <v>39</v>
      </c>
      <c r="AW16" s="11" t="s">
        <v>40</v>
      </c>
      <c r="AX16" s="1">
        <f>AV4*1000/2*1.044</f>
        <v>6264</v>
      </c>
      <c r="AY16" s="1">
        <f>(2+2*AV6)*2</f>
        <v>32</v>
      </c>
      <c r="AZ16" s="11">
        <f t="shared" ref="AZ16:AZ22" si="12">AX16/1000*AY16</f>
        <v>200.44800000000001</v>
      </c>
      <c r="BA16" s="11">
        <v>6.6</v>
      </c>
      <c r="BB16" s="12">
        <f t="shared" ref="BB16:BB22" si="13">AZ16*BA16</f>
        <v>1322.9567999999999</v>
      </c>
      <c r="BC16" s="31"/>
      <c r="BD16" s="30"/>
      <c r="BE16" s="1">
        <v>1</v>
      </c>
      <c r="BF16" s="1" t="s">
        <v>38</v>
      </c>
      <c r="BG16" s="1" t="s">
        <v>39</v>
      </c>
      <c r="BH16" s="11" t="s">
        <v>40</v>
      </c>
      <c r="BI16" s="1">
        <f>BG4*1000/2*1.044</f>
        <v>6472.8</v>
      </c>
      <c r="BJ16" s="1">
        <f>(2+2*BG6)*2</f>
        <v>36</v>
      </c>
      <c r="BK16" s="11">
        <f t="shared" ref="BK16:BK22" si="14">BI16/1000*BJ16</f>
        <v>233.02080000000001</v>
      </c>
      <c r="BL16" s="11">
        <v>6.6</v>
      </c>
      <c r="BM16" s="213">
        <f t="shared" ref="BM16:BM22" si="15">BK16*BL16</f>
        <v>1537.9372799999999</v>
      </c>
      <c r="BN16" s="31"/>
      <c r="BO16" s="30"/>
      <c r="BP16" s="1">
        <v>1</v>
      </c>
      <c r="BQ16" s="1" t="s">
        <v>38</v>
      </c>
      <c r="BR16" s="1" t="s">
        <v>39</v>
      </c>
      <c r="BS16" s="5" t="s">
        <v>63</v>
      </c>
      <c r="BT16" s="1">
        <f>BR4*1000/2*1.044</f>
        <v>6264</v>
      </c>
      <c r="BU16" s="1">
        <f>(2+2*BR6)*2</f>
        <v>24</v>
      </c>
      <c r="BV16" s="5">
        <f>BT16/1000*BU16</f>
        <v>150.33600000000001</v>
      </c>
      <c r="BW16" s="5">
        <v>8.3000000000000007</v>
      </c>
      <c r="BX16" s="206">
        <f>BV16*BW16</f>
        <v>1247.7888000000003</v>
      </c>
      <c r="BY16" s="31"/>
      <c r="BZ16" s="30"/>
      <c r="CA16" s="1">
        <v>1</v>
      </c>
      <c r="CB16" s="1" t="s">
        <v>38</v>
      </c>
      <c r="CC16" s="1" t="s">
        <v>39</v>
      </c>
      <c r="CD16" s="3" t="s">
        <v>62</v>
      </c>
      <c r="CE16" s="1">
        <f>CC4*1000/2*1.044</f>
        <v>7830</v>
      </c>
      <c r="CF16" s="1">
        <f>(2+2*CC6)*2</f>
        <v>32</v>
      </c>
      <c r="CG16" s="3">
        <f>CE16/1000*CF16</f>
        <v>250.56</v>
      </c>
      <c r="CH16" s="3">
        <v>10.1</v>
      </c>
      <c r="CI16" s="41">
        <f>CG16*CH16</f>
        <v>2530.6559999999999</v>
      </c>
      <c r="CJ16" s="31"/>
      <c r="CK16" s="30"/>
      <c r="CL16" s="1">
        <v>1</v>
      </c>
      <c r="CM16" s="1" t="s">
        <v>273</v>
      </c>
      <c r="CN16" s="1" t="s">
        <v>274</v>
      </c>
      <c r="CO16" s="3" t="s">
        <v>62</v>
      </c>
      <c r="CP16" s="1">
        <f>CN4*1000/2*1.04</f>
        <v>8060</v>
      </c>
      <c r="CQ16" s="1">
        <f>(2+2*CN6)*2</f>
        <v>24</v>
      </c>
      <c r="CR16" s="3">
        <f t="shared" ref="CR16:CR26" si="16">CP16/1000*CQ16</f>
        <v>193.44</v>
      </c>
      <c r="CS16" s="3">
        <v>10.1</v>
      </c>
      <c r="CT16" s="174">
        <f t="shared" ref="CT16:CT26" si="17">CR16*CS16</f>
        <v>1953.7439999999999</v>
      </c>
      <c r="CU16" s="31"/>
      <c r="CV16" s="30"/>
      <c r="CW16" s="1">
        <v>1</v>
      </c>
      <c r="CX16" s="1" t="s">
        <v>38</v>
      </c>
      <c r="CY16" s="1" t="s">
        <v>39</v>
      </c>
      <c r="CZ16" s="5" t="s">
        <v>63</v>
      </c>
      <c r="DA16" s="1">
        <v>4100</v>
      </c>
      <c r="DB16" s="1">
        <f>(1+CY6)*2</f>
        <v>26</v>
      </c>
      <c r="DC16" s="5">
        <f>DA16/1000*DB16</f>
        <v>106.6</v>
      </c>
      <c r="DD16" s="5">
        <v>8.3000000000000007</v>
      </c>
      <c r="DE16" s="43">
        <f>DC16*DD16</f>
        <v>884.78</v>
      </c>
      <c r="DF16" s="31"/>
      <c r="DG16" s="30"/>
      <c r="DH16" s="1">
        <v>1</v>
      </c>
      <c r="DI16" s="1" t="s">
        <v>21</v>
      </c>
      <c r="DJ16" s="1" t="s">
        <v>27</v>
      </c>
      <c r="DK16" s="3" t="s">
        <v>62</v>
      </c>
      <c r="DL16" s="1">
        <f>DJ4*1000/2*1.03</f>
        <v>9270</v>
      </c>
      <c r="DM16" s="1">
        <f>(2+2*DJ6)*2</f>
        <v>32</v>
      </c>
      <c r="DN16" s="3">
        <f>DL16/1000*DM16</f>
        <v>296.64</v>
      </c>
      <c r="DO16" s="3">
        <v>10.1</v>
      </c>
      <c r="DP16" s="41">
        <f>DN16*DO16</f>
        <v>2996.0639999999999</v>
      </c>
      <c r="DQ16" s="31"/>
      <c r="DR16" s="30"/>
      <c r="DS16" s="1">
        <v>1</v>
      </c>
      <c r="DT16" s="1" t="s">
        <v>21</v>
      </c>
      <c r="DU16" s="1" t="s">
        <v>27</v>
      </c>
      <c r="DV16" s="5" t="s">
        <v>63</v>
      </c>
      <c r="DW16" s="1">
        <f>DU4*1000*1.03</f>
        <v>10300</v>
      </c>
      <c r="DX16" s="1">
        <f>(1+DU6)*2</f>
        <v>22</v>
      </c>
      <c r="DY16" s="5">
        <f t="shared" ref="DY16:DY17" si="18">DW16/1000*DX16</f>
        <v>226.60000000000002</v>
      </c>
      <c r="DZ16" s="227">
        <v>8.3000000000000007</v>
      </c>
      <c r="EA16" s="129">
        <f t="shared" ref="EA16:EA17" si="19">DY16*DZ16</f>
        <v>1880.7800000000004</v>
      </c>
      <c r="EB16" s="31"/>
      <c r="EC16" s="30"/>
      <c r="ED16" s="1">
        <v>1</v>
      </c>
      <c r="EE16" s="1" t="s">
        <v>21</v>
      </c>
      <c r="EF16" s="1" t="s">
        <v>27</v>
      </c>
      <c r="EG16" s="3" t="s">
        <v>62</v>
      </c>
      <c r="EH16" s="1">
        <v>10620</v>
      </c>
      <c r="EI16" s="1">
        <f>(2+2*EF6)*2</f>
        <v>44</v>
      </c>
      <c r="EJ16" s="3">
        <f>EH16/1000*EI16</f>
        <v>467.28</v>
      </c>
      <c r="EK16" s="3">
        <v>10.1</v>
      </c>
      <c r="EL16" s="108">
        <f>EJ16*EK16</f>
        <v>4719.5279999999993</v>
      </c>
      <c r="EM16" s="31"/>
      <c r="EN16" s="30"/>
      <c r="EO16" s="1">
        <v>1</v>
      </c>
      <c r="EP16" s="1" t="s">
        <v>21</v>
      </c>
      <c r="EQ16" s="1" t="s">
        <v>27</v>
      </c>
      <c r="ER16" s="3" t="s">
        <v>62</v>
      </c>
      <c r="ES16" s="1">
        <v>10250</v>
      </c>
      <c r="ET16" s="49">
        <f>(2+2*EQ6)*2</f>
        <v>44</v>
      </c>
      <c r="EU16" s="3">
        <f>ES16/1000*ET16</f>
        <v>451</v>
      </c>
      <c r="EV16" s="3">
        <v>10.1</v>
      </c>
      <c r="EW16" s="86">
        <f>EU16*EV16</f>
        <v>4555.0999999999995</v>
      </c>
      <c r="EX16" s="31"/>
      <c r="EY16" s="30"/>
      <c r="EZ16" s="1">
        <v>1</v>
      </c>
      <c r="FA16" s="1" t="s">
        <v>38</v>
      </c>
      <c r="FB16" s="1" t="s">
        <v>39</v>
      </c>
      <c r="FC16" s="4" t="s">
        <v>118</v>
      </c>
      <c r="FD16" s="1">
        <f>FB4*1000/2*1.044</f>
        <v>10962</v>
      </c>
      <c r="FE16" s="1">
        <f>(2+2*FB6)*2</f>
        <v>32</v>
      </c>
      <c r="FF16" s="4">
        <f>FD16/1000*FE16</f>
        <v>350.78399999999999</v>
      </c>
      <c r="FG16" s="4">
        <v>16.100000000000001</v>
      </c>
      <c r="FH16" s="42">
        <f>FF16*FG16</f>
        <v>5647.6224000000002</v>
      </c>
      <c r="FI16" s="31"/>
      <c r="FJ16" s="30"/>
      <c r="FK16" s="1">
        <v>1</v>
      </c>
      <c r="FL16" s="1" t="s">
        <v>255</v>
      </c>
      <c r="FM16" s="1" t="s">
        <v>86</v>
      </c>
      <c r="FN16" s="3" t="s">
        <v>62</v>
      </c>
      <c r="FO16" s="1">
        <f>FM4*1000/2*1.08</f>
        <v>11340</v>
      </c>
      <c r="FP16" s="1">
        <f>(2+2*FM6)*2</f>
        <v>40</v>
      </c>
      <c r="FQ16" s="3">
        <f t="shared" ref="FQ16:FQ24" si="20">FO16/1000*FP16</f>
        <v>453.6</v>
      </c>
      <c r="FR16" s="3">
        <v>10.1</v>
      </c>
      <c r="FS16" s="165">
        <f t="shared" ref="FS16:FS24" si="21">FQ16*FR16</f>
        <v>4581.3599999999997</v>
      </c>
      <c r="FT16" s="31"/>
      <c r="FU16" s="30"/>
      <c r="FV16" s="1">
        <v>1</v>
      </c>
      <c r="FW16" s="1" t="s">
        <v>21</v>
      </c>
      <c r="FX16" s="1" t="s">
        <v>27</v>
      </c>
      <c r="FY16" s="3" t="s">
        <v>62</v>
      </c>
      <c r="FZ16" s="1">
        <f>FX4*1000/2*1.02</f>
        <v>12240</v>
      </c>
      <c r="GA16" s="1">
        <f>(2+2*FX6)*2</f>
        <v>32</v>
      </c>
      <c r="GB16" s="3">
        <f>FZ16/1000*GA16</f>
        <v>391.68</v>
      </c>
      <c r="GC16" s="3">
        <v>10.1</v>
      </c>
      <c r="GD16" s="128">
        <f>GB16*GC16</f>
        <v>3955.9679999999998</v>
      </c>
      <c r="GE16" s="31"/>
      <c r="GF16" s="30"/>
      <c r="GG16" s="1">
        <v>1</v>
      </c>
      <c r="GH16" s="1" t="s">
        <v>278</v>
      </c>
      <c r="GI16" s="1" t="s">
        <v>27</v>
      </c>
      <c r="GJ16" s="5" t="s">
        <v>63</v>
      </c>
      <c r="GK16" s="49">
        <f>GI4*1000/2*1.015</f>
        <v>12179.999999999998</v>
      </c>
      <c r="GL16" s="49">
        <f>(GI6-1)*2*2</f>
        <v>56</v>
      </c>
      <c r="GM16" s="5">
        <f t="shared" ref="GM16:GM34" si="22">GK16/1000*GL16</f>
        <v>682.07999999999993</v>
      </c>
      <c r="GN16" s="227">
        <v>8.3000000000000007</v>
      </c>
      <c r="GO16" s="229">
        <f t="shared" ref="GO16:GO34" si="23">GM16*GN16</f>
        <v>5661.2640000000001</v>
      </c>
      <c r="GP16" s="31"/>
      <c r="GQ16" s="30"/>
      <c r="GR16" s="1">
        <v>1</v>
      </c>
      <c r="GS16" s="1" t="s">
        <v>21</v>
      </c>
      <c r="GT16" s="1" t="s">
        <v>27</v>
      </c>
      <c r="GU16" s="3" t="s">
        <v>62</v>
      </c>
      <c r="GV16" s="1">
        <f>GT4*1000/2*1.04</f>
        <v>13000</v>
      </c>
      <c r="GW16" s="1">
        <f>(2+2*GT6)*2</f>
        <v>36</v>
      </c>
      <c r="GX16" s="3">
        <f>GV16/1000*GW16</f>
        <v>468</v>
      </c>
      <c r="GY16" s="3">
        <v>10.1</v>
      </c>
      <c r="GZ16" s="158">
        <f>GX16*GY16</f>
        <v>4726.8</v>
      </c>
      <c r="HA16" s="31"/>
      <c r="HB16" s="30"/>
      <c r="HC16" s="1">
        <v>1</v>
      </c>
      <c r="HD16" s="1" t="s">
        <v>21</v>
      </c>
      <c r="HE16" s="1" t="s">
        <v>27</v>
      </c>
      <c r="HF16" s="5" t="s">
        <v>63</v>
      </c>
      <c r="HG16" s="1">
        <f>HE4*1000/2*1.04</f>
        <v>13000</v>
      </c>
      <c r="HH16" s="1">
        <f>(2+2*HE6)*2</f>
        <v>52</v>
      </c>
      <c r="HI16" s="5">
        <f t="shared" ref="HI16:HI24" si="24">HG16/1000*HH16</f>
        <v>676</v>
      </c>
      <c r="HJ16" s="5">
        <v>8.3000000000000007</v>
      </c>
      <c r="HK16" s="129">
        <f t="shared" ref="HK16:HK24" si="25">HI16*HJ16</f>
        <v>5610.8</v>
      </c>
      <c r="HL16" s="31"/>
      <c r="HM16" s="30"/>
      <c r="HN16" s="1">
        <v>1</v>
      </c>
      <c r="HO16" s="1" t="s">
        <v>21</v>
      </c>
      <c r="HP16" s="1" t="s">
        <v>27</v>
      </c>
      <c r="HQ16" s="3" t="s">
        <v>62</v>
      </c>
      <c r="HR16" s="1">
        <f>HP4*1000/2*1.02</f>
        <v>12750</v>
      </c>
      <c r="HS16" s="1">
        <f>(2*HP6-2)*2</f>
        <v>28</v>
      </c>
      <c r="HT16" s="3">
        <f t="shared" ref="HT16:HT23" si="26">HR16/1000*HS16</f>
        <v>357</v>
      </c>
      <c r="HU16" s="3">
        <v>10.1</v>
      </c>
      <c r="HV16" s="236">
        <f t="shared" ref="HV16:HV23" si="27">HT16*HU16</f>
        <v>3605.7</v>
      </c>
      <c r="HW16" s="31"/>
      <c r="HX16" s="30"/>
      <c r="HY16" s="1">
        <v>1</v>
      </c>
      <c r="HZ16" s="1" t="s">
        <v>21</v>
      </c>
      <c r="IA16" s="1" t="s">
        <v>27</v>
      </c>
      <c r="IB16" s="3" t="s">
        <v>62</v>
      </c>
      <c r="IC16" s="1">
        <f>IA4*1000/2*1.045/2</f>
        <v>9405</v>
      </c>
      <c r="ID16" s="1">
        <f>(2+2*IA6)*4</f>
        <v>64</v>
      </c>
      <c r="IE16" s="3">
        <f t="shared" ref="IE16:IE17" si="28">IC16/1000*ID16</f>
        <v>601.91999999999996</v>
      </c>
      <c r="IF16" s="3">
        <v>10.1</v>
      </c>
      <c r="IG16" s="41">
        <f t="shared" ref="IG16:IG17" si="29">IE16*IF16</f>
        <v>6079.3919999999998</v>
      </c>
      <c r="IH16" s="31"/>
      <c r="II16" s="30"/>
      <c r="IJ16" s="1">
        <v>1</v>
      </c>
      <c r="IK16" s="1" t="s">
        <v>87</v>
      </c>
      <c r="IL16" s="1" t="s">
        <v>86</v>
      </c>
      <c r="IM16" s="3" t="s">
        <v>62</v>
      </c>
      <c r="IN16" s="1">
        <v>8800</v>
      </c>
      <c r="IO16" s="1">
        <f>(2+2*IL6)*2</f>
        <v>80</v>
      </c>
      <c r="IP16" s="3">
        <f t="shared" ref="IP16:IP24" si="30">IN16/1000*IO16</f>
        <v>704</v>
      </c>
      <c r="IQ16" s="3">
        <v>10.1</v>
      </c>
      <c r="IR16" s="144">
        <f t="shared" ref="IR16:IR24" si="31">IP16*IQ16</f>
        <v>7110.4</v>
      </c>
      <c r="IS16" s="31"/>
      <c r="IT16" s="30"/>
      <c r="IU16" s="1">
        <v>1</v>
      </c>
      <c r="IV16" s="1" t="s">
        <v>87</v>
      </c>
      <c r="IW16" s="1" t="s">
        <v>86</v>
      </c>
      <c r="IX16" s="3" t="s">
        <v>62</v>
      </c>
      <c r="IY16" s="1">
        <v>8800</v>
      </c>
      <c r="IZ16" s="1">
        <f>(2+2*IW6)*2</f>
        <v>80</v>
      </c>
      <c r="JA16" s="3">
        <f>IY16/1000*IZ16</f>
        <v>704</v>
      </c>
      <c r="JB16" s="3">
        <v>10.1</v>
      </c>
      <c r="JC16" s="144">
        <f>JA16*JB16</f>
        <v>7110.4</v>
      </c>
      <c r="JD16" s="31"/>
      <c r="JE16" s="30"/>
      <c r="JF16" s="1">
        <v>1</v>
      </c>
      <c r="JG16" s="1" t="s">
        <v>87</v>
      </c>
      <c r="JH16" s="1" t="s">
        <v>86</v>
      </c>
      <c r="JI16" s="3" t="s">
        <v>62</v>
      </c>
      <c r="JJ16" s="1">
        <v>6150</v>
      </c>
      <c r="JK16" s="1">
        <f>(2+2*JH6)*2</f>
        <v>80</v>
      </c>
      <c r="JL16" s="3">
        <f t="shared" ref="JL16:JL23" si="32">JJ16/1000*JK16</f>
        <v>492</v>
      </c>
      <c r="JM16" s="3">
        <v>10.1</v>
      </c>
      <c r="JN16" s="108">
        <f t="shared" ref="JN16:JN23" si="33">JL16*JM16</f>
        <v>4969.2</v>
      </c>
      <c r="JO16" s="31"/>
      <c r="JP16" s="30"/>
      <c r="JQ16" s="1">
        <v>1</v>
      </c>
      <c r="JR16" s="1" t="s">
        <v>87</v>
      </c>
      <c r="JS16" s="1" t="s">
        <v>86</v>
      </c>
      <c r="JT16" s="5" t="s">
        <v>63</v>
      </c>
      <c r="JU16" s="1">
        <v>9400</v>
      </c>
      <c r="JV16" s="1">
        <f>(2+2*JS6)*2</f>
        <v>80</v>
      </c>
      <c r="JW16" s="5">
        <f t="shared" ref="JW16:JW17" si="34">JU16/1000*JV16</f>
        <v>752</v>
      </c>
      <c r="JX16" s="5">
        <v>8.3000000000000007</v>
      </c>
      <c r="JY16" s="197">
        <f t="shared" ref="JY16:JY17" si="35">JW16*JX16</f>
        <v>6241.6</v>
      </c>
      <c r="JZ16" s="31"/>
      <c r="KA16" s="30"/>
      <c r="KB16" s="1">
        <v>1</v>
      </c>
      <c r="KC16" s="1" t="s">
        <v>87</v>
      </c>
      <c r="KD16" s="1" t="s">
        <v>86</v>
      </c>
      <c r="KE16" s="5" t="s">
        <v>63</v>
      </c>
      <c r="KF16" s="1">
        <v>9400</v>
      </c>
      <c r="KG16" s="1">
        <f>(2+2*KD6)*2</f>
        <v>80</v>
      </c>
      <c r="KH16" s="5">
        <f t="shared" ref="KH16:KH17" si="36">KF16/1000*KG16</f>
        <v>752</v>
      </c>
      <c r="KI16" s="5">
        <v>8.3000000000000007</v>
      </c>
      <c r="KJ16" s="197">
        <f t="shared" ref="KJ16:KJ17" si="37">KH16*KI16</f>
        <v>6241.6</v>
      </c>
      <c r="KK16" s="31"/>
      <c r="KL16" s="30"/>
      <c r="KM16" s="1">
        <v>1</v>
      </c>
      <c r="KN16" s="1" t="s">
        <v>87</v>
      </c>
      <c r="KO16" s="1" t="s">
        <v>86</v>
      </c>
      <c r="KP16" s="3" t="s">
        <v>62</v>
      </c>
      <c r="KQ16" s="1">
        <v>7450</v>
      </c>
      <c r="KR16" s="1">
        <f>(2+2*KO6)*2</f>
        <v>80</v>
      </c>
      <c r="KS16" s="3">
        <f>KQ16/1000*KR16</f>
        <v>596</v>
      </c>
      <c r="KT16" s="3">
        <v>10.1</v>
      </c>
      <c r="KU16" s="128">
        <f>KS16*KT16</f>
        <v>6019.5999999999995</v>
      </c>
      <c r="KV16" s="31"/>
      <c r="KW16" s="30"/>
      <c r="KX16" s="1">
        <v>1</v>
      </c>
      <c r="KY16" s="1" t="s">
        <v>82</v>
      </c>
      <c r="KZ16" s="1" t="s">
        <v>179</v>
      </c>
      <c r="LA16" s="3" t="s">
        <v>62</v>
      </c>
      <c r="LB16" s="49">
        <f>(KZ5+0.2)*1000</f>
        <v>8399.9999999999982</v>
      </c>
      <c r="LC16" s="49">
        <f>(KZ7+1)*2*2</f>
        <v>196</v>
      </c>
      <c r="LD16" s="3">
        <f>LB16/1000*LC16</f>
        <v>1646.3999999999996</v>
      </c>
      <c r="LE16" s="3">
        <v>10.1</v>
      </c>
      <c r="LF16" s="108">
        <f>LD16*LE16</f>
        <v>16628.639999999996</v>
      </c>
      <c r="LG16" s="31"/>
      <c r="LH16" s="30"/>
      <c r="LI16" s="1">
        <v>1</v>
      </c>
      <c r="LJ16" s="1" t="s">
        <v>82</v>
      </c>
      <c r="LK16" s="1" t="s">
        <v>179</v>
      </c>
      <c r="LL16" s="109" t="s">
        <v>214</v>
      </c>
      <c r="LM16" s="49">
        <f>(LK5+0.2)*1000</f>
        <v>7700</v>
      </c>
      <c r="LN16" s="49">
        <f>(LK6+1)*2</f>
        <v>40</v>
      </c>
      <c r="LO16" s="109">
        <f>LM16/1000*LN16</f>
        <v>308</v>
      </c>
      <c r="LP16" s="109">
        <v>56.6</v>
      </c>
      <c r="LQ16" s="243">
        <f>LO16*LP16</f>
        <v>17432.8</v>
      </c>
      <c r="LR16" s="31"/>
      <c r="LS16" s="30"/>
      <c r="LT16" s="1">
        <v>1</v>
      </c>
      <c r="LU16" s="1" t="s">
        <v>21</v>
      </c>
      <c r="LV16" s="1" t="s">
        <v>27</v>
      </c>
      <c r="LW16" s="5" t="s">
        <v>63</v>
      </c>
      <c r="LX16" s="1">
        <f>LV4*1000*1.03</f>
        <v>10300</v>
      </c>
      <c r="LY16" s="1">
        <f>(1+LV6)*2</f>
        <v>14</v>
      </c>
      <c r="LZ16" s="5">
        <f t="shared" ref="LZ16:LZ17" si="38">LX16/1000*LY16</f>
        <v>144.20000000000002</v>
      </c>
      <c r="MA16" s="227">
        <v>8.3000000000000007</v>
      </c>
      <c r="MB16" s="129">
        <f t="shared" ref="MB16:MB17" si="39">LZ16*MA16</f>
        <v>1196.8600000000004</v>
      </c>
      <c r="MC16" s="31"/>
      <c r="ME16" s="30"/>
      <c r="MF16" s="1">
        <v>1</v>
      </c>
      <c r="MG16" s="1" t="s">
        <v>21</v>
      </c>
      <c r="MH16" s="1" t="s">
        <v>27</v>
      </c>
      <c r="MI16" s="5" t="s">
        <v>63</v>
      </c>
      <c r="MJ16" s="1">
        <f>MH4*1000*1.03</f>
        <v>12360</v>
      </c>
      <c r="MK16" s="1">
        <f>(1+MH6)*2</f>
        <v>12</v>
      </c>
      <c r="ML16" s="5">
        <f t="shared" ref="ML16:ML17" si="40">MJ16/1000*MK16</f>
        <v>148.32</v>
      </c>
      <c r="MM16" s="227">
        <v>8.3000000000000007</v>
      </c>
      <c r="MN16" s="129">
        <f t="shared" ref="MN16:MN17" si="41">ML16*MM16</f>
        <v>1231.056</v>
      </c>
      <c r="MO16" s="31"/>
      <c r="MQ16" s="30"/>
      <c r="MR16" s="1"/>
      <c r="MS16" s="1"/>
      <c r="MT16" s="1"/>
      <c r="MU16" s="5"/>
      <c r="MV16" s="1"/>
      <c r="MW16" s="49"/>
      <c r="MX16" s="5"/>
      <c r="MY16" s="5"/>
      <c r="MZ16" s="263"/>
      <c r="NA16" s="31"/>
      <c r="ND16" s="30"/>
      <c r="NE16" s="1"/>
      <c r="NF16" s="1" t="s">
        <v>340</v>
      </c>
      <c r="NG16" s="1" t="s">
        <v>142</v>
      </c>
      <c r="NH16" s="3" t="s">
        <v>62</v>
      </c>
      <c r="NI16" s="1">
        <v>5300</v>
      </c>
      <c r="NJ16" s="1">
        <f>(NG6-1)*2</f>
        <v>18</v>
      </c>
      <c r="NK16" s="3">
        <f t="shared" si="0"/>
        <v>95.399999999999991</v>
      </c>
      <c r="NL16" s="3">
        <v>10.199999999999999</v>
      </c>
      <c r="NM16" s="261">
        <f t="shared" si="1"/>
        <v>973.07999999999981</v>
      </c>
      <c r="NN16" s="31"/>
      <c r="NP16" s="30"/>
      <c r="NQ16" s="1">
        <f t="shared" ref="NQ16:NQ19" si="42">NQ15+1</f>
        <v>3</v>
      </c>
      <c r="NR16" s="1" t="s">
        <v>41</v>
      </c>
      <c r="NS16" s="1" t="s">
        <v>42</v>
      </c>
      <c r="NT16" s="5" t="s">
        <v>63</v>
      </c>
      <c r="NU16" s="1">
        <f>NS5*1000</f>
        <v>5500</v>
      </c>
      <c r="NV16" s="1">
        <f>4+4*NS6</f>
        <v>16</v>
      </c>
      <c r="NW16" s="5">
        <f>NU16/1000*NV16</f>
        <v>88</v>
      </c>
      <c r="NX16" s="5">
        <v>8.3000000000000007</v>
      </c>
      <c r="NY16" s="263">
        <f>NW16*NX16</f>
        <v>730.40000000000009</v>
      </c>
      <c r="NZ16" s="31"/>
      <c r="OC16" s="30"/>
      <c r="OD16" s="1">
        <f t="shared" ref="OD16:OD19" si="43">OD15+1</f>
        <v>3</v>
      </c>
      <c r="OE16" s="1" t="s">
        <v>41</v>
      </c>
      <c r="OF16" s="1" t="s">
        <v>42</v>
      </c>
      <c r="OG16" s="5" t="s">
        <v>63</v>
      </c>
      <c r="OH16" s="1">
        <f>OF5*1000</f>
        <v>5500</v>
      </c>
      <c r="OI16" s="1">
        <f>4+4*OF6</f>
        <v>20</v>
      </c>
      <c r="OJ16" s="5">
        <f>OH16/1000*OI16</f>
        <v>110</v>
      </c>
      <c r="OK16" s="5">
        <v>8.3000000000000007</v>
      </c>
      <c r="OL16" s="263">
        <f>OJ16*OK16</f>
        <v>913.00000000000011</v>
      </c>
      <c r="OM16" s="31"/>
      <c r="OP16" s="30"/>
      <c r="OQ16" s="1">
        <f t="shared" ref="OQ16:OQ19" si="44">OQ15+1</f>
        <v>3</v>
      </c>
      <c r="OR16" s="1" t="s">
        <v>41</v>
      </c>
      <c r="OS16" s="1" t="s">
        <v>42</v>
      </c>
      <c r="OT16" s="5" t="s">
        <v>63</v>
      </c>
      <c r="OU16" s="1">
        <f>OS5*1000</f>
        <v>5500</v>
      </c>
      <c r="OV16" s="1">
        <f>4+4*OS6</f>
        <v>20</v>
      </c>
      <c r="OW16" s="5">
        <f>OU16/1000*OV16</f>
        <v>110</v>
      </c>
      <c r="OX16" s="5">
        <v>8.3000000000000007</v>
      </c>
      <c r="OY16" s="263">
        <f>OW16*OX16</f>
        <v>913.00000000000011</v>
      </c>
      <c r="OZ16" s="31"/>
      <c r="PD16" s="30"/>
      <c r="PE16" s="1">
        <f t="shared" ref="PE16:PE19" si="45">PE15+1</f>
        <v>3</v>
      </c>
      <c r="PF16" s="1" t="s">
        <v>41</v>
      </c>
      <c r="PG16" s="1" t="s">
        <v>42</v>
      </c>
      <c r="PH16" s="5" t="s">
        <v>63</v>
      </c>
      <c r="PI16" s="1">
        <f>PG5*1000</f>
        <v>5500</v>
      </c>
      <c r="PJ16" s="1">
        <f>4+4*PG6</f>
        <v>20</v>
      </c>
      <c r="PK16" s="5">
        <f>PI16/1000*PJ16</f>
        <v>110</v>
      </c>
      <c r="PL16" s="5">
        <v>8.3000000000000007</v>
      </c>
      <c r="PM16" s="263">
        <f>PK16*PL16</f>
        <v>913.00000000000011</v>
      </c>
      <c r="PN16" s="31"/>
      <c r="PQ16" s="30"/>
      <c r="PR16" s="1">
        <f t="shared" ref="PR16:PR19" si="46">PR15+1</f>
        <v>3</v>
      </c>
      <c r="PS16" s="1" t="s">
        <v>41</v>
      </c>
      <c r="PT16" s="1" t="s">
        <v>42</v>
      </c>
      <c r="PU16" s="5" t="s">
        <v>63</v>
      </c>
      <c r="PV16" s="1">
        <f>PT5*1000</f>
        <v>5500</v>
      </c>
      <c r="PW16" s="1">
        <f>4+4*PT6</f>
        <v>20</v>
      </c>
      <c r="PX16" s="5">
        <f>PV16/1000*PW16</f>
        <v>110</v>
      </c>
      <c r="PY16" s="5">
        <v>8.3000000000000007</v>
      </c>
      <c r="PZ16" s="263">
        <f>PX16*PY16</f>
        <v>913.00000000000011</v>
      </c>
      <c r="QA16" s="31"/>
      <c r="QD16" s="30"/>
      <c r="QE16" s="1">
        <f t="shared" ref="QE16:QE19" si="47">QE15+1</f>
        <v>3</v>
      </c>
      <c r="QF16" s="1" t="s">
        <v>41</v>
      </c>
      <c r="QG16" s="1" t="s">
        <v>42</v>
      </c>
      <c r="QH16" s="176" t="s">
        <v>355</v>
      </c>
      <c r="QI16" s="1">
        <f>QG5*1000</f>
        <v>5000</v>
      </c>
      <c r="QJ16" s="1">
        <f>4+4*QG6</f>
        <v>12</v>
      </c>
      <c r="QK16" s="176">
        <f>QI16/1000*QJ16</f>
        <v>60</v>
      </c>
      <c r="QL16" s="176">
        <v>8.6999999999999993</v>
      </c>
      <c r="QM16" s="300">
        <f>QK16*QL16</f>
        <v>522</v>
      </c>
      <c r="QN16" s="31"/>
      <c r="QQ16" s="30"/>
      <c r="QR16" s="1">
        <f t="shared" ref="QR16:QR19" si="48">QR15+1</f>
        <v>3</v>
      </c>
      <c r="QS16" s="1" t="s">
        <v>41</v>
      </c>
      <c r="QT16" s="1" t="s">
        <v>42</v>
      </c>
      <c r="QU16" s="5" t="s">
        <v>63</v>
      </c>
      <c r="QV16" s="1">
        <f>QT5*1000</f>
        <v>5500</v>
      </c>
      <c r="QW16" s="1">
        <f>4+4*QT6</f>
        <v>20</v>
      </c>
      <c r="QX16" s="5">
        <f>QV16/1000*QW16</f>
        <v>110</v>
      </c>
      <c r="QY16" s="5">
        <v>8.3000000000000007</v>
      </c>
      <c r="QZ16" s="263">
        <f>QX16*QY16</f>
        <v>913.00000000000011</v>
      </c>
      <c r="RA16" s="31"/>
    </row>
    <row r="17" spans="1:469" x14ac:dyDescent="0.25">
      <c r="A17" s="30"/>
      <c r="B17" s="1">
        <f>B16+1</f>
        <v>2</v>
      </c>
      <c r="C17" s="1" t="s">
        <v>23</v>
      </c>
      <c r="D17" s="1" t="s">
        <v>24</v>
      </c>
      <c r="E17" s="11" t="s">
        <v>40</v>
      </c>
      <c r="F17" s="1">
        <f>D9*1000</f>
        <v>3000</v>
      </c>
      <c r="G17" s="1">
        <f>3*D6</f>
        <v>3</v>
      </c>
      <c r="H17" s="11">
        <f t="shared" si="4"/>
        <v>9</v>
      </c>
      <c r="I17" s="11">
        <v>6.6</v>
      </c>
      <c r="J17" s="213">
        <f t="shared" si="5"/>
        <v>59.4</v>
      </c>
      <c r="K17" s="31"/>
      <c r="L17" s="30"/>
      <c r="M17" s="1">
        <f>M16+1</f>
        <v>2</v>
      </c>
      <c r="N17" s="1" t="s">
        <v>23</v>
      </c>
      <c r="O17" s="1" t="s">
        <v>24</v>
      </c>
      <c r="P17" s="11" t="s">
        <v>40</v>
      </c>
      <c r="Q17" s="1">
        <f>O9*1000</f>
        <v>5000</v>
      </c>
      <c r="R17" s="1">
        <f>5*O6</f>
        <v>5</v>
      </c>
      <c r="S17" s="11">
        <f t="shared" si="6"/>
        <v>25</v>
      </c>
      <c r="T17" s="11">
        <v>6.6</v>
      </c>
      <c r="U17" s="252">
        <f t="shared" si="7"/>
        <v>165</v>
      </c>
      <c r="V17" s="31"/>
      <c r="W17" s="30"/>
      <c r="X17" s="1">
        <f>X16+1</f>
        <v>2</v>
      </c>
      <c r="Y17" s="1" t="s">
        <v>23</v>
      </c>
      <c r="Z17" s="1" t="s">
        <v>24</v>
      </c>
      <c r="AA17" s="11" t="s">
        <v>40</v>
      </c>
      <c r="AB17" s="1">
        <f>Z9*1000+100</f>
        <v>4600</v>
      </c>
      <c r="AC17" s="1">
        <f>6*Z6</f>
        <v>36</v>
      </c>
      <c r="AD17" s="11">
        <f t="shared" si="8"/>
        <v>165.6</v>
      </c>
      <c r="AE17" s="11">
        <v>6.6</v>
      </c>
      <c r="AF17" s="213">
        <f t="shared" si="9"/>
        <v>1092.9599999999998</v>
      </c>
      <c r="AG17" s="31"/>
      <c r="AH17" s="30"/>
      <c r="AI17" s="1">
        <f>AI16+1</f>
        <v>2</v>
      </c>
      <c r="AJ17" s="1" t="s">
        <v>23</v>
      </c>
      <c r="AK17" s="1" t="s">
        <v>24</v>
      </c>
      <c r="AL17" s="11" t="s">
        <v>40</v>
      </c>
      <c r="AM17" s="1">
        <f>AK9*1000</f>
        <v>4000</v>
      </c>
      <c r="AN17" s="1">
        <f>8*AK6</f>
        <v>56</v>
      </c>
      <c r="AO17" s="11">
        <f t="shared" si="10"/>
        <v>224</v>
      </c>
      <c r="AP17" s="11">
        <v>6.6</v>
      </c>
      <c r="AQ17" s="12">
        <f t="shared" si="11"/>
        <v>1478.3999999999999</v>
      </c>
      <c r="AR17" s="31"/>
      <c r="AS17" s="30"/>
      <c r="AT17" s="1">
        <f>AT16+1</f>
        <v>2</v>
      </c>
      <c r="AU17" s="1" t="s">
        <v>23</v>
      </c>
      <c r="AV17" s="1" t="s">
        <v>24</v>
      </c>
      <c r="AW17" s="11" t="s">
        <v>40</v>
      </c>
      <c r="AX17" s="1">
        <f>AV9*1000</f>
        <v>4000</v>
      </c>
      <c r="AY17" s="1">
        <f>10*AV6</f>
        <v>70</v>
      </c>
      <c r="AZ17" s="11">
        <f t="shared" si="12"/>
        <v>280</v>
      </c>
      <c r="BA17" s="11">
        <v>6.6</v>
      </c>
      <c r="BB17" s="12">
        <f t="shared" si="13"/>
        <v>1848</v>
      </c>
      <c r="BC17" s="31"/>
      <c r="BD17" s="30"/>
      <c r="BE17" s="1">
        <f>BE16+1</f>
        <v>2</v>
      </c>
      <c r="BF17" s="1" t="s">
        <v>23</v>
      </c>
      <c r="BG17" s="1" t="s">
        <v>24</v>
      </c>
      <c r="BH17" s="198" t="s">
        <v>313</v>
      </c>
      <c r="BI17" s="1">
        <f>BG9*1000</f>
        <v>4000</v>
      </c>
      <c r="BJ17" s="1">
        <f>10*BG6</f>
        <v>80</v>
      </c>
      <c r="BK17" s="198">
        <f t="shared" si="14"/>
        <v>320</v>
      </c>
      <c r="BL17" s="198">
        <v>5.7</v>
      </c>
      <c r="BM17" s="214">
        <f t="shared" si="15"/>
        <v>1824</v>
      </c>
      <c r="BN17" s="31"/>
      <c r="BO17" s="30"/>
      <c r="BP17" s="1">
        <f>BP16+1</f>
        <v>2</v>
      </c>
      <c r="BQ17" s="1" t="s">
        <v>23</v>
      </c>
      <c r="BR17" s="1" t="s">
        <v>24</v>
      </c>
      <c r="BS17" s="66" t="s">
        <v>135</v>
      </c>
      <c r="BT17" s="1">
        <f>BR9*1000</f>
        <v>5000</v>
      </c>
      <c r="BU17" s="1">
        <f>10*BR6</f>
        <v>50</v>
      </c>
      <c r="BV17" s="66">
        <f t="shared" ref="BV17" si="49">BT17/1000*BU17</f>
        <v>250</v>
      </c>
      <c r="BW17" s="66">
        <v>6.6</v>
      </c>
      <c r="BX17" s="207">
        <f t="shared" ref="BX17" si="50">BV17*BW17</f>
        <v>1650</v>
      </c>
      <c r="BY17" s="31"/>
      <c r="BZ17" s="30"/>
      <c r="CA17" s="1">
        <f>CA16+1</f>
        <v>2</v>
      </c>
      <c r="CB17" s="1" t="s">
        <v>23</v>
      </c>
      <c r="CC17" s="1" t="s">
        <v>24</v>
      </c>
      <c r="CD17" s="66" t="s">
        <v>135</v>
      </c>
      <c r="CE17" s="1">
        <f>CC9*1000</f>
        <v>4500</v>
      </c>
      <c r="CF17" s="1">
        <f>12*CC6</f>
        <v>84</v>
      </c>
      <c r="CG17" s="66">
        <f t="shared" ref="CG17" si="51">CE17/1000*CF17</f>
        <v>378</v>
      </c>
      <c r="CH17" s="66">
        <v>6.6</v>
      </c>
      <c r="CI17" s="67">
        <f t="shared" ref="CI17" si="52">CG17*CH17</f>
        <v>2494.7999999999997</v>
      </c>
      <c r="CJ17" s="31"/>
      <c r="CK17" s="30"/>
      <c r="CL17" s="1">
        <f t="shared" ref="CL17:CL25" si="53">CL16+1</f>
        <v>2</v>
      </c>
      <c r="CM17" s="1" t="s">
        <v>275</v>
      </c>
      <c r="CN17" s="1"/>
      <c r="CO17" s="11" t="s">
        <v>40</v>
      </c>
      <c r="CP17" s="1">
        <f>CN4/2*1000</f>
        <v>7750</v>
      </c>
      <c r="CQ17" s="1">
        <f>(CN6-1)*2*2</f>
        <v>16</v>
      </c>
      <c r="CR17" s="11">
        <f t="shared" si="16"/>
        <v>124</v>
      </c>
      <c r="CS17" s="11">
        <v>6.6</v>
      </c>
      <c r="CT17" s="172">
        <f t="shared" si="17"/>
        <v>818.4</v>
      </c>
      <c r="CU17" s="31"/>
      <c r="CV17" s="30"/>
      <c r="CW17" s="1">
        <f>CW16+1</f>
        <v>2</v>
      </c>
      <c r="CX17" s="1" t="s">
        <v>23</v>
      </c>
      <c r="CY17" s="1" t="s">
        <v>24</v>
      </c>
      <c r="CZ17" s="66" t="s">
        <v>135</v>
      </c>
      <c r="DA17" s="1">
        <f>CY9*1000</f>
        <v>5000</v>
      </c>
      <c r="DB17" s="1">
        <f>4*CY6</f>
        <v>48</v>
      </c>
      <c r="DC17" s="66">
        <f t="shared" ref="DC17" si="54">DA17/1000*DB17</f>
        <v>240</v>
      </c>
      <c r="DD17" s="66">
        <v>6.6</v>
      </c>
      <c r="DE17" s="67">
        <f t="shared" ref="DE17" si="55">DC17*DD17</f>
        <v>1584</v>
      </c>
      <c r="DF17" s="31"/>
      <c r="DG17" s="30"/>
      <c r="DH17" s="1">
        <f>DH16+1</f>
        <v>2</v>
      </c>
      <c r="DI17" s="1" t="s">
        <v>22</v>
      </c>
      <c r="DJ17" s="1" t="s">
        <v>26</v>
      </c>
      <c r="DK17" s="11" t="s">
        <v>40</v>
      </c>
      <c r="DL17" s="1">
        <f>DJ4/2*1000</f>
        <v>9000</v>
      </c>
      <c r="DM17" s="1">
        <f>(DJ6-1)*2*2</f>
        <v>24</v>
      </c>
      <c r="DN17" s="11">
        <f t="shared" ref="DN17:DN19" si="56">DL17/1000*DM17</f>
        <v>216</v>
      </c>
      <c r="DO17" s="11">
        <v>6.6</v>
      </c>
      <c r="DP17" s="12">
        <f t="shared" ref="DP17:DP19" si="57">DN17*DO17</f>
        <v>1425.6</v>
      </c>
      <c r="DQ17" s="31"/>
      <c r="DR17" s="30"/>
      <c r="DS17" s="1">
        <f>DS16+1</f>
        <v>2</v>
      </c>
      <c r="DT17" s="1" t="s">
        <v>22</v>
      </c>
      <c r="DU17" s="1" t="s">
        <v>26</v>
      </c>
      <c r="DV17" s="11" t="s">
        <v>40</v>
      </c>
      <c r="DW17" s="1">
        <v>10450</v>
      </c>
      <c r="DX17" s="1">
        <f>(DU6-1)*2</f>
        <v>18</v>
      </c>
      <c r="DY17" s="11">
        <f t="shared" si="18"/>
        <v>188.1</v>
      </c>
      <c r="DZ17" s="11">
        <v>6.6</v>
      </c>
      <c r="EA17" s="126">
        <f t="shared" si="19"/>
        <v>1241.4599999999998</v>
      </c>
      <c r="EB17" s="31"/>
      <c r="EC17" s="30"/>
      <c r="ED17" s="1">
        <f>ED16+1</f>
        <v>2</v>
      </c>
      <c r="EE17" s="1" t="s">
        <v>22</v>
      </c>
      <c r="EF17" s="1" t="s">
        <v>26</v>
      </c>
      <c r="EG17" s="5" t="s">
        <v>63</v>
      </c>
      <c r="EH17" s="1">
        <f>EF4/2*1000</f>
        <v>10200</v>
      </c>
      <c r="EI17" s="1">
        <f>(EF6-1)*2*2</f>
        <v>36</v>
      </c>
      <c r="EJ17" s="5">
        <f t="shared" ref="EJ17:EJ28" si="58">EH17/1000*EI17</f>
        <v>367.2</v>
      </c>
      <c r="EK17" s="5">
        <v>8.3000000000000007</v>
      </c>
      <c r="EL17" s="106">
        <f t="shared" ref="EL17:EL28" si="59">EJ17*EK17</f>
        <v>3047.76</v>
      </c>
      <c r="EM17" s="31"/>
      <c r="EN17" s="30"/>
      <c r="EO17" s="1">
        <f>EO16+1</f>
        <v>2</v>
      </c>
      <c r="EP17" s="1" t="s">
        <v>22</v>
      </c>
      <c r="EQ17" s="1" t="s">
        <v>26</v>
      </c>
      <c r="ER17" s="5" t="s">
        <v>63</v>
      </c>
      <c r="ES17" s="1">
        <f>EQ4/2*1000</f>
        <v>10200</v>
      </c>
      <c r="ET17" s="49">
        <f>(EQ6-1)*2*2</f>
        <v>36</v>
      </c>
      <c r="EU17" s="5">
        <f>ES17/1000*ET17</f>
        <v>367.2</v>
      </c>
      <c r="EV17" s="5">
        <v>8.3000000000000007</v>
      </c>
      <c r="EW17" s="87">
        <f>EU17*EV17</f>
        <v>3047.76</v>
      </c>
      <c r="EX17" s="31"/>
      <c r="EY17" s="30"/>
      <c r="EZ17" s="1">
        <f>EZ16+1</f>
        <v>2</v>
      </c>
      <c r="FA17" s="1" t="s">
        <v>23</v>
      </c>
      <c r="FB17" s="1" t="s">
        <v>24</v>
      </c>
      <c r="FC17" s="66" t="s">
        <v>135</v>
      </c>
      <c r="FD17" s="1">
        <f>FB9*1000</f>
        <v>3500</v>
      </c>
      <c r="FE17" s="1">
        <f>14*FB6</f>
        <v>98</v>
      </c>
      <c r="FF17" s="66">
        <f t="shared" ref="FF17" si="60">FD17/1000*FE17</f>
        <v>343</v>
      </c>
      <c r="FG17" s="66">
        <v>6.6</v>
      </c>
      <c r="FH17" s="67">
        <f t="shared" ref="FH17" si="61">FF17*FG17</f>
        <v>2263.7999999999997</v>
      </c>
      <c r="FI17" s="31"/>
      <c r="FJ17" s="30"/>
      <c r="FK17" s="1">
        <f>FK16+1</f>
        <v>2</v>
      </c>
      <c r="FL17" s="1" t="s">
        <v>23</v>
      </c>
      <c r="FM17" s="1" t="s">
        <v>24</v>
      </c>
      <c r="FN17" s="66" t="s">
        <v>135</v>
      </c>
      <c r="FO17" s="1">
        <f>FM9*1000</f>
        <v>3500</v>
      </c>
      <c r="FP17" s="1">
        <f>18*FM6</f>
        <v>162</v>
      </c>
      <c r="FQ17" s="66">
        <f t="shared" si="20"/>
        <v>567</v>
      </c>
      <c r="FR17" s="66">
        <v>6.6</v>
      </c>
      <c r="FS17" s="166">
        <f t="shared" si="21"/>
        <v>3742.2</v>
      </c>
      <c r="FT17" s="31"/>
      <c r="FU17" s="30"/>
      <c r="FV17" s="1">
        <f>FV16+1</f>
        <v>2</v>
      </c>
      <c r="FW17" s="1" t="s">
        <v>22</v>
      </c>
      <c r="FX17" s="1" t="s">
        <v>26</v>
      </c>
      <c r="FY17" s="11" t="s">
        <v>40</v>
      </c>
      <c r="FZ17" s="1">
        <f>FX4/2*1000</f>
        <v>12000</v>
      </c>
      <c r="GA17" s="1">
        <f>(FX6-1)*2*2</f>
        <v>24</v>
      </c>
      <c r="GB17" s="11">
        <f t="shared" ref="GB17:GB24" si="62">FZ17/1000*GA17</f>
        <v>288</v>
      </c>
      <c r="GC17" s="11">
        <v>6.6</v>
      </c>
      <c r="GD17" s="126">
        <f t="shared" ref="GD17:GD24" si="63">GB17*GC17</f>
        <v>1900.8</v>
      </c>
      <c r="GE17" s="31"/>
      <c r="GF17" s="30"/>
      <c r="GG17" s="1">
        <f>GG16+1</f>
        <v>2</v>
      </c>
      <c r="GH17" s="1" t="s">
        <v>279</v>
      </c>
      <c r="GI17" s="1" t="s">
        <v>280</v>
      </c>
      <c r="GJ17" s="11" t="s">
        <v>40</v>
      </c>
      <c r="GK17" s="49">
        <v>16000</v>
      </c>
      <c r="GL17" s="49">
        <f>(GI6-1)*2</f>
        <v>28</v>
      </c>
      <c r="GM17" s="11">
        <f t="shared" si="22"/>
        <v>448</v>
      </c>
      <c r="GN17" s="11">
        <v>6.6</v>
      </c>
      <c r="GO17" s="230">
        <f t="shared" si="23"/>
        <v>2956.7999999999997</v>
      </c>
      <c r="GP17" s="31"/>
      <c r="GQ17" s="30"/>
      <c r="GR17" s="1">
        <f>GR16+1</f>
        <v>2</v>
      </c>
      <c r="GS17" s="1" t="s">
        <v>22</v>
      </c>
      <c r="GT17" s="1" t="s">
        <v>26</v>
      </c>
      <c r="GU17" s="5" t="s">
        <v>63</v>
      </c>
      <c r="GV17" s="1">
        <f>GT4/2*1000</f>
        <v>12500</v>
      </c>
      <c r="GW17" s="1">
        <f>(GT6-1)*2*2</f>
        <v>28</v>
      </c>
      <c r="GX17" s="5">
        <f t="shared" ref="GX17:GX23" si="64">GV17/1000*GW17</f>
        <v>350</v>
      </c>
      <c r="GY17" s="227">
        <v>8.3000000000000007</v>
      </c>
      <c r="GZ17" s="159">
        <f t="shared" ref="GZ17:GZ23" si="65">GX17*GY17</f>
        <v>2905.0000000000005</v>
      </c>
      <c r="HA17" s="31"/>
      <c r="HB17" s="30"/>
      <c r="HC17" s="1">
        <f>HC16+1</f>
        <v>2</v>
      </c>
      <c r="HD17" s="1" t="s">
        <v>234</v>
      </c>
      <c r="HE17" s="1" t="s">
        <v>26</v>
      </c>
      <c r="HF17" s="5" t="s">
        <v>63</v>
      </c>
      <c r="HG17" s="1">
        <f>HE4*1000/2*1.04/2</f>
        <v>6500</v>
      </c>
      <c r="HH17" s="1">
        <f>(HE6-1)*2*2</f>
        <v>44</v>
      </c>
      <c r="HI17" s="5">
        <f t="shared" si="24"/>
        <v>286</v>
      </c>
      <c r="HJ17" s="5">
        <v>8.3000000000000007</v>
      </c>
      <c r="HK17" s="129">
        <f t="shared" si="25"/>
        <v>2373.8000000000002</v>
      </c>
      <c r="HL17" s="31"/>
      <c r="HM17" s="30"/>
      <c r="HN17" s="1">
        <f t="shared" ref="HN17:HN29" si="66">HN16+1</f>
        <v>2</v>
      </c>
      <c r="HO17" s="1" t="s">
        <v>235</v>
      </c>
      <c r="HP17" s="1" t="s">
        <v>236</v>
      </c>
      <c r="HQ17" s="3" t="s">
        <v>62</v>
      </c>
      <c r="HR17" s="1">
        <f>HR16</f>
        <v>12750</v>
      </c>
      <c r="HS17" s="1">
        <f>4*2</f>
        <v>8</v>
      </c>
      <c r="HT17" s="3">
        <f t="shared" si="26"/>
        <v>102</v>
      </c>
      <c r="HU17" s="3">
        <v>10.1</v>
      </c>
      <c r="HV17" s="236">
        <f t="shared" si="27"/>
        <v>1030.2</v>
      </c>
      <c r="HW17" s="31"/>
      <c r="HX17" s="30"/>
      <c r="HY17" s="1">
        <f>HY16+1</f>
        <v>2</v>
      </c>
      <c r="HZ17" s="1" t="s">
        <v>22</v>
      </c>
      <c r="IA17" s="1" t="s">
        <v>26</v>
      </c>
      <c r="IB17" s="3" t="s">
        <v>62</v>
      </c>
      <c r="IC17" s="1">
        <f>IA4*1000/2*1.045/2</f>
        <v>9405</v>
      </c>
      <c r="ID17" s="1">
        <f>(IA6-1)*2*2</f>
        <v>24</v>
      </c>
      <c r="IE17" s="3">
        <f t="shared" si="28"/>
        <v>225.71999999999997</v>
      </c>
      <c r="IF17" s="3">
        <v>10.1</v>
      </c>
      <c r="IG17" s="41">
        <f t="shared" si="29"/>
        <v>2279.7719999999995</v>
      </c>
      <c r="IH17" s="31"/>
      <c r="II17" s="30"/>
      <c r="IJ17" s="1">
        <f>IJ16+1</f>
        <v>2</v>
      </c>
      <c r="IK17" s="49" t="s">
        <v>88</v>
      </c>
      <c r="IL17" s="1" t="s">
        <v>89</v>
      </c>
      <c r="IM17" s="3" t="s">
        <v>62</v>
      </c>
      <c r="IN17" s="1">
        <v>9170</v>
      </c>
      <c r="IO17" s="1">
        <f>(2+2*IL6)*2</f>
        <v>80</v>
      </c>
      <c r="IP17" s="3">
        <f t="shared" si="30"/>
        <v>733.6</v>
      </c>
      <c r="IQ17" s="3">
        <v>10.1</v>
      </c>
      <c r="IR17" s="144">
        <f t="shared" si="31"/>
        <v>7409.36</v>
      </c>
      <c r="IS17" s="31"/>
      <c r="IT17" s="30"/>
      <c r="IU17" s="1">
        <f>IU16+1</f>
        <v>2</v>
      </c>
      <c r="IV17" s="49" t="s">
        <v>88</v>
      </c>
      <c r="IW17" s="1" t="s">
        <v>89</v>
      </c>
      <c r="IX17" s="3" t="s">
        <v>62</v>
      </c>
      <c r="IY17" s="1">
        <v>9170</v>
      </c>
      <c r="IZ17" s="1">
        <f>(2+2*IW6)*2</f>
        <v>80</v>
      </c>
      <c r="JA17" s="3">
        <f>IY17/1000*IZ17</f>
        <v>733.6</v>
      </c>
      <c r="JB17" s="3">
        <v>10.1</v>
      </c>
      <c r="JC17" s="144">
        <f>JA17*JB17</f>
        <v>7409.36</v>
      </c>
      <c r="JD17" s="31"/>
      <c r="JE17" s="30"/>
      <c r="JF17" s="1">
        <f t="shared" ref="JF17:JF37" si="67">JF16+1</f>
        <v>2</v>
      </c>
      <c r="JG17" s="49" t="s">
        <v>88</v>
      </c>
      <c r="JH17" s="1" t="s">
        <v>89</v>
      </c>
      <c r="JI17" s="3" t="s">
        <v>62</v>
      </c>
      <c r="JJ17" s="1">
        <v>11150</v>
      </c>
      <c r="JK17" s="1">
        <f>(2+2*JH6)*2</f>
        <v>80</v>
      </c>
      <c r="JL17" s="3">
        <f t="shared" si="32"/>
        <v>892</v>
      </c>
      <c r="JM17" s="3">
        <v>10.1</v>
      </c>
      <c r="JN17" s="108">
        <f t="shared" si="33"/>
        <v>9009.1999999999989</v>
      </c>
      <c r="JO17" s="31"/>
      <c r="JP17" s="30"/>
      <c r="JQ17" s="1">
        <f t="shared" ref="JQ17:JQ36" si="68">JQ16+1</f>
        <v>2</v>
      </c>
      <c r="JR17" s="49" t="s">
        <v>88</v>
      </c>
      <c r="JS17" s="1" t="s">
        <v>89</v>
      </c>
      <c r="JT17" s="5" t="s">
        <v>63</v>
      </c>
      <c r="JU17" s="1">
        <v>5600</v>
      </c>
      <c r="JV17" s="1">
        <f>(2+2*JS6)*2</f>
        <v>80</v>
      </c>
      <c r="JW17" s="5">
        <f t="shared" si="34"/>
        <v>448</v>
      </c>
      <c r="JX17" s="5">
        <v>8.3000000000000007</v>
      </c>
      <c r="JY17" s="197">
        <f t="shared" si="35"/>
        <v>3718.4000000000005</v>
      </c>
      <c r="JZ17" s="31"/>
      <c r="KA17" s="30"/>
      <c r="KB17" s="1">
        <f t="shared" ref="KB17:KB36" si="69">KB16+1</f>
        <v>2</v>
      </c>
      <c r="KC17" s="49" t="s">
        <v>88</v>
      </c>
      <c r="KD17" s="1" t="s">
        <v>89</v>
      </c>
      <c r="KE17" s="5" t="s">
        <v>63</v>
      </c>
      <c r="KF17" s="1">
        <v>5600</v>
      </c>
      <c r="KG17" s="1">
        <f>(2+2*KD6)*2</f>
        <v>80</v>
      </c>
      <c r="KH17" s="5">
        <f t="shared" si="36"/>
        <v>448</v>
      </c>
      <c r="KI17" s="5">
        <v>8.3000000000000007</v>
      </c>
      <c r="KJ17" s="197">
        <f t="shared" si="37"/>
        <v>3718.4000000000005</v>
      </c>
      <c r="KK17" s="31"/>
      <c r="KL17" s="30"/>
      <c r="KM17" s="1">
        <f t="shared" ref="KM17:KM25" si="70">KM16+1</f>
        <v>2</v>
      </c>
      <c r="KN17" s="49" t="s">
        <v>88</v>
      </c>
      <c r="KO17" s="1" t="s">
        <v>89</v>
      </c>
      <c r="KP17" s="3" t="s">
        <v>62</v>
      </c>
      <c r="KQ17" s="1">
        <f>KQ16</f>
        <v>7450</v>
      </c>
      <c r="KR17" s="1">
        <f>(2+2*KO6)*2</f>
        <v>80</v>
      </c>
      <c r="KS17" s="3">
        <f>KQ17/1000*KR17</f>
        <v>596</v>
      </c>
      <c r="KT17" s="3">
        <v>10.1</v>
      </c>
      <c r="KU17" s="128">
        <f>KS17*KT17</f>
        <v>6019.5999999999995</v>
      </c>
      <c r="KV17" s="31"/>
      <c r="KW17" s="30"/>
      <c r="KX17" s="1">
        <f>KX16+1</f>
        <v>2</v>
      </c>
      <c r="KY17" s="1" t="s">
        <v>84</v>
      </c>
      <c r="KZ17" s="1" t="s">
        <v>180</v>
      </c>
      <c r="LA17" s="109" t="s">
        <v>181</v>
      </c>
      <c r="LB17" s="49">
        <f>(KZ5+0.2+4)*1000</f>
        <v>12399.999999999998</v>
      </c>
      <c r="LC17" s="49">
        <f>(KZ6+1)</f>
        <v>25</v>
      </c>
      <c r="LD17" s="109">
        <f>LB17/1000*LC17</f>
        <v>309.99999999999994</v>
      </c>
      <c r="LE17" s="109">
        <v>109</v>
      </c>
      <c r="LF17" s="110">
        <f>LD17*LE17</f>
        <v>33789.999999999993</v>
      </c>
      <c r="LG17" s="31"/>
      <c r="LH17" s="30"/>
      <c r="LI17" s="1">
        <f>LI16+1</f>
        <v>2</v>
      </c>
      <c r="LJ17" s="1" t="s">
        <v>215</v>
      </c>
      <c r="LK17" s="1" t="s">
        <v>180</v>
      </c>
      <c r="LL17" s="109" t="s">
        <v>214</v>
      </c>
      <c r="LM17" s="49">
        <f>(LK5+3.5)*1000</f>
        <v>11000</v>
      </c>
      <c r="LN17" s="49">
        <v>12</v>
      </c>
      <c r="LO17" s="109">
        <f>LM17/1000*LN17</f>
        <v>132</v>
      </c>
      <c r="LP17" s="109">
        <f>LP16</f>
        <v>56.6</v>
      </c>
      <c r="LQ17" s="243">
        <f>LO17*LP17</f>
        <v>7471.2</v>
      </c>
      <c r="LR17" s="31"/>
      <c r="LS17" s="30"/>
      <c r="LT17" s="1">
        <f>LT16+1</f>
        <v>2</v>
      </c>
      <c r="LU17" s="1" t="s">
        <v>22</v>
      </c>
      <c r="LV17" s="1" t="s">
        <v>26</v>
      </c>
      <c r="LW17" s="11" t="s">
        <v>40</v>
      </c>
      <c r="LX17" s="1">
        <v>10450</v>
      </c>
      <c r="LY17" s="1">
        <f>(LV6-1)*2</f>
        <v>10</v>
      </c>
      <c r="LZ17" s="11">
        <f t="shared" si="38"/>
        <v>104.5</v>
      </c>
      <c r="MA17" s="11">
        <v>6.6</v>
      </c>
      <c r="MB17" s="126">
        <f t="shared" si="39"/>
        <v>689.69999999999993</v>
      </c>
      <c r="MC17" s="31"/>
      <c r="ME17" s="30"/>
      <c r="MF17" s="1">
        <f>MF16+1</f>
        <v>2</v>
      </c>
      <c r="MG17" s="1" t="s">
        <v>22</v>
      </c>
      <c r="MH17" s="1" t="s">
        <v>26</v>
      </c>
      <c r="MI17" s="11" t="s">
        <v>40</v>
      </c>
      <c r="MJ17" s="1">
        <v>10450</v>
      </c>
      <c r="MK17" s="1">
        <f>(MH6-1)*2</f>
        <v>8</v>
      </c>
      <c r="ML17" s="11">
        <f t="shared" si="40"/>
        <v>83.6</v>
      </c>
      <c r="MM17" s="11">
        <v>6.6</v>
      </c>
      <c r="MN17" s="126">
        <f t="shared" si="41"/>
        <v>551.75999999999988</v>
      </c>
      <c r="MO17" s="31"/>
      <c r="MQ17" s="30"/>
      <c r="MR17" s="1">
        <f>MR15+1</f>
        <v>3</v>
      </c>
      <c r="MS17" s="1" t="s">
        <v>41</v>
      </c>
      <c r="MT17" s="1" t="s">
        <v>42</v>
      </c>
      <c r="MU17" s="3" t="s">
        <v>62</v>
      </c>
      <c r="MV17" s="1">
        <f>MT5*1000</f>
        <v>5500</v>
      </c>
      <c r="MW17" s="49">
        <f>(MT6+1)*2</f>
        <v>8</v>
      </c>
      <c r="MX17" s="3">
        <f>MV17/1000*MW17</f>
        <v>44</v>
      </c>
      <c r="MY17" s="3">
        <v>10.1</v>
      </c>
      <c r="MZ17" s="261">
        <f>MX17*MY17</f>
        <v>444.4</v>
      </c>
      <c r="NA17" s="31"/>
      <c r="ND17" s="30"/>
      <c r="NE17" s="1">
        <f>NE15+1</f>
        <v>3</v>
      </c>
      <c r="NF17" s="1" t="s">
        <v>340</v>
      </c>
      <c r="NG17" s="1" t="s">
        <v>142</v>
      </c>
      <c r="NH17" s="11" t="s">
        <v>40</v>
      </c>
      <c r="NI17" s="1">
        <v>5300</v>
      </c>
      <c r="NJ17" s="1">
        <f>(NG6-1)*2</f>
        <v>18</v>
      </c>
      <c r="NK17" s="11">
        <f t="shared" si="0"/>
        <v>95.399999999999991</v>
      </c>
      <c r="NL17" s="11">
        <v>6.9</v>
      </c>
      <c r="NM17" s="264">
        <f t="shared" si="1"/>
        <v>658.26</v>
      </c>
      <c r="NN17" s="31"/>
      <c r="NP17" s="30"/>
      <c r="NQ17" s="1">
        <f t="shared" si="42"/>
        <v>4</v>
      </c>
      <c r="NR17" s="1" t="s">
        <v>94</v>
      </c>
      <c r="NS17" s="1" t="s">
        <v>25</v>
      </c>
      <c r="NT17" s="5" t="s">
        <v>63</v>
      </c>
      <c r="NU17" s="1">
        <f>NS9*1000</f>
        <v>5000</v>
      </c>
      <c r="NV17" s="1">
        <f>2*NS6*NS8</f>
        <v>12</v>
      </c>
      <c r="NW17" s="5">
        <f t="shared" ref="NW17:NW22" si="71">NU17/1000*NV17</f>
        <v>60</v>
      </c>
      <c r="NX17" s="5">
        <v>8.3000000000000007</v>
      </c>
      <c r="NY17" s="263">
        <f t="shared" ref="NY17:NY22" si="72">NW17*NX17</f>
        <v>498.00000000000006</v>
      </c>
      <c r="NZ17" s="31"/>
      <c r="OC17" s="30"/>
      <c r="OD17" s="1">
        <f t="shared" si="43"/>
        <v>4</v>
      </c>
      <c r="OE17" s="1" t="s">
        <v>94</v>
      </c>
      <c r="OF17" s="1" t="s">
        <v>25</v>
      </c>
      <c r="OG17" s="5" t="s">
        <v>63</v>
      </c>
      <c r="OH17" s="1">
        <f>OF9*1000</f>
        <v>5000</v>
      </c>
      <c r="OI17" s="1">
        <f>2*OF6*OF8</f>
        <v>16</v>
      </c>
      <c r="OJ17" s="5">
        <f t="shared" ref="OJ17:OJ22" si="73">OH17/1000*OI17</f>
        <v>80</v>
      </c>
      <c r="OK17" s="5">
        <v>8.3000000000000007</v>
      </c>
      <c r="OL17" s="263">
        <f t="shared" ref="OL17:OL22" si="74">OJ17*OK17</f>
        <v>664</v>
      </c>
      <c r="OM17" s="31"/>
      <c r="OP17" s="30"/>
      <c r="OQ17" s="1">
        <f t="shared" si="44"/>
        <v>4</v>
      </c>
      <c r="OR17" s="1" t="s">
        <v>94</v>
      </c>
      <c r="OS17" s="1" t="s">
        <v>25</v>
      </c>
      <c r="OT17" s="5" t="s">
        <v>63</v>
      </c>
      <c r="OU17" s="1">
        <f>OS9*1000</f>
        <v>5000</v>
      </c>
      <c r="OV17" s="1">
        <f>2*OS6*OS8</f>
        <v>16</v>
      </c>
      <c r="OW17" s="5">
        <f t="shared" ref="OW17:OW22" si="75">OU17/1000*OV17</f>
        <v>80</v>
      </c>
      <c r="OX17" s="5">
        <v>8.3000000000000007</v>
      </c>
      <c r="OY17" s="263">
        <f t="shared" ref="OY17:OY22" si="76">OW17*OX17</f>
        <v>664</v>
      </c>
      <c r="OZ17" s="31"/>
      <c r="PD17" s="30"/>
      <c r="PE17" s="1">
        <f t="shared" si="45"/>
        <v>4</v>
      </c>
      <c r="PF17" s="1" t="s">
        <v>94</v>
      </c>
      <c r="PG17" s="1" t="s">
        <v>25</v>
      </c>
      <c r="PH17" s="5" t="s">
        <v>63</v>
      </c>
      <c r="PI17" s="1">
        <f>PG9*1000</f>
        <v>5000</v>
      </c>
      <c r="PJ17" s="1">
        <f>2*PG6*PG8</f>
        <v>16</v>
      </c>
      <c r="PK17" s="5">
        <f t="shared" ref="PK17:PK22" si="77">PI17/1000*PJ17</f>
        <v>80</v>
      </c>
      <c r="PL17" s="5">
        <v>8.3000000000000007</v>
      </c>
      <c r="PM17" s="263">
        <f t="shared" ref="PM17:PM22" si="78">PK17*PL17</f>
        <v>664</v>
      </c>
      <c r="PN17" s="31"/>
      <c r="PQ17" s="30"/>
      <c r="PR17" s="1">
        <f t="shared" si="46"/>
        <v>4</v>
      </c>
      <c r="PS17" s="1" t="s">
        <v>94</v>
      </c>
      <c r="PT17" s="1" t="s">
        <v>25</v>
      </c>
      <c r="PU17" s="5" t="s">
        <v>63</v>
      </c>
      <c r="PV17" s="1">
        <f>PT9*1000</f>
        <v>5000</v>
      </c>
      <c r="PW17" s="1">
        <f>2*PT6*PT8</f>
        <v>16</v>
      </c>
      <c r="PX17" s="5">
        <f t="shared" ref="PX17:PX22" si="79">PV17/1000*PW17</f>
        <v>80</v>
      </c>
      <c r="PY17" s="5">
        <v>8.3000000000000007</v>
      </c>
      <c r="PZ17" s="263">
        <f t="shared" ref="PZ17:PZ22" si="80">PX17*PY17</f>
        <v>664</v>
      </c>
      <c r="QA17" s="31"/>
      <c r="QD17" s="30"/>
      <c r="QE17" s="1">
        <f t="shared" si="47"/>
        <v>4</v>
      </c>
      <c r="QF17" s="1" t="s">
        <v>94</v>
      </c>
      <c r="QG17" s="1" t="s">
        <v>25</v>
      </c>
      <c r="QH17" s="296" t="s">
        <v>353</v>
      </c>
      <c r="QI17" s="1">
        <f>QG9*1000</f>
        <v>6000</v>
      </c>
      <c r="QJ17" s="1">
        <f>2*QG6*QG8</f>
        <v>12</v>
      </c>
      <c r="QK17" s="296">
        <f t="shared" ref="QK17:QK22" si="81">QI17/1000*QJ17</f>
        <v>72</v>
      </c>
      <c r="QL17" s="296">
        <v>7.1</v>
      </c>
      <c r="QM17" s="297">
        <f t="shared" ref="QM17:QM22" si="82">QK17*QL17</f>
        <v>511.2</v>
      </c>
      <c r="QN17" s="31"/>
      <c r="QQ17" s="30"/>
      <c r="QR17" s="1">
        <f t="shared" si="48"/>
        <v>4</v>
      </c>
      <c r="QS17" s="1" t="s">
        <v>94</v>
      </c>
      <c r="QT17" s="1" t="s">
        <v>25</v>
      </c>
      <c r="QU17" s="5" t="s">
        <v>63</v>
      </c>
      <c r="QV17" s="1">
        <f>QT9*1000</f>
        <v>5000</v>
      </c>
      <c r="QW17" s="1">
        <f>2*QT6*QT8</f>
        <v>16</v>
      </c>
      <c r="QX17" s="5">
        <f t="shared" ref="QX17:QX22" si="83">QV17/1000*QW17</f>
        <v>80</v>
      </c>
      <c r="QY17" s="5">
        <v>8.3000000000000007</v>
      </c>
      <c r="QZ17" s="263">
        <f t="shared" ref="QZ17:QZ22" si="84">QX17*QY17</f>
        <v>664</v>
      </c>
      <c r="RA17" s="31"/>
    </row>
    <row r="18" spans="1:469" x14ac:dyDescent="0.25">
      <c r="A18" s="30"/>
      <c r="B18" s="1">
        <f t="shared" ref="B18:B25" si="85">B17+1</f>
        <v>3</v>
      </c>
      <c r="C18" s="1" t="s">
        <v>316</v>
      </c>
      <c r="D18" s="1" t="s">
        <v>83</v>
      </c>
      <c r="E18" s="11" t="s">
        <v>40</v>
      </c>
      <c r="F18" s="1">
        <f>D5*1000</f>
        <v>2500</v>
      </c>
      <c r="G18" s="1">
        <f>(D6+1)*2</f>
        <v>4</v>
      </c>
      <c r="H18" s="11">
        <f t="shared" si="4"/>
        <v>10</v>
      </c>
      <c r="I18" s="11">
        <v>6.6</v>
      </c>
      <c r="J18" s="213">
        <f t="shared" si="5"/>
        <v>66</v>
      </c>
      <c r="K18" s="31"/>
      <c r="L18" s="30"/>
      <c r="M18" s="1">
        <f t="shared" ref="M18:M25" si="86">M17+1</f>
        <v>3</v>
      </c>
      <c r="N18" s="1" t="s">
        <v>316</v>
      </c>
      <c r="O18" s="1" t="s">
        <v>83</v>
      </c>
      <c r="P18" s="11" t="s">
        <v>40</v>
      </c>
      <c r="Q18" s="1">
        <f>O5*1000</f>
        <v>3200</v>
      </c>
      <c r="R18" s="1">
        <f>(O6+1)*2</f>
        <v>4</v>
      </c>
      <c r="S18" s="11">
        <f t="shared" si="6"/>
        <v>12.8</v>
      </c>
      <c r="T18" s="11">
        <v>6.6</v>
      </c>
      <c r="U18" s="252">
        <f t="shared" si="7"/>
        <v>84.48</v>
      </c>
      <c r="V18" s="31"/>
      <c r="W18" s="30"/>
      <c r="X18" s="1">
        <f t="shared" ref="X18:X23" si="87">X17+1</f>
        <v>3</v>
      </c>
      <c r="Y18" s="1" t="s">
        <v>41</v>
      </c>
      <c r="Z18" s="1" t="s">
        <v>42</v>
      </c>
      <c r="AA18" s="216" t="s">
        <v>314</v>
      </c>
      <c r="AB18" s="1">
        <f>Z5*1000+100</f>
        <v>5300</v>
      </c>
      <c r="AC18" s="1">
        <f>(Z6+1)*4</f>
        <v>28</v>
      </c>
      <c r="AD18" s="216">
        <f t="shared" si="8"/>
        <v>148.4</v>
      </c>
      <c r="AE18" s="227">
        <v>8.3000000000000007</v>
      </c>
      <c r="AF18" s="217">
        <f t="shared" si="9"/>
        <v>1231.7200000000003</v>
      </c>
      <c r="AG18" s="31"/>
      <c r="AH18" s="30"/>
      <c r="AI18" s="1">
        <f t="shared" ref="AI18:AI22" si="88">AI17+1</f>
        <v>3</v>
      </c>
      <c r="AJ18" s="1" t="s">
        <v>41</v>
      </c>
      <c r="AK18" s="1" t="s">
        <v>42</v>
      </c>
      <c r="AL18" s="11" t="s">
        <v>40</v>
      </c>
      <c r="AM18" s="1">
        <f>AK5*1000</f>
        <v>3600</v>
      </c>
      <c r="AN18" s="1">
        <f>4+4*AK6</f>
        <v>32</v>
      </c>
      <c r="AO18" s="11">
        <f t="shared" si="10"/>
        <v>115.2</v>
      </c>
      <c r="AP18" s="11">
        <v>6.6</v>
      </c>
      <c r="AQ18" s="12">
        <f t="shared" si="11"/>
        <v>760.31999999999994</v>
      </c>
      <c r="AR18" s="31"/>
      <c r="AS18" s="30"/>
      <c r="AT18" s="1">
        <f t="shared" ref="AT18:AT21" si="89">AT17+1</f>
        <v>3</v>
      </c>
      <c r="AU18" s="1" t="s">
        <v>41</v>
      </c>
      <c r="AV18" s="1" t="s">
        <v>42</v>
      </c>
      <c r="AW18" s="11" t="s">
        <v>40</v>
      </c>
      <c r="AX18" s="1">
        <f>AV5*1000</f>
        <v>3600</v>
      </c>
      <c r="AY18" s="1">
        <f>4+4*AV6</f>
        <v>32</v>
      </c>
      <c r="AZ18" s="11">
        <f t="shared" si="12"/>
        <v>115.2</v>
      </c>
      <c r="BA18" s="11">
        <v>6.6</v>
      </c>
      <c r="BB18" s="12">
        <f t="shared" si="13"/>
        <v>760.31999999999994</v>
      </c>
      <c r="BC18" s="31"/>
      <c r="BD18" s="30"/>
      <c r="BE18" s="1">
        <f t="shared" ref="BE18:BE22" si="90">BE17+1</f>
        <v>3</v>
      </c>
      <c r="BF18" s="1" t="s">
        <v>41</v>
      </c>
      <c r="BG18" s="1" t="s">
        <v>42</v>
      </c>
      <c r="BH18" s="11" t="s">
        <v>40</v>
      </c>
      <c r="BI18" s="1">
        <f>BG5*1000</f>
        <v>4500</v>
      </c>
      <c r="BJ18" s="1">
        <f>4+4*BG6</f>
        <v>36</v>
      </c>
      <c r="BK18" s="11">
        <f t="shared" si="14"/>
        <v>162</v>
      </c>
      <c r="BL18" s="11">
        <v>6.6</v>
      </c>
      <c r="BM18" s="213">
        <f t="shared" si="15"/>
        <v>1069.2</v>
      </c>
      <c r="BN18" s="31"/>
      <c r="BO18" s="30"/>
      <c r="BP18" s="1">
        <f t="shared" ref="BP18:BP24" si="91">BP17+1</f>
        <v>3</v>
      </c>
      <c r="BQ18" s="1" t="s">
        <v>41</v>
      </c>
      <c r="BR18" s="1" t="s">
        <v>42</v>
      </c>
      <c r="BS18" s="3" t="s">
        <v>62</v>
      </c>
      <c r="BT18" s="1">
        <f>BR5*1000</f>
        <v>4700</v>
      </c>
      <c r="BU18" s="1">
        <f>4+4*BR6</f>
        <v>24</v>
      </c>
      <c r="BV18" s="3">
        <f>BT18/1000*BU18</f>
        <v>112.80000000000001</v>
      </c>
      <c r="BW18" s="3">
        <v>10.1</v>
      </c>
      <c r="BX18" s="208">
        <f>BV18*BW18</f>
        <v>1139.28</v>
      </c>
      <c r="BY18" s="31"/>
      <c r="BZ18" s="30"/>
      <c r="CA18" s="1">
        <f t="shared" ref="CA18:CA22" si="92">CA17+1</f>
        <v>3</v>
      </c>
      <c r="CB18" s="1" t="s">
        <v>41</v>
      </c>
      <c r="CC18" s="1" t="s">
        <v>42</v>
      </c>
      <c r="CD18" s="3" t="s">
        <v>62</v>
      </c>
      <c r="CE18" s="1">
        <f>CC5*1000</f>
        <v>3600</v>
      </c>
      <c r="CF18" s="1">
        <f>4+4*CC6</f>
        <v>32</v>
      </c>
      <c r="CG18" s="3">
        <f>CE18/1000*CF18</f>
        <v>115.2</v>
      </c>
      <c r="CH18" s="3">
        <v>10.1</v>
      </c>
      <c r="CI18" s="41">
        <f>CG18*CH18</f>
        <v>1163.52</v>
      </c>
      <c r="CJ18" s="31"/>
      <c r="CK18" s="30"/>
      <c r="CL18" s="1">
        <f t="shared" si="53"/>
        <v>3</v>
      </c>
      <c r="CM18" s="1" t="s">
        <v>240</v>
      </c>
      <c r="CN18" s="1"/>
      <c r="CO18" s="176" t="s">
        <v>218</v>
      </c>
      <c r="CP18" s="1">
        <v>17500</v>
      </c>
      <c r="CQ18" s="1">
        <f>CQ17</f>
        <v>16</v>
      </c>
      <c r="CR18" s="176">
        <f t="shared" si="16"/>
        <v>280</v>
      </c>
      <c r="CS18" s="51">
        <v>3.3</v>
      </c>
      <c r="CT18" s="184">
        <f t="shared" si="17"/>
        <v>924</v>
      </c>
      <c r="CU18" s="31"/>
      <c r="CV18" s="30"/>
      <c r="CW18" s="1">
        <f t="shared" ref="CW18:CW24" si="93">CW17+1</f>
        <v>3</v>
      </c>
      <c r="CX18" s="1" t="s">
        <v>41</v>
      </c>
      <c r="CY18" s="1" t="s">
        <v>42</v>
      </c>
      <c r="CZ18" s="5" t="s">
        <v>63</v>
      </c>
      <c r="DA18" s="1">
        <f>CY5*1000</f>
        <v>4700</v>
      </c>
      <c r="DB18" s="1">
        <f>(1+CY6)*2</f>
        <v>26</v>
      </c>
      <c r="DC18" s="5">
        <f>DA18/1000*DB18</f>
        <v>122.2</v>
      </c>
      <c r="DD18" s="5">
        <v>8.3000000000000007</v>
      </c>
      <c r="DE18" s="43">
        <f>DC18*DD18</f>
        <v>1014.2600000000001</v>
      </c>
      <c r="DF18" s="31"/>
      <c r="DG18" s="30"/>
      <c r="DH18" s="1">
        <f t="shared" ref="DH18:DH25" si="94">DH17+1</f>
        <v>3</v>
      </c>
      <c r="DI18" s="1" t="s">
        <v>66</v>
      </c>
      <c r="DJ18" s="1" t="s">
        <v>67</v>
      </c>
      <c r="DK18" s="11" t="s">
        <v>40</v>
      </c>
      <c r="DL18" s="1">
        <v>1800</v>
      </c>
      <c r="DM18" s="1">
        <f>(DJ6-1)*2</f>
        <v>12</v>
      </c>
      <c r="DN18" s="11">
        <f t="shared" si="56"/>
        <v>21.6</v>
      </c>
      <c r="DO18" s="11">
        <v>6.6</v>
      </c>
      <c r="DP18" s="12">
        <f t="shared" si="57"/>
        <v>142.56</v>
      </c>
      <c r="DQ18" s="31"/>
      <c r="DR18" s="30"/>
      <c r="DS18" s="1"/>
      <c r="DT18" s="1"/>
      <c r="DU18" s="1"/>
      <c r="DV18" s="11"/>
      <c r="DW18" s="1"/>
      <c r="DX18" s="1"/>
      <c r="DY18" s="11"/>
      <c r="DZ18" s="11"/>
      <c r="EA18" s="126"/>
      <c r="EB18" s="31"/>
      <c r="EC18" s="30"/>
      <c r="ED18" s="1">
        <f t="shared" ref="ED18:ED38" si="95">ED17+1</f>
        <v>3</v>
      </c>
      <c r="EE18" s="1" t="s">
        <v>141</v>
      </c>
      <c r="EF18" s="1" t="s">
        <v>142</v>
      </c>
      <c r="EG18" s="11" t="s">
        <v>40</v>
      </c>
      <c r="EH18" s="1">
        <v>3300</v>
      </c>
      <c r="EI18" s="1">
        <f>(EF6-1)*2</f>
        <v>18</v>
      </c>
      <c r="EJ18" s="11">
        <f t="shared" si="58"/>
        <v>59.4</v>
      </c>
      <c r="EK18" s="11">
        <v>6.6</v>
      </c>
      <c r="EL18" s="123">
        <f t="shared" si="59"/>
        <v>392.03999999999996</v>
      </c>
      <c r="EM18" s="31"/>
      <c r="EN18" s="30"/>
      <c r="EO18" s="1">
        <f t="shared" ref="EO18:EO39" si="96">EO17+1</f>
        <v>3</v>
      </c>
      <c r="EP18" s="1" t="s">
        <v>141</v>
      </c>
      <c r="EQ18" s="1" t="s">
        <v>142</v>
      </c>
      <c r="ER18" s="11" t="s">
        <v>40</v>
      </c>
      <c r="ES18" s="1">
        <v>1550</v>
      </c>
      <c r="ET18" s="49">
        <f>(EQ6-1)*2</f>
        <v>18</v>
      </c>
      <c r="EU18" s="11">
        <f t="shared" ref="EU18:EU25" si="97">ES18/1000*ET18</f>
        <v>27.900000000000002</v>
      </c>
      <c r="EV18" s="11">
        <v>6.6</v>
      </c>
      <c r="EW18" s="88">
        <f t="shared" ref="EW18:EW25" si="98">EU18*EV18</f>
        <v>184.14000000000001</v>
      </c>
      <c r="EX18" s="31"/>
      <c r="EY18" s="30"/>
      <c r="EZ18" s="1">
        <f t="shared" ref="EZ18:EZ24" si="99">EZ17+1</f>
        <v>3</v>
      </c>
      <c r="FA18" s="1" t="s">
        <v>41</v>
      </c>
      <c r="FB18" s="1" t="s">
        <v>42</v>
      </c>
      <c r="FC18" s="57" t="s">
        <v>117</v>
      </c>
      <c r="FD18" s="1">
        <f>FB5*1000</f>
        <v>3600</v>
      </c>
      <c r="FE18" s="1">
        <f>4+4*FB6</f>
        <v>32</v>
      </c>
      <c r="FF18" s="57">
        <f>FD18/1000*FE18</f>
        <v>115.2</v>
      </c>
      <c r="FG18" s="57">
        <v>14.2</v>
      </c>
      <c r="FH18" s="58">
        <f>FF18*FG18</f>
        <v>1635.84</v>
      </c>
      <c r="FI18" s="31"/>
      <c r="FJ18" s="30"/>
      <c r="FK18" s="1">
        <f t="shared" ref="FK18:FK25" si="100">FK17+1</f>
        <v>3</v>
      </c>
      <c r="FL18" s="1" t="s">
        <v>256</v>
      </c>
      <c r="FM18" s="1" t="s">
        <v>83</v>
      </c>
      <c r="FN18" s="3" t="s">
        <v>62</v>
      </c>
      <c r="FO18" s="1">
        <f>FM5*1000</f>
        <v>6300</v>
      </c>
      <c r="FP18" s="1">
        <f>(2+2*FM6)*2</f>
        <v>40</v>
      </c>
      <c r="FQ18" s="3">
        <f t="shared" si="20"/>
        <v>252</v>
      </c>
      <c r="FR18" s="3">
        <v>10.1</v>
      </c>
      <c r="FS18" s="165">
        <f t="shared" si="21"/>
        <v>2545.1999999999998</v>
      </c>
      <c r="FT18" s="31"/>
      <c r="FU18" s="30"/>
      <c r="FV18" s="1">
        <f t="shared" ref="FV18:FV39" si="101">FV17+1</f>
        <v>3</v>
      </c>
      <c r="FW18" s="1" t="s">
        <v>141</v>
      </c>
      <c r="FX18" s="1" t="s">
        <v>167</v>
      </c>
      <c r="FY18" s="11" t="s">
        <v>40</v>
      </c>
      <c r="FZ18" s="1">
        <v>2545</v>
      </c>
      <c r="GA18" s="1">
        <f>(FX6-1)*2</f>
        <v>12</v>
      </c>
      <c r="GB18" s="11">
        <f t="shared" si="62"/>
        <v>30.54</v>
      </c>
      <c r="GC18" s="11">
        <v>6.6</v>
      </c>
      <c r="GD18" s="126">
        <f t="shared" si="63"/>
        <v>201.56399999999999</v>
      </c>
      <c r="GE18" s="31"/>
      <c r="GF18" s="30"/>
      <c r="GG18" s="1">
        <f t="shared" ref="GG18:GG36" si="102">GG17+1</f>
        <v>3</v>
      </c>
      <c r="GH18" s="1" t="s">
        <v>281</v>
      </c>
      <c r="GI18" s="1" t="s">
        <v>282</v>
      </c>
      <c r="GJ18" s="11" t="s">
        <v>40</v>
      </c>
      <c r="GK18" s="49">
        <v>3350</v>
      </c>
      <c r="GL18" s="49">
        <f>(GI6-1)*2*2</f>
        <v>56</v>
      </c>
      <c r="GM18" s="11">
        <f t="shared" si="22"/>
        <v>187.6</v>
      </c>
      <c r="GN18" s="11">
        <v>6.6</v>
      </c>
      <c r="GO18" s="230">
        <f t="shared" si="23"/>
        <v>1238.1599999999999</v>
      </c>
      <c r="GP18" s="31"/>
      <c r="GQ18" s="30"/>
      <c r="GR18" s="1">
        <f t="shared" ref="GR18:GR28" si="103">GR17+1</f>
        <v>3</v>
      </c>
      <c r="GS18" s="1" t="s">
        <v>141</v>
      </c>
      <c r="GT18" s="1" t="s">
        <v>167</v>
      </c>
      <c r="GU18" s="5" t="s">
        <v>63</v>
      </c>
      <c r="GV18" s="1">
        <v>3600</v>
      </c>
      <c r="GW18" s="1">
        <f>(GT6-1)*2</f>
        <v>14</v>
      </c>
      <c r="GX18" s="5">
        <f t="shared" si="64"/>
        <v>50.4</v>
      </c>
      <c r="GY18" s="227">
        <v>8.3000000000000007</v>
      </c>
      <c r="GZ18" s="159">
        <f t="shared" si="65"/>
        <v>418.32000000000005</v>
      </c>
      <c r="HA18" s="31"/>
      <c r="HB18" s="30"/>
      <c r="HC18" s="1">
        <f t="shared" ref="HC18:HC25" si="104">HC17+1</f>
        <v>3</v>
      </c>
      <c r="HD18" s="1" t="s">
        <v>74</v>
      </c>
      <c r="HE18" s="1" t="s">
        <v>75</v>
      </c>
      <c r="HF18" s="5" t="s">
        <v>63</v>
      </c>
      <c r="HG18" s="1">
        <f>HE5*1000</f>
        <v>2500</v>
      </c>
      <c r="HH18" s="1">
        <f>4+4*HE6</f>
        <v>52</v>
      </c>
      <c r="HI18" s="5">
        <f t="shared" si="24"/>
        <v>130</v>
      </c>
      <c r="HJ18" s="5">
        <v>8.3000000000000007</v>
      </c>
      <c r="HK18" s="129">
        <f t="shared" si="25"/>
        <v>1079</v>
      </c>
      <c r="HL18" s="31"/>
      <c r="HM18" s="30"/>
      <c r="HN18" s="1">
        <f t="shared" si="66"/>
        <v>3</v>
      </c>
      <c r="HO18" s="1" t="s">
        <v>237</v>
      </c>
      <c r="HP18" s="1"/>
      <c r="HQ18" s="138" t="s">
        <v>238</v>
      </c>
      <c r="HR18" s="1">
        <v>9500</v>
      </c>
      <c r="HS18" s="1">
        <f>(HP6-1)*2*2</f>
        <v>28</v>
      </c>
      <c r="HT18" s="138">
        <f t="shared" si="26"/>
        <v>266</v>
      </c>
      <c r="HU18" s="138">
        <v>4.2</v>
      </c>
      <c r="HV18" s="237">
        <f t="shared" si="27"/>
        <v>1117.2</v>
      </c>
      <c r="HW18" s="31"/>
      <c r="HX18" s="30"/>
      <c r="HY18" s="1">
        <f t="shared" ref="HY18:HY27" si="105">HY17+1</f>
        <v>3</v>
      </c>
      <c r="HZ18" s="1" t="s">
        <v>74</v>
      </c>
      <c r="IA18" s="1" t="s">
        <v>75</v>
      </c>
      <c r="IB18" s="3" t="s">
        <v>62</v>
      </c>
      <c r="IC18" s="1">
        <f>IA5*1000</f>
        <v>3600</v>
      </c>
      <c r="ID18" s="1">
        <f>4+4*IA6</f>
        <v>32</v>
      </c>
      <c r="IE18" s="3">
        <f t="shared" ref="IE18:IE26" si="106">IC18/1000*ID18</f>
        <v>115.2</v>
      </c>
      <c r="IF18" s="3">
        <v>10.1</v>
      </c>
      <c r="IG18" s="41">
        <f t="shared" ref="IG18:IG26" si="107">IE18*IF18</f>
        <v>1163.52</v>
      </c>
      <c r="IH18" s="31"/>
      <c r="II18" s="30"/>
      <c r="IJ18" s="1">
        <f t="shared" ref="IJ18:IJ37" si="108">IJ17+1</f>
        <v>3</v>
      </c>
      <c r="IK18" s="1" t="s">
        <v>84</v>
      </c>
      <c r="IL18" s="1" t="s">
        <v>85</v>
      </c>
      <c r="IM18" s="109" t="s">
        <v>258</v>
      </c>
      <c r="IN18" s="1">
        <f>IN19+3000</f>
        <v>7000</v>
      </c>
      <c r="IO18" s="1">
        <f>2+2*IL6</f>
        <v>40</v>
      </c>
      <c r="IP18" s="109">
        <f t="shared" si="30"/>
        <v>280</v>
      </c>
      <c r="IQ18" s="109">
        <v>28</v>
      </c>
      <c r="IR18" s="149">
        <f t="shared" si="31"/>
        <v>7840</v>
      </c>
      <c r="IS18" s="31"/>
      <c r="IT18" s="30"/>
      <c r="IU18" s="1">
        <f t="shared" ref="IU18:IU42" si="109">IU17+1</f>
        <v>3</v>
      </c>
      <c r="IV18" s="1" t="s">
        <v>90</v>
      </c>
      <c r="IW18" s="1" t="s">
        <v>91</v>
      </c>
      <c r="IX18" s="3" t="s">
        <v>62</v>
      </c>
      <c r="IY18" s="1">
        <v>4500</v>
      </c>
      <c r="IZ18" s="1">
        <v>4</v>
      </c>
      <c r="JA18" s="3">
        <f>IY18/1000*IZ18</f>
        <v>18</v>
      </c>
      <c r="JB18" s="3">
        <v>10.1</v>
      </c>
      <c r="JC18" s="144">
        <f>JA18*JB18</f>
        <v>181.79999999999998</v>
      </c>
      <c r="JD18" s="31"/>
      <c r="JE18" s="30"/>
      <c r="JF18" s="1">
        <f t="shared" si="67"/>
        <v>3</v>
      </c>
      <c r="JG18" s="49" t="s">
        <v>128</v>
      </c>
      <c r="JH18" s="1" t="s">
        <v>129</v>
      </c>
      <c r="JI18" s="11" t="s">
        <v>40</v>
      </c>
      <c r="JJ18" s="1">
        <v>5500</v>
      </c>
      <c r="JK18" s="1">
        <f>(JH6-1)*2*2</f>
        <v>72</v>
      </c>
      <c r="JL18" s="11">
        <f t="shared" si="32"/>
        <v>396</v>
      </c>
      <c r="JM18" s="11">
        <v>6.6</v>
      </c>
      <c r="JN18" s="123">
        <f t="shared" si="33"/>
        <v>2613.6</v>
      </c>
      <c r="JO18" s="31"/>
      <c r="JP18" s="30"/>
      <c r="JQ18" s="1">
        <f t="shared" si="68"/>
        <v>3</v>
      </c>
      <c r="JR18" s="49" t="s">
        <v>128</v>
      </c>
      <c r="JS18" s="1" t="s">
        <v>129</v>
      </c>
      <c r="JT18" s="198" t="s">
        <v>40</v>
      </c>
      <c r="JU18" s="1">
        <v>3400</v>
      </c>
      <c r="JV18" s="1">
        <f>(JS6-1)*2*2</f>
        <v>72</v>
      </c>
      <c r="JW18" s="198">
        <f>JU18/1000*JV18</f>
        <v>244.79999999999998</v>
      </c>
      <c r="JX18" s="198">
        <v>6.4</v>
      </c>
      <c r="JY18" s="199">
        <f>JW18*JX18</f>
        <v>1566.72</v>
      </c>
      <c r="JZ18" s="31"/>
      <c r="KA18" s="30"/>
      <c r="KB18" s="1">
        <f t="shared" si="69"/>
        <v>3</v>
      </c>
      <c r="KC18" s="49" t="s">
        <v>128</v>
      </c>
      <c r="KD18" s="1" t="s">
        <v>129</v>
      </c>
      <c r="KE18" s="198" t="s">
        <v>40</v>
      </c>
      <c r="KF18" s="1">
        <v>3400</v>
      </c>
      <c r="KG18" s="1">
        <f>(KD6-1)*2*2</f>
        <v>72</v>
      </c>
      <c r="KH18" s="198">
        <f>KF18/1000*KG18</f>
        <v>244.79999999999998</v>
      </c>
      <c r="KI18" s="198">
        <v>6.4</v>
      </c>
      <c r="KJ18" s="199">
        <f>KH18*KI18</f>
        <v>1566.72</v>
      </c>
      <c r="KK18" s="31"/>
      <c r="KL18" s="30"/>
      <c r="KM18" s="1">
        <f t="shared" si="70"/>
        <v>3</v>
      </c>
      <c r="KN18" s="49" t="s">
        <v>128</v>
      </c>
      <c r="KO18" s="1" t="s">
        <v>129</v>
      </c>
      <c r="KP18" s="11" t="s">
        <v>40</v>
      </c>
      <c r="KQ18" s="1">
        <v>3400</v>
      </c>
      <c r="KR18" s="1">
        <f>(KO6-1)*2*2</f>
        <v>72</v>
      </c>
      <c r="KS18" s="11">
        <f t="shared" ref="KS18" si="110">KQ18/1000*KR18</f>
        <v>244.79999999999998</v>
      </c>
      <c r="KT18" s="11">
        <v>6.6</v>
      </c>
      <c r="KU18" s="126">
        <f t="shared" ref="KU18" si="111">KS18*KT18</f>
        <v>1615.6799999999998</v>
      </c>
      <c r="KV18" s="31"/>
      <c r="KW18" s="30"/>
      <c r="KX18" s="1">
        <f t="shared" ref="KX18:KX42" si="112">KX17+1</f>
        <v>3</v>
      </c>
      <c r="KY18" s="22" t="s">
        <v>182</v>
      </c>
      <c r="KZ18" s="1"/>
      <c r="LA18" s="49"/>
      <c r="LB18" s="49"/>
      <c r="LC18" s="49"/>
      <c r="LD18" s="49"/>
      <c r="LE18" s="49"/>
      <c r="LF18" s="111"/>
      <c r="LG18" s="31"/>
      <c r="LH18" s="30"/>
      <c r="LI18" s="1">
        <f t="shared" ref="LI18:LI35" si="113">LI17+1</f>
        <v>3</v>
      </c>
      <c r="LJ18" s="1" t="s">
        <v>216</v>
      </c>
      <c r="LK18" s="1" t="s">
        <v>217</v>
      </c>
      <c r="LL18" s="109" t="s">
        <v>214</v>
      </c>
      <c r="LM18" s="49">
        <f>LM16</f>
        <v>7700</v>
      </c>
      <c r="LN18" s="49">
        <f>LN16-LN17</f>
        <v>28</v>
      </c>
      <c r="LO18" s="109">
        <f>LM18/1000*LN18</f>
        <v>215.6</v>
      </c>
      <c r="LP18" s="109">
        <f>LP17</f>
        <v>56.6</v>
      </c>
      <c r="LQ18" s="243">
        <f>LO18*LP18</f>
        <v>12202.96</v>
      </c>
      <c r="LR18" s="31"/>
      <c r="LS18" s="30"/>
      <c r="LT18" s="1"/>
      <c r="LU18" s="1"/>
      <c r="LV18" s="1"/>
      <c r="LW18" s="11"/>
      <c r="LX18" s="1"/>
      <c r="LY18" s="1"/>
      <c r="LZ18" s="11"/>
      <c r="MA18" s="11"/>
      <c r="MB18" s="126"/>
      <c r="MC18" s="31"/>
      <c r="ME18" s="30"/>
      <c r="MF18" s="1"/>
      <c r="MG18" s="1"/>
      <c r="MH18" s="1"/>
      <c r="MI18" s="11"/>
      <c r="MJ18" s="1"/>
      <c r="MK18" s="1"/>
      <c r="ML18" s="11"/>
      <c r="MM18" s="11"/>
      <c r="MN18" s="126"/>
      <c r="MO18" s="31"/>
      <c r="MQ18" s="30"/>
      <c r="MR18" s="1"/>
      <c r="MS18" s="1" t="s">
        <v>41</v>
      </c>
      <c r="MT18" s="1" t="s">
        <v>42</v>
      </c>
      <c r="MU18" s="3" t="s">
        <v>62</v>
      </c>
      <c r="MV18" s="1">
        <f>MT5*1000+1300</f>
        <v>6800</v>
      </c>
      <c r="MW18" s="49">
        <f>(MT6+1)*2</f>
        <v>8</v>
      </c>
      <c r="MX18" s="3">
        <f>MV18/1000*MW18</f>
        <v>54.4</v>
      </c>
      <c r="MY18" s="3">
        <v>10.1</v>
      </c>
      <c r="MZ18" s="261">
        <f>MX18*MY18</f>
        <v>549.43999999999994</v>
      </c>
      <c r="NA18" s="31"/>
      <c r="ND18" s="30"/>
      <c r="NE18" s="1">
        <f t="shared" ref="NE18:NE37" si="114">NE17+1</f>
        <v>4</v>
      </c>
      <c r="NF18" s="1" t="s">
        <v>341</v>
      </c>
      <c r="NG18" s="1" t="s">
        <v>144</v>
      </c>
      <c r="NH18" s="11" t="s">
        <v>40</v>
      </c>
      <c r="NI18" s="1">
        <v>1800</v>
      </c>
      <c r="NJ18" s="1">
        <f>(NG6-1)*2</f>
        <v>18</v>
      </c>
      <c r="NK18" s="11">
        <f t="shared" si="0"/>
        <v>32.4</v>
      </c>
      <c r="NL18" s="11">
        <v>6.9</v>
      </c>
      <c r="NM18" s="264">
        <f t="shared" si="1"/>
        <v>223.56</v>
      </c>
      <c r="NN18" s="31"/>
      <c r="NP18" s="30"/>
      <c r="NQ18" s="1">
        <f t="shared" si="42"/>
        <v>5</v>
      </c>
      <c r="NR18" s="1" t="s">
        <v>54</v>
      </c>
      <c r="NS18" s="1" t="s">
        <v>53</v>
      </c>
      <c r="NT18" s="5" t="s">
        <v>63</v>
      </c>
      <c r="NU18" s="1">
        <f>NU16+550</f>
        <v>6050</v>
      </c>
      <c r="NV18" s="1">
        <v>8</v>
      </c>
      <c r="NW18" s="5">
        <f t="shared" si="71"/>
        <v>48.4</v>
      </c>
      <c r="NX18" s="5">
        <v>8.3000000000000007</v>
      </c>
      <c r="NY18" s="263">
        <f t="shared" si="72"/>
        <v>401.72</v>
      </c>
      <c r="NZ18" s="31"/>
      <c r="OC18" s="30"/>
      <c r="OD18" s="1">
        <f t="shared" si="43"/>
        <v>5</v>
      </c>
      <c r="OE18" s="1" t="s">
        <v>54</v>
      </c>
      <c r="OF18" s="1" t="s">
        <v>53</v>
      </c>
      <c r="OG18" s="5" t="s">
        <v>63</v>
      </c>
      <c r="OH18" s="1">
        <f>OH16+550</f>
        <v>6050</v>
      </c>
      <c r="OI18" s="1">
        <v>8</v>
      </c>
      <c r="OJ18" s="5">
        <f t="shared" si="73"/>
        <v>48.4</v>
      </c>
      <c r="OK18" s="5">
        <v>8.3000000000000007</v>
      </c>
      <c r="OL18" s="263">
        <f t="shared" si="74"/>
        <v>401.72</v>
      </c>
      <c r="OM18" s="31"/>
      <c r="OP18" s="30"/>
      <c r="OQ18" s="1">
        <f t="shared" si="44"/>
        <v>5</v>
      </c>
      <c r="OR18" s="1" t="s">
        <v>54</v>
      </c>
      <c r="OS18" s="1" t="s">
        <v>53</v>
      </c>
      <c r="OT18" s="5" t="s">
        <v>63</v>
      </c>
      <c r="OU18" s="1">
        <f>OU16+550</f>
        <v>6050</v>
      </c>
      <c r="OV18" s="1">
        <v>8</v>
      </c>
      <c r="OW18" s="5">
        <f t="shared" si="75"/>
        <v>48.4</v>
      </c>
      <c r="OX18" s="5">
        <v>8.3000000000000007</v>
      </c>
      <c r="OY18" s="263">
        <f t="shared" si="76"/>
        <v>401.72</v>
      </c>
      <c r="OZ18" s="31"/>
      <c r="PD18" s="30"/>
      <c r="PE18" s="1">
        <f t="shared" si="45"/>
        <v>5</v>
      </c>
      <c r="PF18" s="1" t="s">
        <v>54</v>
      </c>
      <c r="PG18" s="1" t="s">
        <v>53</v>
      </c>
      <c r="PH18" s="5" t="s">
        <v>63</v>
      </c>
      <c r="PI18" s="1">
        <f>PI16+550</f>
        <v>6050</v>
      </c>
      <c r="PJ18" s="1">
        <v>8</v>
      </c>
      <c r="PK18" s="5">
        <f t="shared" si="77"/>
        <v>48.4</v>
      </c>
      <c r="PL18" s="5">
        <v>8.3000000000000007</v>
      </c>
      <c r="PM18" s="263">
        <f t="shared" si="78"/>
        <v>401.72</v>
      </c>
      <c r="PN18" s="31"/>
      <c r="PQ18" s="30"/>
      <c r="PR18" s="1">
        <f t="shared" si="46"/>
        <v>5</v>
      </c>
      <c r="PS18" s="1" t="s">
        <v>54</v>
      </c>
      <c r="PT18" s="1" t="s">
        <v>53</v>
      </c>
      <c r="PU18" s="5" t="s">
        <v>63</v>
      </c>
      <c r="PV18" s="1">
        <f>PV16+550</f>
        <v>6050</v>
      </c>
      <c r="PW18" s="1">
        <v>8</v>
      </c>
      <c r="PX18" s="5">
        <f t="shared" si="79"/>
        <v>48.4</v>
      </c>
      <c r="PY18" s="5">
        <v>8.3000000000000007</v>
      </c>
      <c r="PZ18" s="263">
        <f t="shared" si="80"/>
        <v>401.72</v>
      </c>
      <c r="QA18" s="31"/>
      <c r="QD18" s="30"/>
      <c r="QE18" s="1">
        <f t="shared" si="47"/>
        <v>5</v>
      </c>
      <c r="QF18" s="1" t="s">
        <v>54</v>
      </c>
      <c r="QG18" s="1" t="s">
        <v>53</v>
      </c>
      <c r="QH18" s="296" t="s">
        <v>353</v>
      </c>
      <c r="QI18" s="1">
        <f>QI16+550</f>
        <v>5550</v>
      </c>
      <c r="QJ18" s="1">
        <v>6</v>
      </c>
      <c r="QK18" s="296">
        <f t="shared" si="81"/>
        <v>33.299999999999997</v>
      </c>
      <c r="QL18" s="296">
        <v>7.1</v>
      </c>
      <c r="QM18" s="297">
        <f t="shared" si="82"/>
        <v>236.42999999999998</v>
      </c>
      <c r="QN18" s="31"/>
      <c r="QQ18" s="30"/>
      <c r="QR18" s="1">
        <f t="shared" si="48"/>
        <v>5</v>
      </c>
      <c r="QS18" s="1" t="s">
        <v>54</v>
      </c>
      <c r="QT18" s="1" t="s">
        <v>53</v>
      </c>
      <c r="QU18" s="5" t="s">
        <v>63</v>
      </c>
      <c r="QV18" s="1">
        <f>QV16+550</f>
        <v>6050</v>
      </c>
      <c r="QW18" s="1">
        <v>8</v>
      </c>
      <c r="QX18" s="5">
        <f t="shared" si="83"/>
        <v>48.4</v>
      </c>
      <c r="QY18" s="5">
        <v>8.3000000000000007</v>
      </c>
      <c r="QZ18" s="263">
        <f t="shared" si="84"/>
        <v>401.72</v>
      </c>
      <c r="RA18" s="31"/>
    </row>
    <row r="19" spans="1:469" x14ac:dyDescent="0.25">
      <c r="A19" s="30"/>
      <c r="B19" s="1">
        <f t="shared" si="85"/>
        <v>4</v>
      </c>
      <c r="C19" s="1" t="s">
        <v>317</v>
      </c>
      <c r="D19" s="1" t="s">
        <v>85</v>
      </c>
      <c r="E19" s="11" t="s">
        <v>40</v>
      </c>
      <c r="F19" s="1">
        <f>F18+400</f>
        <v>2900</v>
      </c>
      <c r="G19" s="1">
        <f>(D6+1)*2</f>
        <v>4</v>
      </c>
      <c r="H19" s="11">
        <f t="shared" si="4"/>
        <v>11.6</v>
      </c>
      <c r="I19" s="11">
        <v>6.6</v>
      </c>
      <c r="J19" s="213">
        <f t="shared" si="5"/>
        <v>76.559999999999988</v>
      </c>
      <c r="K19" s="31"/>
      <c r="L19" s="30"/>
      <c r="M19" s="1">
        <f t="shared" si="86"/>
        <v>4</v>
      </c>
      <c r="N19" s="1" t="s">
        <v>317</v>
      </c>
      <c r="O19" s="1" t="s">
        <v>85</v>
      </c>
      <c r="P19" s="11" t="s">
        <v>40</v>
      </c>
      <c r="Q19" s="1">
        <f>Q18+500</f>
        <v>3700</v>
      </c>
      <c r="R19" s="1">
        <f>(O6+1)*2</f>
        <v>4</v>
      </c>
      <c r="S19" s="11">
        <f t="shared" si="6"/>
        <v>14.8</v>
      </c>
      <c r="T19" s="11">
        <v>6.6</v>
      </c>
      <c r="U19" s="252">
        <f t="shared" si="7"/>
        <v>97.679999999999993</v>
      </c>
      <c r="V19" s="31"/>
      <c r="W19" s="30"/>
      <c r="X19" s="1">
        <f t="shared" si="87"/>
        <v>4</v>
      </c>
      <c r="Y19" s="1" t="s">
        <v>94</v>
      </c>
      <c r="Z19" s="1" t="s">
        <v>25</v>
      </c>
      <c r="AA19" s="11" t="s">
        <v>40</v>
      </c>
      <c r="AB19" s="1">
        <f>Z9*1000</f>
        <v>4500</v>
      </c>
      <c r="AC19" s="1">
        <f>2*Z6*Z8</f>
        <v>48</v>
      </c>
      <c r="AD19" s="11">
        <f t="shared" si="8"/>
        <v>216</v>
      </c>
      <c r="AE19" s="11">
        <v>6.6</v>
      </c>
      <c r="AF19" s="213">
        <f t="shared" si="9"/>
        <v>1425.6</v>
      </c>
      <c r="AG19" s="31"/>
      <c r="AH19" s="30"/>
      <c r="AI19" s="1">
        <f t="shared" si="88"/>
        <v>4</v>
      </c>
      <c r="AJ19" s="1" t="s">
        <v>94</v>
      </c>
      <c r="AK19" s="1" t="s">
        <v>25</v>
      </c>
      <c r="AL19" s="11" t="s">
        <v>40</v>
      </c>
      <c r="AM19" s="1">
        <f>AK9*1000</f>
        <v>4000</v>
      </c>
      <c r="AN19" s="1">
        <f>2*AK6*AK8</f>
        <v>14</v>
      </c>
      <c r="AO19" s="11">
        <f t="shared" si="10"/>
        <v>56</v>
      </c>
      <c r="AP19" s="11">
        <v>6.6</v>
      </c>
      <c r="AQ19" s="12">
        <f t="shared" si="11"/>
        <v>369.59999999999997</v>
      </c>
      <c r="AR19" s="31"/>
      <c r="AS19" s="30"/>
      <c r="AT19" s="1">
        <f t="shared" si="89"/>
        <v>4</v>
      </c>
      <c r="AU19" s="1" t="s">
        <v>94</v>
      </c>
      <c r="AV19" s="1" t="s">
        <v>25</v>
      </c>
      <c r="AW19" s="11" t="s">
        <v>40</v>
      </c>
      <c r="AX19" s="1">
        <f>AV9*1000</f>
        <v>4000</v>
      </c>
      <c r="AY19" s="1">
        <f>2*AV6*AV8</f>
        <v>14</v>
      </c>
      <c r="AZ19" s="11">
        <f t="shared" si="12"/>
        <v>56</v>
      </c>
      <c r="BA19" s="11">
        <v>6.6</v>
      </c>
      <c r="BB19" s="12">
        <f t="shared" si="13"/>
        <v>369.59999999999997</v>
      </c>
      <c r="BC19" s="31"/>
      <c r="BD19" s="30"/>
      <c r="BE19" s="1">
        <f t="shared" si="90"/>
        <v>4</v>
      </c>
      <c r="BF19" s="1" t="s">
        <v>94</v>
      </c>
      <c r="BG19" s="1" t="s">
        <v>25</v>
      </c>
      <c r="BH19" s="11" t="s">
        <v>40</v>
      </c>
      <c r="BI19" s="1">
        <f>BG9*1000</f>
        <v>4000</v>
      </c>
      <c r="BJ19" s="1">
        <f>2*BG6*BG8</f>
        <v>16</v>
      </c>
      <c r="BK19" s="11">
        <f t="shared" si="14"/>
        <v>64</v>
      </c>
      <c r="BL19" s="11">
        <v>6.6</v>
      </c>
      <c r="BM19" s="213">
        <f t="shared" si="15"/>
        <v>422.4</v>
      </c>
      <c r="BN19" s="31"/>
      <c r="BO19" s="30"/>
      <c r="BP19" s="1">
        <f t="shared" si="91"/>
        <v>4</v>
      </c>
      <c r="BQ19" s="1" t="s">
        <v>94</v>
      </c>
      <c r="BR19" s="1" t="s">
        <v>25</v>
      </c>
      <c r="BS19" s="5" t="s">
        <v>63</v>
      </c>
      <c r="BT19" s="1">
        <f>BR9*1000</f>
        <v>5000</v>
      </c>
      <c r="BU19" s="1">
        <f>2*BR6*BR8</f>
        <v>20</v>
      </c>
      <c r="BV19" s="5">
        <f>BT19/1000*BU19</f>
        <v>100</v>
      </c>
      <c r="BW19" s="227">
        <v>8.3000000000000007</v>
      </c>
      <c r="BX19" s="206">
        <f>BV19*BW19</f>
        <v>830.00000000000011</v>
      </c>
      <c r="BY19" s="31"/>
      <c r="BZ19" s="30"/>
      <c r="CA19" s="1">
        <f t="shared" si="92"/>
        <v>4</v>
      </c>
      <c r="CB19" s="1" t="s">
        <v>94</v>
      </c>
      <c r="CC19" s="1" t="s">
        <v>25</v>
      </c>
      <c r="CD19" s="5" t="s">
        <v>63</v>
      </c>
      <c r="CE19" s="1">
        <f>CC9*1000</f>
        <v>4500</v>
      </c>
      <c r="CF19" s="1">
        <f>2*CC6*CC8</f>
        <v>14</v>
      </c>
      <c r="CG19" s="5">
        <f>CE19/1000*CF19</f>
        <v>63</v>
      </c>
      <c r="CH19" s="5">
        <v>8.3000000000000007</v>
      </c>
      <c r="CI19" s="43">
        <f>CG19*CH19</f>
        <v>522.90000000000009</v>
      </c>
      <c r="CJ19" s="31"/>
      <c r="CK19" s="30"/>
      <c r="CL19" s="1">
        <f t="shared" si="53"/>
        <v>4</v>
      </c>
      <c r="CM19" s="1" t="s">
        <v>241</v>
      </c>
      <c r="CN19" s="1"/>
      <c r="CO19" s="11" t="s">
        <v>40</v>
      </c>
      <c r="CP19" s="1">
        <f>CN9*1000</f>
        <v>4400</v>
      </c>
      <c r="CQ19" s="1">
        <f>CN6*3</f>
        <v>15</v>
      </c>
      <c r="CR19" s="11">
        <f t="shared" si="16"/>
        <v>66</v>
      </c>
      <c r="CS19" s="11">
        <v>6.6</v>
      </c>
      <c r="CT19" s="172">
        <f t="shared" si="17"/>
        <v>435.59999999999997</v>
      </c>
      <c r="CU19" s="31"/>
      <c r="CV19" s="30"/>
      <c r="CW19" s="1">
        <f t="shared" si="93"/>
        <v>4</v>
      </c>
      <c r="CX19" s="1" t="s">
        <v>94</v>
      </c>
      <c r="CY19" s="1" t="s">
        <v>25</v>
      </c>
      <c r="CZ19" s="5" t="s">
        <v>63</v>
      </c>
      <c r="DA19" s="1">
        <f>CY9*1000</f>
        <v>5000</v>
      </c>
      <c r="DB19" s="1">
        <f>CY6*CY8</f>
        <v>12</v>
      </c>
      <c r="DC19" s="5">
        <f>DA19/1000*DB19</f>
        <v>60</v>
      </c>
      <c r="DD19" s="5">
        <v>8.3000000000000007</v>
      </c>
      <c r="DE19" s="43">
        <f>DC19*DD19</f>
        <v>498.00000000000006</v>
      </c>
      <c r="DF19" s="31"/>
      <c r="DG19" s="30"/>
      <c r="DH19" s="1">
        <f t="shared" si="94"/>
        <v>4</v>
      </c>
      <c r="DI19" s="1" t="s">
        <v>65</v>
      </c>
      <c r="DJ19" s="1" t="s">
        <v>68</v>
      </c>
      <c r="DK19" s="11" t="s">
        <v>40</v>
      </c>
      <c r="DL19" s="1">
        <v>4600</v>
      </c>
      <c r="DM19" s="1">
        <f>(DJ6-1)*2*2</f>
        <v>24</v>
      </c>
      <c r="DN19" s="11">
        <f t="shared" si="56"/>
        <v>110.39999999999999</v>
      </c>
      <c r="DO19" s="11">
        <v>6.6</v>
      </c>
      <c r="DP19" s="12">
        <f t="shared" si="57"/>
        <v>728.63999999999987</v>
      </c>
      <c r="DQ19" s="31"/>
      <c r="DR19" s="30"/>
      <c r="DS19" s="1">
        <f t="shared" ref="DS19:DS33" si="115">DS18+1</f>
        <v>1</v>
      </c>
      <c r="DT19" s="1" t="s">
        <v>143</v>
      </c>
      <c r="DU19" s="1" t="s">
        <v>144</v>
      </c>
      <c r="DV19" s="176" t="s">
        <v>218</v>
      </c>
      <c r="DW19" s="1">
        <v>2000</v>
      </c>
      <c r="DX19" s="1">
        <f>(DU6-1)*2</f>
        <v>18</v>
      </c>
      <c r="DY19" s="176">
        <f t="shared" ref="DY19:DY22" si="116">DW19/1000*DX19</f>
        <v>36</v>
      </c>
      <c r="DZ19" s="176">
        <v>3.3</v>
      </c>
      <c r="EA19" s="257">
        <f t="shared" ref="EA19:EA22" si="117">DY19*DZ19</f>
        <v>118.8</v>
      </c>
      <c r="EB19" s="31"/>
      <c r="EC19" s="30"/>
      <c r="ED19" s="1">
        <f t="shared" si="95"/>
        <v>4</v>
      </c>
      <c r="EE19" s="1" t="s">
        <v>143</v>
      </c>
      <c r="EF19" s="1" t="s">
        <v>144</v>
      </c>
      <c r="EG19" s="11" t="s">
        <v>40</v>
      </c>
      <c r="EH19" s="1">
        <v>4150</v>
      </c>
      <c r="EI19" s="1">
        <f>(EF6-1)*2*2</f>
        <v>36</v>
      </c>
      <c r="EJ19" s="11">
        <f t="shared" si="58"/>
        <v>149.4</v>
      </c>
      <c r="EK19" s="11">
        <v>6.6</v>
      </c>
      <c r="EL19" s="123">
        <f t="shared" si="59"/>
        <v>986.04</v>
      </c>
      <c r="EM19" s="31"/>
      <c r="EN19" s="30"/>
      <c r="EO19" s="1">
        <f t="shared" si="96"/>
        <v>4</v>
      </c>
      <c r="EP19" s="1" t="s">
        <v>143</v>
      </c>
      <c r="EQ19" s="1" t="s">
        <v>144</v>
      </c>
      <c r="ER19" s="11" t="s">
        <v>40</v>
      </c>
      <c r="ES19" s="1">
        <v>2700</v>
      </c>
      <c r="ET19" s="49">
        <f>(EQ6-1)*2*2</f>
        <v>36</v>
      </c>
      <c r="EU19" s="11">
        <f t="shared" si="97"/>
        <v>97.2</v>
      </c>
      <c r="EV19" s="11">
        <v>6.6</v>
      </c>
      <c r="EW19" s="88">
        <f t="shared" si="98"/>
        <v>641.52</v>
      </c>
      <c r="EX19" s="31"/>
      <c r="EY19" s="30"/>
      <c r="EZ19" s="1">
        <f t="shared" si="99"/>
        <v>4</v>
      </c>
      <c r="FA19" s="1" t="s">
        <v>94</v>
      </c>
      <c r="FB19" s="1" t="s">
        <v>25</v>
      </c>
      <c r="FC19" s="5" t="s">
        <v>63</v>
      </c>
      <c r="FD19" s="1">
        <f>FB9*1000</f>
        <v>3500</v>
      </c>
      <c r="FE19" s="1">
        <f>2*FB6*FB8</f>
        <v>14</v>
      </c>
      <c r="FF19" s="5">
        <f>FD19/1000*FE19</f>
        <v>49</v>
      </c>
      <c r="FG19" s="5">
        <v>8.3000000000000007</v>
      </c>
      <c r="FH19" s="43">
        <f>FF19*FG19</f>
        <v>406.70000000000005</v>
      </c>
      <c r="FI19" s="31"/>
      <c r="FJ19" s="30"/>
      <c r="FK19" s="1">
        <f t="shared" si="100"/>
        <v>4</v>
      </c>
      <c r="FL19" s="1" t="s">
        <v>257</v>
      </c>
      <c r="FM19" s="1" t="s">
        <v>85</v>
      </c>
      <c r="FN19" s="3" t="s">
        <v>62</v>
      </c>
      <c r="FO19" s="1">
        <v>5000</v>
      </c>
      <c r="FP19" s="1">
        <f>(2+2*FM6)</f>
        <v>20</v>
      </c>
      <c r="FQ19" s="3">
        <f t="shared" si="20"/>
        <v>100</v>
      </c>
      <c r="FR19" s="3">
        <v>10.1</v>
      </c>
      <c r="FS19" s="165">
        <f t="shared" si="21"/>
        <v>1010</v>
      </c>
      <c r="FT19" s="31"/>
      <c r="FU19" s="30"/>
      <c r="FV19" s="1">
        <f t="shared" si="101"/>
        <v>4</v>
      </c>
      <c r="FW19" s="1" t="s">
        <v>143</v>
      </c>
      <c r="FX19" s="1" t="s">
        <v>168</v>
      </c>
      <c r="FY19" s="11" t="s">
        <v>40</v>
      </c>
      <c r="FZ19" s="1">
        <v>5350</v>
      </c>
      <c r="GA19" s="1">
        <f>(FX6-1)*2*2</f>
        <v>24</v>
      </c>
      <c r="GB19" s="11">
        <f t="shared" si="62"/>
        <v>128.39999999999998</v>
      </c>
      <c r="GC19" s="11">
        <v>6.6</v>
      </c>
      <c r="GD19" s="126">
        <f t="shared" si="63"/>
        <v>847.43999999999983</v>
      </c>
      <c r="GE19" s="31"/>
      <c r="GF19" s="30"/>
      <c r="GG19" s="1">
        <f t="shared" si="102"/>
        <v>4</v>
      </c>
      <c r="GH19" s="1" t="s">
        <v>221</v>
      </c>
      <c r="GI19" s="1" t="s">
        <v>283</v>
      </c>
      <c r="GJ19" s="50" t="s">
        <v>218</v>
      </c>
      <c r="GK19" s="49">
        <v>2685</v>
      </c>
      <c r="GL19" s="49">
        <f>(GI6-1)*2</f>
        <v>28</v>
      </c>
      <c r="GM19" s="51">
        <f t="shared" si="22"/>
        <v>75.180000000000007</v>
      </c>
      <c r="GN19" s="51">
        <v>3.4</v>
      </c>
      <c r="GO19" s="228">
        <f t="shared" si="23"/>
        <v>255.61200000000002</v>
      </c>
      <c r="GP19" s="31"/>
      <c r="GQ19" s="30"/>
      <c r="GR19" s="1">
        <f t="shared" si="103"/>
        <v>4</v>
      </c>
      <c r="GS19" s="1" t="s">
        <v>143</v>
      </c>
      <c r="GT19" s="1" t="s">
        <v>168</v>
      </c>
      <c r="GU19" s="5" t="s">
        <v>63</v>
      </c>
      <c r="GV19" s="1">
        <v>4825</v>
      </c>
      <c r="GW19" s="1">
        <f>(GT6-1)*2*2</f>
        <v>28</v>
      </c>
      <c r="GX19" s="5">
        <f t="shared" si="64"/>
        <v>135.1</v>
      </c>
      <c r="GY19" s="227">
        <v>8.3000000000000007</v>
      </c>
      <c r="GZ19" s="159">
        <f t="shared" si="65"/>
        <v>1121.3300000000002</v>
      </c>
      <c r="HA19" s="31"/>
      <c r="HB19" s="30"/>
      <c r="HC19" s="1">
        <f t="shared" si="104"/>
        <v>4</v>
      </c>
      <c r="HD19" s="1" t="s">
        <v>77</v>
      </c>
      <c r="HE19" s="1" t="s">
        <v>76</v>
      </c>
      <c r="HF19" s="5" t="s">
        <v>63</v>
      </c>
      <c r="HG19" s="1">
        <f>HG18+3000</f>
        <v>5500</v>
      </c>
      <c r="HH19" s="1">
        <f>2+2*HE6</f>
        <v>26</v>
      </c>
      <c r="HI19" s="5">
        <f t="shared" si="24"/>
        <v>143</v>
      </c>
      <c r="HJ19" s="5">
        <v>8.3000000000000007</v>
      </c>
      <c r="HK19" s="129">
        <f t="shared" si="25"/>
        <v>1186.9000000000001</v>
      </c>
      <c r="HL19" s="31"/>
      <c r="HM19" s="30"/>
      <c r="HN19" s="1">
        <f t="shared" si="66"/>
        <v>4</v>
      </c>
      <c r="HO19" s="1" t="s">
        <v>239</v>
      </c>
      <c r="HP19" s="1"/>
      <c r="HQ19" s="138" t="s">
        <v>238</v>
      </c>
      <c r="HR19" s="1">
        <v>4400</v>
      </c>
      <c r="HS19" s="1">
        <f>(HP6-1)*2*2</f>
        <v>28</v>
      </c>
      <c r="HT19" s="138">
        <f t="shared" si="26"/>
        <v>123.20000000000002</v>
      </c>
      <c r="HU19" s="138">
        <v>4.2</v>
      </c>
      <c r="HV19" s="237">
        <f t="shared" si="27"/>
        <v>517.44000000000005</v>
      </c>
      <c r="HW19" s="31"/>
      <c r="HX19" s="30"/>
      <c r="HY19" s="1">
        <f t="shared" si="105"/>
        <v>4</v>
      </c>
      <c r="HZ19" s="1" t="s">
        <v>77</v>
      </c>
      <c r="IA19" s="1" t="s">
        <v>76</v>
      </c>
      <c r="IB19" s="3" t="s">
        <v>62</v>
      </c>
      <c r="IC19" s="1">
        <f>IC18+5400</f>
        <v>9000</v>
      </c>
      <c r="ID19" s="1">
        <f>2+2*IA6</f>
        <v>16</v>
      </c>
      <c r="IE19" s="3">
        <f t="shared" si="106"/>
        <v>144</v>
      </c>
      <c r="IF19" s="3">
        <v>10.1</v>
      </c>
      <c r="IG19" s="41">
        <f t="shared" si="107"/>
        <v>1454.3999999999999</v>
      </c>
      <c r="IH19" s="31"/>
      <c r="II19" s="30"/>
      <c r="IJ19" s="1">
        <f t="shared" si="108"/>
        <v>4</v>
      </c>
      <c r="IK19" s="1" t="s">
        <v>82</v>
      </c>
      <c r="IL19" s="1" t="s">
        <v>83</v>
      </c>
      <c r="IM19" s="109" t="s">
        <v>258</v>
      </c>
      <c r="IN19" s="1">
        <f>IL5*1000</f>
        <v>4000</v>
      </c>
      <c r="IO19" s="1">
        <f>2+2*IL6</f>
        <v>40</v>
      </c>
      <c r="IP19" s="109">
        <f t="shared" si="30"/>
        <v>160</v>
      </c>
      <c r="IQ19" s="109">
        <v>28</v>
      </c>
      <c r="IR19" s="149">
        <f t="shared" si="31"/>
        <v>4480</v>
      </c>
      <c r="IS19" s="31"/>
      <c r="IT19" s="30"/>
      <c r="IU19" s="1">
        <f t="shared" si="109"/>
        <v>4</v>
      </c>
      <c r="IV19" s="1" t="s">
        <v>60</v>
      </c>
      <c r="IW19" s="1" t="s">
        <v>58</v>
      </c>
      <c r="IX19" s="3" t="s">
        <v>62</v>
      </c>
      <c r="IY19" s="1">
        <f>IY24+5500</f>
        <v>9500</v>
      </c>
      <c r="IZ19" s="1">
        <v>8</v>
      </c>
      <c r="JA19" s="3">
        <f t="shared" ref="JA19:JA22" si="118">IY19/1000*IZ19</f>
        <v>76</v>
      </c>
      <c r="JB19" s="3">
        <v>10.1</v>
      </c>
      <c r="JC19" s="144">
        <f t="shared" ref="JC19:JC22" si="119">JA19*JB19</f>
        <v>767.6</v>
      </c>
      <c r="JD19" s="31"/>
      <c r="JE19" s="30"/>
      <c r="JF19" s="1">
        <f t="shared" si="67"/>
        <v>4</v>
      </c>
      <c r="JG19" s="1" t="s">
        <v>82</v>
      </c>
      <c r="JH19" s="1" t="s">
        <v>83</v>
      </c>
      <c r="JI19" s="3" t="s">
        <v>62</v>
      </c>
      <c r="JJ19" s="1">
        <f>JH5*1000</f>
        <v>4200</v>
      </c>
      <c r="JK19" s="1">
        <f>4+4*JH6</f>
        <v>80</v>
      </c>
      <c r="JL19" s="3">
        <f t="shared" si="32"/>
        <v>336</v>
      </c>
      <c r="JM19" s="3">
        <v>10.1</v>
      </c>
      <c r="JN19" s="108">
        <f t="shared" si="33"/>
        <v>3393.6</v>
      </c>
      <c r="JO19" s="31"/>
      <c r="JP19" s="30"/>
      <c r="JQ19" s="1">
        <f t="shared" si="68"/>
        <v>4</v>
      </c>
      <c r="JR19" s="1" t="s">
        <v>82</v>
      </c>
      <c r="JS19" s="1" t="s">
        <v>83</v>
      </c>
      <c r="JT19" s="109" t="s">
        <v>297</v>
      </c>
      <c r="JU19" s="1">
        <f>JS5*1000</f>
        <v>4000</v>
      </c>
      <c r="JV19" s="1">
        <f>2+2*JS6</f>
        <v>40</v>
      </c>
      <c r="JW19" s="109">
        <f t="shared" ref="JW19:JW23" si="120">JU19/1000*JV19</f>
        <v>160</v>
      </c>
      <c r="JX19" s="109">
        <v>33.200000000000003</v>
      </c>
      <c r="JY19" s="200">
        <f t="shared" ref="JY19:JY23" si="121">JW19*JX19</f>
        <v>5312</v>
      </c>
      <c r="JZ19" s="31"/>
      <c r="KA19" s="30"/>
      <c r="KB19" s="1">
        <f t="shared" si="69"/>
        <v>4</v>
      </c>
      <c r="KC19" s="1" t="s">
        <v>82</v>
      </c>
      <c r="KD19" s="1" t="s">
        <v>83</v>
      </c>
      <c r="KE19" s="109" t="s">
        <v>298</v>
      </c>
      <c r="KF19" s="1">
        <f>KD5*1000</f>
        <v>4000</v>
      </c>
      <c r="KG19" s="1">
        <f>2+2*KD6</f>
        <v>40</v>
      </c>
      <c r="KH19" s="109">
        <f t="shared" ref="KH19:KH23" si="122">KF19/1000*KG19</f>
        <v>160</v>
      </c>
      <c r="KI19" s="109">
        <v>24.52</v>
      </c>
      <c r="KJ19" s="200">
        <f t="shared" ref="KJ19:KJ23" si="123">KH19*KI19</f>
        <v>3923.2</v>
      </c>
      <c r="KK19" s="31"/>
      <c r="KL19" s="30"/>
      <c r="KM19" s="1">
        <f t="shared" si="70"/>
        <v>4</v>
      </c>
      <c r="KN19" s="1" t="s">
        <v>82</v>
      </c>
      <c r="KO19" s="1" t="s">
        <v>83</v>
      </c>
      <c r="KP19" s="3" t="s">
        <v>62</v>
      </c>
      <c r="KQ19" s="1">
        <f>KO5*1000</f>
        <v>4000</v>
      </c>
      <c r="KR19" s="1">
        <f>4+4*KO6</f>
        <v>80</v>
      </c>
      <c r="KS19" s="3">
        <f>KQ19/1000*KR19</f>
        <v>320</v>
      </c>
      <c r="KT19" s="3">
        <v>10.1</v>
      </c>
      <c r="KU19" s="128">
        <f>KS19*KT19</f>
        <v>3232</v>
      </c>
      <c r="KV19" s="31"/>
      <c r="KW19" s="30"/>
      <c r="KX19" s="1">
        <f t="shared" si="112"/>
        <v>4</v>
      </c>
      <c r="KY19" s="1" t="s">
        <v>183</v>
      </c>
      <c r="KZ19" s="1" t="s">
        <v>27</v>
      </c>
      <c r="LA19" s="3" t="s">
        <v>62</v>
      </c>
      <c r="LB19" s="49">
        <f>KZ4/2*1000*1.02</f>
        <v>22950</v>
      </c>
      <c r="LC19" s="49">
        <f>(KZ7+1)*2*2</f>
        <v>196</v>
      </c>
      <c r="LD19" s="3">
        <f>LB19/1000*LC19</f>
        <v>4498.2</v>
      </c>
      <c r="LE19" s="3">
        <v>10.1</v>
      </c>
      <c r="LF19" s="108">
        <f>LD19*LE19</f>
        <v>45431.82</v>
      </c>
      <c r="LG19" s="31"/>
      <c r="LH19" s="30"/>
      <c r="LI19" s="1">
        <f t="shared" si="113"/>
        <v>4</v>
      </c>
      <c r="LJ19" s="22" t="s">
        <v>182</v>
      </c>
      <c r="LK19" s="1"/>
      <c r="LL19" s="49"/>
      <c r="LM19" s="49"/>
      <c r="LN19" s="49"/>
      <c r="LO19" s="49"/>
      <c r="LP19" s="49"/>
      <c r="LQ19" s="244"/>
      <c r="LR19" s="31"/>
      <c r="LS19" s="30"/>
      <c r="LT19" s="1">
        <f t="shared" ref="LT19:LT33" si="124">LT18+1</f>
        <v>1</v>
      </c>
      <c r="LU19" s="1" t="s">
        <v>143</v>
      </c>
      <c r="LV19" s="1" t="s">
        <v>144</v>
      </c>
      <c r="LW19" s="176" t="s">
        <v>218</v>
      </c>
      <c r="LX19" s="1">
        <v>2000</v>
      </c>
      <c r="LY19" s="1">
        <f>(LV6-1)*2</f>
        <v>10</v>
      </c>
      <c r="LZ19" s="176">
        <f t="shared" ref="LZ19:LZ22" si="125">LX19/1000*LY19</f>
        <v>20</v>
      </c>
      <c r="MA19" s="176">
        <v>3.3</v>
      </c>
      <c r="MB19" s="257">
        <f t="shared" ref="MB19:MB22" si="126">LZ19*MA19</f>
        <v>66</v>
      </c>
      <c r="MC19" s="31"/>
      <c r="ME19" s="30"/>
      <c r="MF19" s="1">
        <f t="shared" ref="MF19:MF33" si="127">MF18+1</f>
        <v>1</v>
      </c>
      <c r="MG19" s="1" t="s">
        <v>143</v>
      </c>
      <c r="MH19" s="1" t="s">
        <v>144</v>
      </c>
      <c r="MI19" s="176" t="s">
        <v>218</v>
      </c>
      <c r="MJ19" s="1">
        <v>2100</v>
      </c>
      <c r="MK19" s="1">
        <f>(MH6-1)*2</f>
        <v>8</v>
      </c>
      <c r="ML19" s="176">
        <f t="shared" ref="ML19:ML22" si="128">MJ19/1000*MK19</f>
        <v>16.8</v>
      </c>
      <c r="MM19" s="176">
        <v>3.3</v>
      </c>
      <c r="MN19" s="257">
        <f t="shared" ref="MN19:MN22" si="129">ML19*MM19</f>
        <v>55.44</v>
      </c>
      <c r="MO19" s="31"/>
      <c r="MQ19" s="30"/>
      <c r="MR19" s="1">
        <f>MR17+1</f>
        <v>4</v>
      </c>
      <c r="MS19" s="1" t="s">
        <v>94</v>
      </c>
      <c r="MT19" s="1" t="s">
        <v>25</v>
      </c>
      <c r="MU19" s="5" t="s">
        <v>63</v>
      </c>
      <c r="MV19" s="1">
        <f>MT9*1000</f>
        <v>5000</v>
      </c>
      <c r="MW19" s="49">
        <f>2*(MT6)*MT8</f>
        <v>12</v>
      </c>
      <c r="MX19" s="5">
        <f>MV19/1000*MW19</f>
        <v>60</v>
      </c>
      <c r="MY19" s="5">
        <v>8.3000000000000007</v>
      </c>
      <c r="MZ19" s="263">
        <f>MX19*MY19</f>
        <v>498.00000000000006</v>
      </c>
      <c r="NA19" s="31"/>
      <c r="ND19" s="30"/>
      <c r="NE19" s="1">
        <f t="shared" si="114"/>
        <v>5</v>
      </c>
      <c r="NF19" s="1" t="s">
        <v>342</v>
      </c>
      <c r="NG19" s="1" t="s">
        <v>343</v>
      </c>
      <c r="NH19" s="11" t="s">
        <v>40</v>
      </c>
      <c r="NI19" s="1">
        <v>4600</v>
      </c>
      <c r="NJ19" s="1">
        <f>(NG6-1)*2</f>
        <v>18</v>
      </c>
      <c r="NK19" s="11">
        <f t="shared" si="0"/>
        <v>82.8</v>
      </c>
      <c r="NL19" s="11">
        <v>6.9</v>
      </c>
      <c r="NM19" s="264">
        <f t="shared" si="1"/>
        <v>571.32000000000005</v>
      </c>
      <c r="NN19" s="31"/>
      <c r="NP19" s="30"/>
      <c r="NQ19" s="1">
        <f t="shared" si="42"/>
        <v>6</v>
      </c>
      <c r="NR19" s="1" t="s">
        <v>95</v>
      </c>
      <c r="NS19" s="1" t="s">
        <v>55</v>
      </c>
      <c r="NT19" s="5" t="s">
        <v>63</v>
      </c>
      <c r="NU19" s="1">
        <v>4000</v>
      </c>
      <c r="NV19" s="1">
        <v>4</v>
      </c>
      <c r="NW19" s="5">
        <f t="shared" si="71"/>
        <v>16</v>
      </c>
      <c r="NX19" s="5">
        <v>8.3000000000000007</v>
      </c>
      <c r="NY19" s="263">
        <f t="shared" si="72"/>
        <v>132.80000000000001</v>
      </c>
      <c r="NZ19" s="31"/>
      <c r="OC19" s="30"/>
      <c r="OD19" s="1">
        <f t="shared" si="43"/>
        <v>6</v>
      </c>
      <c r="OE19" s="1" t="s">
        <v>95</v>
      </c>
      <c r="OF19" s="1" t="s">
        <v>55</v>
      </c>
      <c r="OG19" s="5" t="s">
        <v>63</v>
      </c>
      <c r="OH19" s="1">
        <v>4000</v>
      </c>
      <c r="OI19" s="1">
        <v>4</v>
      </c>
      <c r="OJ19" s="5">
        <f t="shared" si="73"/>
        <v>16</v>
      </c>
      <c r="OK19" s="5">
        <v>8.3000000000000007</v>
      </c>
      <c r="OL19" s="263">
        <f t="shared" si="74"/>
        <v>132.80000000000001</v>
      </c>
      <c r="OM19" s="31"/>
      <c r="OP19" s="30"/>
      <c r="OQ19" s="1">
        <f t="shared" si="44"/>
        <v>6</v>
      </c>
      <c r="OR19" s="1" t="s">
        <v>95</v>
      </c>
      <c r="OS19" s="1" t="s">
        <v>55</v>
      </c>
      <c r="OT19" s="5" t="s">
        <v>63</v>
      </c>
      <c r="OU19" s="1">
        <v>4000</v>
      </c>
      <c r="OV19" s="1">
        <v>4</v>
      </c>
      <c r="OW19" s="5">
        <f t="shared" si="75"/>
        <v>16</v>
      </c>
      <c r="OX19" s="5">
        <v>8.3000000000000007</v>
      </c>
      <c r="OY19" s="263">
        <f t="shared" si="76"/>
        <v>132.80000000000001</v>
      </c>
      <c r="OZ19" s="31"/>
      <c r="PD19" s="30"/>
      <c r="PE19" s="1">
        <f t="shared" si="45"/>
        <v>6</v>
      </c>
      <c r="PF19" s="1" t="s">
        <v>95</v>
      </c>
      <c r="PG19" s="1" t="s">
        <v>55</v>
      </c>
      <c r="PH19" s="5" t="s">
        <v>63</v>
      </c>
      <c r="PI19" s="1">
        <v>4000</v>
      </c>
      <c r="PJ19" s="1">
        <v>4</v>
      </c>
      <c r="PK19" s="5">
        <f t="shared" si="77"/>
        <v>16</v>
      </c>
      <c r="PL19" s="5">
        <v>8.3000000000000007</v>
      </c>
      <c r="PM19" s="263">
        <f t="shared" si="78"/>
        <v>132.80000000000001</v>
      </c>
      <c r="PN19" s="31"/>
      <c r="PQ19" s="30"/>
      <c r="PR19" s="1">
        <f t="shared" si="46"/>
        <v>6</v>
      </c>
      <c r="PS19" s="1" t="s">
        <v>95</v>
      </c>
      <c r="PT19" s="1" t="s">
        <v>55</v>
      </c>
      <c r="PU19" s="5" t="s">
        <v>63</v>
      </c>
      <c r="PV19" s="1">
        <v>4000</v>
      </c>
      <c r="PW19" s="1">
        <v>4</v>
      </c>
      <c r="PX19" s="5">
        <f t="shared" si="79"/>
        <v>16</v>
      </c>
      <c r="PY19" s="5">
        <v>8.3000000000000007</v>
      </c>
      <c r="PZ19" s="263">
        <f t="shared" si="80"/>
        <v>132.80000000000001</v>
      </c>
      <c r="QA19" s="31"/>
      <c r="QD19" s="30"/>
      <c r="QE19" s="1">
        <f t="shared" si="47"/>
        <v>6</v>
      </c>
      <c r="QF19" s="1" t="s">
        <v>95</v>
      </c>
      <c r="QG19" s="1" t="s">
        <v>55</v>
      </c>
      <c r="QH19" s="296" t="s">
        <v>353</v>
      </c>
      <c r="QI19" s="1">
        <v>3500</v>
      </c>
      <c r="QJ19" s="1">
        <v>4</v>
      </c>
      <c r="QK19" s="296">
        <f t="shared" si="81"/>
        <v>14</v>
      </c>
      <c r="QL19" s="296">
        <v>7.1</v>
      </c>
      <c r="QM19" s="297">
        <f t="shared" si="82"/>
        <v>99.399999999999991</v>
      </c>
      <c r="QN19" s="31"/>
      <c r="QQ19" s="30"/>
      <c r="QR19" s="1">
        <f t="shared" si="48"/>
        <v>6</v>
      </c>
      <c r="QS19" s="1" t="s">
        <v>95</v>
      </c>
      <c r="QT19" s="1" t="s">
        <v>55</v>
      </c>
      <c r="QU19" s="5" t="s">
        <v>63</v>
      </c>
      <c r="QV19" s="1">
        <v>4000</v>
      </c>
      <c r="QW19" s="1">
        <v>4</v>
      </c>
      <c r="QX19" s="5">
        <f t="shared" si="83"/>
        <v>16</v>
      </c>
      <c r="QY19" s="5">
        <v>8.3000000000000007</v>
      </c>
      <c r="QZ19" s="263">
        <f t="shared" si="84"/>
        <v>132.80000000000001</v>
      </c>
      <c r="RA19" s="31"/>
    </row>
    <row r="20" spans="1:469" x14ac:dyDescent="0.25">
      <c r="A20" s="30"/>
      <c r="B20" s="1">
        <f t="shared" si="85"/>
        <v>5</v>
      </c>
      <c r="C20" s="1" t="s">
        <v>94</v>
      </c>
      <c r="D20" s="1" t="s">
        <v>25</v>
      </c>
      <c r="E20" s="11" t="s">
        <v>40</v>
      </c>
      <c r="F20" s="1">
        <f>D9*1000</f>
        <v>3000</v>
      </c>
      <c r="G20" s="1">
        <f>2*D6*D8</f>
        <v>2</v>
      </c>
      <c r="H20" s="11">
        <f t="shared" si="4"/>
        <v>6</v>
      </c>
      <c r="I20" s="11">
        <v>6.6</v>
      </c>
      <c r="J20" s="213">
        <f t="shared" si="5"/>
        <v>39.599999999999994</v>
      </c>
      <c r="K20" s="31"/>
      <c r="L20" s="30"/>
      <c r="M20" s="1">
        <f t="shared" si="86"/>
        <v>5</v>
      </c>
      <c r="N20" s="1" t="s">
        <v>94</v>
      </c>
      <c r="O20" s="1" t="s">
        <v>25</v>
      </c>
      <c r="P20" s="11" t="s">
        <v>40</v>
      </c>
      <c r="Q20" s="1">
        <f>O9*1000</f>
        <v>5000</v>
      </c>
      <c r="R20" s="1">
        <f>5*O6*O8</f>
        <v>5</v>
      </c>
      <c r="S20" s="11">
        <f t="shared" si="6"/>
        <v>25</v>
      </c>
      <c r="T20" s="11">
        <v>6.6</v>
      </c>
      <c r="U20" s="252">
        <f t="shared" si="7"/>
        <v>165</v>
      </c>
      <c r="V20" s="31"/>
      <c r="W20" s="30"/>
      <c r="X20" s="1">
        <f t="shared" si="87"/>
        <v>5</v>
      </c>
      <c r="Y20" s="1" t="s">
        <v>54</v>
      </c>
      <c r="Z20" s="1"/>
      <c r="AA20" s="131" t="s">
        <v>315</v>
      </c>
      <c r="AB20" s="1">
        <v>4500</v>
      </c>
      <c r="AC20" s="1">
        <v>4</v>
      </c>
      <c r="AD20" s="131">
        <f t="shared" si="8"/>
        <v>18</v>
      </c>
      <c r="AE20" s="131">
        <v>17.5</v>
      </c>
      <c r="AF20" s="209">
        <f t="shared" si="9"/>
        <v>315</v>
      </c>
      <c r="AG20" s="31"/>
      <c r="AH20" s="30"/>
      <c r="AI20" s="1">
        <f t="shared" si="88"/>
        <v>5</v>
      </c>
      <c r="AJ20" s="1" t="s">
        <v>54</v>
      </c>
      <c r="AK20" s="1" t="s">
        <v>53</v>
      </c>
      <c r="AL20" s="11" t="s">
        <v>40</v>
      </c>
      <c r="AM20" s="1">
        <f>AM18+900</f>
        <v>4500</v>
      </c>
      <c r="AN20" s="1">
        <v>4</v>
      </c>
      <c r="AO20" s="11">
        <f t="shared" si="10"/>
        <v>18</v>
      </c>
      <c r="AP20" s="11">
        <v>6.6</v>
      </c>
      <c r="AQ20" s="12">
        <f t="shared" si="11"/>
        <v>118.8</v>
      </c>
      <c r="AR20" s="31"/>
      <c r="AS20" s="30"/>
      <c r="AT20" s="1">
        <f t="shared" si="89"/>
        <v>5</v>
      </c>
      <c r="AU20" s="1" t="s">
        <v>54</v>
      </c>
      <c r="AV20" s="1" t="s">
        <v>53</v>
      </c>
      <c r="AW20" s="11" t="s">
        <v>40</v>
      </c>
      <c r="AX20" s="1">
        <f>AX18+1350</f>
        <v>4950</v>
      </c>
      <c r="AY20" s="1">
        <v>4</v>
      </c>
      <c r="AZ20" s="11">
        <f t="shared" si="12"/>
        <v>19.8</v>
      </c>
      <c r="BA20" s="11">
        <v>6.6</v>
      </c>
      <c r="BB20" s="12">
        <f t="shared" si="13"/>
        <v>130.68</v>
      </c>
      <c r="BC20" s="31"/>
      <c r="BD20" s="30"/>
      <c r="BE20" s="1">
        <f t="shared" si="90"/>
        <v>5</v>
      </c>
      <c r="BF20" s="1" t="s">
        <v>54</v>
      </c>
      <c r="BG20" s="1" t="s">
        <v>53</v>
      </c>
      <c r="BH20" s="11" t="s">
        <v>40</v>
      </c>
      <c r="BI20" s="1">
        <f>BI18+1350</f>
        <v>5850</v>
      </c>
      <c r="BJ20" s="1">
        <v>4</v>
      </c>
      <c r="BK20" s="11">
        <f t="shared" si="14"/>
        <v>23.4</v>
      </c>
      <c r="BL20" s="11">
        <v>6.6</v>
      </c>
      <c r="BM20" s="213">
        <f t="shared" si="15"/>
        <v>154.43999999999997</v>
      </c>
      <c r="BN20" s="31"/>
      <c r="BO20" s="30"/>
      <c r="BP20" s="1">
        <f t="shared" si="91"/>
        <v>5</v>
      </c>
      <c r="BQ20" s="1" t="s">
        <v>54</v>
      </c>
      <c r="BR20" s="1" t="s">
        <v>53</v>
      </c>
      <c r="BS20" s="3" t="s">
        <v>62</v>
      </c>
      <c r="BT20" s="1">
        <f>BT18+1350</f>
        <v>6050</v>
      </c>
      <c r="BU20" s="1">
        <v>4</v>
      </c>
      <c r="BV20" s="3">
        <f>BT20/1000*BU20</f>
        <v>24.2</v>
      </c>
      <c r="BW20" s="3">
        <v>10.1</v>
      </c>
      <c r="BX20" s="208">
        <f>BV20*BW20</f>
        <v>244.42</v>
      </c>
      <c r="BY20" s="31"/>
      <c r="BZ20" s="30"/>
      <c r="CA20" s="1">
        <f t="shared" si="92"/>
        <v>5</v>
      </c>
      <c r="CB20" s="1" t="s">
        <v>60</v>
      </c>
      <c r="CC20" s="1" t="s">
        <v>58</v>
      </c>
      <c r="CD20" s="3" t="s">
        <v>62</v>
      </c>
      <c r="CE20" s="1">
        <f>CE18+900</f>
        <v>4500</v>
      </c>
      <c r="CF20" s="1">
        <v>4</v>
      </c>
      <c r="CG20" s="3">
        <f t="shared" ref="CG20:CG21" si="130">CE20/1000*CF20</f>
        <v>18</v>
      </c>
      <c r="CH20" s="3">
        <v>10.1</v>
      </c>
      <c r="CI20" s="41">
        <f t="shared" ref="CI20:CI21" si="131">CG20*CH20</f>
        <v>181.79999999999998</v>
      </c>
      <c r="CJ20" s="31"/>
      <c r="CK20" s="30"/>
      <c r="CL20" s="1">
        <f t="shared" si="53"/>
        <v>5</v>
      </c>
      <c r="CM20" s="1" t="s">
        <v>23</v>
      </c>
      <c r="CN20" s="1" t="s">
        <v>24</v>
      </c>
      <c r="CO20" s="66" t="s">
        <v>242</v>
      </c>
      <c r="CP20" s="1">
        <f>CN9*1000</f>
        <v>4400</v>
      </c>
      <c r="CQ20" s="1">
        <f>10*CN6</f>
        <v>50</v>
      </c>
      <c r="CR20" s="66">
        <f t="shared" si="16"/>
        <v>220.00000000000003</v>
      </c>
      <c r="CS20" s="66">
        <v>6.6</v>
      </c>
      <c r="CT20" s="173">
        <f t="shared" si="17"/>
        <v>1452</v>
      </c>
      <c r="CU20" s="31"/>
      <c r="CV20" s="30"/>
      <c r="CW20" s="1"/>
      <c r="CX20" s="1"/>
      <c r="CY20" s="1"/>
      <c r="CZ20" s="3"/>
      <c r="DA20" s="1"/>
      <c r="DB20" s="1"/>
      <c r="DC20" s="3"/>
      <c r="DD20" s="3"/>
      <c r="DE20" s="41"/>
      <c r="DF20" s="31"/>
      <c r="DG20" s="30"/>
      <c r="DH20" s="1">
        <f t="shared" si="94"/>
        <v>5</v>
      </c>
      <c r="DI20" s="1" t="s">
        <v>121</v>
      </c>
      <c r="DJ20" s="1" t="s">
        <v>122</v>
      </c>
      <c r="DK20" s="11" t="s">
        <v>40</v>
      </c>
      <c r="DL20" s="1">
        <f>DL21</f>
        <v>4000</v>
      </c>
      <c r="DM20" s="1">
        <f>DM18/2</f>
        <v>6</v>
      </c>
      <c r="DN20" s="11">
        <f t="shared" ref="DN20:DN21" si="132">DL20/1000*DM20</f>
        <v>24</v>
      </c>
      <c r="DO20" s="11">
        <v>6.6</v>
      </c>
      <c r="DP20" s="12">
        <f t="shared" ref="DP20:DP21" si="133">DN20*DO20</f>
        <v>158.39999999999998</v>
      </c>
      <c r="DQ20" s="31"/>
      <c r="DR20" s="30"/>
      <c r="DS20" s="1">
        <f t="shared" si="115"/>
        <v>2</v>
      </c>
      <c r="DT20" s="1" t="s">
        <v>145</v>
      </c>
      <c r="DU20" s="1" t="s">
        <v>146</v>
      </c>
      <c r="DV20" s="176" t="s">
        <v>218</v>
      </c>
      <c r="DW20" s="1">
        <v>1900</v>
      </c>
      <c r="DX20" s="1">
        <f>((DU6-1)*2)*2</f>
        <v>36</v>
      </c>
      <c r="DY20" s="176">
        <f t="shared" si="116"/>
        <v>68.399999999999991</v>
      </c>
      <c r="DZ20" s="176">
        <v>3.3</v>
      </c>
      <c r="EA20" s="257">
        <f t="shared" si="117"/>
        <v>225.71999999999997</v>
      </c>
      <c r="EB20" s="31"/>
      <c r="EC20" s="30"/>
      <c r="ED20" s="1">
        <f t="shared" si="95"/>
        <v>5</v>
      </c>
      <c r="EE20" s="1" t="s">
        <v>145</v>
      </c>
      <c r="EF20" s="1" t="s">
        <v>146</v>
      </c>
      <c r="EG20" s="11" t="s">
        <v>40</v>
      </c>
      <c r="EH20" s="1">
        <v>2800</v>
      </c>
      <c r="EI20" s="1">
        <f>(EF6-1)*2*2</f>
        <v>36</v>
      </c>
      <c r="EJ20" s="11">
        <f t="shared" si="58"/>
        <v>100.8</v>
      </c>
      <c r="EK20" s="11">
        <v>6.6</v>
      </c>
      <c r="EL20" s="123">
        <f t="shared" si="59"/>
        <v>665.28</v>
      </c>
      <c r="EM20" s="31"/>
      <c r="EN20" s="30"/>
      <c r="EO20" s="1">
        <f t="shared" si="96"/>
        <v>5</v>
      </c>
      <c r="EP20" s="1" t="s">
        <v>145</v>
      </c>
      <c r="EQ20" s="1" t="s">
        <v>146</v>
      </c>
      <c r="ER20" s="11" t="s">
        <v>40</v>
      </c>
      <c r="ES20" s="1">
        <v>1500</v>
      </c>
      <c r="ET20" s="49">
        <f>(EQ6-1)*2*2</f>
        <v>36</v>
      </c>
      <c r="EU20" s="11">
        <f t="shared" si="97"/>
        <v>54</v>
      </c>
      <c r="EV20" s="11">
        <v>6.6</v>
      </c>
      <c r="EW20" s="88">
        <f t="shared" si="98"/>
        <v>356.4</v>
      </c>
      <c r="EX20" s="31"/>
      <c r="EY20" s="30"/>
      <c r="EZ20" s="1">
        <f t="shared" si="99"/>
        <v>5</v>
      </c>
      <c r="FA20" s="1" t="s">
        <v>60</v>
      </c>
      <c r="FB20" s="1" t="s">
        <v>58</v>
      </c>
      <c r="FC20" s="3" t="s">
        <v>62</v>
      </c>
      <c r="FD20" s="1">
        <f>FD18+1350</f>
        <v>4950</v>
      </c>
      <c r="FE20" s="1">
        <v>4</v>
      </c>
      <c r="FF20" s="3">
        <f t="shared" ref="FF20:FF23" si="134">FD20/1000*FE20</f>
        <v>19.8</v>
      </c>
      <c r="FG20" s="3">
        <v>10.1</v>
      </c>
      <c r="FH20" s="41">
        <f t="shared" ref="FH20:FH23" si="135">FF20*FG20</f>
        <v>199.98</v>
      </c>
      <c r="FI20" s="31"/>
      <c r="FJ20" s="30"/>
      <c r="FK20" s="1">
        <f t="shared" si="100"/>
        <v>5</v>
      </c>
      <c r="FL20" s="1" t="s">
        <v>94</v>
      </c>
      <c r="FM20" s="1" t="s">
        <v>25</v>
      </c>
      <c r="FN20" s="11" t="s">
        <v>40</v>
      </c>
      <c r="FO20" s="1">
        <f>FM9*1000</f>
        <v>3500</v>
      </c>
      <c r="FP20" s="1">
        <f>2*FM6*FM8</f>
        <v>72</v>
      </c>
      <c r="FQ20" s="11">
        <f t="shared" si="20"/>
        <v>252</v>
      </c>
      <c r="FR20" s="11">
        <v>6.6</v>
      </c>
      <c r="FS20" s="167">
        <f t="shared" si="21"/>
        <v>1663.1999999999998</v>
      </c>
      <c r="FT20" s="31"/>
      <c r="FU20" s="30"/>
      <c r="FV20" s="1">
        <f t="shared" si="101"/>
        <v>5</v>
      </c>
      <c r="FW20" s="1" t="s">
        <v>145</v>
      </c>
      <c r="FX20" s="1" t="s">
        <v>169</v>
      </c>
      <c r="FY20" s="11" t="s">
        <v>40</v>
      </c>
      <c r="FZ20" s="1">
        <v>1870</v>
      </c>
      <c r="GA20" s="1">
        <f>(FX6-1)*2*2</f>
        <v>24</v>
      </c>
      <c r="GB20" s="11">
        <f t="shared" si="62"/>
        <v>44.88</v>
      </c>
      <c r="GC20" s="11">
        <v>6.6</v>
      </c>
      <c r="GD20" s="126">
        <f t="shared" si="63"/>
        <v>296.20800000000003</v>
      </c>
      <c r="GE20" s="31"/>
      <c r="GF20" s="30"/>
      <c r="GG20" s="1">
        <f t="shared" si="102"/>
        <v>5</v>
      </c>
      <c r="GH20" s="1" t="s">
        <v>222</v>
      </c>
      <c r="GI20" s="1" t="s">
        <v>284</v>
      </c>
      <c r="GJ20" s="50" t="s">
        <v>218</v>
      </c>
      <c r="GK20" s="49">
        <v>2000</v>
      </c>
      <c r="GL20" s="49">
        <f>(GI6-1)*2*2</f>
        <v>56</v>
      </c>
      <c r="GM20" s="51">
        <f t="shared" si="22"/>
        <v>112</v>
      </c>
      <c r="GN20" s="51">
        <v>3.4</v>
      </c>
      <c r="GO20" s="228">
        <f t="shared" si="23"/>
        <v>380.8</v>
      </c>
      <c r="GP20" s="31"/>
      <c r="GQ20" s="30"/>
      <c r="GR20" s="1">
        <f t="shared" si="103"/>
        <v>5</v>
      </c>
      <c r="GS20" s="1" t="s">
        <v>145</v>
      </c>
      <c r="GT20" s="1" t="s">
        <v>169</v>
      </c>
      <c r="GU20" s="5" t="s">
        <v>63</v>
      </c>
      <c r="GV20" s="1">
        <v>2050</v>
      </c>
      <c r="GW20" s="1">
        <f>(GT6-1)*2*2</f>
        <v>28</v>
      </c>
      <c r="GX20" s="5">
        <f t="shared" si="64"/>
        <v>57.399999999999991</v>
      </c>
      <c r="GY20" s="227">
        <v>8.3000000000000007</v>
      </c>
      <c r="GZ20" s="159">
        <f t="shared" si="65"/>
        <v>476.41999999999996</v>
      </c>
      <c r="HA20" s="31"/>
      <c r="HB20" s="30"/>
      <c r="HC20" s="1">
        <f t="shared" si="104"/>
        <v>5</v>
      </c>
      <c r="HD20" s="1" t="s">
        <v>23</v>
      </c>
      <c r="HE20" s="1" t="s">
        <v>24</v>
      </c>
      <c r="HF20" s="66" t="s">
        <v>135</v>
      </c>
      <c r="HG20" s="1">
        <f>HE9*1000</f>
        <v>4000</v>
      </c>
      <c r="HH20" s="1">
        <f>18*HE6</f>
        <v>216</v>
      </c>
      <c r="HI20" s="66">
        <f t="shared" si="24"/>
        <v>864</v>
      </c>
      <c r="HJ20" s="66">
        <v>6.6</v>
      </c>
      <c r="HK20" s="130">
        <f t="shared" si="25"/>
        <v>5702.4</v>
      </c>
      <c r="HL20" s="31"/>
      <c r="HM20" s="30"/>
      <c r="HN20" s="1">
        <f t="shared" si="66"/>
        <v>5</v>
      </c>
      <c r="HO20" s="1" t="s">
        <v>240</v>
      </c>
      <c r="HP20" s="1"/>
      <c r="HQ20" s="138" t="s">
        <v>238</v>
      </c>
      <c r="HR20" s="1">
        <v>650</v>
      </c>
      <c r="HS20" s="1">
        <f>(HP6-1)*2*2</f>
        <v>28</v>
      </c>
      <c r="HT20" s="138">
        <f t="shared" si="26"/>
        <v>18.2</v>
      </c>
      <c r="HU20" s="138">
        <v>4.2</v>
      </c>
      <c r="HV20" s="237">
        <f t="shared" si="27"/>
        <v>76.44</v>
      </c>
      <c r="HW20" s="31"/>
      <c r="HX20" s="30"/>
      <c r="HY20" s="1">
        <f t="shared" si="105"/>
        <v>5</v>
      </c>
      <c r="HZ20" s="1" t="s">
        <v>130</v>
      </c>
      <c r="IA20" s="1" t="s">
        <v>131</v>
      </c>
      <c r="IB20" s="5" t="s">
        <v>63</v>
      </c>
      <c r="IC20" s="1">
        <f>IA9*1000</f>
        <v>4500</v>
      </c>
      <c r="ID20" s="1">
        <f>4*IA6</f>
        <v>28</v>
      </c>
      <c r="IE20" s="5">
        <f>IC20/1000*ID20</f>
        <v>126</v>
      </c>
      <c r="IF20" s="5">
        <v>8.3000000000000007</v>
      </c>
      <c r="IG20" s="91">
        <f>IE20*IF20</f>
        <v>1045.8000000000002</v>
      </c>
      <c r="IH20" s="31"/>
      <c r="II20" s="30"/>
      <c r="IJ20" s="1">
        <f t="shared" si="108"/>
        <v>5</v>
      </c>
      <c r="IK20" s="1" t="s">
        <v>92</v>
      </c>
      <c r="IL20" s="1" t="s">
        <v>93</v>
      </c>
      <c r="IM20" s="109" t="s">
        <v>258</v>
      </c>
      <c r="IN20" s="1">
        <f>IN19+1200</f>
        <v>5200</v>
      </c>
      <c r="IO20" s="1">
        <v>4</v>
      </c>
      <c r="IP20" s="109">
        <f t="shared" si="30"/>
        <v>20.8</v>
      </c>
      <c r="IQ20" s="109">
        <v>28</v>
      </c>
      <c r="IR20" s="149">
        <f t="shared" si="31"/>
        <v>582.4</v>
      </c>
      <c r="IS20" s="31"/>
      <c r="IT20" s="30"/>
      <c r="IU20" s="1">
        <f t="shared" si="109"/>
        <v>5</v>
      </c>
      <c r="IV20" s="1" t="s">
        <v>61</v>
      </c>
      <c r="IW20" s="1" t="s">
        <v>59</v>
      </c>
      <c r="IX20" s="3" t="s">
        <v>62</v>
      </c>
      <c r="IY20" s="1">
        <f>IY24+4220</f>
        <v>8220</v>
      </c>
      <c r="IZ20" s="1">
        <v>4</v>
      </c>
      <c r="JA20" s="3">
        <f t="shared" si="118"/>
        <v>32.880000000000003</v>
      </c>
      <c r="JB20" s="3">
        <v>10.1</v>
      </c>
      <c r="JC20" s="144">
        <f t="shared" si="119"/>
        <v>332.08800000000002</v>
      </c>
      <c r="JD20" s="31"/>
      <c r="JE20" s="30"/>
      <c r="JF20" s="1">
        <f t="shared" si="67"/>
        <v>5</v>
      </c>
      <c r="JG20" s="1" t="s">
        <v>84</v>
      </c>
      <c r="JH20" s="1" t="s">
        <v>85</v>
      </c>
      <c r="JI20" s="3" t="s">
        <v>62</v>
      </c>
      <c r="JJ20" s="1">
        <f>JJ19+4000</f>
        <v>8200</v>
      </c>
      <c r="JK20" s="1">
        <f>4+4*JH6</f>
        <v>80</v>
      </c>
      <c r="JL20" s="3">
        <f t="shared" si="32"/>
        <v>656</v>
      </c>
      <c r="JM20" s="3">
        <v>10.1</v>
      </c>
      <c r="JN20" s="108">
        <f t="shared" si="33"/>
        <v>6625.5999999999995</v>
      </c>
      <c r="JO20" s="31"/>
      <c r="JP20" s="30"/>
      <c r="JQ20" s="1">
        <f t="shared" si="68"/>
        <v>5</v>
      </c>
      <c r="JR20" s="1" t="s">
        <v>84</v>
      </c>
      <c r="JS20" s="1" t="s">
        <v>85</v>
      </c>
      <c r="JT20" s="109" t="s">
        <v>299</v>
      </c>
      <c r="JU20" s="1">
        <f>JU19+3000</f>
        <v>7000</v>
      </c>
      <c r="JV20" s="1">
        <f>2+2*JS6</f>
        <v>40</v>
      </c>
      <c r="JW20" s="109">
        <f t="shared" si="120"/>
        <v>280</v>
      </c>
      <c r="JX20" s="109">
        <v>25.2</v>
      </c>
      <c r="JY20" s="200">
        <f t="shared" si="121"/>
        <v>7056</v>
      </c>
      <c r="JZ20" s="31"/>
      <c r="KA20" s="30"/>
      <c r="KB20" s="1">
        <f t="shared" si="69"/>
        <v>5</v>
      </c>
      <c r="KC20" s="1" t="s">
        <v>84</v>
      </c>
      <c r="KD20" s="1" t="s">
        <v>85</v>
      </c>
      <c r="KE20" s="109" t="s">
        <v>300</v>
      </c>
      <c r="KF20" s="1">
        <f>KF19+3000</f>
        <v>7000</v>
      </c>
      <c r="KG20" s="1">
        <f>2+2*KD6</f>
        <v>40</v>
      </c>
      <c r="KH20" s="109">
        <f t="shared" si="122"/>
        <v>280</v>
      </c>
      <c r="KI20" s="109">
        <v>20.7</v>
      </c>
      <c r="KJ20" s="200">
        <f t="shared" si="123"/>
        <v>5796</v>
      </c>
      <c r="KK20" s="31"/>
      <c r="KL20" s="30"/>
      <c r="KM20" s="1">
        <f t="shared" si="70"/>
        <v>5</v>
      </c>
      <c r="KN20" s="1" t="s">
        <v>84</v>
      </c>
      <c r="KO20" s="1" t="s">
        <v>85</v>
      </c>
      <c r="KP20" s="3" t="s">
        <v>62</v>
      </c>
      <c r="KQ20" s="1">
        <f>KQ19+3000</f>
        <v>7000</v>
      </c>
      <c r="KR20" s="1">
        <f>4+4*KO6</f>
        <v>80</v>
      </c>
      <c r="KS20" s="3">
        <f>KQ20/1000*KR20</f>
        <v>560</v>
      </c>
      <c r="KT20" s="3">
        <v>10.1</v>
      </c>
      <c r="KU20" s="128">
        <f>KS20*KT20</f>
        <v>5656</v>
      </c>
      <c r="KV20" s="31"/>
      <c r="KW20" s="30"/>
      <c r="KX20" s="1">
        <f t="shared" si="112"/>
        <v>5</v>
      </c>
      <c r="KY20" s="1" t="s">
        <v>184</v>
      </c>
      <c r="KZ20" s="1" t="s">
        <v>26</v>
      </c>
      <c r="LA20" s="3" t="s">
        <v>62</v>
      </c>
      <c r="LB20" s="49">
        <f>KZ4/2*1000</f>
        <v>22500</v>
      </c>
      <c r="LC20" s="49">
        <f>(KZ7-1)*2*2</f>
        <v>188</v>
      </c>
      <c r="LD20" s="3">
        <f>LB20/1000*LC20</f>
        <v>4230</v>
      </c>
      <c r="LE20" s="3">
        <v>10.1</v>
      </c>
      <c r="LF20" s="108">
        <f>LD20*LE20</f>
        <v>42723</v>
      </c>
      <c r="LG20" s="31"/>
      <c r="LH20" s="30"/>
      <c r="LI20" s="1">
        <f t="shared" si="113"/>
        <v>5</v>
      </c>
      <c r="LJ20" s="1" t="s">
        <v>183</v>
      </c>
      <c r="LK20" s="1" t="s">
        <v>27</v>
      </c>
      <c r="LL20" s="11" t="s">
        <v>253</v>
      </c>
      <c r="LM20" s="49">
        <f>LK4/2*1000*1.02</f>
        <v>18360</v>
      </c>
      <c r="LN20" s="49">
        <f>(LK6+1)*2*2</f>
        <v>80</v>
      </c>
      <c r="LO20" s="11">
        <f t="shared" ref="LO20:LO25" si="136">LM20/1000*LN20</f>
        <v>1468.8</v>
      </c>
      <c r="LP20" s="11">
        <v>6.6</v>
      </c>
      <c r="LQ20" s="245">
        <f t="shared" ref="LQ20:LQ25" si="137">LO20*LP20</f>
        <v>9694.08</v>
      </c>
      <c r="LR20" s="31"/>
      <c r="LS20" s="30"/>
      <c r="LT20" s="1">
        <f t="shared" si="124"/>
        <v>2</v>
      </c>
      <c r="LU20" s="1" t="s">
        <v>145</v>
      </c>
      <c r="LV20" s="1" t="s">
        <v>146</v>
      </c>
      <c r="LW20" s="176" t="s">
        <v>218</v>
      </c>
      <c r="LX20" s="1">
        <v>1900</v>
      </c>
      <c r="LY20" s="1">
        <f>((LV6-1)*2)*2</f>
        <v>20</v>
      </c>
      <c r="LZ20" s="176">
        <f t="shared" si="125"/>
        <v>38</v>
      </c>
      <c r="MA20" s="176">
        <v>3.3</v>
      </c>
      <c r="MB20" s="257">
        <f t="shared" si="126"/>
        <v>125.39999999999999</v>
      </c>
      <c r="MC20" s="31"/>
      <c r="ME20" s="30"/>
      <c r="MF20" s="1">
        <f t="shared" si="127"/>
        <v>2</v>
      </c>
      <c r="MG20" s="1" t="s">
        <v>145</v>
      </c>
      <c r="MH20" s="1" t="s">
        <v>146</v>
      </c>
      <c r="MI20" s="176" t="s">
        <v>218</v>
      </c>
      <c r="MJ20" s="1">
        <v>1900</v>
      </c>
      <c r="MK20" s="1">
        <f>((MH6-1)*2)*3</f>
        <v>24</v>
      </c>
      <c r="ML20" s="176">
        <f t="shared" si="128"/>
        <v>45.599999999999994</v>
      </c>
      <c r="MM20" s="176">
        <v>3.3</v>
      </c>
      <c r="MN20" s="257">
        <f t="shared" si="129"/>
        <v>150.47999999999996</v>
      </c>
      <c r="MO20" s="31"/>
      <c r="MQ20" s="30"/>
      <c r="MR20" s="1"/>
      <c r="MS20" s="1"/>
      <c r="MT20" s="1"/>
      <c r="MU20" s="5"/>
      <c r="MV20" s="1"/>
      <c r="MW20" s="49"/>
      <c r="MX20" s="5"/>
      <c r="MY20" s="5"/>
      <c r="MZ20" s="263"/>
      <c r="NA20" s="31"/>
      <c r="ND20" s="30"/>
      <c r="NE20" s="1">
        <f t="shared" si="114"/>
        <v>6</v>
      </c>
      <c r="NF20" s="1" t="s">
        <v>74</v>
      </c>
      <c r="NG20" s="1" t="s">
        <v>75</v>
      </c>
      <c r="NH20" s="3" t="s">
        <v>62</v>
      </c>
      <c r="NI20" s="1">
        <f>NG5*1000</f>
        <v>7500</v>
      </c>
      <c r="NJ20" s="1">
        <f>(NG6+1)*2</f>
        <v>22</v>
      </c>
      <c r="NK20" s="3">
        <f t="shared" si="0"/>
        <v>165</v>
      </c>
      <c r="NL20" s="3">
        <v>10.199999999999999</v>
      </c>
      <c r="NM20" s="261">
        <f t="shared" si="1"/>
        <v>1682.9999999999998</v>
      </c>
      <c r="NN20" s="31"/>
      <c r="NP20" s="30"/>
      <c r="NQ20" s="1"/>
      <c r="NR20" s="1" t="s">
        <v>95</v>
      </c>
      <c r="NS20" s="1" t="s">
        <v>55</v>
      </c>
      <c r="NT20" s="5" t="s">
        <v>63</v>
      </c>
      <c r="NU20" s="1">
        <v>1500</v>
      </c>
      <c r="NV20" s="1">
        <v>8</v>
      </c>
      <c r="NW20" s="5">
        <f t="shared" si="71"/>
        <v>12</v>
      </c>
      <c r="NX20" s="5">
        <v>8.3000000000000007</v>
      </c>
      <c r="NY20" s="263">
        <f t="shared" si="72"/>
        <v>99.600000000000009</v>
      </c>
      <c r="NZ20" s="31"/>
      <c r="OC20" s="30"/>
      <c r="OD20" s="1"/>
      <c r="OE20" s="1" t="s">
        <v>95</v>
      </c>
      <c r="OF20" s="1" t="s">
        <v>55</v>
      </c>
      <c r="OG20" s="5" t="s">
        <v>63</v>
      </c>
      <c r="OH20" s="1">
        <v>1500</v>
      </c>
      <c r="OI20" s="1">
        <v>8</v>
      </c>
      <c r="OJ20" s="5">
        <f t="shared" si="73"/>
        <v>12</v>
      </c>
      <c r="OK20" s="5">
        <v>8.3000000000000007</v>
      </c>
      <c r="OL20" s="263">
        <f t="shared" si="74"/>
        <v>99.600000000000009</v>
      </c>
      <c r="OM20" s="31"/>
      <c r="OP20" s="30"/>
      <c r="OQ20" s="1"/>
      <c r="OR20" s="1" t="s">
        <v>95</v>
      </c>
      <c r="OS20" s="1" t="s">
        <v>55</v>
      </c>
      <c r="OT20" s="5" t="s">
        <v>63</v>
      </c>
      <c r="OU20" s="1">
        <v>1500</v>
      </c>
      <c r="OV20" s="1">
        <v>8</v>
      </c>
      <c r="OW20" s="5">
        <f t="shared" si="75"/>
        <v>12</v>
      </c>
      <c r="OX20" s="5">
        <v>8.3000000000000007</v>
      </c>
      <c r="OY20" s="263">
        <f t="shared" si="76"/>
        <v>99.600000000000009</v>
      </c>
      <c r="OZ20" s="31"/>
      <c r="PD20" s="30"/>
      <c r="PE20" s="1"/>
      <c r="PF20" s="1" t="s">
        <v>95</v>
      </c>
      <c r="PG20" s="1" t="s">
        <v>55</v>
      </c>
      <c r="PH20" s="5" t="s">
        <v>63</v>
      </c>
      <c r="PI20" s="1">
        <v>1500</v>
      </c>
      <c r="PJ20" s="1">
        <v>8</v>
      </c>
      <c r="PK20" s="5">
        <f t="shared" si="77"/>
        <v>12</v>
      </c>
      <c r="PL20" s="5">
        <v>8.3000000000000007</v>
      </c>
      <c r="PM20" s="263">
        <f t="shared" si="78"/>
        <v>99.600000000000009</v>
      </c>
      <c r="PN20" s="31"/>
      <c r="PQ20" s="30"/>
      <c r="PR20" s="1"/>
      <c r="PS20" s="1" t="s">
        <v>95</v>
      </c>
      <c r="PT20" s="1" t="s">
        <v>55</v>
      </c>
      <c r="PU20" s="5" t="s">
        <v>63</v>
      </c>
      <c r="PV20" s="1">
        <v>1500</v>
      </c>
      <c r="PW20" s="1">
        <v>8</v>
      </c>
      <c r="PX20" s="5">
        <f t="shared" si="79"/>
        <v>12</v>
      </c>
      <c r="PY20" s="5">
        <v>8.3000000000000007</v>
      </c>
      <c r="PZ20" s="263">
        <f t="shared" si="80"/>
        <v>99.600000000000009</v>
      </c>
      <c r="QA20" s="31"/>
      <c r="QD20" s="30"/>
      <c r="QE20" s="1"/>
      <c r="QF20" s="1" t="s">
        <v>95</v>
      </c>
      <c r="QG20" s="1" t="s">
        <v>55</v>
      </c>
      <c r="QH20" s="296" t="s">
        <v>353</v>
      </c>
      <c r="QI20" s="1">
        <v>1500</v>
      </c>
      <c r="QJ20" s="1">
        <v>8</v>
      </c>
      <c r="QK20" s="296">
        <f t="shared" si="81"/>
        <v>12</v>
      </c>
      <c r="QL20" s="296">
        <v>7.1</v>
      </c>
      <c r="QM20" s="297">
        <f t="shared" si="82"/>
        <v>85.199999999999989</v>
      </c>
      <c r="QN20" s="31"/>
      <c r="QQ20" s="30"/>
      <c r="QR20" s="1"/>
      <c r="QS20" s="1" t="s">
        <v>95</v>
      </c>
      <c r="QT20" s="1" t="s">
        <v>55</v>
      </c>
      <c r="QU20" s="5" t="s">
        <v>63</v>
      </c>
      <c r="QV20" s="1">
        <v>1500</v>
      </c>
      <c r="QW20" s="1">
        <v>8</v>
      </c>
      <c r="QX20" s="5">
        <f t="shared" si="83"/>
        <v>12</v>
      </c>
      <c r="QY20" s="5">
        <v>8.3000000000000007</v>
      </c>
      <c r="QZ20" s="263">
        <f t="shared" si="84"/>
        <v>99.600000000000009</v>
      </c>
      <c r="RA20" s="31"/>
    </row>
    <row r="21" spans="1:469" x14ac:dyDescent="0.25">
      <c r="A21" s="30"/>
      <c r="B21" s="1">
        <f t="shared" si="85"/>
        <v>6</v>
      </c>
      <c r="C21" s="1" t="s">
        <v>318</v>
      </c>
      <c r="D21" s="1" t="s">
        <v>319</v>
      </c>
      <c r="E21" s="11" t="s">
        <v>40</v>
      </c>
      <c r="F21" s="1">
        <f>F20</f>
        <v>3000</v>
      </c>
      <c r="G21" s="1">
        <v>3</v>
      </c>
      <c r="H21" s="11">
        <f>F21/1000*G21</f>
        <v>9</v>
      </c>
      <c r="I21" s="11">
        <v>6.6</v>
      </c>
      <c r="J21" s="213">
        <f>H21*I21</f>
        <v>59.4</v>
      </c>
      <c r="K21" s="31"/>
      <c r="L21" s="30"/>
      <c r="M21" s="1">
        <f t="shared" si="86"/>
        <v>6</v>
      </c>
      <c r="N21" s="1" t="s">
        <v>318</v>
      </c>
      <c r="O21" s="1" t="s">
        <v>319</v>
      </c>
      <c r="P21" s="11" t="s">
        <v>40</v>
      </c>
      <c r="Q21" s="1">
        <f>Q16</f>
        <v>5775</v>
      </c>
      <c r="R21" s="1">
        <v>2</v>
      </c>
      <c r="S21" s="11">
        <f>Q21/1000*R21</f>
        <v>11.55</v>
      </c>
      <c r="T21" s="11">
        <v>6.6</v>
      </c>
      <c r="U21" s="252">
        <f>S21*T21</f>
        <v>76.23</v>
      </c>
      <c r="V21" s="31"/>
      <c r="W21" s="30"/>
      <c r="X21" s="1">
        <f t="shared" si="87"/>
        <v>6</v>
      </c>
      <c r="Y21" s="1" t="s">
        <v>95</v>
      </c>
      <c r="Z21" s="1"/>
      <c r="AA21" s="131" t="s">
        <v>315</v>
      </c>
      <c r="AB21" s="1">
        <v>6000</v>
      </c>
      <c r="AC21" s="1">
        <v>2</v>
      </c>
      <c r="AD21" s="131">
        <f t="shared" si="8"/>
        <v>12</v>
      </c>
      <c r="AE21" s="131">
        <v>17.5</v>
      </c>
      <c r="AF21" s="209">
        <f t="shared" si="9"/>
        <v>210</v>
      </c>
      <c r="AG21" s="31"/>
      <c r="AH21" s="30"/>
      <c r="AI21" s="1">
        <f t="shared" si="88"/>
        <v>6</v>
      </c>
      <c r="AJ21" s="1" t="s">
        <v>95</v>
      </c>
      <c r="AK21" s="1" t="s">
        <v>55</v>
      </c>
      <c r="AL21" s="11" t="s">
        <v>40</v>
      </c>
      <c r="AM21" s="1">
        <v>3000</v>
      </c>
      <c r="AN21" s="1">
        <v>6</v>
      </c>
      <c r="AO21" s="11">
        <f t="shared" si="10"/>
        <v>18</v>
      </c>
      <c r="AP21" s="11">
        <v>6.6</v>
      </c>
      <c r="AQ21" s="12">
        <f t="shared" si="11"/>
        <v>118.8</v>
      </c>
      <c r="AR21" s="31"/>
      <c r="AS21" s="30"/>
      <c r="AT21" s="1">
        <f t="shared" si="89"/>
        <v>6</v>
      </c>
      <c r="AU21" s="1" t="s">
        <v>96</v>
      </c>
      <c r="AV21" s="1" t="s">
        <v>79</v>
      </c>
      <c r="AW21" s="11" t="s">
        <v>40</v>
      </c>
      <c r="AX21" s="1">
        <v>3000</v>
      </c>
      <c r="AY21" s="1">
        <v>4</v>
      </c>
      <c r="AZ21" s="11">
        <f t="shared" si="12"/>
        <v>12</v>
      </c>
      <c r="BA21" s="11">
        <v>6.6</v>
      </c>
      <c r="BB21" s="12">
        <f t="shared" si="13"/>
        <v>79.199999999999989</v>
      </c>
      <c r="BC21" s="31"/>
      <c r="BD21" s="30"/>
      <c r="BE21" s="1">
        <f t="shared" si="90"/>
        <v>6</v>
      </c>
      <c r="BF21" s="1" t="s">
        <v>96</v>
      </c>
      <c r="BG21" s="1" t="s">
        <v>79</v>
      </c>
      <c r="BH21" s="11" t="s">
        <v>40</v>
      </c>
      <c r="BI21" s="1">
        <v>3000</v>
      </c>
      <c r="BJ21" s="1">
        <v>4</v>
      </c>
      <c r="BK21" s="11">
        <f t="shared" si="14"/>
        <v>12</v>
      </c>
      <c r="BL21" s="11">
        <v>6.6</v>
      </c>
      <c r="BM21" s="213">
        <f t="shared" si="15"/>
        <v>79.199999999999989</v>
      </c>
      <c r="BN21" s="31"/>
      <c r="BO21" s="30"/>
      <c r="BP21" s="1">
        <f t="shared" si="91"/>
        <v>6</v>
      </c>
      <c r="BQ21" s="1" t="s">
        <v>96</v>
      </c>
      <c r="BR21" s="1" t="s">
        <v>79</v>
      </c>
      <c r="BS21" s="5" t="s">
        <v>63</v>
      </c>
      <c r="BT21" s="1">
        <v>3000</v>
      </c>
      <c r="BU21" s="1">
        <v>6</v>
      </c>
      <c r="BV21" s="5">
        <f t="shared" ref="BV21:BV23" si="138">BT21/1000*BU21</f>
        <v>18</v>
      </c>
      <c r="BW21" s="227">
        <v>8.3000000000000007</v>
      </c>
      <c r="BX21" s="206">
        <f t="shared" ref="BX21:BX23" si="139">BV21*BW21</f>
        <v>149.4</v>
      </c>
      <c r="BY21" s="31"/>
      <c r="BZ21" s="30"/>
      <c r="CA21" s="1">
        <f t="shared" si="92"/>
        <v>6</v>
      </c>
      <c r="CB21" s="1" t="s">
        <v>61</v>
      </c>
      <c r="CC21" s="1" t="s">
        <v>59</v>
      </c>
      <c r="CD21" s="3" t="s">
        <v>62</v>
      </c>
      <c r="CE21" s="1">
        <f>CE18+1800</f>
        <v>5400</v>
      </c>
      <c r="CF21" s="1">
        <v>4</v>
      </c>
      <c r="CG21" s="3">
        <f t="shared" si="130"/>
        <v>21.6</v>
      </c>
      <c r="CH21" s="3">
        <v>10.1</v>
      </c>
      <c r="CI21" s="41">
        <f t="shared" si="131"/>
        <v>218.16</v>
      </c>
      <c r="CJ21" s="31"/>
      <c r="CK21" s="30"/>
      <c r="CL21" s="1">
        <f t="shared" si="53"/>
        <v>6</v>
      </c>
      <c r="CM21" s="1" t="s">
        <v>41</v>
      </c>
      <c r="CN21" s="1" t="s">
        <v>276</v>
      </c>
      <c r="CO21" s="3" t="s">
        <v>62</v>
      </c>
      <c r="CP21" s="1">
        <f>CN5*1000</f>
        <v>9000</v>
      </c>
      <c r="CQ21" s="1">
        <f>(CN6+1)*2*2</f>
        <v>24</v>
      </c>
      <c r="CR21" s="3">
        <f t="shared" si="16"/>
        <v>216</v>
      </c>
      <c r="CS21" s="3">
        <v>10.1</v>
      </c>
      <c r="CT21" s="174">
        <f t="shared" si="17"/>
        <v>2181.6</v>
      </c>
      <c r="CU21" s="31"/>
      <c r="CV21" s="30"/>
      <c r="CW21" s="1"/>
      <c r="CX21" s="1"/>
      <c r="CY21" s="1"/>
      <c r="CZ21" s="3"/>
      <c r="DA21" s="1"/>
      <c r="DB21" s="1"/>
      <c r="DC21" s="3"/>
      <c r="DD21" s="3"/>
      <c r="DE21" s="41"/>
      <c r="DF21" s="31"/>
      <c r="DG21" s="30"/>
      <c r="DH21" s="1">
        <f t="shared" si="94"/>
        <v>6</v>
      </c>
      <c r="DI21" s="1" t="s">
        <v>23</v>
      </c>
      <c r="DJ21" s="1" t="s">
        <v>24</v>
      </c>
      <c r="DK21" s="66" t="s">
        <v>135</v>
      </c>
      <c r="DL21" s="1">
        <f>DJ9*1000</f>
        <v>4000</v>
      </c>
      <c r="DM21" s="1">
        <f>16*DJ6</f>
        <v>112</v>
      </c>
      <c r="DN21" s="66">
        <f t="shared" si="132"/>
        <v>448</v>
      </c>
      <c r="DO21" s="66">
        <v>6.6</v>
      </c>
      <c r="DP21" s="67">
        <f t="shared" si="133"/>
        <v>2956.7999999999997</v>
      </c>
      <c r="DQ21" s="31"/>
      <c r="DR21" s="30"/>
      <c r="DS21" s="1">
        <f t="shared" si="115"/>
        <v>3</v>
      </c>
      <c r="DT21" s="1" t="s">
        <v>147</v>
      </c>
      <c r="DU21" s="1" t="s">
        <v>148</v>
      </c>
      <c r="DV21" s="176" t="s">
        <v>218</v>
      </c>
      <c r="DW21" s="1">
        <v>1700</v>
      </c>
      <c r="DX21" s="1">
        <f>(DU6-1)*2*3</f>
        <v>54</v>
      </c>
      <c r="DY21" s="176">
        <f t="shared" si="116"/>
        <v>91.8</v>
      </c>
      <c r="DZ21" s="176">
        <v>3.3</v>
      </c>
      <c r="EA21" s="257">
        <f t="shared" si="117"/>
        <v>302.94</v>
      </c>
      <c r="EB21" s="31"/>
      <c r="EC21" s="30"/>
      <c r="ED21" s="1">
        <f t="shared" si="95"/>
        <v>6</v>
      </c>
      <c r="EE21" s="1" t="s">
        <v>147</v>
      </c>
      <c r="EF21" s="1" t="s">
        <v>148</v>
      </c>
      <c r="EG21" s="11" t="s">
        <v>40</v>
      </c>
      <c r="EH21" s="1">
        <v>2750</v>
      </c>
      <c r="EI21" s="1">
        <f>(EF6-1)*2*2</f>
        <v>36</v>
      </c>
      <c r="EJ21" s="11">
        <f t="shared" si="58"/>
        <v>99</v>
      </c>
      <c r="EK21" s="11">
        <v>6.6</v>
      </c>
      <c r="EL21" s="123">
        <f t="shared" si="59"/>
        <v>653.4</v>
      </c>
      <c r="EM21" s="31"/>
      <c r="EN21" s="30"/>
      <c r="EO21" s="1">
        <f t="shared" si="96"/>
        <v>6</v>
      </c>
      <c r="EP21" s="1" t="s">
        <v>147</v>
      </c>
      <c r="EQ21" s="1" t="s">
        <v>148</v>
      </c>
      <c r="ER21" s="11" t="s">
        <v>40</v>
      </c>
      <c r="ES21" s="1">
        <v>1300</v>
      </c>
      <c r="ET21" s="49">
        <f>(EQ6-1)*2*2</f>
        <v>36</v>
      </c>
      <c r="EU21" s="11">
        <f t="shared" si="97"/>
        <v>46.800000000000004</v>
      </c>
      <c r="EV21" s="11">
        <v>6.6</v>
      </c>
      <c r="EW21" s="88">
        <f t="shared" si="98"/>
        <v>308.88</v>
      </c>
      <c r="EX21" s="31"/>
      <c r="EY21" s="30"/>
      <c r="EZ21" s="1">
        <f t="shared" si="99"/>
        <v>6</v>
      </c>
      <c r="FA21" s="1" t="s">
        <v>61</v>
      </c>
      <c r="FB21" s="1" t="s">
        <v>59</v>
      </c>
      <c r="FC21" s="3" t="s">
        <v>62</v>
      </c>
      <c r="FD21" s="1">
        <f>FD18+2700</f>
        <v>6300</v>
      </c>
      <c r="FE21" s="1">
        <v>4</v>
      </c>
      <c r="FF21" s="3">
        <f t="shared" si="134"/>
        <v>25.2</v>
      </c>
      <c r="FG21" s="3">
        <v>10.1</v>
      </c>
      <c r="FH21" s="41">
        <f t="shared" si="135"/>
        <v>254.51999999999998</v>
      </c>
      <c r="FI21" s="31"/>
      <c r="FJ21" s="30"/>
      <c r="FK21" s="1">
        <f t="shared" si="100"/>
        <v>6</v>
      </c>
      <c r="FL21" s="1" t="s">
        <v>60</v>
      </c>
      <c r="FM21" s="1" t="s">
        <v>58</v>
      </c>
      <c r="FN21" s="3" t="s">
        <v>62</v>
      </c>
      <c r="FO21" s="1">
        <f>FO18+2100</f>
        <v>8400</v>
      </c>
      <c r="FP21" s="1">
        <v>12</v>
      </c>
      <c r="FQ21" s="3">
        <f t="shared" si="20"/>
        <v>100.80000000000001</v>
      </c>
      <c r="FR21" s="3">
        <v>10.1</v>
      </c>
      <c r="FS21" s="165">
        <f t="shared" si="21"/>
        <v>1018.08</v>
      </c>
      <c r="FT21" s="31"/>
      <c r="FU21" s="30"/>
      <c r="FV21" s="1">
        <f t="shared" si="101"/>
        <v>6</v>
      </c>
      <c r="FW21" s="1" t="s">
        <v>147</v>
      </c>
      <c r="FX21" s="1" t="s">
        <v>170</v>
      </c>
      <c r="FY21" s="11" t="s">
        <v>40</v>
      </c>
      <c r="FZ21" s="1">
        <v>4350</v>
      </c>
      <c r="GA21" s="1">
        <f>(FX6-1)*2*2</f>
        <v>24</v>
      </c>
      <c r="GB21" s="11">
        <f t="shared" si="62"/>
        <v>104.39999999999999</v>
      </c>
      <c r="GC21" s="11">
        <v>6.6</v>
      </c>
      <c r="GD21" s="126">
        <f t="shared" si="63"/>
        <v>689.03999999999985</v>
      </c>
      <c r="GE21" s="31"/>
      <c r="GF21" s="30"/>
      <c r="GG21" s="1">
        <f t="shared" si="102"/>
        <v>6</v>
      </c>
      <c r="GH21" s="1" t="s">
        <v>285</v>
      </c>
      <c r="GI21" s="1" t="s">
        <v>286</v>
      </c>
      <c r="GJ21" s="50" t="s">
        <v>218</v>
      </c>
      <c r="GK21" s="49">
        <v>1180</v>
      </c>
      <c r="GL21" s="49">
        <f>(GI6-1)*2*2</f>
        <v>56</v>
      </c>
      <c r="GM21" s="51">
        <f t="shared" si="22"/>
        <v>66.08</v>
      </c>
      <c r="GN21" s="51">
        <v>3.4</v>
      </c>
      <c r="GO21" s="228">
        <f t="shared" si="23"/>
        <v>224.672</v>
      </c>
      <c r="GP21" s="31"/>
      <c r="GQ21" s="30"/>
      <c r="GR21" s="1">
        <f t="shared" si="103"/>
        <v>6</v>
      </c>
      <c r="GS21" s="1" t="s">
        <v>174</v>
      </c>
      <c r="GT21" s="1" t="s">
        <v>55</v>
      </c>
      <c r="GU21" s="5" t="s">
        <v>63</v>
      </c>
      <c r="GV21" s="1">
        <f>GT9*1000</f>
        <v>4000</v>
      </c>
      <c r="GW21" s="1">
        <f>(GT6)*1</f>
        <v>8</v>
      </c>
      <c r="GX21" s="5">
        <f t="shared" si="64"/>
        <v>32</v>
      </c>
      <c r="GY21" s="227">
        <v>8.3000000000000007</v>
      </c>
      <c r="GZ21" s="159">
        <f t="shared" si="65"/>
        <v>265.60000000000002</v>
      </c>
      <c r="HA21" s="31"/>
      <c r="HB21" s="30"/>
      <c r="HC21" s="1">
        <f t="shared" si="104"/>
        <v>6</v>
      </c>
      <c r="HD21" s="1" t="s">
        <v>94</v>
      </c>
      <c r="HE21" s="1" t="s">
        <v>25</v>
      </c>
      <c r="HF21" s="5" t="s">
        <v>63</v>
      </c>
      <c r="HG21" s="1">
        <f>HE9*1000</f>
        <v>4000</v>
      </c>
      <c r="HH21" s="1">
        <f>HE6*3*HE8</f>
        <v>36</v>
      </c>
      <c r="HI21" s="5">
        <f t="shared" si="24"/>
        <v>144</v>
      </c>
      <c r="HJ21" s="5">
        <v>8.3000000000000007</v>
      </c>
      <c r="HK21" s="129">
        <f t="shared" si="25"/>
        <v>1195.2</v>
      </c>
      <c r="HL21" s="31"/>
      <c r="HM21" s="30"/>
      <c r="HN21" s="1">
        <f t="shared" si="66"/>
        <v>6</v>
      </c>
      <c r="HO21" s="1" t="s">
        <v>241</v>
      </c>
      <c r="HP21" s="1"/>
      <c r="HQ21" s="138" t="s">
        <v>238</v>
      </c>
      <c r="HR21" s="1">
        <f>HP9*1000</f>
        <v>6000</v>
      </c>
      <c r="HS21" s="1">
        <f>(HP6-2)*2*4</f>
        <v>48</v>
      </c>
      <c r="HT21" s="138">
        <f t="shared" si="26"/>
        <v>288</v>
      </c>
      <c r="HU21" s="138">
        <v>4.2</v>
      </c>
      <c r="HV21" s="237">
        <f t="shared" si="27"/>
        <v>1209.6000000000001</v>
      </c>
      <c r="HW21" s="31"/>
      <c r="HX21" s="30"/>
      <c r="HY21" s="1">
        <f t="shared" si="105"/>
        <v>6</v>
      </c>
      <c r="HZ21" s="49" t="s">
        <v>133</v>
      </c>
      <c r="IA21" s="1" t="s">
        <v>132</v>
      </c>
      <c r="IB21" s="66" t="s">
        <v>135</v>
      </c>
      <c r="IC21" s="1">
        <f>IA9*1000</f>
        <v>4500</v>
      </c>
      <c r="ID21" s="1">
        <f>20*IA6</f>
        <v>140</v>
      </c>
      <c r="IE21" s="66">
        <f t="shared" ref="IE21" si="140">IC21/1000*ID21</f>
        <v>630</v>
      </c>
      <c r="IF21" s="66">
        <v>6.6</v>
      </c>
      <c r="IG21" s="92">
        <f t="shared" ref="IG21" si="141">IE21*IF21</f>
        <v>4158</v>
      </c>
      <c r="IH21" s="31"/>
      <c r="II21" s="30"/>
      <c r="IJ21" s="1">
        <f t="shared" si="108"/>
        <v>6</v>
      </c>
      <c r="IK21" s="1" t="s">
        <v>70</v>
      </c>
      <c r="IL21" s="1" t="s">
        <v>69</v>
      </c>
      <c r="IM21" s="109" t="s">
        <v>258</v>
      </c>
      <c r="IN21" s="1">
        <f>IN19+2500</f>
        <v>6500</v>
      </c>
      <c r="IO21" s="1">
        <v>4</v>
      </c>
      <c r="IP21" s="109">
        <f t="shared" si="30"/>
        <v>26</v>
      </c>
      <c r="IQ21" s="109">
        <v>28</v>
      </c>
      <c r="IR21" s="149">
        <f t="shared" si="31"/>
        <v>728</v>
      </c>
      <c r="IS21" s="31"/>
      <c r="IT21" s="30"/>
      <c r="IU21" s="1">
        <f t="shared" si="109"/>
        <v>6</v>
      </c>
      <c r="IV21" s="1" t="s">
        <v>70</v>
      </c>
      <c r="IW21" s="1" t="s">
        <v>69</v>
      </c>
      <c r="IX21" s="3" t="s">
        <v>62</v>
      </c>
      <c r="IY21" s="1">
        <f>IY24+2240</f>
        <v>6240</v>
      </c>
      <c r="IZ21" s="1">
        <v>4</v>
      </c>
      <c r="JA21" s="3">
        <f t="shared" si="118"/>
        <v>24.96</v>
      </c>
      <c r="JB21" s="3">
        <v>10.1</v>
      </c>
      <c r="JC21" s="144">
        <f t="shared" si="119"/>
        <v>252.096</v>
      </c>
      <c r="JD21" s="31"/>
      <c r="JE21" s="30"/>
      <c r="JF21" s="1">
        <f t="shared" si="67"/>
        <v>6</v>
      </c>
      <c r="JG21" s="1" t="s">
        <v>94</v>
      </c>
      <c r="JH21" s="1" t="s">
        <v>25</v>
      </c>
      <c r="JI21" s="5" t="s">
        <v>63</v>
      </c>
      <c r="JJ21" s="1">
        <f>JH9*1000</f>
        <v>4800</v>
      </c>
      <c r="JK21" s="1">
        <f>JH6*6*JH8</f>
        <v>114</v>
      </c>
      <c r="JL21" s="5">
        <f t="shared" si="32"/>
        <v>547.19999999999993</v>
      </c>
      <c r="JM21" s="5">
        <v>8.3000000000000007</v>
      </c>
      <c r="JN21" s="106">
        <f t="shared" si="33"/>
        <v>4541.76</v>
      </c>
      <c r="JO21" s="31"/>
      <c r="JP21" s="30"/>
      <c r="JQ21" s="1">
        <f t="shared" si="68"/>
        <v>6</v>
      </c>
      <c r="JR21" s="1" t="s">
        <v>94</v>
      </c>
      <c r="JS21" s="1" t="s">
        <v>25</v>
      </c>
      <c r="JT21" s="5" t="s">
        <v>63</v>
      </c>
      <c r="JU21" s="1">
        <f>JS9*1000</f>
        <v>5000</v>
      </c>
      <c r="JV21" s="1">
        <f>JS6*6*JS8</f>
        <v>114</v>
      </c>
      <c r="JW21" s="5">
        <f t="shared" si="120"/>
        <v>570</v>
      </c>
      <c r="JX21" s="5">
        <v>8.3000000000000007</v>
      </c>
      <c r="JY21" s="197">
        <f t="shared" si="121"/>
        <v>4731</v>
      </c>
      <c r="JZ21" s="31"/>
      <c r="KA21" s="30"/>
      <c r="KB21" s="1">
        <f t="shared" si="69"/>
        <v>6</v>
      </c>
      <c r="KC21" s="1" t="s">
        <v>94</v>
      </c>
      <c r="KD21" s="1" t="s">
        <v>25</v>
      </c>
      <c r="KE21" s="5" t="s">
        <v>63</v>
      </c>
      <c r="KF21" s="1">
        <f>KD9*1000</f>
        <v>5000</v>
      </c>
      <c r="KG21" s="1">
        <f>KD6*6*KD8</f>
        <v>114</v>
      </c>
      <c r="KH21" s="5">
        <f t="shared" si="122"/>
        <v>570</v>
      </c>
      <c r="KI21" s="5">
        <v>8.3000000000000007</v>
      </c>
      <c r="KJ21" s="197">
        <f t="shared" si="123"/>
        <v>4731</v>
      </c>
      <c r="KK21" s="31"/>
      <c r="KL21" s="30"/>
      <c r="KM21" s="1">
        <f t="shared" si="70"/>
        <v>6</v>
      </c>
      <c r="KN21" s="1" t="s">
        <v>94</v>
      </c>
      <c r="KO21" s="1" t="s">
        <v>25</v>
      </c>
      <c r="KP21" s="5" t="s">
        <v>63</v>
      </c>
      <c r="KQ21" s="1">
        <f>KO9*1000</f>
        <v>4800</v>
      </c>
      <c r="KR21" s="1">
        <f>KO6*4*KO8+KO7*2</f>
        <v>82</v>
      </c>
      <c r="KS21" s="5">
        <f>KQ21/1000*KR21</f>
        <v>393.59999999999997</v>
      </c>
      <c r="KT21" s="5">
        <v>8.3000000000000007</v>
      </c>
      <c r="KU21" s="129">
        <f>KS21*KT21</f>
        <v>3266.88</v>
      </c>
      <c r="KV21" s="31"/>
      <c r="KW21" s="30"/>
      <c r="KX21" s="1">
        <f t="shared" si="112"/>
        <v>6</v>
      </c>
      <c r="KY21" s="1" t="s">
        <v>141</v>
      </c>
      <c r="KZ21" s="1" t="s">
        <v>142</v>
      </c>
      <c r="LA21" s="3" t="s">
        <v>62</v>
      </c>
      <c r="LB21" s="49">
        <v>2315</v>
      </c>
      <c r="LC21" s="49">
        <f>(KZ7-1)*2*2</f>
        <v>188</v>
      </c>
      <c r="LD21" s="3">
        <f t="shared" ref="LD21:LD32" si="142">LB21/1000*LC21</f>
        <v>435.21999999999997</v>
      </c>
      <c r="LE21" s="3">
        <v>10.1</v>
      </c>
      <c r="LF21" s="108">
        <f t="shared" ref="LF21:LF32" si="143">LD21*LE21</f>
        <v>4395.7219999999998</v>
      </c>
      <c r="LG21" s="31"/>
      <c r="LH21" s="30"/>
      <c r="LI21" s="1">
        <f t="shared" si="113"/>
        <v>6</v>
      </c>
      <c r="LJ21" s="1" t="s">
        <v>184</v>
      </c>
      <c r="LK21" s="1" t="s">
        <v>26</v>
      </c>
      <c r="LL21" s="11" t="s">
        <v>253</v>
      </c>
      <c r="LM21" s="49">
        <f>(LK4-6)/2*1000</f>
        <v>15000</v>
      </c>
      <c r="LN21" s="49">
        <f>(LK6+1)*2*2</f>
        <v>80</v>
      </c>
      <c r="LO21" s="11">
        <f t="shared" si="136"/>
        <v>1200</v>
      </c>
      <c r="LP21" s="11">
        <v>6.6</v>
      </c>
      <c r="LQ21" s="245">
        <f t="shared" si="137"/>
        <v>7920</v>
      </c>
      <c r="LR21" s="31"/>
      <c r="LS21" s="30"/>
      <c r="LT21" s="1">
        <f t="shared" si="124"/>
        <v>3</v>
      </c>
      <c r="LU21" s="1" t="s">
        <v>147</v>
      </c>
      <c r="LV21" s="1" t="s">
        <v>148</v>
      </c>
      <c r="LW21" s="176" t="s">
        <v>218</v>
      </c>
      <c r="LX21" s="1">
        <v>1700</v>
      </c>
      <c r="LY21" s="1">
        <f>(LV6-1)*2*3</f>
        <v>30</v>
      </c>
      <c r="LZ21" s="176">
        <f t="shared" si="125"/>
        <v>51</v>
      </c>
      <c r="MA21" s="176">
        <v>3.3</v>
      </c>
      <c r="MB21" s="257">
        <f t="shared" si="126"/>
        <v>168.29999999999998</v>
      </c>
      <c r="MC21" s="31"/>
      <c r="ME21" s="30"/>
      <c r="MF21" s="1">
        <f t="shared" si="127"/>
        <v>3</v>
      </c>
      <c r="MG21" s="1" t="s">
        <v>147</v>
      </c>
      <c r="MH21" s="1" t="s">
        <v>148</v>
      </c>
      <c r="MI21" s="176" t="s">
        <v>218</v>
      </c>
      <c r="MJ21" s="1">
        <v>1600</v>
      </c>
      <c r="MK21" s="1">
        <f>(MH6-1)*2*4</f>
        <v>32</v>
      </c>
      <c r="ML21" s="176">
        <f t="shared" si="128"/>
        <v>51.2</v>
      </c>
      <c r="MM21" s="176">
        <v>3.3</v>
      </c>
      <c r="MN21" s="257">
        <f t="shared" si="129"/>
        <v>168.96</v>
      </c>
      <c r="MO21" s="31"/>
      <c r="MQ21" s="30"/>
      <c r="MR21" s="1">
        <f>MR19+1</f>
        <v>5</v>
      </c>
      <c r="MS21" s="1" t="s">
        <v>60</v>
      </c>
      <c r="MT21" s="1" t="s">
        <v>58</v>
      </c>
      <c r="MU21" s="3" t="s">
        <v>62</v>
      </c>
      <c r="MV21" s="1">
        <f>MV17+550</f>
        <v>6050</v>
      </c>
      <c r="MW21" s="49">
        <v>4</v>
      </c>
      <c r="MX21" s="3">
        <f t="shared" ref="MX21" si="144">MV21/1000*MW21</f>
        <v>24.2</v>
      </c>
      <c r="MY21" s="3">
        <v>10.1</v>
      </c>
      <c r="MZ21" s="261">
        <f t="shared" ref="MZ21" si="145">MX21*MY21</f>
        <v>244.42</v>
      </c>
      <c r="NA21" s="31"/>
      <c r="ND21" s="30"/>
      <c r="NE21" s="1">
        <f t="shared" si="114"/>
        <v>7</v>
      </c>
      <c r="NF21" s="1" t="s">
        <v>77</v>
      </c>
      <c r="NG21" s="1" t="s">
        <v>76</v>
      </c>
      <c r="NH21" s="3" t="s">
        <v>62</v>
      </c>
      <c r="NI21" s="1">
        <f>NI20+3600</f>
        <v>11100</v>
      </c>
      <c r="NJ21" s="1">
        <f>2+2*NG6</f>
        <v>22</v>
      </c>
      <c r="NK21" s="3">
        <f t="shared" si="0"/>
        <v>244.2</v>
      </c>
      <c r="NL21" s="3">
        <v>10.199999999999999</v>
      </c>
      <c r="NM21" s="261">
        <f t="shared" si="1"/>
        <v>2490.8399999999997</v>
      </c>
      <c r="NN21" s="31"/>
      <c r="NP21" s="30"/>
      <c r="NQ21" s="1">
        <f>NQ18+1</f>
        <v>6</v>
      </c>
      <c r="NR21" s="1" t="s">
        <v>322</v>
      </c>
      <c r="NS21" s="1"/>
      <c r="NT21" s="5" t="s">
        <v>63</v>
      </c>
      <c r="NU21" s="1">
        <v>1200</v>
      </c>
      <c r="NV21" s="1">
        <f>4*2</f>
        <v>8</v>
      </c>
      <c r="NW21" s="5">
        <f t="shared" si="71"/>
        <v>9.6</v>
      </c>
      <c r="NX21" s="5">
        <v>8.3000000000000007</v>
      </c>
      <c r="NY21" s="263">
        <f t="shared" si="72"/>
        <v>79.680000000000007</v>
      </c>
      <c r="NZ21" s="31"/>
      <c r="OC21" s="30"/>
      <c r="OD21" s="1">
        <f>OD18+1</f>
        <v>6</v>
      </c>
      <c r="OE21" s="1" t="s">
        <v>322</v>
      </c>
      <c r="OF21" s="1"/>
      <c r="OG21" s="5" t="s">
        <v>63</v>
      </c>
      <c r="OH21" s="1">
        <v>1200</v>
      </c>
      <c r="OI21" s="1">
        <f>4*2</f>
        <v>8</v>
      </c>
      <c r="OJ21" s="5">
        <f t="shared" si="73"/>
        <v>9.6</v>
      </c>
      <c r="OK21" s="5">
        <v>8.3000000000000007</v>
      </c>
      <c r="OL21" s="263">
        <f t="shared" si="74"/>
        <v>79.680000000000007</v>
      </c>
      <c r="OM21" s="31"/>
      <c r="OP21" s="30"/>
      <c r="OQ21" s="1">
        <f>OQ18+1</f>
        <v>6</v>
      </c>
      <c r="OR21" s="1" t="s">
        <v>322</v>
      </c>
      <c r="OS21" s="1"/>
      <c r="OT21" s="5" t="s">
        <v>63</v>
      </c>
      <c r="OU21" s="1">
        <v>1200</v>
      </c>
      <c r="OV21" s="1">
        <f>4*2</f>
        <v>8</v>
      </c>
      <c r="OW21" s="5">
        <f t="shared" si="75"/>
        <v>9.6</v>
      </c>
      <c r="OX21" s="5">
        <v>8.3000000000000007</v>
      </c>
      <c r="OY21" s="263">
        <f t="shared" si="76"/>
        <v>79.680000000000007</v>
      </c>
      <c r="OZ21" s="31"/>
      <c r="PD21" s="30"/>
      <c r="PE21" s="1">
        <f>PE18+1</f>
        <v>6</v>
      </c>
      <c r="PF21" s="1" t="s">
        <v>322</v>
      </c>
      <c r="PG21" s="1"/>
      <c r="PH21" s="5" t="s">
        <v>63</v>
      </c>
      <c r="PI21" s="1">
        <v>1200</v>
      </c>
      <c r="PJ21" s="1">
        <f>4*2</f>
        <v>8</v>
      </c>
      <c r="PK21" s="5">
        <f t="shared" si="77"/>
        <v>9.6</v>
      </c>
      <c r="PL21" s="5">
        <v>8.3000000000000007</v>
      </c>
      <c r="PM21" s="263">
        <f t="shared" si="78"/>
        <v>79.680000000000007</v>
      </c>
      <c r="PN21" s="31"/>
      <c r="PQ21" s="30"/>
      <c r="PR21" s="1">
        <f>PR18+1</f>
        <v>6</v>
      </c>
      <c r="PS21" s="1" t="s">
        <v>322</v>
      </c>
      <c r="PT21" s="1"/>
      <c r="PU21" s="5" t="s">
        <v>63</v>
      </c>
      <c r="PV21" s="1">
        <v>1200</v>
      </c>
      <c r="PW21" s="1">
        <f>4*2</f>
        <v>8</v>
      </c>
      <c r="PX21" s="5">
        <f t="shared" si="79"/>
        <v>9.6</v>
      </c>
      <c r="PY21" s="5">
        <v>8.3000000000000007</v>
      </c>
      <c r="PZ21" s="263">
        <f t="shared" si="80"/>
        <v>79.680000000000007</v>
      </c>
      <c r="QA21" s="31"/>
      <c r="QD21" s="30"/>
      <c r="QE21" s="1">
        <f>QE18+1</f>
        <v>6</v>
      </c>
      <c r="QF21" s="1" t="s">
        <v>322</v>
      </c>
      <c r="QG21" s="1"/>
      <c r="QH21" s="296" t="s">
        <v>353</v>
      </c>
      <c r="QI21" s="1">
        <v>1200</v>
      </c>
      <c r="QJ21" s="1">
        <v>2</v>
      </c>
      <c r="QK21" s="296">
        <f t="shared" si="81"/>
        <v>2.4</v>
      </c>
      <c r="QL21" s="296">
        <v>7.1</v>
      </c>
      <c r="QM21" s="297">
        <f t="shared" si="82"/>
        <v>17.04</v>
      </c>
      <c r="QN21" s="31"/>
      <c r="QQ21" s="30"/>
      <c r="QR21" s="1">
        <f>QR18+1</f>
        <v>6</v>
      </c>
      <c r="QS21" s="1" t="s">
        <v>322</v>
      </c>
      <c r="QT21" s="1"/>
      <c r="QU21" s="5" t="s">
        <v>63</v>
      </c>
      <c r="QV21" s="1">
        <v>1200</v>
      </c>
      <c r="QW21" s="1">
        <f>4*2</f>
        <v>8</v>
      </c>
      <c r="QX21" s="5">
        <f t="shared" si="83"/>
        <v>9.6</v>
      </c>
      <c r="QY21" s="5">
        <v>8.3000000000000007</v>
      </c>
      <c r="QZ21" s="263">
        <f t="shared" si="84"/>
        <v>79.680000000000007</v>
      </c>
      <c r="RA21" s="31"/>
    </row>
    <row r="22" spans="1:469" x14ac:dyDescent="0.25">
      <c r="A22" s="30"/>
      <c r="B22" s="1">
        <f t="shared" si="85"/>
        <v>7</v>
      </c>
      <c r="C22" s="1"/>
      <c r="D22" s="1"/>
      <c r="E22" s="11"/>
      <c r="F22" s="1"/>
      <c r="G22" s="1"/>
      <c r="H22" s="11"/>
      <c r="I22" s="11"/>
      <c r="J22" s="213"/>
      <c r="K22" s="31"/>
      <c r="L22" s="30"/>
      <c r="M22" s="1">
        <f t="shared" si="86"/>
        <v>7</v>
      </c>
      <c r="N22" s="1" t="s">
        <v>318</v>
      </c>
      <c r="O22" s="1" t="s">
        <v>328</v>
      </c>
      <c r="P22" s="11" t="s">
        <v>40</v>
      </c>
      <c r="Q22" s="1">
        <v>4000</v>
      </c>
      <c r="R22" s="1">
        <v>2</v>
      </c>
      <c r="S22" s="11">
        <f>Q22/1000*R22</f>
        <v>8</v>
      </c>
      <c r="T22" s="11">
        <v>6.6</v>
      </c>
      <c r="U22" s="252">
        <f>S22*T22</f>
        <v>52.8</v>
      </c>
      <c r="V22" s="31"/>
      <c r="W22" s="30"/>
      <c r="X22" s="1">
        <f t="shared" si="87"/>
        <v>7</v>
      </c>
      <c r="Y22" s="1" t="s">
        <v>10</v>
      </c>
      <c r="Z22" s="1" t="s">
        <v>43</v>
      </c>
      <c r="AA22" s="25">
        <v>2.5</v>
      </c>
      <c r="AB22" s="1"/>
      <c r="AC22" s="1">
        <f>AC17*2</f>
        <v>72</v>
      </c>
      <c r="AD22" s="25"/>
      <c r="AE22" s="25">
        <v>1.2</v>
      </c>
      <c r="AF22" s="210">
        <f>AC22*AE22</f>
        <v>86.399999999999991</v>
      </c>
      <c r="AG22" s="31"/>
      <c r="AH22" s="30"/>
      <c r="AI22" s="1">
        <f t="shared" si="88"/>
        <v>7</v>
      </c>
      <c r="AJ22" s="1" t="s">
        <v>10</v>
      </c>
      <c r="AK22" s="1" t="s">
        <v>43</v>
      </c>
      <c r="AL22" s="25">
        <v>2.5</v>
      </c>
      <c r="AM22" s="1"/>
      <c r="AN22" s="1">
        <f>(AN17+AN19+AN21)*2</f>
        <v>152</v>
      </c>
      <c r="AO22" s="25"/>
      <c r="AP22" s="25">
        <v>1.2</v>
      </c>
      <c r="AQ22" s="26">
        <f>AN22*AP22</f>
        <v>182.4</v>
      </c>
      <c r="AR22" s="31"/>
      <c r="AS22" s="30"/>
      <c r="AT22" s="1">
        <f t="shared" ref="AT22" si="146">AT21+1</f>
        <v>7</v>
      </c>
      <c r="AU22" s="1" t="s">
        <v>97</v>
      </c>
      <c r="AV22" s="1" t="s">
        <v>80</v>
      </c>
      <c r="AW22" s="11" t="s">
        <v>40</v>
      </c>
      <c r="AX22" s="1">
        <v>4500</v>
      </c>
      <c r="AY22" s="1">
        <v>4</v>
      </c>
      <c r="AZ22" s="11">
        <f t="shared" si="12"/>
        <v>18</v>
      </c>
      <c r="BA22" s="11">
        <v>6.6</v>
      </c>
      <c r="BB22" s="12">
        <f t="shared" si="13"/>
        <v>118.8</v>
      </c>
      <c r="BC22" s="31"/>
      <c r="BD22" s="30"/>
      <c r="BE22" s="1">
        <f t="shared" si="90"/>
        <v>7</v>
      </c>
      <c r="BF22" s="1" t="s">
        <v>97</v>
      </c>
      <c r="BG22" s="1" t="s">
        <v>80</v>
      </c>
      <c r="BH22" s="11" t="s">
        <v>40</v>
      </c>
      <c r="BI22" s="1">
        <v>4500</v>
      </c>
      <c r="BJ22" s="1">
        <v>4</v>
      </c>
      <c r="BK22" s="11">
        <f t="shared" si="14"/>
        <v>18</v>
      </c>
      <c r="BL22" s="11">
        <v>6.6</v>
      </c>
      <c r="BM22" s="213">
        <f t="shared" si="15"/>
        <v>118.8</v>
      </c>
      <c r="BN22" s="31"/>
      <c r="BO22" s="30"/>
      <c r="BP22" s="1">
        <f t="shared" si="91"/>
        <v>7</v>
      </c>
      <c r="BQ22" s="1" t="s">
        <v>97</v>
      </c>
      <c r="BR22" s="1" t="s">
        <v>80</v>
      </c>
      <c r="BS22" s="5" t="s">
        <v>63</v>
      </c>
      <c r="BT22" s="1">
        <v>4500</v>
      </c>
      <c r="BU22" s="1">
        <v>6</v>
      </c>
      <c r="BV22" s="5">
        <f t="shared" si="138"/>
        <v>27</v>
      </c>
      <c r="BW22" s="227">
        <v>8.3000000000000007</v>
      </c>
      <c r="BX22" s="206">
        <f t="shared" si="139"/>
        <v>224.10000000000002</v>
      </c>
      <c r="BY22" s="31"/>
      <c r="BZ22" s="30"/>
      <c r="CA22" s="1">
        <f t="shared" si="92"/>
        <v>7</v>
      </c>
      <c r="CB22" s="1" t="s">
        <v>95</v>
      </c>
      <c r="CC22" s="1" t="s">
        <v>55</v>
      </c>
      <c r="CD22" s="5" t="s">
        <v>63</v>
      </c>
      <c r="CE22" s="1">
        <v>3000</v>
      </c>
      <c r="CF22" s="1">
        <v>12</v>
      </c>
      <c r="CG22" s="5">
        <f t="shared" ref="CG22" si="147">CE22/1000*CF22</f>
        <v>36</v>
      </c>
      <c r="CH22" s="5">
        <v>8.3000000000000007</v>
      </c>
      <c r="CI22" s="43">
        <f t="shared" ref="CI22" si="148">CG22*CH22</f>
        <v>298.8</v>
      </c>
      <c r="CJ22" s="31"/>
      <c r="CK22" s="30"/>
      <c r="CL22" s="1">
        <f t="shared" si="53"/>
        <v>7</v>
      </c>
      <c r="CM22" s="1" t="s">
        <v>94</v>
      </c>
      <c r="CN22" s="1" t="s">
        <v>25</v>
      </c>
      <c r="CO22" s="5" t="s">
        <v>63</v>
      </c>
      <c r="CP22" s="1">
        <f>CN9*1000</f>
        <v>4400</v>
      </c>
      <c r="CQ22" s="1">
        <f>2*CN6*CN8</f>
        <v>40</v>
      </c>
      <c r="CR22" s="5">
        <f t="shared" si="16"/>
        <v>176</v>
      </c>
      <c r="CS22" s="5">
        <v>8.3000000000000007</v>
      </c>
      <c r="CT22" s="171">
        <f t="shared" si="17"/>
        <v>1460.8000000000002</v>
      </c>
      <c r="CU22" s="31"/>
      <c r="CV22" s="30"/>
      <c r="CW22" s="1">
        <f t="shared" si="93"/>
        <v>1</v>
      </c>
      <c r="CX22" s="1" t="s">
        <v>96</v>
      </c>
      <c r="CY22" s="1" t="s">
        <v>79</v>
      </c>
      <c r="CZ22" s="5" t="s">
        <v>63</v>
      </c>
      <c r="DA22" s="1">
        <v>4000</v>
      </c>
      <c r="DB22" s="1">
        <v>2</v>
      </c>
      <c r="DC22" s="5">
        <f t="shared" ref="DC22" si="149">DA22/1000*DB22</f>
        <v>8</v>
      </c>
      <c r="DD22" s="5">
        <v>8.3000000000000007</v>
      </c>
      <c r="DE22" s="43">
        <f t="shared" ref="DE22" si="150">DC22*DD22</f>
        <v>66.400000000000006</v>
      </c>
      <c r="DF22" s="31"/>
      <c r="DG22" s="30"/>
      <c r="DH22" s="1">
        <f t="shared" si="94"/>
        <v>7</v>
      </c>
      <c r="DI22" s="1" t="s">
        <v>41</v>
      </c>
      <c r="DJ22" s="1" t="s">
        <v>42</v>
      </c>
      <c r="DK22" s="3" t="s">
        <v>62</v>
      </c>
      <c r="DL22" s="1">
        <f>DJ5*1000</f>
        <v>3600</v>
      </c>
      <c r="DM22" s="1">
        <f>4+4*DJ6</f>
        <v>32</v>
      </c>
      <c r="DN22" s="3">
        <f>DL22/1000*DM22</f>
        <v>115.2</v>
      </c>
      <c r="DO22" s="3">
        <v>10.1</v>
      </c>
      <c r="DP22" s="41">
        <f>DN22*DO22</f>
        <v>1163.52</v>
      </c>
      <c r="DQ22" s="31"/>
      <c r="DR22" s="30"/>
      <c r="DS22" s="1">
        <f t="shared" si="115"/>
        <v>4</v>
      </c>
      <c r="DT22" s="1" t="s">
        <v>149</v>
      </c>
      <c r="DU22" s="1" t="s">
        <v>150</v>
      </c>
      <c r="DV22" s="176" t="s">
        <v>218</v>
      </c>
      <c r="DW22" s="1">
        <v>600</v>
      </c>
      <c r="DX22" s="1">
        <f>((DU6-1)*2)</f>
        <v>18</v>
      </c>
      <c r="DY22" s="176">
        <f t="shared" si="116"/>
        <v>10.799999999999999</v>
      </c>
      <c r="DZ22" s="176">
        <v>3.3</v>
      </c>
      <c r="EA22" s="257">
        <f t="shared" si="117"/>
        <v>35.639999999999993</v>
      </c>
      <c r="EB22" s="31"/>
      <c r="EC22" s="30"/>
      <c r="ED22" s="1">
        <f t="shared" si="95"/>
        <v>7</v>
      </c>
      <c r="EE22" s="1" t="s">
        <v>149</v>
      </c>
      <c r="EF22" s="1" t="s">
        <v>150</v>
      </c>
      <c r="EG22" s="11" t="s">
        <v>151</v>
      </c>
      <c r="EH22" s="1">
        <v>1200</v>
      </c>
      <c r="EI22" s="1">
        <f>(EF6-1)*2*2</f>
        <v>36</v>
      </c>
      <c r="EJ22" s="11">
        <f t="shared" si="58"/>
        <v>43.199999999999996</v>
      </c>
      <c r="EK22" s="11">
        <v>6.6</v>
      </c>
      <c r="EL22" s="123">
        <f t="shared" si="59"/>
        <v>285.11999999999995</v>
      </c>
      <c r="EM22" s="31"/>
      <c r="EN22" s="30"/>
      <c r="EO22" s="1">
        <f t="shared" si="96"/>
        <v>7</v>
      </c>
      <c r="EP22" s="1" t="s">
        <v>149</v>
      </c>
      <c r="EQ22" s="1" t="s">
        <v>150</v>
      </c>
      <c r="ER22" s="11" t="s">
        <v>151</v>
      </c>
      <c r="ES22" s="1">
        <v>800</v>
      </c>
      <c r="ET22" s="49">
        <f>(EQ6-1)*2*2</f>
        <v>36</v>
      </c>
      <c r="EU22" s="11">
        <f t="shared" si="97"/>
        <v>28.8</v>
      </c>
      <c r="EV22" s="11">
        <v>6.6</v>
      </c>
      <c r="EW22" s="88">
        <f t="shared" si="98"/>
        <v>190.07999999999998</v>
      </c>
      <c r="EX22" s="31"/>
      <c r="EY22" s="30"/>
      <c r="EZ22" s="1">
        <f t="shared" si="99"/>
        <v>7</v>
      </c>
      <c r="FA22" s="1" t="s">
        <v>96</v>
      </c>
      <c r="FB22" s="1" t="s">
        <v>79</v>
      </c>
      <c r="FC22" s="5" t="s">
        <v>63</v>
      </c>
      <c r="FD22" s="1">
        <v>3000</v>
      </c>
      <c r="FE22" s="1">
        <v>4</v>
      </c>
      <c r="FF22" s="5">
        <f t="shared" si="134"/>
        <v>12</v>
      </c>
      <c r="FG22" s="5">
        <v>8.3000000000000007</v>
      </c>
      <c r="FH22" s="43">
        <f t="shared" si="135"/>
        <v>99.600000000000009</v>
      </c>
      <c r="FI22" s="31"/>
      <c r="FJ22" s="30"/>
      <c r="FK22" s="1">
        <f t="shared" si="100"/>
        <v>7</v>
      </c>
      <c r="FL22" s="1" t="s">
        <v>70</v>
      </c>
      <c r="FM22" s="1" t="s">
        <v>69</v>
      </c>
      <c r="FN22" s="3" t="s">
        <v>62</v>
      </c>
      <c r="FO22" s="1">
        <f>FO18+4300</f>
        <v>10600</v>
      </c>
      <c r="FP22" s="1">
        <v>8</v>
      </c>
      <c r="FQ22" s="3">
        <f t="shared" si="20"/>
        <v>84.8</v>
      </c>
      <c r="FR22" s="3">
        <v>10.1</v>
      </c>
      <c r="FS22" s="165">
        <f t="shared" si="21"/>
        <v>856.4799999999999</v>
      </c>
      <c r="FT22" s="31"/>
      <c r="FU22" s="30"/>
      <c r="FV22" s="1">
        <f t="shared" si="101"/>
        <v>7</v>
      </c>
      <c r="FW22" s="1" t="s">
        <v>149</v>
      </c>
      <c r="FX22" s="1" t="s">
        <v>171</v>
      </c>
      <c r="FY22" s="11" t="s">
        <v>40</v>
      </c>
      <c r="FZ22" s="1">
        <v>1270</v>
      </c>
      <c r="GA22" s="1">
        <f>(FX6-1)*2*2</f>
        <v>24</v>
      </c>
      <c r="GB22" s="11">
        <f t="shared" si="62"/>
        <v>30.48</v>
      </c>
      <c r="GC22" s="11">
        <v>6.6</v>
      </c>
      <c r="GD22" s="126">
        <f t="shared" si="63"/>
        <v>201.16799999999998</v>
      </c>
      <c r="GE22" s="31"/>
      <c r="GF22" s="30"/>
      <c r="GG22" s="1">
        <f t="shared" si="102"/>
        <v>7</v>
      </c>
      <c r="GH22" s="1" t="s">
        <v>141</v>
      </c>
      <c r="GI22" s="1" t="s">
        <v>167</v>
      </c>
      <c r="GJ22" s="11" t="s">
        <v>40</v>
      </c>
      <c r="GK22" s="49">
        <v>4190</v>
      </c>
      <c r="GL22" s="49">
        <f>(GI6-1)*2*2</f>
        <v>56</v>
      </c>
      <c r="GM22" s="11">
        <f t="shared" si="22"/>
        <v>234.64000000000001</v>
      </c>
      <c r="GN22" s="11">
        <v>6.6</v>
      </c>
      <c r="GO22" s="230">
        <f t="shared" si="23"/>
        <v>1548.624</v>
      </c>
      <c r="GP22" s="31"/>
      <c r="GQ22" s="30"/>
      <c r="GR22" s="1">
        <f t="shared" si="103"/>
        <v>7</v>
      </c>
      <c r="GS22" s="1" t="s">
        <v>23</v>
      </c>
      <c r="GT22" s="1" t="s">
        <v>24</v>
      </c>
      <c r="GU22" s="66" t="s">
        <v>249</v>
      </c>
      <c r="GV22" s="1">
        <f>GT9*1000</f>
        <v>4000</v>
      </c>
      <c r="GW22" s="1">
        <f>16*GT6</f>
        <v>128</v>
      </c>
      <c r="GX22" s="66">
        <f t="shared" si="64"/>
        <v>512</v>
      </c>
      <c r="GY22" s="66">
        <v>6.6</v>
      </c>
      <c r="GZ22" s="160">
        <f t="shared" si="65"/>
        <v>3379.2</v>
      </c>
      <c r="HA22" s="31"/>
      <c r="HB22" s="30"/>
      <c r="HC22" s="1">
        <f t="shared" si="104"/>
        <v>7</v>
      </c>
      <c r="HD22" s="1" t="s">
        <v>60</v>
      </c>
      <c r="HE22" s="1" t="s">
        <v>58</v>
      </c>
      <c r="HF22" s="5" t="s">
        <v>63</v>
      </c>
      <c r="HG22" s="1">
        <v>5000</v>
      </c>
      <c r="HH22" s="1">
        <v>4</v>
      </c>
      <c r="HI22" s="5">
        <f t="shared" si="24"/>
        <v>20</v>
      </c>
      <c r="HJ22" s="5">
        <v>8.3000000000000007</v>
      </c>
      <c r="HK22" s="129">
        <f t="shared" si="25"/>
        <v>166</v>
      </c>
      <c r="HL22" s="31"/>
      <c r="HM22" s="30"/>
      <c r="HN22" s="1">
        <f t="shared" si="66"/>
        <v>7</v>
      </c>
      <c r="HO22" s="1" t="s">
        <v>74</v>
      </c>
      <c r="HP22" s="1" t="s">
        <v>75</v>
      </c>
      <c r="HQ22" s="11" t="s">
        <v>40</v>
      </c>
      <c r="HR22" s="1">
        <f>HP5*1000</f>
        <v>2500</v>
      </c>
      <c r="HS22" s="1">
        <f>(HP6+1)*2*2</f>
        <v>36</v>
      </c>
      <c r="HT22" s="11">
        <f t="shared" si="26"/>
        <v>90</v>
      </c>
      <c r="HU22" s="11">
        <v>6.6</v>
      </c>
      <c r="HV22" s="230">
        <f t="shared" si="27"/>
        <v>594</v>
      </c>
      <c r="HW22" s="31"/>
      <c r="HX22" s="30"/>
      <c r="HY22" s="1">
        <f t="shared" si="105"/>
        <v>7</v>
      </c>
      <c r="HZ22" s="1" t="s">
        <v>94</v>
      </c>
      <c r="IA22" s="1" t="s">
        <v>25</v>
      </c>
      <c r="IB22" s="5" t="s">
        <v>63</v>
      </c>
      <c r="IC22" s="1">
        <f>IA9*1000</f>
        <v>4500</v>
      </c>
      <c r="ID22" s="1">
        <f>IA6*3*IA8</f>
        <v>21</v>
      </c>
      <c r="IE22" s="5">
        <f t="shared" si="106"/>
        <v>94.5</v>
      </c>
      <c r="IF22" s="5">
        <v>8.3000000000000007</v>
      </c>
      <c r="IG22" s="43">
        <f t="shared" si="107"/>
        <v>784.35</v>
      </c>
      <c r="IH22" s="31"/>
      <c r="II22" s="30"/>
      <c r="IJ22" s="1">
        <f t="shared" si="108"/>
        <v>7</v>
      </c>
      <c r="IK22" s="1" t="s">
        <v>61</v>
      </c>
      <c r="IL22" s="1" t="s">
        <v>59</v>
      </c>
      <c r="IM22" s="109" t="s">
        <v>258</v>
      </c>
      <c r="IN22" s="1">
        <f>IN19+4400</f>
        <v>8400</v>
      </c>
      <c r="IO22" s="1">
        <v>4</v>
      </c>
      <c r="IP22" s="109">
        <f t="shared" si="30"/>
        <v>33.6</v>
      </c>
      <c r="IQ22" s="109">
        <v>28</v>
      </c>
      <c r="IR22" s="149">
        <f t="shared" si="31"/>
        <v>940.80000000000007</v>
      </c>
      <c r="IS22" s="31"/>
      <c r="IT22" s="30"/>
      <c r="IU22" s="1">
        <f t="shared" si="109"/>
        <v>7</v>
      </c>
      <c r="IV22" s="1" t="s">
        <v>92</v>
      </c>
      <c r="IW22" s="1" t="s">
        <v>93</v>
      </c>
      <c r="IX22" s="3" t="s">
        <v>62</v>
      </c>
      <c r="IY22" s="1">
        <f>IY24+990</f>
        <v>4990</v>
      </c>
      <c r="IZ22" s="1">
        <v>4</v>
      </c>
      <c r="JA22" s="3">
        <f t="shared" si="118"/>
        <v>19.96</v>
      </c>
      <c r="JB22" s="3">
        <v>10.1</v>
      </c>
      <c r="JC22" s="144">
        <f t="shared" si="119"/>
        <v>201.596</v>
      </c>
      <c r="JD22" s="31"/>
      <c r="JE22" s="30"/>
      <c r="JF22" s="1">
        <f t="shared" si="67"/>
        <v>7</v>
      </c>
      <c r="JG22" s="1" t="s">
        <v>130</v>
      </c>
      <c r="JH22" s="1" t="s">
        <v>131</v>
      </c>
      <c r="JI22" s="5" t="s">
        <v>63</v>
      </c>
      <c r="JJ22" s="1">
        <f>JJ23</f>
        <v>4800</v>
      </c>
      <c r="JK22" s="1">
        <f>4*JH6</f>
        <v>76</v>
      </c>
      <c r="JL22" s="5">
        <f t="shared" si="32"/>
        <v>364.8</v>
      </c>
      <c r="JM22" s="5">
        <v>8.3000000000000007</v>
      </c>
      <c r="JN22" s="106">
        <f t="shared" si="33"/>
        <v>3027.84</v>
      </c>
      <c r="JO22" s="31"/>
      <c r="JP22" s="30"/>
      <c r="JQ22" s="1">
        <f t="shared" si="68"/>
        <v>7</v>
      </c>
      <c r="JR22" s="49" t="s">
        <v>250</v>
      </c>
      <c r="JS22" s="1" t="s">
        <v>131</v>
      </c>
      <c r="JT22" s="5" t="s">
        <v>63</v>
      </c>
      <c r="JU22" s="1">
        <f>JS9*1000</f>
        <v>5000</v>
      </c>
      <c r="JV22" s="1">
        <f>4*JS6</f>
        <v>76</v>
      </c>
      <c r="JW22" s="5">
        <f t="shared" si="120"/>
        <v>380</v>
      </c>
      <c r="JX22" s="5">
        <v>8.3000000000000007</v>
      </c>
      <c r="JY22" s="197">
        <f t="shared" si="121"/>
        <v>3154.0000000000005</v>
      </c>
      <c r="JZ22" s="31"/>
      <c r="KA22" s="30"/>
      <c r="KB22" s="1">
        <f t="shared" si="69"/>
        <v>7</v>
      </c>
      <c r="KC22" s="49" t="s">
        <v>250</v>
      </c>
      <c r="KD22" s="1" t="s">
        <v>131</v>
      </c>
      <c r="KE22" s="5" t="s">
        <v>63</v>
      </c>
      <c r="KF22" s="1">
        <f>KD9*1000</f>
        <v>5000</v>
      </c>
      <c r="KG22" s="1">
        <f>4*KD6</f>
        <v>76</v>
      </c>
      <c r="KH22" s="5">
        <f t="shared" si="122"/>
        <v>380</v>
      </c>
      <c r="KI22" s="5">
        <v>8.3000000000000007</v>
      </c>
      <c r="KJ22" s="197">
        <f t="shared" si="123"/>
        <v>3154.0000000000005</v>
      </c>
      <c r="KK22" s="31"/>
      <c r="KL22" s="30"/>
      <c r="KM22" s="1">
        <f t="shared" si="70"/>
        <v>7</v>
      </c>
      <c r="KN22" s="1" t="s">
        <v>244</v>
      </c>
      <c r="KO22" s="1" t="s">
        <v>131</v>
      </c>
      <c r="KP22" s="5" t="s">
        <v>63</v>
      </c>
      <c r="KQ22" s="1">
        <f>KO9*1000</f>
        <v>4800</v>
      </c>
      <c r="KR22" s="1">
        <f>2*KO6</f>
        <v>38</v>
      </c>
      <c r="KS22" s="5">
        <f>KQ22/1000*KR22</f>
        <v>182.4</v>
      </c>
      <c r="KT22" s="5">
        <v>8.3000000000000007</v>
      </c>
      <c r="KU22" s="129">
        <f>KS22*KT22</f>
        <v>1513.92</v>
      </c>
      <c r="KV22" s="31"/>
      <c r="KW22" s="30"/>
      <c r="KX22" s="1">
        <f t="shared" si="112"/>
        <v>7</v>
      </c>
      <c r="KY22" s="1" t="s">
        <v>143</v>
      </c>
      <c r="KZ22" s="1" t="s">
        <v>144</v>
      </c>
      <c r="LA22" s="3" t="s">
        <v>62</v>
      </c>
      <c r="LB22" s="49">
        <v>3550</v>
      </c>
      <c r="LC22" s="49">
        <f>(KZ7-1)*2*2</f>
        <v>188</v>
      </c>
      <c r="LD22" s="3">
        <f t="shared" si="142"/>
        <v>667.4</v>
      </c>
      <c r="LE22" s="3">
        <v>10.1</v>
      </c>
      <c r="LF22" s="108">
        <f t="shared" si="143"/>
        <v>6740.74</v>
      </c>
      <c r="LG22" s="31"/>
      <c r="LH22" s="30"/>
      <c r="LI22" s="1">
        <f t="shared" si="113"/>
        <v>7</v>
      </c>
      <c r="LJ22" s="1" t="s">
        <v>219</v>
      </c>
      <c r="LK22" s="1" t="s">
        <v>220</v>
      </c>
      <c r="LL22" s="50" t="s">
        <v>218</v>
      </c>
      <c r="LM22" s="49">
        <v>23400</v>
      </c>
      <c r="LN22" s="49">
        <f>(LK6+1)*2*2</f>
        <v>80</v>
      </c>
      <c r="LO22" s="51">
        <f t="shared" si="136"/>
        <v>1872</v>
      </c>
      <c r="LP22" s="51">
        <v>3.4</v>
      </c>
      <c r="LQ22" s="246">
        <f t="shared" si="137"/>
        <v>6364.8</v>
      </c>
      <c r="LR22" s="31"/>
      <c r="LS22" s="30"/>
      <c r="LT22" s="1">
        <f t="shared" si="124"/>
        <v>4</v>
      </c>
      <c r="LU22" s="1" t="s">
        <v>149</v>
      </c>
      <c r="LV22" s="1" t="s">
        <v>150</v>
      </c>
      <c r="LW22" s="176" t="s">
        <v>218</v>
      </c>
      <c r="LX22" s="1">
        <v>600</v>
      </c>
      <c r="LY22" s="1">
        <f>((LV6-1)*2)</f>
        <v>10</v>
      </c>
      <c r="LZ22" s="176">
        <f t="shared" si="125"/>
        <v>6</v>
      </c>
      <c r="MA22" s="176">
        <v>3.3</v>
      </c>
      <c r="MB22" s="257">
        <f t="shared" si="126"/>
        <v>19.799999999999997</v>
      </c>
      <c r="MC22" s="31"/>
      <c r="ME22" s="30"/>
      <c r="MF22" s="1">
        <f t="shared" si="127"/>
        <v>4</v>
      </c>
      <c r="MG22" s="1" t="s">
        <v>149</v>
      </c>
      <c r="MH22" s="1" t="s">
        <v>150</v>
      </c>
      <c r="MI22" s="176" t="s">
        <v>218</v>
      </c>
      <c r="MJ22" s="1">
        <v>600</v>
      </c>
      <c r="MK22" s="1">
        <f>((MH6-1)*2)</f>
        <v>8</v>
      </c>
      <c r="ML22" s="176">
        <f t="shared" si="128"/>
        <v>4.8</v>
      </c>
      <c r="MM22" s="176">
        <v>3.3</v>
      </c>
      <c r="MN22" s="257">
        <f t="shared" si="129"/>
        <v>15.839999999999998</v>
      </c>
      <c r="MO22" s="31"/>
      <c r="MQ22" s="30"/>
      <c r="MR22" s="1">
        <f t="shared" ref="MR22:MR23" si="151">MR21+1</f>
        <v>6</v>
      </c>
      <c r="MS22" s="1" t="s">
        <v>60</v>
      </c>
      <c r="MT22" s="1" t="s">
        <v>58</v>
      </c>
      <c r="MU22" s="3" t="s">
        <v>62</v>
      </c>
      <c r="MV22" s="1">
        <f>MV17+100</f>
        <v>5600</v>
      </c>
      <c r="MW22" s="49">
        <v>4</v>
      </c>
      <c r="MX22" s="3">
        <f t="shared" ref="MX22" si="152">MV22/1000*MW22</f>
        <v>22.4</v>
      </c>
      <c r="MY22" s="3">
        <v>10.1</v>
      </c>
      <c r="MZ22" s="261">
        <f t="shared" ref="MZ22" si="153">MX22*MY22</f>
        <v>226.23999999999998</v>
      </c>
      <c r="NA22" s="31"/>
      <c r="ND22" s="30"/>
      <c r="NE22" s="1"/>
      <c r="NF22" s="1"/>
      <c r="NG22" s="1"/>
      <c r="NH22" s="5"/>
      <c r="NI22" s="1"/>
      <c r="NJ22" s="1"/>
      <c r="NK22" s="5"/>
      <c r="NL22" s="5"/>
      <c r="NM22" s="263"/>
      <c r="NN22" s="31"/>
      <c r="NP22" s="30"/>
      <c r="NQ22" s="1">
        <f t="shared" ref="NQ22" si="154">NQ21+1</f>
        <v>7</v>
      </c>
      <c r="NR22" s="1" t="s">
        <v>346</v>
      </c>
      <c r="NS22" s="1"/>
      <c r="NT22" s="5" t="s">
        <v>63</v>
      </c>
      <c r="NU22" s="1">
        <v>2100</v>
      </c>
      <c r="NV22" s="1">
        <v>2</v>
      </c>
      <c r="NW22" s="5">
        <f t="shared" si="71"/>
        <v>4.2</v>
      </c>
      <c r="NX22" s="5">
        <v>8.3000000000000007</v>
      </c>
      <c r="NY22" s="263">
        <f t="shared" si="72"/>
        <v>34.860000000000007</v>
      </c>
      <c r="NZ22" s="31"/>
      <c r="OC22" s="30"/>
      <c r="OD22" s="1">
        <f t="shared" ref="OD22" si="155">OD21+1</f>
        <v>7</v>
      </c>
      <c r="OE22" s="1" t="s">
        <v>346</v>
      </c>
      <c r="OF22" s="1"/>
      <c r="OG22" s="5" t="s">
        <v>63</v>
      </c>
      <c r="OH22" s="1">
        <v>2100</v>
      </c>
      <c r="OI22" s="1">
        <v>2</v>
      </c>
      <c r="OJ22" s="5">
        <f t="shared" si="73"/>
        <v>4.2</v>
      </c>
      <c r="OK22" s="5">
        <v>8.3000000000000007</v>
      </c>
      <c r="OL22" s="263">
        <f t="shared" si="74"/>
        <v>34.860000000000007</v>
      </c>
      <c r="OM22" s="31"/>
      <c r="OP22" s="30"/>
      <c r="OQ22" s="1">
        <f t="shared" ref="OQ22" si="156">OQ21+1</f>
        <v>7</v>
      </c>
      <c r="OR22" s="1" t="s">
        <v>346</v>
      </c>
      <c r="OS22" s="1"/>
      <c r="OT22" s="5" t="s">
        <v>63</v>
      </c>
      <c r="OU22" s="1">
        <v>2100</v>
      </c>
      <c r="OV22" s="1">
        <v>2</v>
      </c>
      <c r="OW22" s="5">
        <f t="shared" si="75"/>
        <v>4.2</v>
      </c>
      <c r="OX22" s="5">
        <v>8.3000000000000007</v>
      </c>
      <c r="OY22" s="263">
        <f t="shared" si="76"/>
        <v>34.860000000000007</v>
      </c>
      <c r="OZ22" s="31"/>
      <c r="PD22" s="30"/>
      <c r="PE22" s="1">
        <f t="shared" ref="PE22" si="157">PE21+1</f>
        <v>7</v>
      </c>
      <c r="PF22" s="1" t="s">
        <v>346</v>
      </c>
      <c r="PG22" s="1"/>
      <c r="PH22" s="5" t="s">
        <v>63</v>
      </c>
      <c r="PI22" s="1">
        <v>2100</v>
      </c>
      <c r="PJ22" s="1">
        <v>2</v>
      </c>
      <c r="PK22" s="5">
        <f t="shared" si="77"/>
        <v>4.2</v>
      </c>
      <c r="PL22" s="5">
        <v>8.3000000000000007</v>
      </c>
      <c r="PM22" s="263">
        <f t="shared" si="78"/>
        <v>34.860000000000007</v>
      </c>
      <c r="PN22" s="31"/>
      <c r="PQ22" s="30"/>
      <c r="PR22" s="1">
        <f t="shared" ref="PR22" si="158">PR21+1</f>
        <v>7</v>
      </c>
      <c r="PS22" s="1" t="s">
        <v>346</v>
      </c>
      <c r="PT22" s="1"/>
      <c r="PU22" s="5" t="s">
        <v>63</v>
      </c>
      <c r="PV22" s="1">
        <v>2100</v>
      </c>
      <c r="PW22" s="1">
        <v>2</v>
      </c>
      <c r="PX22" s="5">
        <f t="shared" si="79"/>
        <v>4.2</v>
      </c>
      <c r="PY22" s="5">
        <v>8.3000000000000007</v>
      </c>
      <c r="PZ22" s="263">
        <f t="shared" si="80"/>
        <v>34.860000000000007</v>
      </c>
      <c r="QA22" s="31"/>
      <c r="QD22" s="30"/>
      <c r="QE22" s="1">
        <f t="shared" ref="QE22" si="159">QE21+1</f>
        <v>7</v>
      </c>
      <c r="QF22" s="1" t="s">
        <v>346</v>
      </c>
      <c r="QG22" s="1"/>
      <c r="QH22" s="296" t="s">
        <v>353</v>
      </c>
      <c r="QI22" s="1">
        <v>2100</v>
      </c>
      <c r="QJ22" s="1">
        <v>2</v>
      </c>
      <c r="QK22" s="296">
        <f t="shared" si="81"/>
        <v>4.2</v>
      </c>
      <c r="QL22" s="296">
        <v>7.1</v>
      </c>
      <c r="QM22" s="297">
        <f t="shared" si="82"/>
        <v>29.82</v>
      </c>
      <c r="QN22" s="31"/>
      <c r="QQ22" s="30"/>
      <c r="QR22" s="1">
        <f t="shared" ref="QR22" si="160">QR21+1</f>
        <v>7</v>
      </c>
      <c r="QS22" s="1" t="s">
        <v>346</v>
      </c>
      <c r="QT22" s="1"/>
      <c r="QU22" s="5" t="s">
        <v>63</v>
      </c>
      <c r="QV22" s="1">
        <v>2100</v>
      </c>
      <c r="QW22" s="1">
        <v>2</v>
      </c>
      <c r="QX22" s="5">
        <f t="shared" si="83"/>
        <v>4.2</v>
      </c>
      <c r="QY22" s="5">
        <v>8.3000000000000007</v>
      </c>
      <c r="QZ22" s="263">
        <f t="shared" si="84"/>
        <v>34.860000000000007</v>
      </c>
      <c r="RA22" s="31"/>
    </row>
    <row r="23" spans="1:469" x14ac:dyDescent="0.25">
      <c r="A23" s="30"/>
      <c r="B23" s="1">
        <f t="shared" si="85"/>
        <v>8</v>
      </c>
      <c r="C23" s="1" t="s">
        <v>320</v>
      </c>
      <c r="D23" s="1" t="s">
        <v>321</v>
      </c>
      <c r="E23" s="11" t="s">
        <v>40</v>
      </c>
      <c r="F23" s="1">
        <v>2100</v>
      </c>
      <c r="G23" s="1">
        <v>2</v>
      </c>
      <c r="H23" s="11">
        <f>F23/1000*G23</f>
        <v>4.2</v>
      </c>
      <c r="I23" s="11">
        <v>6.6</v>
      </c>
      <c r="J23" s="213">
        <f>H23*I23</f>
        <v>27.72</v>
      </c>
      <c r="K23" s="31"/>
      <c r="L23" s="30"/>
      <c r="M23" s="1">
        <f t="shared" si="86"/>
        <v>8</v>
      </c>
      <c r="N23" s="1" t="s">
        <v>320</v>
      </c>
      <c r="O23" s="1" t="s">
        <v>321</v>
      </c>
      <c r="P23" s="11" t="s">
        <v>40</v>
      </c>
      <c r="Q23" s="1">
        <v>2200</v>
      </c>
      <c r="R23" s="1">
        <v>4</v>
      </c>
      <c r="S23" s="11">
        <f>Q23/1000*R23</f>
        <v>8.8000000000000007</v>
      </c>
      <c r="T23" s="11">
        <v>6.6</v>
      </c>
      <c r="U23" s="252">
        <f>S23*T23</f>
        <v>58.08</v>
      </c>
      <c r="V23" s="31"/>
      <c r="W23" s="30"/>
      <c r="X23" s="1">
        <f t="shared" si="87"/>
        <v>8</v>
      </c>
      <c r="Y23" s="1" t="s">
        <v>10</v>
      </c>
      <c r="Z23" s="1" t="s">
        <v>11</v>
      </c>
      <c r="AA23" s="25">
        <v>2.5</v>
      </c>
      <c r="AB23" s="1"/>
      <c r="AC23" s="1">
        <f>AC19*2+AC21*2</f>
        <v>100</v>
      </c>
      <c r="AD23" s="25"/>
      <c r="AE23" s="25">
        <v>1.5</v>
      </c>
      <c r="AF23" s="210">
        <f>AC23*AE23</f>
        <v>150</v>
      </c>
      <c r="AG23" s="31"/>
      <c r="AH23" s="30"/>
      <c r="AI23" s="18"/>
      <c r="AJ23" s="18"/>
      <c r="AK23" s="18"/>
      <c r="AL23" s="18"/>
      <c r="AM23" s="18"/>
      <c r="AN23" s="18"/>
      <c r="AO23" s="13" t="s">
        <v>37</v>
      </c>
      <c r="AP23" s="13"/>
      <c r="AQ23" s="14">
        <f>SUM(AQ16:AQ21)</f>
        <v>3838.1376000000005</v>
      </c>
      <c r="AR23" s="31"/>
      <c r="AS23" s="30"/>
      <c r="AT23" s="1">
        <f>AT21+1</f>
        <v>7</v>
      </c>
      <c r="AU23" s="1" t="s">
        <v>10</v>
      </c>
      <c r="AV23" s="1" t="s">
        <v>43</v>
      </c>
      <c r="AW23" s="25">
        <v>2.5</v>
      </c>
      <c r="AX23" s="1"/>
      <c r="AY23" s="1">
        <f>(AY17+AY19+AY21+AY22)*2</f>
        <v>184</v>
      </c>
      <c r="AZ23" s="25"/>
      <c r="BA23" s="25">
        <v>1.2</v>
      </c>
      <c r="BB23" s="26">
        <f>AY23*BA23</f>
        <v>220.79999999999998</v>
      </c>
      <c r="BC23" s="31"/>
      <c r="BD23" s="30"/>
      <c r="BE23" s="1">
        <f>BE21+1</f>
        <v>7</v>
      </c>
      <c r="BF23" s="1" t="s">
        <v>10</v>
      </c>
      <c r="BG23" s="1" t="s">
        <v>43</v>
      </c>
      <c r="BH23" s="25">
        <v>2.5</v>
      </c>
      <c r="BI23" s="1"/>
      <c r="BJ23" s="1">
        <f>(BJ17+BJ19+BJ21+BJ22)*2</f>
        <v>208</v>
      </c>
      <c r="BK23" s="25"/>
      <c r="BL23" s="25">
        <v>1.2</v>
      </c>
      <c r="BM23" s="210">
        <f>BJ23*BL23</f>
        <v>249.6</v>
      </c>
      <c r="BN23" s="31"/>
      <c r="BO23" s="30"/>
      <c r="BP23" s="1">
        <f t="shared" si="91"/>
        <v>8</v>
      </c>
      <c r="BQ23" s="1" t="s">
        <v>308</v>
      </c>
      <c r="BR23" s="1" t="s">
        <v>309</v>
      </c>
      <c r="BS23" s="131" t="s">
        <v>310</v>
      </c>
      <c r="BT23" s="1">
        <f>BR9*1000</f>
        <v>5000</v>
      </c>
      <c r="BU23" s="49">
        <f>BR6*2</f>
        <v>10</v>
      </c>
      <c r="BV23" s="131">
        <f t="shared" si="138"/>
        <v>50</v>
      </c>
      <c r="BW23" s="131">
        <v>4</v>
      </c>
      <c r="BX23" s="209">
        <f t="shared" si="139"/>
        <v>200</v>
      </c>
      <c r="BY23" s="31"/>
      <c r="BZ23" s="30"/>
      <c r="CA23" s="1">
        <f>CA22+1</f>
        <v>8</v>
      </c>
      <c r="CB23" s="1" t="s">
        <v>10</v>
      </c>
      <c r="CC23" s="1" t="s">
        <v>11</v>
      </c>
      <c r="CD23" s="25">
        <v>2.5</v>
      </c>
      <c r="CE23" s="1"/>
      <c r="CF23" s="1">
        <f>(CF17+CF19+CF22)*2</f>
        <v>220</v>
      </c>
      <c r="CG23" s="25"/>
      <c r="CH23" s="25">
        <v>1.5</v>
      </c>
      <c r="CI23" s="26">
        <f>CF23*CH23</f>
        <v>330</v>
      </c>
      <c r="CJ23" s="31"/>
      <c r="CK23" s="30"/>
      <c r="CL23" s="1">
        <f t="shared" si="53"/>
        <v>8</v>
      </c>
      <c r="CM23" s="1" t="s">
        <v>60</v>
      </c>
      <c r="CN23" s="1" t="s">
        <v>58</v>
      </c>
      <c r="CO23" s="5" t="s">
        <v>63</v>
      </c>
      <c r="CP23" s="1">
        <f>CP21+1200-4000</f>
        <v>6200</v>
      </c>
      <c r="CQ23" s="1">
        <v>8</v>
      </c>
      <c r="CR23" s="5">
        <f t="shared" si="16"/>
        <v>49.6</v>
      </c>
      <c r="CS23" s="5">
        <v>8.3000000000000007</v>
      </c>
      <c r="CT23" s="171">
        <f t="shared" si="17"/>
        <v>411.68000000000006</v>
      </c>
      <c r="CU23" s="31"/>
      <c r="CV23" s="30"/>
      <c r="CW23" s="1"/>
      <c r="CX23" s="1"/>
      <c r="CY23" s="1"/>
      <c r="CZ23" s="5"/>
      <c r="DA23" s="1"/>
      <c r="DB23" s="1"/>
      <c r="DC23" s="5"/>
      <c r="DD23" s="5"/>
      <c r="DE23" s="43"/>
      <c r="DF23" s="31"/>
      <c r="DG23" s="30"/>
      <c r="DH23" s="1">
        <f t="shared" si="94"/>
        <v>8</v>
      </c>
      <c r="DI23" s="1" t="s">
        <v>94</v>
      </c>
      <c r="DJ23" s="1" t="s">
        <v>25</v>
      </c>
      <c r="DK23" s="5" t="s">
        <v>63</v>
      </c>
      <c r="DL23" s="1">
        <f>DJ9*1000</f>
        <v>4000</v>
      </c>
      <c r="DM23" s="1">
        <f>2*DJ6*DJ8</f>
        <v>14</v>
      </c>
      <c r="DN23" s="5">
        <f>DL23/1000*DM23</f>
        <v>56</v>
      </c>
      <c r="DO23" s="5">
        <v>8.3000000000000007</v>
      </c>
      <c r="DP23" s="43">
        <f>DN23*DO23</f>
        <v>464.80000000000007</v>
      </c>
      <c r="DQ23" s="31"/>
      <c r="DR23" s="30"/>
      <c r="DS23" s="1">
        <f t="shared" si="115"/>
        <v>5</v>
      </c>
      <c r="DT23" s="1"/>
      <c r="DU23" s="1"/>
      <c r="DV23" s="5"/>
      <c r="DW23" s="1"/>
      <c r="DX23" s="1"/>
      <c r="DY23" s="5"/>
      <c r="DZ23" s="227"/>
      <c r="EA23" s="129"/>
      <c r="EB23" s="31"/>
      <c r="EC23" s="30"/>
      <c r="ED23" s="1">
        <f t="shared" si="95"/>
        <v>8</v>
      </c>
      <c r="EE23" s="1" t="s">
        <v>121</v>
      </c>
      <c r="EF23" s="1" t="s">
        <v>122</v>
      </c>
      <c r="EG23" s="5" t="s">
        <v>63</v>
      </c>
      <c r="EH23" s="1">
        <f>EH24</f>
        <v>4800</v>
      </c>
      <c r="EI23" s="1">
        <f>(EI18/2+1)*3</f>
        <v>30</v>
      </c>
      <c r="EJ23" s="5">
        <f t="shared" si="58"/>
        <v>144</v>
      </c>
      <c r="EK23" s="5">
        <v>8.3000000000000007</v>
      </c>
      <c r="EL23" s="106">
        <f t="shared" si="59"/>
        <v>1195.2</v>
      </c>
      <c r="EM23" s="31"/>
      <c r="EN23" s="30"/>
      <c r="EO23" s="1">
        <f t="shared" si="96"/>
        <v>8</v>
      </c>
      <c r="EP23" s="1" t="s">
        <v>121</v>
      </c>
      <c r="EQ23" s="1" t="s">
        <v>122</v>
      </c>
      <c r="ER23" s="5" t="s">
        <v>63</v>
      </c>
      <c r="ES23" s="1">
        <f>ES24</f>
        <v>4800</v>
      </c>
      <c r="ET23" s="49">
        <f>(ET18/2-1)*3</f>
        <v>24</v>
      </c>
      <c r="EU23" s="5">
        <f t="shared" si="97"/>
        <v>115.19999999999999</v>
      </c>
      <c r="EV23" s="5">
        <v>8.3000000000000007</v>
      </c>
      <c r="EW23" s="87">
        <f t="shared" si="98"/>
        <v>956.16</v>
      </c>
      <c r="EX23" s="31"/>
      <c r="EY23" s="30"/>
      <c r="EZ23" s="1">
        <f t="shared" si="99"/>
        <v>8</v>
      </c>
      <c r="FA23" s="1" t="s">
        <v>97</v>
      </c>
      <c r="FB23" s="1" t="s">
        <v>80</v>
      </c>
      <c r="FC23" s="5" t="s">
        <v>63</v>
      </c>
      <c r="FD23" s="1">
        <v>4500</v>
      </c>
      <c r="FE23" s="1">
        <v>8</v>
      </c>
      <c r="FF23" s="5">
        <f t="shared" si="134"/>
        <v>36</v>
      </c>
      <c r="FG23" s="5">
        <v>8.3000000000000007</v>
      </c>
      <c r="FH23" s="43">
        <f t="shared" si="135"/>
        <v>298.8</v>
      </c>
      <c r="FI23" s="31"/>
      <c r="FJ23" s="30"/>
      <c r="FK23" s="1">
        <f t="shared" si="100"/>
        <v>8</v>
      </c>
      <c r="FL23" s="1" t="s">
        <v>96</v>
      </c>
      <c r="FM23" s="1" t="s">
        <v>79</v>
      </c>
      <c r="FN23" s="11" t="s">
        <v>40</v>
      </c>
      <c r="FO23" s="1">
        <v>4500</v>
      </c>
      <c r="FP23" s="1">
        <v>16</v>
      </c>
      <c r="FQ23" s="11">
        <f t="shared" si="20"/>
        <v>72</v>
      </c>
      <c r="FR23" s="11">
        <v>6.6</v>
      </c>
      <c r="FS23" s="167">
        <f t="shared" si="21"/>
        <v>475.2</v>
      </c>
      <c r="FT23" s="31"/>
      <c r="FU23" s="30"/>
      <c r="FV23" s="1">
        <f t="shared" si="101"/>
        <v>8</v>
      </c>
      <c r="FW23" s="1" t="s">
        <v>172</v>
      </c>
      <c r="FX23" s="1" t="s">
        <v>173</v>
      </c>
      <c r="FY23" s="11" t="s">
        <v>40</v>
      </c>
      <c r="FZ23" s="1">
        <v>3250</v>
      </c>
      <c r="GA23" s="1">
        <f>(FX6-1)*2*2</f>
        <v>24</v>
      </c>
      <c r="GB23" s="11">
        <f t="shared" si="62"/>
        <v>78</v>
      </c>
      <c r="GC23" s="11">
        <v>6.6</v>
      </c>
      <c r="GD23" s="126">
        <f t="shared" si="63"/>
        <v>514.79999999999995</v>
      </c>
      <c r="GE23" s="31"/>
      <c r="GF23" s="30"/>
      <c r="GG23" s="1">
        <f t="shared" si="102"/>
        <v>8</v>
      </c>
      <c r="GH23" s="1" t="s">
        <v>143</v>
      </c>
      <c r="GI23" s="1" t="s">
        <v>168</v>
      </c>
      <c r="GJ23" s="11" t="s">
        <v>40</v>
      </c>
      <c r="GK23" s="49">
        <v>3440</v>
      </c>
      <c r="GL23" s="49">
        <f>(GI6-1)*2*2</f>
        <v>56</v>
      </c>
      <c r="GM23" s="11">
        <f t="shared" si="22"/>
        <v>192.64</v>
      </c>
      <c r="GN23" s="11">
        <v>6.6</v>
      </c>
      <c r="GO23" s="230">
        <f t="shared" si="23"/>
        <v>1271.4239999999998</v>
      </c>
      <c r="GP23" s="31"/>
      <c r="GQ23" s="30"/>
      <c r="GR23" s="1">
        <f t="shared" si="103"/>
        <v>8</v>
      </c>
      <c r="GS23" s="1" t="s">
        <v>41</v>
      </c>
      <c r="GT23" s="1" t="s">
        <v>42</v>
      </c>
      <c r="GU23" s="3" t="s">
        <v>62</v>
      </c>
      <c r="GV23" s="1">
        <f>GT5*1000+1000</f>
        <v>7800</v>
      </c>
      <c r="GW23" s="1">
        <f>4+4*GT6</f>
        <v>36</v>
      </c>
      <c r="GX23" s="3">
        <f t="shared" si="64"/>
        <v>280.8</v>
      </c>
      <c r="GY23" s="3">
        <v>10.1</v>
      </c>
      <c r="GZ23" s="158">
        <f t="shared" si="65"/>
        <v>2836.08</v>
      </c>
      <c r="HA23" s="31"/>
      <c r="HB23" s="30"/>
      <c r="HC23" s="1">
        <f t="shared" si="104"/>
        <v>8</v>
      </c>
      <c r="HD23" s="1" t="s">
        <v>61</v>
      </c>
      <c r="HE23" s="1" t="s">
        <v>59</v>
      </c>
      <c r="HF23" s="5" t="s">
        <v>63</v>
      </c>
      <c r="HG23" s="1">
        <v>6000</v>
      </c>
      <c r="HH23" s="1">
        <v>4</v>
      </c>
      <c r="HI23" s="5">
        <f t="shared" si="24"/>
        <v>24</v>
      </c>
      <c r="HJ23" s="5">
        <v>8.3000000000000007</v>
      </c>
      <c r="HK23" s="129">
        <f t="shared" si="25"/>
        <v>199.20000000000002</v>
      </c>
      <c r="HL23" s="31"/>
      <c r="HM23" s="30"/>
      <c r="HN23" s="1">
        <f t="shared" si="66"/>
        <v>8</v>
      </c>
      <c r="HO23" s="1" t="s">
        <v>77</v>
      </c>
      <c r="HP23" s="1" t="s">
        <v>76</v>
      </c>
      <c r="HQ23" s="11" t="s">
        <v>40</v>
      </c>
      <c r="HR23" s="1">
        <f>HR22+1800</f>
        <v>4300</v>
      </c>
      <c r="HS23" s="1">
        <f>(HP6+1)*2</f>
        <v>18</v>
      </c>
      <c r="HT23" s="11">
        <f t="shared" si="26"/>
        <v>77.399999999999991</v>
      </c>
      <c r="HU23" s="11">
        <v>6.6</v>
      </c>
      <c r="HV23" s="230">
        <f t="shared" si="27"/>
        <v>510.83999999999992</v>
      </c>
      <c r="HW23" s="31"/>
      <c r="HX23" s="30"/>
      <c r="HY23" s="1">
        <f t="shared" si="105"/>
        <v>8</v>
      </c>
      <c r="HZ23" s="1" t="s">
        <v>60</v>
      </c>
      <c r="IA23" s="1" t="s">
        <v>58</v>
      </c>
      <c r="IB23" s="3" t="s">
        <v>62</v>
      </c>
      <c r="IC23" s="1">
        <f>IC18+4050</f>
        <v>7650</v>
      </c>
      <c r="ID23" s="1">
        <v>4</v>
      </c>
      <c r="IE23" s="3">
        <f t="shared" si="106"/>
        <v>30.6</v>
      </c>
      <c r="IF23" s="3">
        <v>10.1</v>
      </c>
      <c r="IG23" s="41">
        <f t="shared" si="107"/>
        <v>309.06</v>
      </c>
      <c r="IH23" s="31"/>
      <c r="II23" s="30"/>
      <c r="IJ23" s="1">
        <f t="shared" si="108"/>
        <v>8</v>
      </c>
      <c r="IK23" s="1" t="s">
        <v>60</v>
      </c>
      <c r="IL23" s="1" t="s">
        <v>58</v>
      </c>
      <c r="IM23" s="109" t="s">
        <v>258</v>
      </c>
      <c r="IN23" s="1">
        <f>IN19+5100</f>
        <v>9100</v>
      </c>
      <c r="IO23" s="1">
        <v>4</v>
      </c>
      <c r="IP23" s="109">
        <f t="shared" si="30"/>
        <v>36.4</v>
      </c>
      <c r="IQ23" s="109">
        <v>28</v>
      </c>
      <c r="IR23" s="149">
        <f t="shared" si="31"/>
        <v>1019.1999999999999</v>
      </c>
      <c r="IS23" s="31"/>
      <c r="IT23" s="30"/>
      <c r="IU23" s="1">
        <f t="shared" si="109"/>
        <v>8</v>
      </c>
      <c r="IV23" s="1" t="s">
        <v>84</v>
      </c>
      <c r="IW23" s="1" t="s">
        <v>85</v>
      </c>
      <c r="IX23" s="3" t="s">
        <v>62</v>
      </c>
      <c r="IY23" s="1">
        <f>IY24+3000</f>
        <v>7000</v>
      </c>
      <c r="IZ23" s="1">
        <f>4+4*IW6</f>
        <v>80</v>
      </c>
      <c r="JA23" s="3">
        <f>IY23/1000*IZ23</f>
        <v>560</v>
      </c>
      <c r="JB23" s="3">
        <v>10.1</v>
      </c>
      <c r="JC23" s="144">
        <f>JA23*JB23</f>
        <v>5656</v>
      </c>
      <c r="JD23" s="31"/>
      <c r="JE23" s="30"/>
      <c r="JF23" s="1">
        <f t="shared" si="67"/>
        <v>8</v>
      </c>
      <c r="JG23" s="49" t="s">
        <v>133</v>
      </c>
      <c r="JH23" s="1" t="s">
        <v>132</v>
      </c>
      <c r="JI23" s="66" t="s">
        <v>135</v>
      </c>
      <c r="JJ23" s="1">
        <f>JH9*1000</f>
        <v>4800</v>
      </c>
      <c r="JK23" s="1">
        <f>20*JH6</f>
        <v>380</v>
      </c>
      <c r="JL23" s="66">
        <f t="shared" si="32"/>
        <v>1824</v>
      </c>
      <c r="JM23" s="66">
        <v>6.6</v>
      </c>
      <c r="JN23" s="107">
        <f t="shared" si="33"/>
        <v>12038.4</v>
      </c>
      <c r="JO23" s="31"/>
      <c r="JP23" s="30"/>
      <c r="JQ23" s="1">
        <f t="shared" si="68"/>
        <v>8</v>
      </c>
      <c r="JR23" s="49" t="s">
        <v>133</v>
      </c>
      <c r="JS23" s="1" t="s">
        <v>132</v>
      </c>
      <c r="JT23" s="66" t="s">
        <v>135</v>
      </c>
      <c r="JU23" s="1">
        <f>JS9*1000</f>
        <v>5000</v>
      </c>
      <c r="JV23" s="1">
        <f>16*JS6</f>
        <v>304</v>
      </c>
      <c r="JW23" s="66">
        <f t="shared" si="120"/>
        <v>1520</v>
      </c>
      <c r="JX23" s="66">
        <v>6.6</v>
      </c>
      <c r="JY23" s="201">
        <f t="shared" si="121"/>
        <v>10032</v>
      </c>
      <c r="JZ23" s="31"/>
      <c r="KA23" s="30"/>
      <c r="KB23" s="1">
        <f t="shared" si="69"/>
        <v>8</v>
      </c>
      <c r="KC23" s="49" t="s">
        <v>133</v>
      </c>
      <c r="KD23" s="1" t="s">
        <v>132</v>
      </c>
      <c r="KE23" s="66" t="s">
        <v>135</v>
      </c>
      <c r="KF23" s="1">
        <f>KD9*1000</f>
        <v>5000</v>
      </c>
      <c r="KG23" s="1">
        <f>14*KD6</f>
        <v>266</v>
      </c>
      <c r="KH23" s="66">
        <f t="shared" si="122"/>
        <v>1330</v>
      </c>
      <c r="KI23" s="66">
        <v>6.6</v>
      </c>
      <c r="KJ23" s="201">
        <f t="shared" si="123"/>
        <v>8778</v>
      </c>
      <c r="KK23" s="31"/>
      <c r="KL23" s="30"/>
      <c r="KM23" s="1">
        <f t="shared" si="70"/>
        <v>8</v>
      </c>
      <c r="KN23" s="49" t="s">
        <v>133</v>
      </c>
      <c r="KO23" s="1" t="s">
        <v>132</v>
      </c>
      <c r="KP23" s="66" t="s">
        <v>135</v>
      </c>
      <c r="KQ23" s="1">
        <f>KO9*1000</f>
        <v>4800</v>
      </c>
      <c r="KR23" s="1">
        <f>16*KO6</f>
        <v>304</v>
      </c>
      <c r="KS23" s="66">
        <f t="shared" ref="KS23" si="161">KQ23/1000*KR23</f>
        <v>1459.2</v>
      </c>
      <c r="KT23" s="66">
        <v>6.6</v>
      </c>
      <c r="KU23" s="130">
        <f t="shared" ref="KU23" si="162">KS23*KT23</f>
        <v>9630.7199999999993</v>
      </c>
      <c r="KV23" s="31"/>
      <c r="KW23" s="30"/>
      <c r="KX23" s="1">
        <f t="shared" si="112"/>
        <v>8</v>
      </c>
      <c r="KY23" s="1" t="s">
        <v>145</v>
      </c>
      <c r="KZ23" s="1" t="s">
        <v>146</v>
      </c>
      <c r="LA23" s="3" t="s">
        <v>62</v>
      </c>
      <c r="LB23" s="49">
        <v>3815</v>
      </c>
      <c r="LC23" s="49">
        <f>(KZ7-1)*2*2</f>
        <v>188</v>
      </c>
      <c r="LD23" s="3">
        <f t="shared" si="142"/>
        <v>717.22</v>
      </c>
      <c r="LE23" s="3">
        <v>10.1</v>
      </c>
      <c r="LF23" s="108">
        <f t="shared" si="143"/>
        <v>7243.9219999999996</v>
      </c>
      <c r="LG23" s="31"/>
      <c r="LH23" s="30"/>
      <c r="LI23" s="1">
        <f t="shared" si="113"/>
        <v>8</v>
      </c>
      <c r="LJ23" s="1" t="s">
        <v>221</v>
      </c>
      <c r="LK23" s="1" t="s">
        <v>58</v>
      </c>
      <c r="LL23" s="50" t="s">
        <v>218</v>
      </c>
      <c r="LM23" s="49">
        <v>3000</v>
      </c>
      <c r="LN23" s="49">
        <f>(LK6+1)*2*2</f>
        <v>80</v>
      </c>
      <c r="LO23" s="51">
        <f t="shared" si="136"/>
        <v>240</v>
      </c>
      <c r="LP23" s="51">
        <v>3.4</v>
      </c>
      <c r="LQ23" s="246">
        <f t="shared" si="137"/>
        <v>816</v>
      </c>
      <c r="LR23" s="31"/>
      <c r="LS23" s="30"/>
      <c r="LT23" s="1">
        <f t="shared" si="124"/>
        <v>5</v>
      </c>
      <c r="LU23" s="1"/>
      <c r="LV23" s="1"/>
      <c r="LW23" s="5"/>
      <c r="LX23" s="1"/>
      <c r="LY23" s="1"/>
      <c r="LZ23" s="5"/>
      <c r="MA23" s="227"/>
      <c r="MB23" s="129"/>
      <c r="MC23" s="31"/>
      <c r="ME23" s="30"/>
      <c r="MF23" s="1">
        <f t="shared" si="127"/>
        <v>5</v>
      </c>
      <c r="MG23" s="1"/>
      <c r="MH23" s="1"/>
      <c r="MI23" s="5"/>
      <c r="MJ23" s="1"/>
      <c r="MK23" s="1"/>
      <c r="ML23" s="5"/>
      <c r="MM23" s="227"/>
      <c r="MN23" s="129"/>
      <c r="MO23" s="31"/>
      <c r="MQ23" s="30"/>
      <c r="MR23" s="1">
        <f t="shared" si="151"/>
        <v>7</v>
      </c>
      <c r="MS23" s="1" t="s">
        <v>96</v>
      </c>
      <c r="MT23" s="1" t="s">
        <v>79</v>
      </c>
      <c r="MU23" s="5" t="s">
        <v>63</v>
      </c>
      <c r="MV23" s="1">
        <v>5000</v>
      </c>
      <c r="MW23" s="1">
        <v>4</v>
      </c>
      <c r="MX23" s="5">
        <f>MV23/1000*MW23</f>
        <v>20</v>
      </c>
      <c r="MY23" s="5">
        <v>8.3000000000000007</v>
      </c>
      <c r="MZ23" s="263">
        <f>MX23*MY23</f>
        <v>166</v>
      </c>
      <c r="NA23" s="31"/>
      <c r="ND23" s="30"/>
      <c r="NE23" s="1">
        <f t="shared" si="114"/>
        <v>1</v>
      </c>
      <c r="NF23" s="1" t="s">
        <v>23</v>
      </c>
      <c r="NG23" s="1" t="s">
        <v>132</v>
      </c>
      <c r="NH23" s="66" t="s">
        <v>192</v>
      </c>
      <c r="NI23" s="1">
        <f>NG9*1000</f>
        <v>4500</v>
      </c>
      <c r="NJ23" s="1">
        <f>14*NG6</f>
        <v>140</v>
      </c>
      <c r="NK23" s="66">
        <f t="shared" si="0"/>
        <v>630</v>
      </c>
      <c r="NL23" s="66">
        <v>6.5</v>
      </c>
      <c r="NM23" s="262">
        <f t="shared" si="1"/>
        <v>4095</v>
      </c>
      <c r="NN23" s="31"/>
      <c r="NP23" s="30"/>
      <c r="NQ23" s="1"/>
      <c r="NR23" s="1"/>
      <c r="NS23" s="1"/>
      <c r="NT23" s="1"/>
      <c r="NU23" s="1"/>
      <c r="NV23" s="1"/>
      <c r="NW23" s="1"/>
      <c r="NX23" s="1"/>
      <c r="NY23" s="1"/>
      <c r="NZ23" s="31"/>
      <c r="OC23" s="30"/>
      <c r="OD23" s="1"/>
      <c r="OE23" s="1"/>
      <c r="OF23" s="1"/>
      <c r="OG23" s="1"/>
      <c r="OH23" s="1"/>
      <c r="OI23" s="1"/>
      <c r="OJ23" s="1"/>
      <c r="OK23" s="1"/>
      <c r="OL23" s="1"/>
      <c r="OM23" s="31"/>
      <c r="OP23" s="30"/>
      <c r="OQ23" s="1"/>
      <c r="OR23" s="1"/>
      <c r="OS23" s="1"/>
      <c r="OT23" s="1"/>
      <c r="OU23" s="1"/>
      <c r="OV23" s="1"/>
      <c r="OW23" s="1"/>
      <c r="OX23" s="1"/>
      <c r="OY23" s="1"/>
      <c r="OZ23" s="31"/>
      <c r="PD23" s="30"/>
      <c r="PE23" s="1"/>
      <c r="PF23" s="1"/>
      <c r="PG23" s="1"/>
      <c r="PH23" s="1"/>
      <c r="PI23" s="1"/>
      <c r="PJ23" s="1"/>
      <c r="PK23" s="1"/>
      <c r="PL23" s="1"/>
      <c r="PM23" s="1"/>
      <c r="PN23" s="31"/>
      <c r="PQ23" s="30"/>
      <c r="PR23" s="1"/>
      <c r="PS23" s="1"/>
      <c r="PT23" s="1"/>
      <c r="PU23" s="1"/>
      <c r="PV23" s="1"/>
      <c r="PW23" s="1"/>
      <c r="PX23" s="1"/>
      <c r="PY23" s="1"/>
      <c r="PZ23" s="1"/>
      <c r="QA23" s="31"/>
      <c r="QD23" s="30"/>
      <c r="QE23" s="1"/>
      <c r="QF23" s="1"/>
      <c r="QG23" s="1"/>
      <c r="QH23" s="1"/>
      <c r="QI23" s="1"/>
      <c r="QJ23" s="1"/>
      <c r="QK23" s="1"/>
      <c r="QL23" s="1"/>
      <c r="QM23" s="1"/>
      <c r="QN23" s="31"/>
      <c r="QQ23" s="30"/>
      <c r="QR23" s="1"/>
      <c r="QS23" s="1"/>
      <c r="QT23" s="1"/>
      <c r="QU23" s="1"/>
      <c r="QV23" s="1"/>
      <c r="QW23" s="1"/>
      <c r="QX23" s="1"/>
      <c r="QY23" s="1"/>
      <c r="QZ23" s="1"/>
      <c r="RA23" s="31"/>
    </row>
    <row r="24" spans="1:469" x14ac:dyDescent="0.25">
      <c r="A24" s="30"/>
      <c r="B24" s="1">
        <f t="shared" si="85"/>
        <v>9</v>
      </c>
      <c r="C24" s="1" t="s">
        <v>322</v>
      </c>
      <c r="D24" s="1" t="s">
        <v>323</v>
      </c>
      <c r="E24" s="11" t="s">
        <v>40</v>
      </c>
      <c r="F24" s="1">
        <v>1200</v>
      </c>
      <c r="G24" s="1">
        <v>2</v>
      </c>
      <c r="H24" s="11">
        <f>F24/1000*G24</f>
        <v>2.4</v>
      </c>
      <c r="I24" s="11">
        <v>6.6</v>
      </c>
      <c r="J24" s="213">
        <f>H24*I24</f>
        <v>15.839999999999998</v>
      </c>
      <c r="K24" s="31"/>
      <c r="L24" s="30"/>
      <c r="M24" s="1">
        <f t="shared" si="86"/>
        <v>9</v>
      </c>
      <c r="N24" s="1" t="s">
        <v>322</v>
      </c>
      <c r="O24" s="1" t="s">
        <v>323</v>
      </c>
      <c r="P24" s="11" t="s">
        <v>40</v>
      </c>
      <c r="Q24" s="1">
        <v>1300</v>
      </c>
      <c r="R24" s="1">
        <v>8</v>
      </c>
      <c r="S24" s="11">
        <f>Q24/1000*R24</f>
        <v>10.4</v>
      </c>
      <c r="T24" s="11">
        <v>6.6</v>
      </c>
      <c r="U24" s="252">
        <f>S24*T24</f>
        <v>68.64</v>
      </c>
      <c r="V24" s="31"/>
      <c r="W24" s="30"/>
      <c r="X24" s="18"/>
      <c r="Y24" s="18"/>
      <c r="Z24" s="18"/>
      <c r="AA24" s="18"/>
      <c r="AB24" s="327" t="s">
        <v>37</v>
      </c>
      <c r="AC24" s="327"/>
      <c r="AD24" s="14">
        <f>AD16+AD17+AD19</f>
        <v>472.32</v>
      </c>
      <c r="AE24" s="13"/>
      <c r="AF24" s="14">
        <f>AF16+AF17+AF19</f>
        <v>3117.3119999999999</v>
      </c>
      <c r="AG24" s="31"/>
      <c r="AH24" s="30"/>
      <c r="AI24" s="18"/>
      <c r="AJ24" s="18"/>
      <c r="AK24" s="18"/>
      <c r="AL24" s="18"/>
      <c r="AM24" s="18"/>
      <c r="AN24" s="18"/>
      <c r="AR24" s="31"/>
      <c r="AS24" s="30"/>
      <c r="AT24" s="18"/>
      <c r="AU24" s="18"/>
      <c r="AV24" s="18"/>
      <c r="AW24" s="18"/>
      <c r="AX24" s="18"/>
      <c r="AY24" s="18"/>
      <c r="AZ24" s="13" t="s">
        <v>37</v>
      </c>
      <c r="BA24" s="13"/>
      <c r="BB24" s="14">
        <f>SUM(BB16:BB22)</f>
        <v>4629.5568000000003</v>
      </c>
      <c r="BC24" s="31"/>
      <c r="BD24" s="30"/>
      <c r="BE24" s="18"/>
      <c r="BF24" s="18"/>
      <c r="BG24" s="18"/>
      <c r="BH24" s="18"/>
      <c r="BI24" s="18"/>
      <c r="BJ24" s="18"/>
      <c r="BK24" s="13" t="s">
        <v>37</v>
      </c>
      <c r="BL24" s="13"/>
      <c r="BM24" s="14">
        <f>SUM(BM16:BM22)</f>
        <v>5205.9772799999992</v>
      </c>
      <c r="BN24" s="31"/>
      <c r="BO24" s="30"/>
      <c r="BP24" s="1">
        <f t="shared" si="91"/>
        <v>9</v>
      </c>
      <c r="BQ24" s="1" t="s">
        <v>10</v>
      </c>
      <c r="BR24" s="1" t="s">
        <v>11</v>
      </c>
      <c r="BS24" s="25">
        <v>2.5</v>
      </c>
      <c r="BT24" s="1"/>
      <c r="BU24" s="1">
        <f>(BU17+BU19+BU21+BU22)*2</f>
        <v>164</v>
      </c>
      <c r="BV24" s="25"/>
      <c r="BW24" s="25">
        <v>1.5</v>
      </c>
      <c r="BX24" s="210">
        <f>BU24*BW24</f>
        <v>246</v>
      </c>
      <c r="BY24" s="31"/>
      <c r="BZ24" s="30"/>
      <c r="CA24" s="18"/>
      <c r="CB24" s="18"/>
      <c r="CC24" s="18"/>
      <c r="CD24" s="18"/>
      <c r="CE24" s="18"/>
      <c r="CF24" s="18"/>
      <c r="CG24" s="6" t="s">
        <v>20</v>
      </c>
      <c r="CH24" s="6"/>
      <c r="CI24" s="7">
        <f>CI17+CI19+CI22</f>
        <v>3316.5</v>
      </c>
      <c r="CJ24" s="31"/>
      <c r="CK24" s="30"/>
      <c r="CL24" s="1">
        <f t="shared" si="53"/>
        <v>9</v>
      </c>
      <c r="CM24" s="1" t="s">
        <v>61</v>
      </c>
      <c r="CN24" s="1" t="s">
        <v>59</v>
      </c>
      <c r="CO24" s="5" t="s">
        <v>63</v>
      </c>
      <c r="CP24" s="1">
        <f>CP21+2250-4000</f>
        <v>7250</v>
      </c>
      <c r="CQ24" s="1">
        <v>8</v>
      </c>
      <c r="CR24" s="5">
        <f t="shared" si="16"/>
        <v>58</v>
      </c>
      <c r="CS24" s="5">
        <v>8.3000000000000007</v>
      </c>
      <c r="CT24" s="171">
        <f t="shared" si="17"/>
        <v>481.40000000000003</v>
      </c>
      <c r="CU24" s="31"/>
      <c r="CV24" s="30"/>
      <c r="CW24" s="1">
        <f t="shared" si="93"/>
        <v>1</v>
      </c>
      <c r="CX24" s="1" t="s">
        <v>10</v>
      </c>
      <c r="CY24" s="1" t="s">
        <v>11</v>
      </c>
      <c r="CZ24" s="25">
        <v>2.5</v>
      </c>
      <c r="DA24" s="1"/>
      <c r="DB24" s="1">
        <f>(DB17+DB19+DB22+DB23)*2</f>
        <v>124</v>
      </c>
      <c r="DC24" s="25"/>
      <c r="DD24" s="25">
        <v>1.5</v>
      </c>
      <c r="DE24" s="26">
        <f>DB24*DD24</f>
        <v>186</v>
      </c>
      <c r="DF24" s="31"/>
      <c r="DG24" s="30"/>
      <c r="DH24" s="1">
        <f t="shared" si="94"/>
        <v>9</v>
      </c>
      <c r="DI24" s="1" t="s">
        <v>60</v>
      </c>
      <c r="DJ24" s="1" t="s">
        <v>58</v>
      </c>
      <c r="DK24" s="3" t="s">
        <v>62</v>
      </c>
      <c r="DL24" s="1">
        <f>DL22+1550</f>
        <v>5150</v>
      </c>
      <c r="DM24" s="1">
        <v>4</v>
      </c>
      <c r="DN24" s="3">
        <f>DL24/1000*DM24</f>
        <v>20.6</v>
      </c>
      <c r="DO24" s="3">
        <v>10.1</v>
      </c>
      <c r="DP24" s="41">
        <f>DN24*DO24</f>
        <v>208.06</v>
      </c>
      <c r="DQ24" s="31"/>
      <c r="DR24" s="30"/>
      <c r="DS24" s="1">
        <f t="shared" si="115"/>
        <v>6</v>
      </c>
      <c r="DT24" s="1" t="s">
        <v>23</v>
      </c>
      <c r="DU24" s="1" t="s">
        <v>24</v>
      </c>
      <c r="DV24" s="66" t="s">
        <v>152</v>
      </c>
      <c r="DW24" s="1">
        <f>DU9*1000</f>
        <v>4500</v>
      </c>
      <c r="DX24" s="1">
        <f>8*DU6</f>
        <v>80</v>
      </c>
      <c r="DY24" s="66">
        <f t="shared" ref="DY24:DY26" si="163">DW24/1000*DX24</f>
        <v>360</v>
      </c>
      <c r="DZ24" s="66">
        <v>6.6</v>
      </c>
      <c r="EA24" s="130">
        <f t="shared" ref="EA24:EA26" si="164">DY24*DZ24</f>
        <v>2376</v>
      </c>
      <c r="EB24" s="31"/>
      <c r="EC24" s="30"/>
      <c r="ED24" s="1">
        <f t="shared" si="95"/>
        <v>9</v>
      </c>
      <c r="EE24" s="1" t="s">
        <v>23</v>
      </c>
      <c r="EF24" s="1" t="s">
        <v>24</v>
      </c>
      <c r="EG24" s="66" t="s">
        <v>152</v>
      </c>
      <c r="EH24" s="1">
        <f>EF9*1000</f>
        <v>4800</v>
      </c>
      <c r="EI24" s="1">
        <f>16*EF6</f>
        <v>160</v>
      </c>
      <c r="EJ24" s="66">
        <f t="shared" si="58"/>
        <v>768</v>
      </c>
      <c r="EK24" s="66">
        <v>6.6</v>
      </c>
      <c r="EL24" s="107">
        <f t="shared" si="59"/>
        <v>5068.7999999999993</v>
      </c>
      <c r="EM24" s="31"/>
      <c r="EN24" s="30"/>
      <c r="EO24" s="1">
        <f t="shared" si="96"/>
        <v>9</v>
      </c>
      <c r="EP24" s="1" t="s">
        <v>23</v>
      </c>
      <c r="EQ24" s="1" t="s">
        <v>24</v>
      </c>
      <c r="ER24" s="66" t="s">
        <v>152</v>
      </c>
      <c r="ES24" s="1">
        <f>EQ9*1000</f>
        <v>4800</v>
      </c>
      <c r="ET24" s="49">
        <f>14*EQ6</f>
        <v>140</v>
      </c>
      <c r="EU24" s="66">
        <f t="shared" si="97"/>
        <v>672</v>
      </c>
      <c r="EV24" s="66">
        <v>6.6</v>
      </c>
      <c r="EW24" s="89">
        <f t="shared" si="98"/>
        <v>4435.2</v>
      </c>
      <c r="EX24" s="31"/>
      <c r="EY24" s="30"/>
      <c r="EZ24" s="1">
        <f t="shared" si="99"/>
        <v>9</v>
      </c>
      <c r="FA24" s="1" t="s">
        <v>10</v>
      </c>
      <c r="FB24" s="1" t="s">
        <v>11</v>
      </c>
      <c r="FC24" s="25">
        <v>2.5</v>
      </c>
      <c r="FD24" s="1"/>
      <c r="FE24" s="1">
        <f>(FE22+FE23)*2</f>
        <v>24</v>
      </c>
      <c r="FF24" s="25"/>
      <c r="FG24" s="25">
        <v>1.5</v>
      </c>
      <c r="FH24" s="26">
        <f>FE24*FG24</f>
        <v>36</v>
      </c>
      <c r="FI24" s="31"/>
      <c r="FJ24" s="30"/>
      <c r="FK24" s="1">
        <f t="shared" si="100"/>
        <v>9</v>
      </c>
      <c r="FL24" s="1" t="s">
        <v>97</v>
      </c>
      <c r="FM24" s="1" t="s">
        <v>80</v>
      </c>
      <c r="FN24" s="5" t="s">
        <v>63</v>
      </c>
      <c r="FO24" s="1">
        <v>5200</v>
      </c>
      <c r="FP24" s="1">
        <v>30</v>
      </c>
      <c r="FQ24" s="5">
        <f t="shared" si="20"/>
        <v>156</v>
      </c>
      <c r="FR24" s="5">
        <v>8.3000000000000007</v>
      </c>
      <c r="FS24" s="168">
        <f t="shared" si="21"/>
        <v>1294.8000000000002</v>
      </c>
      <c r="FT24" s="31"/>
      <c r="FU24" s="30"/>
      <c r="FV24" s="1">
        <f t="shared" si="101"/>
        <v>9</v>
      </c>
      <c r="FW24" s="1" t="s">
        <v>174</v>
      </c>
      <c r="FX24" s="1" t="s">
        <v>55</v>
      </c>
      <c r="FY24" s="11" t="s">
        <v>40</v>
      </c>
      <c r="FZ24" s="1">
        <f>FX9*1000</f>
        <v>4000</v>
      </c>
      <c r="GA24" s="1">
        <f>(FX6)*1</f>
        <v>7</v>
      </c>
      <c r="GB24" s="11">
        <f t="shared" si="62"/>
        <v>28</v>
      </c>
      <c r="GC24" s="11">
        <v>6.6</v>
      </c>
      <c r="GD24" s="126">
        <f t="shared" si="63"/>
        <v>184.79999999999998</v>
      </c>
      <c r="GE24" s="31"/>
      <c r="GF24" s="30"/>
      <c r="GG24" s="1">
        <f t="shared" si="102"/>
        <v>9</v>
      </c>
      <c r="GH24" s="1" t="s">
        <v>287</v>
      </c>
      <c r="GI24" s="1" t="s">
        <v>55</v>
      </c>
      <c r="GJ24" s="11" t="s">
        <v>40</v>
      </c>
      <c r="GK24" s="49">
        <f>GI9*1000-200</f>
        <v>4800</v>
      </c>
      <c r="GL24" s="49">
        <f>(GI6-1)*2*2</f>
        <v>56</v>
      </c>
      <c r="GM24" s="11">
        <f t="shared" si="22"/>
        <v>268.8</v>
      </c>
      <c r="GN24" s="11">
        <v>6.6</v>
      </c>
      <c r="GO24" s="230">
        <f t="shared" si="23"/>
        <v>1774.08</v>
      </c>
      <c r="GP24" s="31"/>
      <c r="GQ24" s="30"/>
      <c r="GR24" s="1">
        <f t="shared" si="103"/>
        <v>9</v>
      </c>
      <c r="GS24" s="1" t="s">
        <v>94</v>
      </c>
      <c r="GT24" s="1" t="s">
        <v>25</v>
      </c>
      <c r="GU24" s="5" t="s">
        <v>63</v>
      </c>
      <c r="GV24" s="1">
        <f>GT9*1000</f>
        <v>4000</v>
      </c>
      <c r="GW24" s="1">
        <f>2*GT6*GT8</f>
        <v>48</v>
      </c>
      <c r="GX24" s="5">
        <f>GV24/1000*GW24</f>
        <v>192</v>
      </c>
      <c r="GY24" s="227">
        <v>8.3000000000000007</v>
      </c>
      <c r="GZ24" s="159">
        <f>GX24*GY24</f>
        <v>1593.6000000000001</v>
      </c>
      <c r="HA24" s="31"/>
      <c r="HB24" s="30"/>
      <c r="HC24" s="1">
        <f t="shared" si="104"/>
        <v>9</v>
      </c>
      <c r="HD24" s="1" t="s">
        <v>95</v>
      </c>
      <c r="HE24" s="1" t="s">
        <v>55</v>
      </c>
      <c r="HF24" s="5" t="s">
        <v>63</v>
      </c>
      <c r="HG24" s="1">
        <v>4000</v>
      </c>
      <c r="HH24" s="1">
        <v>24</v>
      </c>
      <c r="HI24" s="5">
        <f t="shared" si="24"/>
        <v>96</v>
      </c>
      <c r="HJ24" s="5">
        <v>8.3000000000000007</v>
      </c>
      <c r="HK24" s="129">
        <f t="shared" si="25"/>
        <v>796.80000000000007</v>
      </c>
      <c r="HL24" s="31"/>
      <c r="HM24" s="30"/>
      <c r="HN24" s="1">
        <f t="shared" si="66"/>
        <v>9</v>
      </c>
      <c r="HO24" s="1" t="s">
        <v>23</v>
      </c>
      <c r="HP24" s="1" t="s">
        <v>24</v>
      </c>
      <c r="HQ24" s="238" t="s">
        <v>242</v>
      </c>
      <c r="HR24" s="1">
        <f>HP9*1000</f>
        <v>6000</v>
      </c>
      <c r="HS24" s="1">
        <f>16*HP6</f>
        <v>128</v>
      </c>
      <c r="HT24" s="238">
        <f>HR24/1000*HS24</f>
        <v>768</v>
      </c>
      <c r="HU24" s="238">
        <v>8.1</v>
      </c>
      <c r="HV24" s="239">
        <f>HT24*HU24</f>
        <v>6220.7999999999993</v>
      </c>
      <c r="HW24" s="31"/>
      <c r="HX24" s="30"/>
      <c r="HY24" s="1">
        <f t="shared" si="105"/>
        <v>9</v>
      </c>
      <c r="HZ24" s="1" t="s">
        <v>61</v>
      </c>
      <c r="IA24" s="1" t="s">
        <v>59</v>
      </c>
      <c r="IB24" s="3" t="s">
        <v>62</v>
      </c>
      <c r="IC24" s="1">
        <f>IC18+2700</f>
        <v>6300</v>
      </c>
      <c r="ID24" s="1">
        <v>4</v>
      </c>
      <c r="IE24" s="3">
        <f t="shared" si="106"/>
        <v>25.2</v>
      </c>
      <c r="IF24" s="3">
        <v>10.1</v>
      </c>
      <c r="IG24" s="41">
        <f t="shared" si="107"/>
        <v>254.51999999999998</v>
      </c>
      <c r="IH24" s="31"/>
      <c r="II24" s="30"/>
      <c r="IJ24" s="1">
        <f t="shared" si="108"/>
        <v>9</v>
      </c>
      <c r="IK24" s="1" t="s">
        <v>90</v>
      </c>
      <c r="IL24" s="1" t="s">
        <v>91</v>
      </c>
      <c r="IM24" s="109" t="s">
        <v>258</v>
      </c>
      <c r="IN24" s="1">
        <f>IN19+5700</f>
        <v>9700</v>
      </c>
      <c r="IO24" s="1">
        <v>4</v>
      </c>
      <c r="IP24" s="109">
        <f t="shared" si="30"/>
        <v>38.799999999999997</v>
      </c>
      <c r="IQ24" s="109">
        <v>28</v>
      </c>
      <c r="IR24" s="149">
        <f t="shared" si="31"/>
        <v>1086.3999999999999</v>
      </c>
      <c r="IS24" s="31"/>
      <c r="IT24" s="30"/>
      <c r="IU24" s="1">
        <f t="shared" si="109"/>
        <v>9</v>
      </c>
      <c r="IV24" s="1" t="s">
        <v>82</v>
      </c>
      <c r="IW24" s="1" t="s">
        <v>83</v>
      </c>
      <c r="IX24" s="5" t="s">
        <v>63</v>
      </c>
      <c r="IY24" s="1">
        <f>IW5*1000</f>
        <v>4000</v>
      </c>
      <c r="IZ24" s="1">
        <f>4+4*IW6</f>
        <v>80</v>
      </c>
      <c r="JA24" s="5">
        <f t="shared" ref="JA24:JA25" si="165">IY24/1000*IZ24</f>
        <v>320</v>
      </c>
      <c r="JB24" s="5">
        <v>8.3000000000000007</v>
      </c>
      <c r="JC24" s="145">
        <f t="shared" ref="JC24:JC25" si="166">JA24*JB24</f>
        <v>2656</v>
      </c>
      <c r="JD24" s="31"/>
      <c r="JE24" s="30"/>
      <c r="JF24" s="1">
        <f t="shared" si="67"/>
        <v>9</v>
      </c>
      <c r="JG24" s="1" t="s">
        <v>10</v>
      </c>
      <c r="JH24" s="1" t="s">
        <v>11</v>
      </c>
      <c r="JI24" s="25">
        <v>2.5</v>
      </c>
      <c r="JJ24" s="1"/>
      <c r="JK24" s="1">
        <f>(JK21+JK22/2+JK23+JK31+JK32+JK33+JK34+JK28+JK30)*2+26</f>
        <v>1250</v>
      </c>
      <c r="JL24" s="25"/>
      <c r="JM24" s="25">
        <v>1.5</v>
      </c>
      <c r="JN24" s="116">
        <f>JK24*JM24</f>
        <v>1875</v>
      </c>
      <c r="JO24" s="31"/>
      <c r="JP24" s="30"/>
      <c r="JQ24" s="1">
        <f t="shared" si="68"/>
        <v>9</v>
      </c>
      <c r="JR24" s="1" t="s">
        <v>10</v>
      </c>
      <c r="JS24" s="1" t="s">
        <v>11</v>
      </c>
      <c r="JT24" s="25">
        <v>2.5</v>
      </c>
      <c r="JU24" s="1"/>
      <c r="JV24" s="1">
        <f>(JV22+JV23)*2</f>
        <v>760</v>
      </c>
      <c r="JW24" s="25"/>
      <c r="JX24" s="25">
        <v>1.5</v>
      </c>
      <c r="JY24" s="202">
        <f>JV24*JX24</f>
        <v>1140</v>
      </c>
      <c r="JZ24" s="31"/>
      <c r="KA24" s="30"/>
      <c r="KB24" s="1">
        <f t="shared" si="69"/>
        <v>9</v>
      </c>
      <c r="KC24" s="1" t="s">
        <v>10</v>
      </c>
      <c r="KD24" s="1" t="s">
        <v>11</v>
      </c>
      <c r="KE24" s="25">
        <v>2.5</v>
      </c>
      <c r="KF24" s="1"/>
      <c r="KG24" s="1">
        <f>(KG22+KG23)*2</f>
        <v>684</v>
      </c>
      <c r="KH24" s="25"/>
      <c r="KI24" s="25">
        <v>1.5</v>
      </c>
      <c r="KJ24" s="202">
        <f>KG24*KI24</f>
        <v>1026</v>
      </c>
      <c r="KK24" s="31"/>
      <c r="KL24" s="30"/>
      <c r="KM24" s="1">
        <f t="shared" si="70"/>
        <v>9</v>
      </c>
      <c r="KN24" s="1" t="s">
        <v>10</v>
      </c>
      <c r="KO24" s="1" t="s">
        <v>11</v>
      </c>
      <c r="KP24" s="25">
        <v>2.5</v>
      </c>
      <c r="KQ24" s="1"/>
      <c r="KR24" s="1">
        <f>(KR21+KR22+KR23+KR27+KR28+KR29)*2</f>
        <v>904</v>
      </c>
      <c r="KS24" s="25"/>
      <c r="KT24" s="25">
        <v>1.5</v>
      </c>
      <c r="KU24" s="127">
        <f>KR24*KT24</f>
        <v>1356</v>
      </c>
      <c r="KV24" s="31"/>
      <c r="KW24" s="30"/>
      <c r="KX24" s="1">
        <f t="shared" si="112"/>
        <v>9</v>
      </c>
      <c r="KY24" s="1" t="s">
        <v>147</v>
      </c>
      <c r="KZ24" s="1" t="s">
        <v>148</v>
      </c>
      <c r="LA24" s="3" t="s">
        <v>62</v>
      </c>
      <c r="LB24" s="49">
        <v>4730</v>
      </c>
      <c r="LC24" s="49">
        <f>(KZ7-1)*2*2</f>
        <v>188</v>
      </c>
      <c r="LD24" s="3">
        <f t="shared" si="142"/>
        <v>889.24000000000012</v>
      </c>
      <c r="LE24" s="3">
        <v>10.1</v>
      </c>
      <c r="LF24" s="108">
        <f t="shared" si="143"/>
        <v>8981.3240000000005</v>
      </c>
      <c r="LG24" s="31"/>
      <c r="LH24" s="30"/>
      <c r="LI24" s="1">
        <f t="shared" si="113"/>
        <v>9</v>
      </c>
      <c r="LJ24" s="1" t="s">
        <v>222</v>
      </c>
      <c r="LK24" s="1" t="s">
        <v>59</v>
      </c>
      <c r="LL24" s="50" t="s">
        <v>218</v>
      </c>
      <c r="LM24" s="49">
        <v>1000</v>
      </c>
      <c r="LN24" s="49">
        <f>(LK6+1)*2*2</f>
        <v>80</v>
      </c>
      <c r="LO24" s="51">
        <f t="shared" si="136"/>
        <v>80</v>
      </c>
      <c r="LP24" s="51">
        <v>3.4</v>
      </c>
      <c r="LQ24" s="246">
        <f t="shared" si="137"/>
        <v>272</v>
      </c>
      <c r="LR24" s="31"/>
      <c r="LS24" s="30"/>
      <c r="LT24" s="1">
        <f t="shared" si="124"/>
        <v>6</v>
      </c>
      <c r="LU24" s="1" t="s">
        <v>23</v>
      </c>
      <c r="LV24" s="1" t="s">
        <v>24</v>
      </c>
      <c r="LW24" s="66" t="s">
        <v>152</v>
      </c>
      <c r="LX24" s="1">
        <f>LV9*1000</f>
        <v>4500</v>
      </c>
      <c r="LY24" s="1">
        <f>8*LV6</f>
        <v>48</v>
      </c>
      <c r="LZ24" s="66">
        <f t="shared" ref="LZ24:LZ32" si="167">LX24/1000*LY24</f>
        <v>216</v>
      </c>
      <c r="MA24" s="66">
        <v>6.6</v>
      </c>
      <c r="MB24" s="130">
        <f t="shared" ref="MB24:MB32" si="168">LZ24*MA24</f>
        <v>1425.6</v>
      </c>
      <c r="MC24" s="31"/>
      <c r="ME24" s="30"/>
      <c r="MF24" s="1">
        <f t="shared" si="127"/>
        <v>6</v>
      </c>
      <c r="MG24" s="1" t="s">
        <v>23</v>
      </c>
      <c r="MH24" s="1" t="s">
        <v>24</v>
      </c>
      <c r="MI24" s="66" t="s">
        <v>152</v>
      </c>
      <c r="MJ24" s="1">
        <f>MH9*1000</f>
        <v>4500</v>
      </c>
      <c r="MK24" s="1">
        <f>10*MH6</f>
        <v>50</v>
      </c>
      <c r="ML24" s="66">
        <f t="shared" ref="ML24:ML32" si="169">MJ24/1000*MK24</f>
        <v>225</v>
      </c>
      <c r="MM24" s="66">
        <v>6.6</v>
      </c>
      <c r="MN24" s="130">
        <f t="shared" ref="MN24:MN32" si="170">ML24*MM24</f>
        <v>1485</v>
      </c>
      <c r="MO24" s="31"/>
      <c r="MQ24" s="30"/>
      <c r="MR24" s="1"/>
      <c r="MS24" s="1" t="s">
        <v>96</v>
      </c>
      <c r="MT24" s="1" t="s">
        <v>79</v>
      </c>
      <c r="MU24" s="5" t="s">
        <v>63</v>
      </c>
      <c r="MV24" s="1">
        <v>1000</v>
      </c>
      <c r="MW24" s="1">
        <v>8</v>
      </c>
      <c r="MX24" s="5">
        <f>MV24/1000*MW24</f>
        <v>8</v>
      </c>
      <c r="MY24" s="5">
        <v>8.3000000000000007</v>
      </c>
      <c r="MZ24" s="263">
        <f>MX24*MY24</f>
        <v>66.400000000000006</v>
      </c>
      <c r="NA24" s="31"/>
      <c r="ND24" s="30"/>
      <c r="NE24" s="1">
        <f t="shared" si="114"/>
        <v>2</v>
      </c>
      <c r="NF24" s="1" t="s">
        <v>94</v>
      </c>
      <c r="NG24" s="1" t="s">
        <v>25</v>
      </c>
      <c r="NH24" s="5" t="s">
        <v>63</v>
      </c>
      <c r="NI24" s="1">
        <f>NG9*1000</f>
        <v>4500</v>
      </c>
      <c r="NJ24" s="1">
        <f>NG6*4*NG8</f>
        <v>120</v>
      </c>
      <c r="NK24" s="5">
        <f t="shared" si="0"/>
        <v>540</v>
      </c>
      <c r="NL24" s="5">
        <v>8.3000000000000007</v>
      </c>
      <c r="NM24" s="263">
        <f t="shared" si="1"/>
        <v>4482</v>
      </c>
      <c r="NN24" s="31"/>
      <c r="NP24" s="30"/>
      <c r="NQ24" s="1">
        <f>NQ21+1</f>
        <v>7</v>
      </c>
      <c r="NR24" s="1" t="s">
        <v>10</v>
      </c>
      <c r="NS24" s="1" t="s">
        <v>11</v>
      </c>
      <c r="NT24" s="25">
        <v>2.5</v>
      </c>
      <c r="NU24" s="1"/>
      <c r="NV24" s="1">
        <f>(NV15+NV17+NV21+NV20+NV19+NV22)*2</f>
        <v>116</v>
      </c>
      <c r="NW24" s="25"/>
      <c r="NX24" s="25">
        <v>2</v>
      </c>
      <c r="NY24" s="278">
        <f>NV24*NX24</f>
        <v>232</v>
      </c>
      <c r="NZ24" s="31"/>
      <c r="OC24" s="30"/>
      <c r="OD24" s="1">
        <f>OD21+1</f>
        <v>7</v>
      </c>
      <c r="OE24" s="1" t="s">
        <v>10</v>
      </c>
      <c r="OF24" s="1" t="s">
        <v>11</v>
      </c>
      <c r="OG24" s="25">
        <v>2.5</v>
      </c>
      <c r="OH24" s="1"/>
      <c r="OI24" s="1">
        <f>(OI15+OI17+OI21+OI20+OI19+OI22)*2</f>
        <v>140</v>
      </c>
      <c r="OJ24" s="25"/>
      <c r="OK24" s="25">
        <v>2</v>
      </c>
      <c r="OL24" s="278">
        <f>OI24*OK24</f>
        <v>280</v>
      </c>
      <c r="OM24" s="31"/>
      <c r="OP24" s="30"/>
      <c r="OQ24" s="1">
        <f>OQ21+1</f>
        <v>7</v>
      </c>
      <c r="OR24" s="1" t="s">
        <v>10</v>
      </c>
      <c r="OS24" s="1" t="s">
        <v>11</v>
      </c>
      <c r="OT24" s="25">
        <v>2.5</v>
      </c>
      <c r="OU24" s="1"/>
      <c r="OV24" s="1">
        <f>(OV15+OV17+OV21+OV20+OV19+OV22)*2</f>
        <v>140</v>
      </c>
      <c r="OW24" s="25"/>
      <c r="OX24" s="25">
        <v>2</v>
      </c>
      <c r="OY24" s="278">
        <f>OV24*OX24</f>
        <v>280</v>
      </c>
      <c r="OZ24" s="31"/>
      <c r="PD24" s="30"/>
      <c r="PE24" s="1">
        <f>PE21+1</f>
        <v>7</v>
      </c>
      <c r="PF24" s="1" t="s">
        <v>10</v>
      </c>
      <c r="PG24" s="1" t="s">
        <v>11</v>
      </c>
      <c r="PH24" s="25">
        <v>2.5</v>
      </c>
      <c r="PI24" s="1"/>
      <c r="PJ24" s="1">
        <f>(PJ15+PJ17+PJ21+PJ20+PJ19+PJ22)*2</f>
        <v>140</v>
      </c>
      <c r="PK24" s="25"/>
      <c r="PL24" s="25">
        <v>2</v>
      </c>
      <c r="PM24" s="278">
        <f>PJ24*PL24</f>
        <v>280</v>
      </c>
      <c r="PN24" s="31"/>
      <c r="PQ24" s="30"/>
      <c r="PR24" s="1">
        <f>PR21+1</f>
        <v>7</v>
      </c>
      <c r="PS24" s="1" t="s">
        <v>10</v>
      </c>
      <c r="PT24" s="1" t="s">
        <v>11</v>
      </c>
      <c r="PU24" s="25">
        <v>2.5</v>
      </c>
      <c r="PV24" s="1"/>
      <c r="PW24" s="1">
        <f>(PW15+PW17+PW21+PW20+PW19+PW22)*2</f>
        <v>140</v>
      </c>
      <c r="PX24" s="25"/>
      <c r="PY24" s="25">
        <v>2</v>
      </c>
      <c r="PZ24" s="278">
        <f>PW24*PY24</f>
        <v>280</v>
      </c>
      <c r="QA24" s="31"/>
      <c r="QD24" s="30"/>
      <c r="QE24" s="1">
        <f>QE21+1</f>
        <v>7</v>
      </c>
      <c r="QF24" s="1" t="s">
        <v>10</v>
      </c>
      <c r="QG24" s="1" t="s">
        <v>11</v>
      </c>
      <c r="QH24" s="25">
        <v>2.5</v>
      </c>
      <c r="QI24" s="1"/>
      <c r="QJ24" s="1">
        <f>(QJ15+QJ17+QJ21+QJ20+QJ19+QJ22)*2</f>
        <v>88</v>
      </c>
      <c r="QK24" s="25"/>
      <c r="QL24" s="25">
        <v>2</v>
      </c>
      <c r="QM24" s="301">
        <f>QJ24*QL24</f>
        <v>176</v>
      </c>
      <c r="QN24" s="31"/>
      <c r="QQ24" s="30"/>
      <c r="QR24" s="1">
        <f>QR21+1</f>
        <v>7</v>
      </c>
      <c r="QS24" s="1" t="s">
        <v>10</v>
      </c>
      <c r="QT24" s="1" t="s">
        <v>11</v>
      </c>
      <c r="QU24" s="25">
        <v>2.5</v>
      </c>
      <c r="QV24" s="1"/>
      <c r="QW24" s="1">
        <f>(QW15+QW17+QW21+QW20+QW19+QW22)*2</f>
        <v>140</v>
      </c>
      <c r="QX24" s="25"/>
      <c r="QY24" s="25">
        <v>2</v>
      </c>
      <c r="QZ24" s="278">
        <f>QW24*QY24</f>
        <v>280</v>
      </c>
      <c r="RA24" s="31"/>
    </row>
    <row r="25" spans="1:469" x14ac:dyDescent="0.25">
      <c r="A25" s="30"/>
      <c r="B25" s="1">
        <f t="shared" si="85"/>
        <v>10</v>
      </c>
      <c r="C25" s="1" t="s">
        <v>10</v>
      </c>
      <c r="D25" s="1" t="s">
        <v>43</v>
      </c>
      <c r="E25" s="25">
        <v>2.5</v>
      </c>
      <c r="F25" s="1"/>
      <c r="G25" s="1">
        <f>(G17+G20+G21+G22+G23+G24)*2</f>
        <v>24</v>
      </c>
      <c r="H25" s="25"/>
      <c r="I25" s="25">
        <v>1.2</v>
      </c>
      <c r="J25" s="210">
        <f>G25*I25</f>
        <v>28.799999999999997</v>
      </c>
      <c r="K25" s="31"/>
      <c r="L25" s="30"/>
      <c r="M25" s="1">
        <f t="shared" si="86"/>
        <v>10</v>
      </c>
      <c r="N25" s="1" t="s">
        <v>10</v>
      </c>
      <c r="O25" s="1" t="s">
        <v>43</v>
      </c>
      <c r="P25" s="25">
        <v>2.5</v>
      </c>
      <c r="Q25" s="1"/>
      <c r="R25" s="1">
        <f>(R17+R20+R21+R22+R23+R24)*2</f>
        <v>52</v>
      </c>
      <c r="S25" s="25"/>
      <c r="T25" s="25">
        <v>1.2</v>
      </c>
      <c r="U25" s="253">
        <f>R25*T25</f>
        <v>62.4</v>
      </c>
      <c r="V25" s="31"/>
      <c r="W25" s="30"/>
      <c r="X25" s="18"/>
      <c r="Y25" s="18"/>
      <c r="Z25" s="18"/>
      <c r="AA25" s="18"/>
      <c r="AB25" s="319" t="s">
        <v>20</v>
      </c>
      <c r="AC25" s="319"/>
      <c r="AD25" s="7">
        <f>AD18</f>
        <v>148.4</v>
      </c>
      <c r="AE25" s="6"/>
      <c r="AF25" s="7">
        <f>AF18</f>
        <v>1231.7200000000003</v>
      </c>
      <c r="AG25" s="31"/>
      <c r="AH25" s="30"/>
      <c r="AI25" s="18"/>
      <c r="AJ25" s="18"/>
      <c r="AK25" s="18"/>
      <c r="AL25" s="18"/>
      <c r="AM25" s="18"/>
      <c r="AN25" s="18"/>
      <c r="AO25" s="304" t="s">
        <v>9</v>
      </c>
      <c r="AP25" s="306"/>
      <c r="AQ25" s="2">
        <f>AQ23</f>
        <v>3838.1376000000005</v>
      </c>
      <c r="AR25" s="31"/>
      <c r="AS25" s="30"/>
      <c r="AT25" s="18"/>
      <c r="AU25" s="18"/>
      <c r="AV25" s="18"/>
      <c r="AW25" s="18"/>
      <c r="AX25" s="18"/>
      <c r="AY25" s="18"/>
      <c r="AZ25" s="15" t="s">
        <v>9</v>
      </c>
      <c r="BA25" s="16"/>
      <c r="BB25" s="2">
        <f>BB24</f>
        <v>4629.5568000000003</v>
      </c>
      <c r="BC25" s="31"/>
      <c r="BD25" s="30"/>
      <c r="BE25" s="18"/>
      <c r="BF25" s="18"/>
      <c r="BG25" s="18"/>
      <c r="BH25" s="18"/>
      <c r="BI25" s="18"/>
      <c r="BJ25" s="18"/>
      <c r="BK25" s="194" t="s">
        <v>9</v>
      </c>
      <c r="BL25" s="195"/>
      <c r="BM25" s="2">
        <f>BM24</f>
        <v>5205.9772799999992</v>
      </c>
      <c r="BN25" s="31"/>
      <c r="BO25" s="30"/>
      <c r="BP25" s="18"/>
      <c r="BQ25" s="18"/>
      <c r="BR25" s="18"/>
      <c r="BS25" s="18"/>
      <c r="BT25" s="18"/>
      <c r="BU25" s="18"/>
      <c r="BV25" s="6" t="s">
        <v>20</v>
      </c>
      <c r="BW25" s="6"/>
      <c r="BX25" s="7">
        <f>BX16+BX19+BX21+BX22</f>
        <v>2451.2888000000003</v>
      </c>
      <c r="BY25" s="31"/>
      <c r="BZ25" s="30"/>
      <c r="CA25" s="18"/>
      <c r="CB25" s="18"/>
      <c r="CC25" s="18"/>
      <c r="CD25" s="18"/>
      <c r="CE25" s="18"/>
      <c r="CF25" s="18"/>
      <c r="CG25" s="8" t="s">
        <v>12</v>
      </c>
      <c r="CH25" s="8"/>
      <c r="CI25" s="9">
        <f>CI16+CI18+CI20+CI21</f>
        <v>4094.136</v>
      </c>
      <c r="CJ25" s="31"/>
      <c r="CK25" s="30"/>
      <c r="CL25" s="1">
        <f t="shared" si="53"/>
        <v>10</v>
      </c>
      <c r="CM25" s="1" t="s">
        <v>70</v>
      </c>
      <c r="CN25" s="1" t="s">
        <v>69</v>
      </c>
      <c r="CO25" s="5" t="s">
        <v>63</v>
      </c>
      <c r="CP25" s="1">
        <v>11500</v>
      </c>
      <c r="CQ25" s="1">
        <v>4</v>
      </c>
      <c r="CR25" s="5">
        <f t="shared" si="16"/>
        <v>46</v>
      </c>
      <c r="CS25" s="5">
        <v>8.3000000000000007</v>
      </c>
      <c r="CT25" s="171">
        <f t="shared" si="17"/>
        <v>381.8</v>
      </c>
      <c r="CU25" s="31"/>
      <c r="CV25" s="30"/>
      <c r="CW25" s="18"/>
      <c r="CX25" s="18"/>
      <c r="CY25" s="18"/>
      <c r="CZ25" s="18"/>
      <c r="DA25" s="18"/>
      <c r="DB25" s="18"/>
      <c r="DC25" s="6" t="s">
        <v>20</v>
      </c>
      <c r="DD25" s="6"/>
      <c r="DE25" s="7">
        <f>DE17+DE19+DE22+DE23</f>
        <v>2148.4</v>
      </c>
      <c r="DF25" s="31"/>
      <c r="DG25" s="30"/>
      <c r="DH25" s="1">
        <f t="shared" si="94"/>
        <v>10</v>
      </c>
      <c r="DI25" s="1" t="s">
        <v>61</v>
      </c>
      <c r="DJ25" s="1" t="s">
        <v>59</v>
      </c>
      <c r="DK25" s="3" t="s">
        <v>62</v>
      </c>
      <c r="DL25" s="1">
        <f>DL22+800</f>
        <v>4400</v>
      </c>
      <c r="DM25" s="1">
        <v>4</v>
      </c>
      <c r="DN25" s="3">
        <f>DL25/1000*DM25</f>
        <v>17.600000000000001</v>
      </c>
      <c r="DO25" s="3">
        <v>10.1</v>
      </c>
      <c r="DP25" s="41">
        <f>DN25*DO25</f>
        <v>177.76000000000002</v>
      </c>
      <c r="DQ25" s="31"/>
      <c r="DR25" s="30"/>
      <c r="DS25" s="1">
        <f t="shared" si="115"/>
        <v>7</v>
      </c>
      <c r="DT25" s="1" t="s">
        <v>41</v>
      </c>
      <c r="DU25" s="1" t="s">
        <v>42</v>
      </c>
      <c r="DV25" s="5" t="s">
        <v>63</v>
      </c>
      <c r="DW25" s="1">
        <f>DU5*1000+500</f>
        <v>4500</v>
      </c>
      <c r="DX25" s="1">
        <f>(DU6+1)*2</f>
        <v>22</v>
      </c>
      <c r="DY25" s="5">
        <f t="shared" si="163"/>
        <v>99</v>
      </c>
      <c r="DZ25" s="227">
        <v>8.3000000000000007</v>
      </c>
      <c r="EA25" s="129">
        <f t="shared" si="164"/>
        <v>821.7</v>
      </c>
      <c r="EB25" s="31"/>
      <c r="EC25" s="30"/>
      <c r="ED25" s="1">
        <f t="shared" si="95"/>
        <v>10</v>
      </c>
      <c r="EE25" s="1" t="s">
        <v>41</v>
      </c>
      <c r="EF25" s="1" t="s">
        <v>42</v>
      </c>
      <c r="EG25" s="3" t="s">
        <v>62</v>
      </c>
      <c r="EH25" s="1">
        <f>EF5*1000</f>
        <v>4300</v>
      </c>
      <c r="EI25" s="1">
        <f>4+4*EF6</f>
        <v>44</v>
      </c>
      <c r="EJ25" s="3">
        <f t="shared" si="58"/>
        <v>189.2</v>
      </c>
      <c r="EK25" s="3">
        <v>10.1</v>
      </c>
      <c r="EL25" s="108">
        <f t="shared" si="59"/>
        <v>1910.9199999999998</v>
      </c>
      <c r="EM25" s="31"/>
      <c r="EN25" s="30"/>
      <c r="EO25" s="1">
        <f t="shared" si="96"/>
        <v>10</v>
      </c>
      <c r="EP25" s="1" t="s">
        <v>41</v>
      </c>
      <c r="EQ25" s="1" t="s">
        <v>42</v>
      </c>
      <c r="ER25" s="3" t="s">
        <v>62</v>
      </c>
      <c r="ES25" s="1">
        <f>EQ5*1000</f>
        <v>4300</v>
      </c>
      <c r="ET25" s="49">
        <f>4+4*EQ6</f>
        <v>44</v>
      </c>
      <c r="EU25" s="3">
        <f t="shared" si="97"/>
        <v>189.2</v>
      </c>
      <c r="EV25" s="3">
        <v>10.1</v>
      </c>
      <c r="EW25" s="86">
        <f t="shared" si="98"/>
        <v>1910.9199999999998</v>
      </c>
      <c r="EX25" s="31"/>
      <c r="EY25" s="30"/>
      <c r="EZ25" s="1">
        <f t="shared" ref="EZ25" si="171">EZ24+1</f>
        <v>10</v>
      </c>
      <c r="FA25" s="1" t="s">
        <v>10</v>
      </c>
      <c r="FB25" s="1" t="s">
        <v>19</v>
      </c>
      <c r="FC25" s="25">
        <v>2.5</v>
      </c>
      <c r="FD25" s="1"/>
      <c r="FE25" s="1">
        <f>(FE17+FE19)*2</f>
        <v>224</v>
      </c>
      <c r="FF25" s="25"/>
      <c r="FG25" s="25">
        <v>2.2000000000000002</v>
      </c>
      <c r="FH25" s="26">
        <f>FE25*FG25</f>
        <v>492.80000000000007</v>
      </c>
      <c r="FI25" s="31"/>
      <c r="FJ25" s="30"/>
      <c r="FK25" s="1">
        <f t="shared" si="100"/>
        <v>10</v>
      </c>
      <c r="FL25" s="1" t="s">
        <v>10</v>
      </c>
      <c r="FM25" s="1" t="s">
        <v>11</v>
      </c>
      <c r="FN25" s="25">
        <v>2.5</v>
      </c>
      <c r="FO25" s="1"/>
      <c r="FP25" s="1">
        <f>(FP17+FP20+FP23+FP24)*2</f>
        <v>560</v>
      </c>
      <c r="FQ25" s="25"/>
      <c r="FR25" s="25">
        <v>1.5</v>
      </c>
      <c r="FS25" s="169">
        <f>FP25*FR25</f>
        <v>840</v>
      </c>
      <c r="FT25" s="31"/>
      <c r="FU25" s="30"/>
      <c r="FV25" s="1">
        <f t="shared" si="101"/>
        <v>10</v>
      </c>
      <c r="FW25" s="1" t="s">
        <v>23</v>
      </c>
      <c r="FX25" s="1" t="s">
        <v>24</v>
      </c>
      <c r="FY25" s="5" t="s">
        <v>63</v>
      </c>
      <c r="FZ25" s="1">
        <f>FX9*1000</f>
        <v>4000</v>
      </c>
      <c r="GA25" s="1">
        <f>2*FX6</f>
        <v>14</v>
      </c>
      <c r="GB25" s="5">
        <f>FZ25/1000*GA25</f>
        <v>56</v>
      </c>
      <c r="GC25" s="227">
        <v>8.3000000000000007</v>
      </c>
      <c r="GD25" s="129">
        <f>GB25*GC25</f>
        <v>464.80000000000007</v>
      </c>
      <c r="GE25" s="31"/>
      <c r="GF25" s="30"/>
      <c r="GG25" s="1">
        <f t="shared" si="102"/>
        <v>10</v>
      </c>
      <c r="GH25" s="1" t="s">
        <v>41</v>
      </c>
      <c r="GI25" s="1" t="s">
        <v>42</v>
      </c>
      <c r="GJ25" s="109" t="s">
        <v>259</v>
      </c>
      <c r="GK25" s="49">
        <f>GI5*1000-300</f>
        <v>8600</v>
      </c>
      <c r="GL25" s="49">
        <f>(GI6-1)*2</f>
        <v>28</v>
      </c>
      <c r="GM25" s="109">
        <f t="shared" si="22"/>
        <v>240.79999999999998</v>
      </c>
      <c r="GN25" s="109">
        <v>42.5</v>
      </c>
      <c r="GO25" s="231">
        <f t="shared" si="23"/>
        <v>10234</v>
      </c>
      <c r="GP25" s="31"/>
      <c r="GQ25" s="30"/>
      <c r="GR25" s="1">
        <f t="shared" si="103"/>
        <v>10</v>
      </c>
      <c r="GS25" s="1" t="s">
        <v>60</v>
      </c>
      <c r="GT25" s="1" t="s">
        <v>58</v>
      </c>
      <c r="GU25" s="3" t="s">
        <v>62</v>
      </c>
      <c r="GV25" s="1">
        <v>8100</v>
      </c>
      <c r="GW25" s="1">
        <v>8</v>
      </c>
      <c r="GX25" s="3">
        <f>GV25/1000*GW25</f>
        <v>64.8</v>
      </c>
      <c r="GY25" s="3">
        <v>10.1</v>
      </c>
      <c r="GZ25" s="158">
        <f>GX25*GY25</f>
        <v>654.4799999999999</v>
      </c>
      <c r="HA25" s="31"/>
      <c r="HB25" s="30"/>
      <c r="HC25" s="1">
        <f t="shared" si="104"/>
        <v>10</v>
      </c>
      <c r="HD25" s="1" t="s">
        <v>10</v>
      </c>
      <c r="HE25" s="1" t="s">
        <v>11</v>
      </c>
      <c r="HF25" s="25">
        <v>2.5</v>
      </c>
      <c r="HG25" s="1"/>
      <c r="HH25" s="1">
        <f>(HH20+HH21+HH24)*2</f>
        <v>552</v>
      </c>
      <c r="HI25" s="25"/>
      <c r="HJ25" s="25">
        <v>1.5</v>
      </c>
      <c r="HK25" s="127">
        <f>HH25*HJ25</f>
        <v>828</v>
      </c>
      <c r="HL25" s="31"/>
      <c r="HM25" s="30"/>
      <c r="HN25" s="1">
        <f t="shared" si="66"/>
        <v>10</v>
      </c>
      <c r="HO25" s="1" t="s">
        <v>94</v>
      </c>
      <c r="HP25" s="1" t="s">
        <v>25</v>
      </c>
      <c r="HQ25" s="5" t="s">
        <v>63</v>
      </c>
      <c r="HR25" s="1">
        <f>HP9*1000</f>
        <v>6000</v>
      </c>
      <c r="HS25" s="1">
        <f>HP6*3*HP8</f>
        <v>24</v>
      </c>
      <c r="HT25" s="5">
        <f t="shared" ref="HT25:HT30" si="172">HR25/1000*HS25</f>
        <v>144</v>
      </c>
      <c r="HU25" s="5">
        <v>8.3000000000000007</v>
      </c>
      <c r="HV25" s="229">
        <f t="shared" ref="HV25:HV30" si="173">HT25*HU25</f>
        <v>1195.2</v>
      </c>
      <c r="HW25" s="31"/>
      <c r="HX25" s="30"/>
      <c r="HY25" s="1">
        <f t="shared" si="105"/>
        <v>10</v>
      </c>
      <c r="HZ25" s="1" t="s">
        <v>70</v>
      </c>
      <c r="IA25" s="1" t="s">
        <v>69</v>
      </c>
      <c r="IB25" s="3" t="s">
        <v>62</v>
      </c>
      <c r="IC25" s="1">
        <f>IC18+1350</f>
        <v>4950</v>
      </c>
      <c r="ID25" s="1">
        <v>4</v>
      </c>
      <c r="IE25" s="3">
        <f t="shared" si="106"/>
        <v>19.8</v>
      </c>
      <c r="IF25" s="3">
        <v>10.1</v>
      </c>
      <c r="IG25" s="41">
        <f t="shared" si="107"/>
        <v>199.98</v>
      </c>
      <c r="IH25" s="31"/>
      <c r="II25" s="30"/>
      <c r="IJ25" s="1">
        <f t="shared" si="108"/>
        <v>10</v>
      </c>
      <c r="IK25" s="1" t="s">
        <v>94</v>
      </c>
      <c r="IL25" s="1" t="s">
        <v>25</v>
      </c>
      <c r="IM25" s="11" t="s">
        <v>40</v>
      </c>
      <c r="IN25" s="1">
        <f>IL9*1000</f>
        <v>4800</v>
      </c>
      <c r="IO25" s="1">
        <f>IL6*6*IL8</f>
        <v>114</v>
      </c>
      <c r="IP25" s="11">
        <f t="shared" ref="IP25:IP26" si="174">IN25/1000*IO25</f>
        <v>547.19999999999993</v>
      </c>
      <c r="IQ25" s="11">
        <v>6.6</v>
      </c>
      <c r="IR25" s="126">
        <f t="shared" ref="IR25:IR26" si="175">IP25*IQ25</f>
        <v>3611.5199999999995</v>
      </c>
      <c r="IS25" s="31"/>
      <c r="IT25" s="30"/>
      <c r="IU25" s="1">
        <f t="shared" si="109"/>
        <v>10</v>
      </c>
      <c r="IV25" s="1" t="s">
        <v>94</v>
      </c>
      <c r="IW25" s="1" t="s">
        <v>25</v>
      </c>
      <c r="IX25" s="11" t="s">
        <v>40</v>
      </c>
      <c r="IY25" s="1">
        <f>IW9*1000</f>
        <v>4800</v>
      </c>
      <c r="IZ25" s="1">
        <f>IW6*6*IW8</f>
        <v>114</v>
      </c>
      <c r="JA25" s="11">
        <f t="shared" si="165"/>
        <v>547.19999999999993</v>
      </c>
      <c r="JB25" s="11">
        <v>6.6</v>
      </c>
      <c r="JC25" s="126">
        <f t="shared" si="166"/>
        <v>3611.5199999999995</v>
      </c>
      <c r="JD25" s="31"/>
      <c r="JE25" s="30"/>
      <c r="JF25" s="1">
        <f t="shared" si="67"/>
        <v>10</v>
      </c>
      <c r="JG25" s="1" t="s">
        <v>203</v>
      </c>
      <c r="JH25" s="1" t="s">
        <v>204</v>
      </c>
      <c r="JI25" s="3" t="s">
        <v>62</v>
      </c>
      <c r="JJ25" s="1">
        <v>3650</v>
      </c>
      <c r="JK25" s="1">
        <v>4</v>
      </c>
      <c r="JL25" s="3">
        <f>JJ25/1000*JK25</f>
        <v>14.6</v>
      </c>
      <c r="JM25" s="3">
        <v>10.1</v>
      </c>
      <c r="JN25" s="108">
        <f>JL25*JM25</f>
        <v>147.45999999999998</v>
      </c>
      <c r="JO25" s="31"/>
      <c r="JP25" s="30"/>
      <c r="JQ25" s="1">
        <f t="shared" si="68"/>
        <v>10</v>
      </c>
      <c r="JR25" s="1" t="s">
        <v>60</v>
      </c>
      <c r="JS25" s="1" t="s">
        <v>58</v>
      </c>
      <c r="JT25" s="109" t="s">
        <v>299</v>
      </c>
      <c r="JU25" s="1">
        <v>7900</v>
      </c>
      <c r="JV25" s="1">
        <v>4</v>
      </c>
      <c r="JW25" s="109">
        <f t="shared" ref="JW25:JW30" si="176">JU25/1000*JV25</f>
        <v>31.6</v>
      </c>
      <c r="JX25" s="109">
        <v>25.2</v>
      </c>
      <c r="JY25" s="200">
        <f t="shared" ref="JY25:JY30" si="177">JW25*JX25</f>
        <v>796.32</v>
      </c>
      <c r="JZ25" s="31"/>
      <c r="KA25" s="30"/>
      <c r="KB25" s="1">
        <f t="shared" si="69"/>
        <v>10</v>
      </c>
      <c r="KC25" s="1" t="s">
        <v>60</v>
      </c>
      <c r="KD25" s="1" t="s">
        <v>58</v>
      </c>
      <c r="KE25" s="109" t="s">
        <v>300</v>
      </c>
      <c r="KF25" s="1">
        <v>7900</v>
      </c>
      <c r="KG25" s="1">
        <v>4</v>
      </c>
      <c r="KH25" s="109">
        <f t="shared" ref="KH25:KH30" si="178">KF25/1000*KG25</f>
        <v>31.6</v>
      </c>
      <c r="KI25" s="109">
        <v>20.7</v>
      </c>
      <c r="KJ25" s="200">
        <f t="shared" ref="KJ25:KJ30" si="179">KH25*KI25</f>
        <v>654.12</v>
      </c>
      <c r="KK25" s="31"/>
      <c r="KL25" s="30"/>
      <c r="KM25" s="1">
        <f t="shared" si="70"/>
        <v>10</v>
      </c>
      <c r="KN25" s="1" t="s">
        <v>60</v>
      </c>
      <c r="KO25" s="1" t="s">
        <v>58</v>
      </c>
      <c r="KP25" s="3" t="s">
        <v>62</v>
      </c>
      <c r="KQ25" s="1">
        <f>KQ19+3800</f>
        <v>7800</v>
      </c>
      <c r="KR25" s="1">
        <v>8</v>
      </c>
      <c r="KS25" s="3">
        <f t="shared" ref="KS25:KS26" si="180">KQ25/1000*KR25</f>
        <v>62.4</v>
      </c>
      <c r="KT25" s="3">
        <v>10.1</v>
      </c>
      <c r="KU25" s="128">
        <f t="shared" ref="KU25:KU26" si="181">KS25*KT25</f>
        <v>630.24</v>
      </c>
      <c r="KV25" s="31"/>
      <c r="KW25" s="30"/>
      <c r="KX25" s="1">
        <f t="shared" si="112"/>
        <v>10</v>
      </c>
      <c r="KY25" s="1" t="s">
        <v>149</v>
      </c>
      <c r="KZ25" s="1" t="s">
        <v>150</v>
      </c>
      <c r="LA25" s="3" t="s">
        <v>62</v>
      </c>
      <c r="LB25" s="49">
        <v>7535</v>
      </c>
      <c r="LC25" s="49">
        <f>(KZ7-1)*2*2</f>
        <v>188</v>
      </c>
      <c r="LD25" s="3">
        <f t="shared" si="142"/>
        <v>1416.58</v>
      </c>
      <c r="LE25" s="3">
        <v>10.1</v>
      </c>
      <c r="LF25" s="108">
        <f t="shared" si="143"/>
        <v>14307.457999999999</v>
      </c>
      <c r="LG25" s="31"/>
      <c r="LH25" s="30"/>
      <c r="LI25" s="1">
        <f t="shared" si="113"/>
        <v>10</v>
      </c>
      <c r="LJ25" s="1" t="s">
        <v>23</v>
      </c>
      <c r="LK25" s="1" t="s">
        <v>24</v>
      </c>
      <c r="LL25" s="238" t="s">
        <v>242</v>
      </c>
      <c r="LM25" s="1">
        <f>LK9*1000</f>
        <v>6000</v>
      </c>
      <c r="LN25" s="1">
        <f>24*LK6</f>
        <v>456</v>
      </c>
      <c r="LO25" s="238">
        <f t="shared" si="136"/>
        <v>2736</v>
      </c>
      <c r="LP25" s="238">
        <v>8.1</v>
      </c>
      <c r="LQ25" s="247">
        <f t="shared" si="137"/>
        <v>22161.599999999999</v>
      </c>
      <c r="LR25" s="31"/>
      <c r="LS25" s="30"/>
      <c r="LT25" s="1">
        <f t="shared" si="124"/>
        <v>7</v>
      </c>
      <c r="LU25" s="1" t="s">
        <v>41</v>
      </c>
      <c r="LV25" s="1" t="s">
        <v>42</v>
      </c>
      <c r="LW25" s="5" t="s">
        <v>63</v>
      </c>
      <c r="LX25" s="1">
        <f>LV5*1000+500</f>
        <v>4500</v>
      </c>
      <c r="LY25" s="1">
        <f>(LV6+1)*2</f>
        <v>14</v>
      </c>
      <c r="LZ25" s="5">
        <f t="shared" si="167"/>
        <v>63</v>
      </c>
      <c r="MA25" s="227">
        <v>8.3000000000000007</v>
      </c>
      <c r="MB25" s="129">
        <f t="shared" si="168"/>
        <v>522.90000000000009</v>
      </c>
      <c r="MC25" s="31"/>
      <c r="ME25" s="30"/>
      <c r="MF25" s="1">
        <f t="shared" si="127"/>
        <v>7</v>
      </c>
      <c r="MG25" s="1" t="s">
        <v>41</v>
      </c>
      <c r="MH25" s="1" t="s">
        <v>42</v>
      </c>
      <c r="MI25" s="3" t="s">
        <v>62</v>
      </c>
      <c r="MJ25" s="1">
        <f>MH5*1000+500</f>
        <v>5500</v>
      </c>
      <c r="MK25" s="1">
        <f>(MH6+1)*2</f>
        <v>12</v>
      </c>
      <c r="ML25" s="3">
        <f t="shared" si="169"/>
        <v>66</v>
      </c>
      <c r="MM25" s="3">
        <v>10.1</v>
      </c>
      <c r="MN25" s="174">
        <f t="shared" si="170"/>
        <v>666.6</v>
      </c>
      <c r="MO25" s="31"/>
      <c r="MQ25" s="30"/>
      <c r="MR25" s="1"/>
      <c r="MS25" s="1"/>
      <c r="MT25" s="1"/>
      <c r="MU25" s="5"/>
      <c r="MV25" s="1"/>
      <c r="MW25" s="1"/>
      <c r="MX25" s="5"/>
      <c r="MY25" s="5"/>
      <c r="MZ25" s="263"/>
      <c r="NA25" s="31"/>
      <c r="ND25" s="30"/>
      <c r="NE25" s="1">
        <f t="shared" si="114"/>
        <v>3</v>
      </c>
      <c r="NF25" s="1" t="s">
        <v>60</v>
      </c>
      <c r="NG25" s="1" t="s">
        <v>58</v>
      </c>
      <c r="NH25" s="5" t="s">
        <v>63</v>
      </c>
      <c r="NI25" s="1">
        <f>NG5*1000+2700</f>
        <v>10200</v>
      </c>
      <c r="NJ25" s="1">
        <v>4</v>
      </c>
      <c r="NK25" s="5">
        <f t="shared" si="0"/>
        <v>40.799999999999997</v>
      </c>
      <c r="NL25" s="5">
        <v>8.3000000000000007</v>
      </c>
      <c r="NM25" s="263">
        <f t="shared" si="1"/>
        <v>338.64</v>
      </c>
      <c r="NN25" s="31"/>
      <c r="NP25" s="30"/>
      <c r="NQ25" s="18"/>
      <c r="NR25" s="18"/>
      <c r="NS25" s="18"/>
      <c r="NT25" s="18"/>
      <c r="NU25" s="18"/>
      <c r="NV25" s="18"/>
      <c r="NW25" s="13" t="s">
        <v>37</v>
      </c>
      <c r="NX25" s="13"/>
      <c r="NY25" s="14">
        <f>SUM(NY14:NY23)</f>
        <v>3458.3112000000006</v>
      </c>
      <c r="NZ25" s="31"/>
      <c r="OC25" s="30"/>
      <c r="OD25" s="18"/>
      <c r="OE25" s="18"/>
      <c r="OF25" s="18"/>
      <c r="OG25" s="18"/>
      <c r="OH25" s="18"/>
      <c r="OI25" s="18"/>
      <c r="OJ25" s="13" t="s">
        <v>37</v>
      </c>
      <c r="OK25" s="13"/>
      <c r="OL25" s="14">
        <f>SUM(OL14:OL23)</f>
        <v>4260.2240000000011</v>
      </c>
      <c r="OM25" s="31"/>
      <c r="OP25" s="30"/>
      <c r="OQ25" s="18"/>
      <c r="OR25" s="18"/>
      <c r="OS25" s="18"/>
      <c r="OT25" s="18"/>
      <c r="OU25" s="18"/>
      <c r="OV25" s="18"/>
      <c r="OW25" s="13" t="s">
        <v>37</v>
      </c>
      <c r="OX25" s="13"/>
      <c r="OY25" s="14">
        <f>SUM(OY14:OY23)</f>
        <v>4260.2240000000011</v>
      </c>
      <c r="OZ25" s="31"/>
      <c r="PD25" s="30"/>
      <c r="PE25" s="18"/>
      <c r="PF25" s="18"/>
      <c r="PG25" s="18"/>
      <c r="PH25" s="18"/>
      <c r="PI25" s="18"/>
      <c r="PJ25" s="18"/>
      <c r="PK25" s="13" t="s">
        <v>37</v>
      </c>
      <c r="PL25" s="13"/>
      <c r="PM25" s="14">
        <f>SUM(PM14:PM23)</f>
        <v>4260.2240000000011</v>
      </c>
      <c r="PN25" s="31"/>
      <c r="PQ25" s="30"/>
      <c r="PR25" s="18"/>
      <c r="PS25" s="18"/>
      <c r="PT25" s="18"/>
      <c r="PU25" s="18"/>
      <c r="PV25" s="18"/>
      <c r="PW25" s="18"/>
      <c r="PX25" s="13" t="s">
        <v>37</v>
      </c>
      <c r="PY25" s="13"/>
      <c r="PZ25" s="14">
        <f>SUM(PZ14:PZ23)</f>
        <v>4260.2240000000011</v>
      </c>
      <c r="QA25" s="31"/>
      <c r="QD25" s="30"/>
      <c r="QE25" s="18"/>
      <c r="QF25" s="18"/>
      <c r="QG25" s="18"/>
      <c r="QH25" s="18"/>
      <c r="QI25" s="18"/>
      <c r="QJ25" s="18"/>
      <c r="QK25" s="13" t="s">
        <v>37</v>
      </c>
      <c r="QL25" s="13"/>
      <c r="QM25" s="14">
        <f>SUM(QM14:QM23)</f>
        <v>2560.2339999999999</v>
      </c>
      <c r="QN25" s="31"/>
      <c r="QQ25" s="30"/>
      <c r="QR25" s="18"/>
      <c r="QS25" s="18"/>
      <c r="QT25" s="18"/>
      <c r="QU25" s="18"/>
      <c r="QV25" s="18"/>
      <c r="QW25" s="18"/>
      <c r="QX25" s="13" t="s">
        <v>37</v>
      </c>
      <c r="QY25" s="13"/>
      <c r="QZ25" s="14">
        <f>SUM(QZ14:QZ23)</f>
        <v>4260.2240000000011</v>
      </c>
      <c r="RA25" s="31"/>
    </row>
    <row r="26" spans="1:469" x14ac:dyDescent="0.25">
      <c r="A26" s="30"/>
      <c r="B26" s="18"/>
      <c r="C26" s="18"/>
      <c r="D26" s="18"/>
      <c r="E26" s="18"/>
      <c r="F26" s="18"/>
      <c r="G26" s="18"/>
      <c r="H26" s="13" t="s">
        <v>37</v>
      </c>
      <c r="I26" s="13"/>
      <c r="J26" s="14">
        <f>SUM(J16:J24)</f>
        <v>427.68</v>
      </c>
      <c r="K26" s="31"/>
      <c r="L26" s="30"/>
      <c r="M26" s="18"/>
      <c r="N26" s="18"/>
      <c r="O26" s="18"/>
      <c r="P26" s="18"/>
      <c r="Q26" s="18"/>
      <c r="R26" s="18"/>
      <c r="S26" s="13" t="s">
        <v>37</v>
      </c>
      <c r="T26" s="13"/>
      <c r="U26" s="14">
        <f>SUM(U16:U24)</f>
        <v>920.37000000000012</v>
      </c>
      <c r="V26" s="31"/>
      <c r="W26" s="30"/>
      <c r="X26" s="18"/>
      <c r="Y26" s="18"/>
      <c r="Z26" s="18"/>
      <c r="AA26" s="18"/>
      <c r="AB26" s="18"/>
      <c r="AC26" s="18"/>
      <c r="AD26" s="342" t="s">
        <v>9</v>
      </c>
      <c r="AE26" s="306"/>
      <c r="AF26" s="2">
        <f>AF24+AF25</f>
        <v>4349.0320000000002</v>
      </c>
      <c r="AG26" s="31"/>
      <c r="AH26" s="30"/>
      <c r="AR26" s="31"/>
      <c r="AS26" s="30"/>
      <c r="AT26" s="18"/>
      <c r="AU26" s="18"/>
      <c r="AV26" s="18"/>
      <c r="AW26" s="18"/>
      <c r="AX26" s="18"/>
      <c r="AY26" s="18"/>
      <c r="BC26" s="31"/>
      <c r="BD26" s="30"/>
      <c r="BE26" s="18"/>
      <c r="BF26" s="18"/>
      <c r="BG26" s="18"/>
      <c r="BH26" s="18"/>
      <c r="BI26" s="18"/>
      <c r="BJ26" s="18"/>
      <c r="BN26" s="31"/>
      <c r="BO26" s="30"/>
      <c r="BP26" s="18"/>
      <c r="BQ26" s="18"/>
      <c r="BR26" s="18"/>
      <c r="BS26" s="18"/>
      <c r="BT26" s="18"/>
      <c r="BU26" s="18"/>
      <c r="BV26" s="84" t="s">
        <v>136</v>
      </c>
      <c r="BW26" s="84"/>
      <c r="BX26" s="85">
        <f>BX17</f>
        <v>1650</v>
      </c>
      <c r="BY26" s="31"/>
      <c r="BZ26" s="30"/>
      <c r="CA26" s="18"/>
      <c r="CB26" s="18"/>
      <c r="CC26" s="18"/>
      <c r="CD26" s="18"/>
      <c r="CE26" s="18"/>
      <c r="CF26" s="18"/>
      <c r="CG26" s="304" t="s">
        <v>9</v>
      </c>
      <c r="CH26" s="306"/>
      <c r="CI26" s="2">
        <f>CI24+CI25</f>
        <v>7410.6360000000004</v>
      </c>
      <c r="CJ26" s="31"/>
      <c r="CK26" s="30"/>
      <c r="CL26" s="1">
        <f>CL24+1</f>
        <v>10</v>
      </c>
      <c r="CM26" s="1" t="s">
        <v>96</v>
      </c>
      <c r="CN26" s="1" t="s">
        <v>79</v>
      </c>
      <c r="CO26" s="11" t="s">
        <v>40</v>
      </c>
      <c r="CP26" s="1">
        <v>4000</v>
      </c>
      <c r="CQ26" s="1">
        <v>12</v>
      </c>
      <c r="CR26" s="11">
        <f t="shared" si="16"/>
        <v>48</v>
      </c>
      <c r="CS26" s="11">
        <v>6.6</v>
      </c>
      <c r="CT26" s="172">
        <f t="shared" si="17"/>
        <v>316.79999999999995</v>
      </c>
      <c r="CU26" s="31"/>
      <c r="CV26" s="30"/>
      <c r="CW26" s="18"/>
      <c r="CX26" s="18"/>
      <c r="CY26" s="18"/>
      <c r="CZ26" s="18"/>
      <c r="DA26" s="18"/>
      <c r="DB26" s="18"/>
      <c r="DC26" s="8" t="s">
        <v>12</v>
      </c>
      <c r="DD26" s="8"/>
      <c r="DE26" s="9">
        <f>DE16+DE18+DE20+DE21</f>
        <v>1899.04</v>
      </c>
      <c r="DF26" s="31"/>
      <c r="DG26" s="30"/>
      <c r="DH26" s="1">
        <f>DH25+1</f>
        <v>11</v>
      </c>
      <c r="DI26" s="1" t="s">
        <v>96</v>
      </c>
      <c r="DJ26" s="1" t="s">
        <v>79</v>
      </c>
      <c r="DK26" s="5" t="s">
        <v>63</v>
      </c>
      <c r="DL26" s="1">
        <v>3500</v>
      </c>
      <c r="DM26" s="1">
        <v>8</v>
      </c>
      <c r="DN26" s="5">
        <f t="shared" ref="DN26:DN28" si="182">DL26/1000*DM26</f>
        <v>28</v>
      </c>
      <c r="DO26" s="5">
        <v>8.3000000000000007</v>
      </c>
      <c r="DP26" s="43">
        <f t="shared" ref="DP26:DP28" si="183">DN26*DO26</f>
        <v>232.40000000000003</v>
      </c>
      <c r="DQ26" s="31"/>
      <c r="DR26" s="30"/>
      <c r="DS26" s="1"/>
      <c r="DT26" s="1" t="s">
        <v>41</v>
      </c>
      <c r="DU26" s="1" t="s">
        <v>42</v>
      </c>
      <c r="DV26" s="5" t="s">
        <v>63</v>
      </c>
      <c r="DW26" s="1">
        <f>DU5*1000+1700</f>
        <v>5700</v>
      </c>
      <c r="DX26" s="1">
        <f>(DU6+1)*2</f>
        <v>22</v>
      </c>
      <c r="DY26" s="5">
        <f t="shared" si="163"/>
        <v>125.4</v>
      </c>
      <c r="DZ26" s="227">
        <v>8.3000000000000007</v>
      </c>
      <c r="EA26" s="129">
        <f t="shared" si="164"/>
        <v>1040.8200000000002</v>
      </c>
      <c r="EB26" s="31"/>
      <c r="EC26" s="30"/>
      <c r="ED26" s="1">
        <f>ED25+1</f>
        <v>11</v>
      </c>
      <c r="EE26" s="1" t="s">
        <v>94</v>
      </c>
      <c r="EF26" s="1" t="s">
        <v>25</v>
      </c>
      <c r="EG26" s="5" t="s">
        <v>63</v>
      </c>
      <c r="EH26" s="1">
        <f>EF9*1000</f>
        <v>4800</v>
      </c>
      <c r="EI26" s="1">
        <f>2*EF6*EF8</f>
        <v>60</v>
      </c>
      <c r="EJ26" s="5">
        <f t="shared" si="58"/>
        <v>288</v>
      </c>
      <c r="EK26" s="5">
        <v>8.3000000000000007</v>
      </c>
      <c r="EL26" s="106">
        <f t="shared" si="59"/>
        <v>2390.4</v>
      </c>
      <c r="EM26" s="31"/>
      <c r="EN26" s="30"/>
      <c r="EO26" s="1">
        <f>EO25+1</f>
        <v>11</v>
      </c>
      <c r="EP26" s="1" t="s">
        <v>94</v>
      </c>
      <c r="EQ26" s="1" t="s">
        <v>25</v>
      </c>
      <c r="ER26" s="5" t="s">
        <v>63</v>
      </c>
      <c r="ES26" s="1">
        <f>EQ9*1000</f>
        <v>4800</v>
      </c>
      <c r="ET26" s="49">
        <f>2*EQ6*EQ8</f>
        <v>60</v>
      </c>
      <c r="EU26" s="5">
        <f>ES26/1000*ET26</f>
        <v>288</v>
      </c>
      <c r="EV26" s="5">
        <v>8.3000000000000007</v>
      </c>
      <c r="EW26" s="87">
        <f>EU26*EV26</f>
        <v>2390.4</v>
      </c>
      <c r="EX26" s="31"/>
      <c r="EY26" s="30"/>
      <c r="EZ26" s="18"/>
      <c r="FA26" s="18"/>
      <c r="FB26" s="18"/>
      <c r="FC26" s="18"/>
      <c r="FD26" s="18"/>
      <c r="FE26" s="18"/>
      <c r="FF26" s="6" t="s">
        <v>20</v>
      </c>
      <c r="FG26" s="6"/>
      <c r="FH26" s="7">
        <f>FH17+FH19+FH22+FH23</f>
        <v>3068.9</v>
      </c>
      <c r="FI26" s="31"/>
      <c r="FJ26" s="30"/>
      <c r="FK26" s="18"/>
      <c r="FL26" s="18"/>
      <c r="FM26" s="18"/>
      <c r="FN26" s="18"/>
      <c r="FO26" s="18"/>
      <c r="FP26" s="18"/>
      <c r="FQ26" s="6" t="s">
        <v>20</v>
      </c>
      <c r="FR26" s="6"/>
      <c r="FS26" s="7">
        <f>FS24</f>
        <v>1294.8000000000002</v>
      </c>
      <c r="FT26" s="31"/>
      <c r="FU26" s="30"/>
      <c r="FV26" s="1">
        <f>FV25+1</f>
        <v>11</v>
      </c>
      <c r="FW26" s="1" t="s">
        <v>23</v>
      </c>
      <c r="FX26" s="1" t="s">
        <v>24</v>
      </c>
      <c r="FY26" s="66" t="s">
        <v>135</v>
      </c>
      <c r="FZ26" s="1">
        <f>FX9*1000</f>
        <v>4000</v>
      </c>
      <c r="GA26" s="1">
        <f>20*FX6</f>
        <v>140</v>
      </c>
      <c r="GB26" s="66">
        <f t="shared" ref="GB26:GB27" si="184">FZ26/1000*GA26</f>
        <v>560</v>
      </c>
      <c r="GC26" s="66">
        <v>6.6</v>
      </c>
      <c r="GD26" s="130">
        <f t="shared" ref="GD26:GD27" si="185">GB26*GC26</f>
        <v>3696</v>
      </c>
      <c r="GE26" s="31"/>
      <c r="GF26" s="30"/>
      <c r="GG26" s="1">
        <f>GG25+1</f>
        <v>11</v>
      </c>
      <c r="GH26" s="1" t="s">
        <v>23</v>
      </c>
      <c r="GI26" s="1" t="s">
        <v>24</v>
      </c>
      <c r="GJ26" s="188" t="s">
        <v>288</v>
      </c>
      <c r="GK26" s="49">
        <f>GI9*1000-250</f>
        <v>4750</v>
      </c>
      <c r="GL26" s="49">
        <f>16*GI6</f>
        <v>240</v>
      </c>
      <c r="GM26" s="188">
        <f t="shared" si="22"/>
        <v>1140</v>
      </c>
      <c r="GN26" s="188">
        <v>5.4</v>
      </c>
      <c r="GO26" s="232">
        <f t="shared" si="23"/>
        <v>6156</v>
      </c>
      <c r="GP26" s="31"/>
      <c r="GQ26" s="30"/>
      <c r="GR26" s="1">
        <f>GR25+1</f>
        <v>11</v>
      </c>
      <c r="GS26" s="1" t="s">
        <v>61</v>
      </c>
      <c r="GT26" s="1" t="s">
        <v>59</v>
      </c>
      <c r="GU26" s="3" t="s">
        <v>62</v>
      </c>
      <c r="GV26" s="1">
        <v>7500</v>
      </c>
      <c r="GW26" s="1">
        <v>8</v>
      </c>
      <c r="GX26" s="3">
        <f>GV26/1000*GW26</f>
        <v>60</v>
      </c>
      <c r="GY26" s="3">
        <v>10.1</v>
      </c>
      <c r="GZ26" s="158">
        <f>GX26*GY26</f>
        <v>606</v>
      </c>
      <c r="HA26" s="31"/>
      <c r="HB26" s="30"/>
      <c r="HC26" s="18"/>
      <c r="HD26" s="18"/>
      <c r="HE26" s="18"/>
      <c r="HF26" s="18"/>
      <c r="HG26" s="18"/>
      <c r="HH26" s="18"/>
      <c r="HI26" s="6" t="s">
        <v>20</v>
      </c>
      <c r="HJ26" s="6"/>
      <c r="HK26" s="7">
        <f>HK16+HK17+HK18+HK19+HK21+HK22+HK23+HK24</f>
        <v>12607.7</v>
      </c>
      <c r="HL26" s="31"/>
      <c r="HM26" s="30"/>
      <c r="HN26" s="1">
        <f>HN25+1</f>
        <v>11</v>
      </c>
      <c r="HO26" s="1" t="s">
        <v>60</v>
      </c>
      <c r="HP26" s="1" t="s">
        <v>58</v>
      </c>
      <c r="HQ26" s="3" t="s">
        <v>62</v>
      </c>
      <c r="HR26" s="1">
        <v>5000</v>
      </c>
      <c r="HS26" s="1">
        <v>4</v>
      </c>
      <c r="HT26" s="3">
        <f t="shared" si="172"/>
        <v>20</v>
      </c>
      <c r="HU26" s="3">
        <v>10.1</v>
      </c>
      <c r="HV26" s="236">
        <f t="shared" si="173"/>
        <v>202</v>
      </c>
      <c r="HW26" s="31"/>
      <c r="HX26" s="30"/>
      <c r="HY26" s="1">
        <f>HY25+1</f>
        <v>11</v>
      </c>
      <c r="HZ26" s="1" t="s">
        <v>95</v>
      </c>
      <c r="IA26" s="1" t="s">
        <v>55</v>
      </c>
      <c r="IB26" s="5" t="s">
        <v>63</v>
      </c>
      <c r="IC26" s="1">
        <v>4500</v>
      </c>
      <c r="ID26" s="1">
        <v>24</v>
      </c>
      <c r="IE26" s="5">
        <f t="shared" si="106"/>
        <v>108</v>
      </c>
      <c r="IF26" s="5">
        <v>8.3000000000000007</v>
      </c>
      <c r="IG26" s="43">
        <f t="shared" si="107"/>
        <v>896.40000000000009</v>
      </c>
      <c r="IH26" s="31"/>
      <c r="II26" s="30"/>
      <c r="IJ26" s="1">
        <f>IJ25+1</f>
        <v>11</v>
      </c>
      <c r="IK26" s="49" t="s">
        <v>130</v>
      </c>
      <c r="IL26" s="1" t="s">
        <v>251</v>
      </c>
      <c r="IM26" s="66" t="s">
        <v>135</v>
      </c>
      <c r="IN26" s="1">
        <f>IL9*1000</f>
        <v>4800</v>
      </c>
      <c r="IO26" s="1">
        <f>2*IL6*2</f>
        <v>76</v>
      </c>
      <c r="IP26" s="66">
        <f t="shared" si="174"/>
        <v>364.8</v>
      </c>
      <c r="IQ26" s="66">
        <v>6.6</v>
      </c>
      <c r="IR26" s="146">
        <f t="shared" si="175"/>
        <v>2407.6799999999998</v>
      </c>
      <c r="IS26" s="31"/>
      <c r="IT26" s="30"/>
      <c r="IU26" s="1">
        <f>IU25+1</f>
        <v>11</v>
      </c>
      <c r="IV26" s="1" t="s">
        <v>130</v>
      </c>
      <c r="IW26" s="1" t="s">
        <v>131</v>
      </c>
      <c r="IX26" s="66" t="s">
        <v>135</v>
      </c>
      <c r="IY26" s="1">
        <f>IW9*1000</f>
        <v>4800</v>
      </c>
      <c r="IZ26" s="1">
        <f>4*IW6</f>
        <v>76</v>
      </c>
      <c r="JA26" s="66">
        <f t="shared" ref="JA26" si="186">IY26/1000*IZ26</f>
        <v>364.8</v>
      </c>
      <c r="JB26" s="66">
        <v>6.6</v>
      </c>
      <c r="JC26" s="146">
        <f t="shared" ref="JC26" si="187">JA26*JB26</f>
        <v>2407.6799999999998</v>
      </c>
      <c r="JD26" s="31"/>
      <c r="JE26" s="30"/>
      <c r="JF26" s="1">
        <f>JF25+1</f>
        <v>11</v>
      </c>
      <c r="JG26" s="1" t="s">
        <v>205</v>
      </c>
      <c r="JH26" s="1" t="s">
        <v>206</v>
      </c>
      <c r="JI26" s="3" t="s">
        <v>62</v>
      </c>
      <c r="JJ26" s="1">
        <v>5570</v>
      </c>
      <c r="JK26" s="1">
        <v>4</v>
      </c>
      <c r="JL26" s="3">
        <f t="shared" ref="JL26:JL34" si="188">JJ26/1000*JK26</f>
        <v>22.28</v>
      </c>
      <c r="JM26" s="3">
        <v>10.1</v>
      </c>
      <c r="JN26" s="108">
        <f t="shared" ref="JN26:JN34" si="189">JL26*JM26</f>
        <v>225.02799999999999</v>
      </c>
      <c r="JO26" s="31"/>
      <c r="JP26" s="30"/>
      <c r="JQ26" s="1">
        <f>JQ25+1</f>
        <v>11</v>
      </c>
      <c r="JR26" s="1" t="s">
        <v>61</v>
      </c>
      <c r="JS26" s="1" t="s">
        <v>59</v>
      </c>
      <c r="JT26" s="109" t="s">
        <v>299</v>
      </c>
      <c r="JU26" s="1">
        <v>5500</v>
      </c>
      <c r="JV26" s="1">
        <v>4</v>
      </c>
      <c r="JW26" s="109">
        <f t="shared" si="176"/>
        <v>22</v>
      </c>
      <c r="JX26" s="109">
        <v>25.2</v>
      </c>
      <c r="JY26" s="200">
        <f t="shared" si="177"/>
        <v>554.4</v>
      </c>
      <c r="JZ26" s="31"/>
      <c r="KA26" s="30"/>
      <c r="KB26" s="1">
        <f>KB25+1</f>
        <v>11</v>
      </c>
      <c r="KC26" s="1" t="s">
        <v>61</v>
      </c>
      <c r="KD26" s="1" t="s">
        <v>59</v>
      </c>
      <c r="KE26" s="109" t="s">
        <v>300</v>
      </c>
      <c r="KF26" s="1">
        <v>5500</v>
      </c>
      <c r="KG26" s="1">
        <v>4</v>
      </c>
      <c r="KH26" s="109">
        <f t="shared" si="178"/>
        <v>22</v>
      </c>
      <c r="KI26" s="109">
        <v>20.7</v>
      </c>
      <c r="KJ26" s="200">
        <f t="shared" si="179"/>
        <v>455.4</v>
      </c>
      <c r="KK26" s="31"/>
      <c r="KL26" s="30"/>
      <c r="KM26" s="1">
        <f>KM25+1</f>
        <v>11</v>
      </c>
      <c r="KN26" s="1" t="s">
        <v>61</v>
      </c>
      <c r="KO26" s="1" t="s">
        <v>59</v>
      </c>
      <c r="KP26" s="3" t="s">
        <v>62</v>
      </c>
      <c r="KQ26" s="1">
        <f>KQ19+1600</f>
        <v>5600</v>
      </c>
      <c r="KR26" s="1">
        <v>4</v>
      </c>
      <c r="KS26" s="3">
        <f t="shared" si="180"/>
        <v>22.4</v>
      </c>
      <c r="KT26" s="3">
        <v>10.1</v>
      </c>
      <c r="KU26" s="128">
        <f t="shared" si="181"/>
        <v>226.23999999999998</v>
      </c>
      <c r="KV26" s="31"/>
      <c r="KW26" s="30"/>
      <c r="KX26" s="1">
        <f>KX25+1</f>
        <v>11</v>
      </c>
      <c r="KY26" s="1" t="s">
        <v>185</v>
      </c>
      <c r="KZ26" s="1" t="s">
        <v>186</v>
      </c>
      <c r="LA26" s="3" t="s">
        <v>62</v>
      </c>
      <c r="LB26" s="49">
        <v>5300</v>
      </c>
      <c r="LC26" s="49">
        <f>KZ6*2</f>
        <v>48</v>
      </c>
      <c r="LD26" s="3">
        <f>LB26/1000*LC26</f>
        <v>254.39999999999998</v>
      </c>
      <c r="LE26" s="3">
        <v>10.1</v>
      </c>
      <c r="LF26" s="108">
        <f>LD26*LE26</f>
        <v>2569.4399999999996</v>
      </c>
      <c r="LG26" s="31"/>
      <c r="LH26" s="30"/>
      <c r="LI26" s="1">
        <f>LI25+1</f>
        <v>11</v>
      </c>
      <c r="LJ26" s="112" t="s">
        <v>224</v>
      </c>
      <c r="LK26" s="1"/>
      <c r="LL26" s="49"/>
      <c r="LM26" s="49"/>
      <c r="LN26" s="49"/>
      <c r="LO26" s="49"/>
      <c r="LP26" s="49"/>
      <c r="LQ26" s="244"/>
      <c r="LR26" s="31"/>
      <c r="LS26" s="30"/>
      <c r="LT26" s="1"/>
      <c r="LU26" s="1" t="s">
        <v>41</v>
      </c>
      <c r="LV26" s="1" t="s">
        <v>42</v>
      </c>
      <c r="LW26" s="5" t="s">
        <v>63</v>
      </c>
      <c r="LX26" s="1">
        <f>LV5*1000+1700</f>
        <v>5700</v>
      </c>
      <c r="LY26" s="1">
        <f>(LV6+1)*2</f>
        <v>14</v>
      </c>
      <c r="LZ26" s="5">
        <f t="shared" si="167"/>
        <v>79.8</v>
      </c>
      <c r="MA26" s="227">
        <v>8.3000000000000007</v>
      </c>
      <c r="MB26" s="129">
        <f t="shared" si="168"/>
        <v>662.34</v>
      </c>
      <c r="MC26" s="31"/>
      <c r="ME26" s="30"/>
      <c r="MF26" s="1"/>
      <c r="MG26" s="1" t="s">
        <v>41</v>
      </c>
      <c r="MH26" s="1" t="s">
        <v>42</v>
      </c>
      <c r="MI26" s="3" t="s">
        <v>62</v>
      </c>
      <c r="MJ26" s="1">
        <f>MH5*1000+1700</f>
        <v>6700</v>
      </c>
      <c r="MK26" s="1">
        <f>(MH6+1)*2</f>
        <v>12</v>
      </c>
      <c r="ML26" s="3">
        <f t="shared" si="169"/>
        <v>80.400000000000006</v>
      </c>
      <c r="MM26" s="3">
        <v>10.1</v>
      </c>
      <c r="MN26" s="174">
        <f t="shared" si="170"/>
        <v>812.04000000000008</v>
      </c>
      <c r="MO26" s="31"/>
      <c r="MQ26" s="30"/>
      <c r="MR26" s="1"/>
      <c r="MS26" s="1" t="s">
        <v>334</v>
      </c>
      <c r="MT26" s="1"/>
      <c r="MU26" s="11" t="s">
        <v>40</v>
      </c>
      <c r="MV26" s="1">
        <v>5800</v>
      </c>
      <c r="MW26" s="1">
        <f>MT6</f>
        <v>3</v>
      </c>
      <c r="MX26" s="11">
        <f t="shared" ref="MX26" si="190">MV26/1000*MW26</f>
        <v>17.399999999999999</v>
      </c>
      <c r="MY26" s="11">
        <v>6.9</v>
      </c>
      <c r="MZ26" s="264">
        <f t="shared" ref="MZ26" si="191">MX26*MY26</f>
        <v>120.06</v>
      </c>
      <c r="NA26" s="31"/>
      <c r="ND26" s="30"/>
      <c r="NE26" s="1">
        <f t="shared" si="114"/>
        <v>4</v>
      </c>
      <c r="NF26" s="1" t="s">
        <v>61</v>
      </c>
      <c r="NG26" s="1" t="s">
        <v>59</v>
      </c>
      <c r="NH26" s="5" t="s">
        <v>63</v>
      </c>
      <c r="NI26" s="1">
        <f>NG5*1000+1800</f>
        <v>9300</v>
      </c>
      <c r="NJ26" s="1">
        <v>4</v>
      </c>
      <c r="NK26" s="5">
        <f t="shared" si="0"/>
        <v>37.200000000000003</v>
      </c>
      <c r="NL26" s="5">
        <v>8.3000000000000007</v>
      </c>
      <c r="NM26" s="263">
        <f t="shared" si="1"/>
        <v>308.76000000000005</v>
      </c>
      <c r="NN26" s="31"/>
      <c r="NP26" s="30"/>
      <c r="NQ26" s="18"/>
      <c r="NR26" s="18"/>
      <c r="NS26" s="18"/>
      <c r="NT26" s="18"/>
      <c r="NU26" s="18"/>
      <c r="NV26" s="18"/>
      <c r="NW26" s="271" t="s">
        <v>9</v>
      </c>
      <c r="NX26" s="272"/>
      <c r="NY26" s="2">
        <f>NY25</f>
        <v>3458.3112000000006</v>
      </c>
      <c r="NZ26" s="31"/>
      <c r="OC26" s="30"/>
      <c r="OD26" s="18"/>
      <c r="OE26" s="18"/>
      <c r="OF26" s="18"/>
      <c r="OG26" s="18"/>
      <c r="OH26" s="18"/>
      <c r="OI26" s="18"/>
      <c r="OJ26" s="274" t="s">
        <v>9</v>
      </c>
      <c r="OK26" s="275"/>
      <c r="OL26" s="2">
        <f>OL25</f>
        <v>4260.2240000000011</v>
      </c>
      <c r="OM26" s="31"/>
      <c r="OP26" s="30"/>
      <c r="OQ26" s="18"/>
      <c r="OR26" s="18"/>
      <c r="OS26" s="18"/>
      <c r="OT26" s="18"/>
      <c r="OU26" s="18"/>
      <c r="OV26" s="18"/>
      <c r="OW26" s="280" t="s">
        <v>9</v>
      </c>
      <c r="OX26" s="281"/>
      <c r="OY26" s="2">
        <f>OY25</f>
        <v>4260.2240000000011</v>
      </c>
      <c r="OZ26" s="31"/>
      <c r="PD26" s="30"/>
      <c r="PE26" s="18"/>
      <c r="PF26" s="18"/>
      <c r="PG26" s="18"/>
      <c r="PH26" s="18"/>
      <c r="PI26" s="18"/>
      <c r="PJ26" s="18"/>
      <c r="PK26" s="284" t="s">
        <v>9</v>
      </c>
      <c r="PL26" s="285"/>
      <c r="PM26" s="2">
        <f>PM25</f>
        <v>4260.2240000000011</v>
      </c>
      <c r="PN26" s="31"/>
      <c r="PQ26" s="30"/>
      <c r="PR26" s="18"/>
      <c r="PS26" s="18"/>
      <c r="PT26" s="18"/>
      <c r="PU26" s="18"/>
      <c r="PV26" s="18"/>
      <c r="PW26" s="18"/>
      <c r="PX26" s="288" t="s">
        <v>9</v>
      </c>
      <c r="PY26" s="289"/>
      <c r="PZ26" s="2">
        <f>PZ25</f>
        <v>4260.2240000000011</v>
      </c>
      <c r="QA26" s="31"/>
      <c r="QD26" s="30"/>
      <c r="QE26" s="18"/>
      <c r="QF26" s="18"/>
      <c r="QG26" s="18"/>
      <c r="QH26" s="18"/>
      <c r="QI26" s="18"/>
      <c r="QJ26" s="18"/>
      <c r="QK26" s="291" t="s">
        <v>9</v>
      </c>
      <c r="QL26" s="292"/>
      <c r="QM26" s="2">
        <f>QM25</f>
        <v>2560.2339999999999</v>
      </c>
      <c r="QN26" s="31"/>
      <c r="QQ26" s="30"/>
      <c r="QR26" s="18"/>
      <c r="QS26" s="18"/>
      <c r="QT26" s="18"/>
      <c r="QU26" s="18"/>
      <c r="QV26" s="18"/>
      <c r="QW26" s="18"/>
      <c r="QX26" s="294" t="s">
        <v>9</v>
      </c>
      <c r="QY26" s="295"/>
      <c r="QZ26" s="2">
        <f>QZ25</f>
        <v>4260.2240000000011</v>
      </c>
      <c r="RA26" s="31"/>
    </row>
    <row r="27" spans="1:469" x14ac:dyDescent="0.25">
      <c r="A27" s="30"/>
      <c r="B27" s="18"/>
      <c r="C27" s="18"/>
      <c r="D27" s="18"/>
      <c r="E27" s="18"/>
      <c r="F27" s="18"/>
      <c r="G27" s="18"/>
      <c r="H27" s="304" t="s">
        <v>9</v>
      </c>
      <c r="I27" s="306"/>
      <c r="J27" s="2">
        <f>J26</f>
        <v>427.68</v>
      </c>
      <c r="K27" s="31"/>
      <c r="L27" s="30"/>
      <c r="M27" s="18"/>
      <c r="N27" s="18"/>
      <c r="O27" s="18"/>
      <c r="P27" s="18"/>
      <c r="Q27" s="18"/>
      <c r="R27" s="18"/>
      <c r="S27" s="304" t="s">
        <v>9</v>
      </c>
      <c r="T27" s="306"/>
      <c r="U27" s="2">
        <f>U26</f>
        <v>920.37000000000012</v>
      </c>
      <c r="V27" s="31"/>
      <c r="W27" s="30"/>
      <c r="X27" s="18"/>
      <c r="Y27" s="18"/>
      <c r="Z27" s="18"/>
      <c r="AA27" s="18"/>
      <c r="AB27" s="18"/>
      <c r="AC27" s="18"/>
      <c r="AD27" s="18"/>
      <c r="AE27" s="18"/>
      <c r="AF27" s="18"/>
      <c r="AG27" s="31"/>
      <c r="AH27" s="30"/>
      <c r="AI27" s="18"/>
      <c r="AJ27" s="18"/>
      <c r="AK27" s="18"/>
      <c r="AL27" s="18"/>
      <c r="AM27" s="18"/>
      <c r="AN27" s="18"/>
      <c r="AO27" s="18"/>
      <c r="AP27" s="18"/>
      <c r="AQ27" s="18"/>
      <c r="AR27" s="31"/>
      <c r="AS27" s="30"/>
      <c r="BC27" s="31"/>
      <c r="BD27" s="30"/>
      <c r="BE27" s="18"/>
      <c r="BF27" s="18"/>
      <c r="BG27" s="18"/>
      <c r="BH27" s="18"/>
      <c r="BI27" s="18"/>
      <c r="BJ27" s="18"/>
      <c r="BN27" s="31"/>
      <c r="BO27" s="30"/>
      <c r="BP27" s="18"/>
      <c r="BQ27" s="18"/>
      <c r="BR27" s="18"/>
      <c r="BS27" s="18"/>
      <c r="BT27" s="18"/>
      <c r="BU27" s="18"/>
      <c r="BV27" s="8" t="s">
        <v>12</v>
      </c>
      <c r="BW27" s="8"/>
      <c r="BX27" s="9">
        <f>BX18+BX20</f>
        <v>1383.7</v>
      </c>
      <c r="BY27" s="31"/>
      <c r="BZ27" s="30"/>
      <c r="CJ27" s="31"/>
      <c r="CK27" s="30"/>
      <c r="CL27" s="1">
        <f t="shared" ref="CL27:CL28" si="192">CL26+1</f>
        <v>11</v>
      </c>
      <c r="CM27" s="1" t="s">
        <v>10</v>
      </c>
      <c r="CN27" s="1" t="s">
        <v>43</v>
      </c>
      <c r="CO27" s="25">
        <v>2.5</v>
      </c>
      <c r="CP27" s="1"/>
      <c r="CQ27" s="1">
        <f>(CQ19+CQ26)*2</f>
        <v>54</v>
      </c>
      <c r="CR27" s="25"/>
      <c r="CS27" s="25">
        <v>1.2</v>
      </c>
      <c r="CT27" s="175">
        <f>CQ27*CS27</f>
        <v>64.8</v>
      </c>
      <c r="CU27" s="31"/>
      <c r="CV27" s="30"/>
      <c r="CW27" s="18"/>
      <c r="CX27" s="18"/>
      <c r="CY27" s="18"/>
      <c r="CZ27" s="18"/>
      <c r="DA27" s="18"/>
      <c r="DB27" s="18"/>
      <c r="DC27" s="304" t="s">
        <v>9</v>
      </c>
      <c r="DD27" s="306"/>
      <c r="DE27" s="2">
        <f>DE25+DE26</f>
        <v>4047.44</v>
      </c>
      <c r="DF27" s="31"/>
      <c r="DG27" s="30"/>
      <c r="DH27" s="1">
        <f>DH26+1</f>
        <v>12</v>
      </c>
      <c r="DI27" s="1" t="s">
        <v>97</v>
      </c>
      <c r="DJ27" s="1" t="s">
        <v>80</v>
      </c>
      <c r="DK27" s="5" t="s">
        <v>63</v>
      </c>
      <c r="DL27" s="1">
        <v>3500</v>
      </c>
      <c r="DM27" s="1">
        <v>8</v>
      </c>
      <c r="DN27" s="5">
        <f t="shared" si="182"/>
        <v>28</v>
      </c>
      <c r="DO27" s="5">
        <v>8.3000000000000007</v>
      </c>
      <c r="DP27" s="43">
        <f t="shared" si="183"/>
        <v>232.40000000000003</v>
      </c>
      <c r="DQ27" s="31"/>
      <c r="DR27" s="30"/>
      <c r="DS27" s="1">
        <f>DS25+1</f>
        <v>8</v>
      </c>
      <c r="DT27" s="1" t="s">
        <v>94</v>
      </c>
      <c r="DU27" s="1" t="s">
        <v>25</v>
      </c>
      <c r="DV27" s="11" t="s">
        <v>40</v>
      </c>
      <c r="DW27" s="1">
        <f>DU9*1000</f>
        <v>4500</v>
      </c>
      <c r="DX27" s="1">
        <f>2*DU6*DU8</f>
        <v>60</v>
      </c>
      <c r="DY27" s="11">
        <f t="shared" ref="DY27:DY30" si="193">DW27/1000*DX27</f>
        <v>270</v>
      </c>
      <c r="DZ27" s="11">
        <v>6.6</v>
      </c>
      <c r="EA27" s="126">
        <f t="shared" ref="EA27:EA30" si="194">DY27*DZ27</f>
        <v>1782</v>
      </c>
      <c r="EB27" s="31"/>
      <c r="EC27" s="30"/>
      <c r="ED27" s="1">
        <f t="shared" si="95"/>
        <v>12</v>
      </c>
      <c r="EE27" s="1" t="s">
        <v>60</v>
      </c>
      <c r="EF27" s="1" t="s">
        <v>58</v>
      </c>
      <c r="EG27" s="3" t="s">
        <v>62</v>
      </c>
      <c r="EH27" s="1">
        <v>7550</v>
      </c>
      <c r="EI27" s="1">
        <v>8</v>
      </c>
      <c r="EJ27" s="3">
        <f t="shared" si="58"/>
        <v>60.4</v>
      </c>
      <c r="EK27" s="3">
        <v>10.1</v>
      </c>
      <c r="EL27" s="108">
        <f t="shared" si="59"/>
        <v>610.04</v>
      </c>
      <c r="EM27" s="31"/>
      <c r="EN27" s="30"/>
      <c r="EO27" s="1">
        <f t="shared" si="96"/>
        <v>12</v>
      </c>
      <c r="EP27" s="1" t="s">
        <v>60</v>
      </c>
      <c r="EQ27" s="1" t="s">
        <v>58</v>
      </c>
      <c r="ER27" s="3" t="s">
        <v>62</v>
      </c>
      <c r="ES27" s="1">
        <v>5500</v>
      </c>
      <c r="ET27" s="49">
        <v>4</v>
      </c>
      <c r="EU27" s="3">
        <f>ES27/1000*ET27</f>
        <v>22</v>
      </c>
      <c r="EV27" s="3">
        <v>10.1</v>
      </c>
      <c r="EW27" s="86">
        <f>EU27*EV27</f>
        <v>222.2</v>
      </c>
      <c r="EX27" s="31"/>
      <c r="EY27" s="30"/>
      <c r="EZ27" s="18"/>
      <c r="FA27" s="18"/>
      <c r="FB27" s="18"/>
      <c r="FC27" s="18"/>
      <c r="FD27" s="18"/>
      <c r="FE27" s="18"/>
      <c r="FF27" s="8" t="s">
        <v>12</v>
      </c>
      <c r="FG27" s="8"/>
      <c r="FH27" s="9">
        <f>FH20+FH21</f>
        <v>454.5</v>
      </c>
      <c r="FI27" s="31"/>
      <c r="FJ27" s="30"/>
      <c r="FK27" s="18"/>
      <c r="FL27" s="18"/>
      <c r="FM27" s="18"/>
      <c r="FN27" s="18"/>
      <c r="FO27" s="18"/>
      <c r="FP27" s="18"/>
      <c r="FQ27" s="8" t="s">
        <v>12</v>
      </c>
      <c r="FR27" s="8"/>
      <c r="FS27" s="9">
        <f>FS16+FS18+FS19+FS21+FS22</f>
        <v>10011.119999999999</v>
      </c>
      <c r="FT27" s="31"/>
      <c r="FU27" s="30"/>
      <c r="FV27" s="1">
        <f t="shared" si="101"/>
        <v>12</v>
      </c>
      <c r="FW27" s="1" t="s">
        <v>41</v>
      </c>
      <c r="FX27" s="1" t="s">
        <v>42</v>
      </c>
      <c r="FY27" s="3" t="s">
        <v>62</v>
      </c>
      <c r="FZ27" s="1">
        <f>FX5*1000+1000</f>
        <v>4600</v>
      </c>
      <c r="GA27" s="1">
        <f>4+4*FX6</f>
        <v>32</v>
      </c>
      <c r="GB27" s="3">
        <f t="shared" si="184"/>
        <v>147.19999999999999</v>
      </c>
      <c r="GC27" s="3">
        <v>10.1</v>
      </c>
      <c r="GD27" s="128">
        <f t="shared" si="185"/>
        <v>1486.7199999999998</v>
      </c>
      <c r="GE27" s="31"/>
      <c r="GF27" s="30"/>
      <c r="GG27" s="1">
        <f t="shared" si="102"/>
        <v>12</v>
      </c>
      <c r="GH27" s="1" t="s">
        <v>289</v>
      </c>
      <c r="GI27" s="1" t="s">
        <v>290</v>
      </c>
      <c r="GJ27" s="51" t="s">
        <v>218</v>
      </c>
      <c r="GK27" s="49">
        <v>2900</v>
      </c>
      <c r="GL27" s="49">
        <f>14*2*GI7</f>
        <v>56</v>
      </c>
      <c r="GM27" s="51">
        <f t="shared" si="22"/>
        <v>162.4</v>
      </c>
      <c r="GN27" s="51">
        <v>3.4</v>
      </c>
      <c r="GO27" s="228">
        <f t="shared" si="23"/>
        <v>552.16</v>
      </c>
      <c r="GP27" s="31"/>
      <c r="GQ27" s="30"/>
      <c r="GR27" s="1">
        <f t="shared" si="103"/>
        <v>12</v>
      </c>
      <c r="GS27" s="1" t="s">
        <v>96</v>
      </c>
      <c r="GT27" s="1" t="s">
        <v>79</v>
      </c>
      <c r="GU27" s="5" t="s">
        <v>63</v>
      </c>
      <c r="GV27" s="1">
        <v>5000</v>
      </c>
      <c r="GW27" s="1">
        <v>26</v>
      </c>
      <c r="GX27" s="5">
        <f t="shared" ref="GX27" si="195">GV27/1000*GW27</f>
        <v>130</v>
      </c>
      <c r="GY27" s="227">
        <v>8.3000000000000007</v>
      </c>
      <c r="GZ27" s="159">
        <f t="shared" ref="GZ27" si="196">GX27*GY27</f>
        <v>1079</v>
      </c>
      <c r="HA27" s="31"/>
      <c r="HB27" s="30"/>
      <c r="HC27" s="18"/>
      <c r="HD27" s="18"/>
      <c r="HE27" s="18"/>
      <c r="HF27" s="18"/>
      <c r="HG27" s="18"/>
      <c r="HH27" s="18"/>
      <c r="HI27" s="84" t="s">
        <v>192</v>
      </c>
      <c r="HJ27" s="84"/>
      <c r="HK27" s="85">
        <f>HK20</f>
        <v>5702.4</v>
      </c>
      <c r="HL27" s="31"/>
      <c r="HM27" s="30"/>
      <c r="HN27" s="1">
        <f t="shared" si="66"/>
        <v>12</v>
      </c>
      <c r="HO27" s="1" t="s">
        <v>61</v>
      </c>
      <c r="HP27" s="1" t="s">
        <v>59</v>
      </c>
      <c r="HQ27" s="3" t="s">
        <v>62</v>
      </c>
      <c r="HR27" s="1">
        <v>6000</v>
      </c>
      <c r="HS27" s="1">
        <v>4</v>
      </c>
      <c r="HT27" s="3">
        <f t="shared" si="172"/>
        <v>24</v>
      </c>
      <c r="HU27" s="3">
        <v>10.1</v>
      </c>
      <c r="HV27" s="236">
        <f t="shared" si="173"/>
        <v>242.39999999999998</v>
      </c>
      <c r="HW27" s="31"/>
      <c r="HX27" s="30"/>
      <c r="HY27" s="1">
        <f t="shared" si="105"/>
        <v>12</v>
      </c>
      <c r="HZ27" s="1" t="s">
        <v>10</v>
      </c>
      <c r="IA27" s="1" t="s">
        <v>11</v>
      </c>
      <c r="IB27" s="25">
        <v>2.5</v>
      </c>
      <c r="IC27" s="1"/>
      <c r="ID27" s="1">
        <f>(ID20/2+ID21+ID22+ID26)*2</f>
        <v>398</v>
      </c>
      <c r="IE27" s="25"/>
      <c r="IF27" s="25">
        <v>1.5</v>
      </c>
      <c r="IG27" s="26">
        <f>ID27*IF27</f>
        <v>597</v>
      </c>
      <c r="IH27" s="31"/>
      <c r="II27" s="30"/>
      <c r="IJ27" s="1">
        <f t="shared" si="108"/>
        <v>12</v>
      </c>
      <c r="IK27" s="49" t="s">
        <v>250</v>
      </c>
      <c r="IL27" s="1" t="s">
        <v>131</v>
      </c>
      <c r="IM27" s="5" t="s">
        <v>63</v>
      </c>
      <c r="IN27" s="1">
        <f>IL9*1000</f>
        <v>4800</v>
      </c>
      <c r="IO27" s="1">
        <f>IL6*2</f>
        <v>38</v>
      </c>
      <c r="IP27" s="5">
        <f>IN27/1000*IO27</f>
        <v>182.4</v>
      </c>
      <c r="IQ27" s="5">
        <v>8.3000000000000007</v>
      </c>
      <c r="IR27" s="145">
        <f>IP27*IQ27</f>
        <v>1513.92</v>
      </c>
      <c r="IS27" s="31"/>
      <c r="IT27" s="30"/>
      <c r="IU27" s="1">
        <f t="shared" si="109"/>
        <v>12</v>
      </c>
      <c r="IV27" s="49" t="s">
        <v>250</v>
      </c>
      <c r="IW27" s="1" t="s">
        <v>131</v>
      </c>
      <c r="IX27" s="5" t="s">
        <v>63</v>
      </c>
      <c r="IY27" s="1">
        <f>IW9*1000</f>
        <v>4800</v>
      </c>
      <c r="IZ27" s="1">
        <f>IW6*2</f>
        <v>38</v>
      </c>
      <c r="JA27" s="5">
        <f>IY27/1000*IZ27</f>
        <v>182.4</v>
      </c>
      <c r="JB27" s="5">
        <f>JB24</f>
        <v>8.3000000000000007</v>
      </c>
      <c r="JC27" s="145">
        <f>JA27*JB27</f>
        <v>1513.92</v>
      </c>
      <c r="JD27" s="31"/>
      <c r="JE27" s="30"/>
      <c r="JF27" s="1">
        <f t="shared" si="67"/>
        <v>12</v>
      </c>
      <c r="JG27" s="1" t="s">
        <v>207</v>
      </c>
      <c r="JH27" s="1" t="s">
        <v>208</v>
      </c>
      <c r="JI27" s="3" t="s">
        <v>62</v>
      </c>
      <c r="JJ27" s="1">
        <v>3000</v>
      </c>
      <c r="JK27" s="1">
        <v>4</v>
      </c>
      <c r="JL27" s="3">
        <f t="shared" si="188"/>
        <v>12</v>
      </c>
      <c r="JM27" s="3">
        <v>10.1</v>
      </c>
      <c r="JN27" s="108">
        <f t="shared" si="189"/>
        <v>121.19999999999999</v>
      </c>
      <c r="JO27" s="31"/>
      <c r="JP27" s="30"/>
      <c r="JQ27" s="1">
        <f t="shared" si="68"/>
        <v>12</v>
      </c>
      <c r="JR27" s="1" t="s">
        <v>96</v>
      </c>
      <c r="JS27" s="1" t="s">
        <v>79</v>
      </c>
      <c r="JT27" s="109" t="s">
        <v>299</v>
      </c>
      <c r="JU27" s="1">
        <v>5000</v>
      </c>
      <c r="JV27" s="1">
        <v>4</v>
      </c>
      <c r="JW27" s="109">
        <f t="shared" si="176"/>
        <v>20</v>
      </c>
      <c r="JX27" s="109">
        <v>25.2</v>
      </c>
      <c r="JY27" s="200">
        <f t="shared" si="177"/>
        <v>504</v>
      </c>
      <c r="JZ27" s="31"/>
      <c r="KA27" s="30"/>
      <c r="KB27" s="1">
        <f t="shared" si="69"/>
        <v>12</v>
      </c>
      <c r="KC27" s="1" t="s">
        <v>96</v>
      </c>
      <c r="KD27" s="1" t="s">
        <v>79</v>
      </c>
      <c r="KE27" s="109" t="s">
        <v>300</v>
      </c>
      <c r="KF27" s="1">
        <v>5000</v>
      </c>
      <c r="KG27" s="1">
        <v>4</v>
      </c>
      <c r="KH27" s="109">
        <f t="shared" si="178"/>
        <v>20</v>
      </c>
      <c r="KI27" s="109">
        <v>20.7</v>
      </c>
      <c r="KJ27" s="200">
        <f t="shared" si="179"/>
        <v>414</v>
      </c>
      <c r="KK27" s="31"/>
      <c r="KL27" s="30"/>
      <c r="KM27" s="1">
        <f t="shared" ref="KM27:KM29" si="197">KM26+1</f>
        <v>12</v>
      </c>
      <c r="KN27" s="1" t="s">
        <v>96</v>
      </c>
      <c r="KO27" s="1" t="s">
        <v>79</v>
      </c>
      <c r="KP27" s="5" t="s">
        <v>63</v>
      </c>
      <c r="KQ27" s="1">
        <v>4000</v>
      </c>
      <c r="KR27" s="1">
        <v>12</v>
      </c>
      <c r="KS27" s="5">
        <f>KQ27/1000*KR27</f>
        <v>48</v>
      </c>
      <c r="KT27" s="5">
        <v>8.3000000000000007</v>
      </c>
      <c r="KU27" s="129">
        <f>KS27*KT27</f>
        <v>398.40000000000003</v>
      </c>
      <c r="KV27" s="31"/>
      <c r="KW27" s="30"/>
      <c r="KX27" s="1">
        <f t="shared" si="112"/>
        <v>12</v>
      </c>
      <c r="KY27" s="112" t="s">
        <v>187</v>
      </c>
      <c r="KZ27" s="1"/>
      <c r="LA27" s="49"/>
      <c r="LB27" s="49"/>
      <c r="LC27" s="49"/>
      <c r="LD27" s="49"/>
      <c r="LE27" s="49"/>
      <c r="LF27" s="111"/>
      <c r="LG27" s="31"/>
      <c r="LH27" s="30"/>
      <c r="LI27" s="1">
        <f t="shared" si="113"/>
        <v>12</v>
      </c>
      <c r="LJ27" s="113" t="s">
        <v>225</v>
      </c>
      <c r="LK27" s="1"/>
      <c r="LL27" s="131" t="s">
        <v>226</v>
      </c>
      <c r="LM27" s="49">
        <f>LK9*1000</f>
        <v>6000</v>
      </c>
      <c r="LN27" s="49">
        <f>LK6*2*2</f>
        <v>76</v>
      </c>
      <c r="LO27" s="131">
        <f t="shared" ref="LO27:LO28" si="198">LM27/1000*LN27</f>
        <v>456</v>
      </c>
      <c r="LP27" s="131">
        <v>13.5</v>
      </c>
      <c r="LQ27" s="248">
        <f t="shared" ref="LQ27:LQ28" si="199">LO27*LP27</f>
        <v>6156</v>
      </c>
      <c r="LR27" s="31"/>
      <c r="LS27" s="30"/>
      <c r="LT27" s="1">
        <f>LT25+1</f>
        <v>8</v>
      </c>
      <c r="LU27" s="1" t="s">
        <v>94</v>
      </c>
      <c r="LV27" s="1" t="s">
        <v>25</v>
      </c>
      <c r="LW27" s="11" t="s">
        <v>40</v>
      </c>
      <c r="LX27" s="1">
        <f>LV9*1000</f>
        <v>4500</v>
      </c>
      <c r="LY27" s="1">
        <f>2*LV6*LV8</f>
        <v>36</v>
      </c>
      <c r="LZ27" s="11">
        <f t="shared" si="167"/>
        <v>162</v>
      </c>
      <c r="MA27" s="11">
        <v>6.6</v>
      </c>
      <c r="MB27" s="126">
        <f t="shared" si="168"/>
        <v>1069.2</v>
      </c>
      <c r="MC27" s="31"/>
      <c r="ME27" s="30"/>
      <c r="MF27" s="1">
        <f>MF25+1</f>
        <v>8</v>
      </c>
      <c r="MG27" s="1" t="s">
        <v>94</v>
      </c>
      <c r="MH27" s="1" t="s">
        <v>25</v>
      </c>
      <c r="MI27" s="11" t="s">
        <v>40</v>
      </c>
      <c r="MJ27" s="1">
        <f>MH9*1000</f>
        <v>4500</v>
      </c>
      <c r="MK27" s="1">
        <f>2*MH6*MH8</f>
        <v>20</v>
      </c>
      <c r="ML27" s="11">
        <f t="shared" si="169"/>
        <v>90</v>
      </c>
      <c r="MM27" s="11">
        <v>6.6</v>
      </c>
      <c r="MN27" s="126">
        <f t="shared" si="170"/>
        <v>594</v>
      </c>
      <c r="MO27" s="31"/>
      <c r="MQ27" s="30"/>
      <c r="MR27" s="1"/>
      <c r="MS27" s="1"/>
      <c r="MT27" s="1"/>
      <c r="MU27" s="5"/>
      <c r="MV27" s="1"/>
      <c r="MW27" s="1"/>
      <c r="MX27" s="5"/>
      <c r="MY27" s="5"/>
      <c r="MZ27" s="263"/>
      <c r="NA27" s="31"/>
      <c r="ND27" s="30"/>
      <c r="NE27" s="1">
        <f t="shared" si="114"/>
        <v>5</v>
      </c>
      <c r="NF27" s="1" t="s">
        <v>70</v>
      </c>
      <c r="NG27" s="1" t="s">
        <v>69</v>
      </c>
      <c r="NH27" s="5" t="s">
        <v>63</v>
      </c>
      <c r="NI27" s="1">
        <f>NG5*1000+900</f>
        <v>8400</v>
      </c>
      <c r="NJ27" s="1">
        <v>4</v>
      </c>
      <c r="NK27" s="5">
        <f t="shared" si="0"/>
        <v>33.6</v>
      </c>
      <c r="NL27" s="5">
        <v>8.3000000000000007</v>
      </c>
      <c r="NM27" s="263">
        <f t="shared" si="1"/>
        <v>278.88000000000005</v>
      </c>
      <c r="NN27" s="31"/>
      <c r="NP27" s="30"/>
      <c r="NQ27" s="18"/>
      <c r="NR27" s="18"/>
      <c r="NS27" s="18"/>
      <c r="NT27" s="18"/>
      <c r="NU27" s="18"/>
      <c r="NV27" s="18"/>
      <c r="NZ27" s="31"/>
      <c r="OC27" s="30"/>
      <c r="OD27" s="18"/>
      <c r="OE27" s="18"/>
      <c r="OF27" s="18"/>
      <c r="OG27" s="18"/>
      <c r="OH27" s="18"/>
      <c r="OI27" s="18"/>
      <c r="OM27" s="31"/>
      <c r="OP27" s="30"/>
      <c r="OQ27" s="18"/>
      <c r="OR27" s="18"/>
      <c r="OS27" s="18"/>
      <c r="OT27" s="18"/>
      <c r="OU27" s="18"/>
      <c r="OV27" s="18"/>
      <c r="OZ27" s="31"/>
      <c r="PD27" s="30"/>
      <c r="PE27" s="18"/>
      <c r="PF27" s="18"/>
      <c r="PG27" s="18"/>
      <c r="PH27" s="18"/>
      <c r="PI27" s="18"/>
      <c r="PJ27" s="18"/>
      <c r="PN27" s="31"/>
      <c r="PQ27" s="30"/>
      <c r="PR27" s="18"/>
      <c r="PS27" s="18"/>
      <c r="PT27" s="18"/>
      <c r="PU27" s="18"/>
      <c r="PV27" s="18"/>
      <c r="PW27" s="18"/>
      <c r="QA27" s="31"/>
      <c r="QD27" s="30"/>
      <c r="QE27" s="18"/>
      <c r="QF27" s="18"/>
      <c r="QG27" s="18"/>
      <c r="QH27" s="18"/>
      <c r="QI27" s="18"/>
      <c r="QJ27" s="18"/>
      <c r="QN27" s="31"/>
      <c r="QQ27" s="30"/>
      <c r="QR27" s="18"/>
      <c r="QS27" s="18"/>
      <c r="QT27" s="18"/>
      <c r="QU27" s="18"/>
      <c r="QV27" s="18"/>
      <c r="QW27" s="18"/>
      <c r="RA27" s="31"/>
    </row>
    <row r="28" spans="1:469" x14ac:dyDescent="0.25">
      <c r="A28" s="30"/>
      <c r="B28" s="18"/>
      <c r="C28" s="18"/>
      <c r="D28" s="18"/>
      <c r="E28" s="18"/>
      <c r="F28" s="18"/>
      <c r="G28" s="18"/>
      <c r="H28" s="219"/>
      <c r="I28" s="219"/>
      <c r="J28" s="220"/>
      <c r="K28" s="31"/>
      <c r="L28" s="30"/>
      <c r="M28" s="18"/>
      <c r="N28" s="18"/>
      <c r="O28" s="18"/>
      <c r="P28" s="18"/>
      <c r="Q28" s="18"/>
      <c r="R28" s="18"/>
      <c r="S28" s="219"/>
      <c r="T28" s="219"/>
      <c r="U28" s="220"/>
      <c r="V28" s="31"/>
      <c r="W28" s="30"/>
      <c r="AG28" s="31"/>
      <c r="AH28" s="30"/>
      <c r="AR28" s="31"/>
      <c r="AS28" s="30"/>
      <c r="BC28" s="31"/>
      <c r="BD28" s="30"/>
      <c r="BN28" s="31"/>
      <c r="BO28" s="30"/>
      <c r="BP28" s="18"/>
      <c r="BQ28" s="18"/>
      <c r="BR28" s="18"/>
      <c r="BS28" s="18"/>
      <c r="BT28" s="18"/>
      <c r="BU28" s="18"/>
      <c r="BV28" s="304" t="s">
        <v>9</v>
      </c>
      <c r="BW28" s="306"/>
      <c r="BX28" s="2">
        <f>SUM(BX25:BX27)</f>
        <v>5484.9888000000001</v>
      </c>
      <c r="BY28" s="31"/>
      <c r="BZ28" s="30"/>
      <c r="CJ28" s="31"/>
      <c r="CK28" s="30"/>
      <c r="CL28" s="1">
        <f t="shared" si="192"/>
        <v>12</v>
      </c>
      <c r="CM28" s="1" t="s">
        <v>10</v>
      </c>
      <c r="CN28" s="1" t="s">
        <v>11</v>
      </c>
      <c r="CO28" s="25">
        <v>2.5</v>
      </c>
      <c r="CP28" s="1"/>
      <c r="CQ28" s="1">
        <f>(CQ20+CQ22)*2</f>
        <v>180</v>
      </c>
      <c r="CR28" s="25"/>
      <c r="CS28" s="25">
        <v>1.5</v>
      </c>
      <c r="CT28" s="175">
        <f>CQ28*CS28</f>
        <v>270</v>
      </c>
      <c r="CU28" s="31"/>
      <c r="CV28" s="30"/>
      <c r="DF28" s="31"/>
      <c r="DG28" s="30"/>
      <c r="DH28" s="1">
        <f>DH27+1</f>
        <v>13</v>
      </c>
      <c r="DI28" s="1" t="s">
        <v>98</v>
      </c>
      <c r="DJ28" s="1" t="s">
        <v>99</v>
      </c>
      <c r="DK28" s="5" t="s">
        <v>63</v>
      </c>
      <c r="DL28" s="1">
        <v>3500</v>
      </c>
      <c r="DM28" s="1">
        <v>4</v>
      </c>
      <c r="DN28" s="5">
        <f t="shared" si="182"/>
        <v>14</v>
      </c>
      <c r="DO28" s="5">
        <v>8.3000000000000007</v>
      </c>
      <c r="DP28" s="43">
        <f t="shared" si="183"/>
        <v>116.20000000000002</v>
      </c>
      <c r="DQ28" s="31"/>
      <c r="DR28" s="30"/>
      <c r="DS28" s="1">
        <f t="shared" si="115"/>
        <v>9</v>
      </c>
      <c r="DT28" s="1" t="s">
        <v>60</v>
      </c>
      <c r="DU28" s="1" t="s">
        <v>58</v>
      </c>
      <c r="DV28" s="5" t="s">
        <v>63</v>
      </c>
      <c r="DW28" s="1">
        <f>DU5*1000+1100</f>
        <v>5100</v>
      </c>
      <c r="DX28" s="1">
        <v>4</v>
      </c>
      <c r="DY28" s="5">
        <f t="shared" si="193"/>
        <v>20.399999999999999</v>
      </c>
      <c r="DZ28" s="227">
        <v>8.3000000000000007</v>
      </c>
      <c r="EA28" s="129">
        <f t="shared" si="194"/>
        <v>169.32</v>
      </c>
      <c r="EB28" s="31"/>
      <c r="EC28" s="30"/>
      <c r="ED28" s="1">
        <f t="shared" si="95"/>
        <v>13</v>
      </c>
      <c r="EE28" s="1" t="s">
        <v>61</v>
      </c>
      <c r="EF28" s="1" t="s">
        <v>59</v>
      </c>
      <c r="EG28" s="3" t="s">
        <v>62</v>
      </c>
      <c r="EH28" s="1">
        <v>6050</v>
      </c>
      <c r="EI28" s="1">
        <v>8</v>
      </c>
      <c r="EJ28" s="3">
        <f t="shared" si="58"/>
        <v>48.4</v>
      </c>
      <c r="EK28" s="3">
        <v>10.1</v>
      </c>
      <c r="EL28" s="108">
        <f t="shared" si="59"/>
        <v>488.84</v>
      </c>
      <c r="EM28" s="31"/>
      <c r="EN28" s="30"/>
      <c r="EO28" s="1">
        <f t="shared" si="96"/>
        <v>13</v>
      </c>
      <c r="EP28" s="1" t="s">
        <v>61</v>
      </c>
      <c r="EQ28" s="1" t="s">
        <v>59</v>
      </c>
      <c r="ER28" s="3" t="s">
        <v>62</v>
      </c>
      <c r="ES28" s="1">
        <v>4900</v>
      </c>
      <c r="ET28" s="49">
        <v>4</v>
      </c>
      <c r="EU28" s="3">
        <f>ES28/1000*ET28</f>
        <v>19.600000000000001</v>
      </c>
      <c r="EV28" s="3">
        <v>10.1</v>
      </c>
      <c r="EW28" s="86">
        <f>EU28*EV28</f>
        <v>197.96</v>
      </c>
      <c r="EX28" s="31"/>
      <c r="EY28" s="30"/>
      <c r="FF28" s="59" t="s">
        <v>119</v>
      </c>
      <c r="FG28" s="59"/>
      <c r="FH28" s="61">
        <f>FH18</f>
        <v>1635.84</v>
      </c>
      <c r="FI28" s="31"/>
      <c r="FJ28" s="30"/>
      <c r="FQ28" s="13" t="s">
        <v>37</v>
      </c>
      <c r="FR28" s="13"/>
      <c r="FS28" s="14">
        <f>FS20</f>
        <v>1663.1999999999998</v>
      </c>
      <c r="FT28" s="31"/>
      <c r="FU28" s="30"/>
      <c r="FV28" s="1">
        <f t="shared" si="101"/>
        <v>13</v>
      </c>
      <c r="FW28" s="1" t="s">
        <v>94</v>
      </c>
      <c r="FX28" s="1" t="s">
        <v>25</v>
      </c>
      <c r="FY28" s="5" t="s">
        <v>63</v>
      </c>
      <c r="FZ28" s="1">
        <f>FX9*1000</f>
        <v>4000</v>
      </c>
      <c r="GA28" s="1">
        <f>2*FX6*FX8</f>
        <v>14</v>
      </c>
      <c r="GB28" s="5">
        <f>FZ28/1000*GA28</f>
        <v>56</v>
      </c>
      <c r="GC28" s="227">
        <v>8.3000000000000007</v>
      </c>
      <c r="GD28" s="129">
        <f>GB28*GC28</f>
        <v>464.80000000000007</v>
      </c>
      <c r="GE28" s="31"/>
      <c r="GF28" s="30"/>
      <c r="GG28" s="1">
        <f t="shared" si="102"/>
        <v>13</v>
      </c>
      <c r="GH28" s="1" t="s">
        <v>289</v>
      </c>
      <c r="GI28" s="1" t="s">
        <v>290</v>
      </c>
      <c r="GJ28" s="51" t="s">
        <v>218</v>
      </c>
      <c r="GK28" s="49">
        <v>1600</v>
      </c>
      <c r="GL28" s="49">
        <f>7*2*GI7</f>
        <v>28</v>
      </c>
      <c r="GM28" s="51">
        <f t="shared" si="22"/>
        <v>44.800000000000004</v>
      </c>
      <c r="GN28" s="51">
        <v>3.4</v>
      </c>
      <c r="GO28" s="228">
        <f t="shared" si="23"/>
        <v>152.32000000000002</v>
      </c>
      <c r="GP28" s="31"/>
      <c r="GQ28" s="30"/>
      <c r="GR28" s="1">
        <f t="shared" si="103"/>
        <v>13</v>
      </c>
      <c r="GS28" s="1" t="s">
        <v>10</v>
      </c>
      <c r="GT28" s="1" t="s">
        <v>11</v>
      </c>
      <c r="GU28" s="25">
        <v>2.5</v>
      </c>
      <c r="GV28" s="1"/>
      <c r="GW28" s="1">
        <f>(GW21+GW22+GW24+GW27)*2</f>
        <v>420</v>
      </c>
      <c r="GX28" s="25"/>
      <c r="GY28" s="25">
        <v>1.5</v>
      </c>
      <c r="GZ28" s="161">
        <f>GW28*GY28</f>
        <v>630</v>
      </c>
      <c r="HA28" s="31"/>
      <c r="HB28" s="30"/>
      <c r="HC28" s="18"/>
      <c r="HD28" s="18"/>
      <c r="HE28" s="18"/>
      <c r="HF28" s="18"/>
      <c r="HG28" s="18"/>
      <c r="HH28" s="18"/>
      <c r="HI28" s="99" t="s">
        <v>9</v>
      </c>
      <c r="HJ28" s="100"/>
      <c r="HK28" s="2">
        <f>HK26+HK27</f>
        <v>18310.099999999999</v>
      </c>
      <c r="HL28" s="31"/>
      <c r="HM28" s="30"/>
      <c r="HN28" s="1">
        <f t="shared" si="66"/>
        <v>13</v>
      </c>
      <c r="HO28" s="1" t="s">
        <v>96</v>
      </c>
      <c r="HP28" s="1" t="s">
        <v>79</v>
      </c>
      <c r="HQ28" s="5" t="s">
        <v>63</v>
      </c>
      <c r="HR28" s="1">
        <v>3250</v>
      </c>
      <c r="HS28" s="1">
        <v>8</v>
      </c>
      <c r="HT28" s="5">
        <f t="shared" si="172"/>
        <v>26</v>
      </c>
      <c r="HU28" s="5">
        <v>8.3000000000000007</v>
      </c>
      <c r="HV28" s="229">
        <f t="shared" si="173"/>
        <v>215.8</v>
      </c>
      <c r="HW28" s="31"/>
      <c r="HX28" s="30"/>
      <c r="HY28" s="18"/>
      <c r="HZ28" s="18"/>
      <c r="IA28" s="18"/>
      <c r="IB28" s="18"/>
      <c r="IC28" s="18"/>
      <c r="ID28" s="18"/>
      <c r="IE28" s="6" t="s">
        <v>20</v>
      </c>
      <c r="IF28" s="6"/>
      <c r="IG28" s="7">
        <f>IG20+IG21+IG22+IG26</f>
        <v>6884.5500000000011</v>
      </c>
      <c r="IH28" s="31"/>
      <c r="II28" s="30"/>
      <c r="IJ28" s="1">
        <f t="shared" si="108"/>
        <v>13</v>
      </c>
      <c r="IK28" s="49" t="s">
        <v>133</v>
      </c>
      <c r="IL28" s="1" t="s">
        <v>132</v>
      </c>
      <c r="IM28" s="66" t="s">
        <v>135</v>
      </c>
      <c r="IN28" s="1">
        <f>IL9*1000</f>
        <v>4800</v>
      </c>
      <c r="IO28" s="1">
        <f>20*IL6</f>
        <v>380</v>
      </c>
      <c r="IP28" s="66">
        <f t="shared" ref="IP28" si="200">IN28/1000*IO28</f>
        <v>1824</v>
      </c>
      <c r="IQ28" s="66">
        <v>6.6</v>
      </c>
      <c r="IR28" s="146">
        <f t="shared" ref="IR28" si="201">IP28*IQ28</f>
        <v>12038.4</v>
      </c>
      <c r="IS28" s="31"/>
      <c r="IT28" s="30"/>
      <c r="IU28" s="1">
        <f t="shared" si="109"/>
        <v>13</v>
      </c>
      <c r="IV28" s="49" t="s">
        <v>133</v>
      </c>
      <c r="IW28" s="1" t="s">
        <v>132</v>
      </c>
      <c r="IX28" s="66" t="s">
        <v>135</v>
      </c>
      <c r="IY28" s="1">
        <f>IW9*1000</f>
        <v>4800</v>
      </c>
      <c r="IZ28" s="1">
        <f>20*IW6</f>
        <v>380</v>
      </c>
      <c r="JA28" s="66">
        <f t="shared" ref="JA28" si="202">IY28/1000*IZ28</f>
        <v>1824</v>
      </c>
      <c r="JB28" s="66">
        <v>6.6</v>
      </c>
      <c r="JC28" s="146">
        <f t="shared" ref="JC28" si="203">JA28*JB28</f>
        <v>12038.4</v>
      </c>
      <c r="JD28" s="31"/>
      <c r="JE28" s="30"/>
      <c r="JF28" s="1">
        <f t="shared" si="67"/>
        <v>13</v>
      </c>
      <c r="JG28" s="1" t="s">
        <v>60</v>
      </c>
      <c r="JH28" s="1" t="s">
        <v>58</v>
      </c>
      <c r="JI28" s="3" t="s">
        <v>62</v>
      </c>
      <c r="JJ28" s="1">
        <v>10500</v>
      </c>
      <c r="JK28" s="1">
        <v>4</v>
      </c>
      <c r="JL28" s="3">
        <f t="shared" si="188"/>
        <v>42</v>
      </c>
      <c r="JM28" s="3">
        <v>10.1</v>
      </c>
      <c r="JN28" s="108">
        <f t="shared" si="189"/>
        <v>424.2</v>
      </c>
      <c r="JO28" s="31"/>
      <c r="JP28" s="30"/>
      <c r="JQ28" s="1">
        <f t="shared" si="68"/>
        <v>13</v>
      </c>
      <c r="JR28" s="1" t="s">
        <v>97</v>
      </c>
      <c r="JS28" s="1" t="s">
        <v>80</v>
      </c>
      <c r="JT28" s="109" t="s">
        <v>299</v>
      </c>
      <c r="JU28" s="1">
        <v>3500</v>
      </c>
      <c r="JV28" s="1">
        <v>12</v>
      </c>
      <c r="JW28" s="109">
        <f t="shared" si="176"/>
        <v>42</v>
      </c>
      <c r="JX28" s="109">
        <v>25.2</v>
      </c>
      <c r="JY28" s="200">
        <f t="shared" si="177"/>
        <v>1058.3999999999999</v>
      </c>
      <c r="JZ28" s="31"/>
      <c r="KA28" s="30"/>
      <c r="KB28" s="1">
        <f t="shared" si="69"/>
        <v>13</v>
      </c>
      <c r="KC28" s="1" t="s">
        <v>97</v>
      </c>
      <c r="KD28" s="1" t="s">
        <v>80</v>
      </c>
      <c r="KE28" s="109" t="s">
        <v>300</v>
      </c>
      <c r="KF28" s="1">
        <v>3500</v>
      </c>
      <c r="KG28" s="1">
        <v>12</v>
      </c>
      <c r="KH28" s="109">
        <f t="shared" si="178"/>
        <v>42</v>
      </c>
      <c r="KI28" s="109">
        <v>20.7</v>
      </c>
      <c r="KJ28" s="200">
        <f t="shared" si="179"/>
        <v>869.4</v>
      </c>
      <c r="KK28" s="31"/>
      <c r="KL28" s="30"/>
      <c r="KM28" s="1">
        <f t="shared" si="197"/>
        <v>13</v>
      </c>
      <c r="KN28" s="1" t="s">
        <v>97</v>
      </c>
      <c r="KO28" s="1" t="s">
        <v>80</v>
      </c>
      <c r="KP28" s="5" t="s">
        <v>63</v>
      </c>
      <c r="KQ28" s="1">
        <v>3100</v>
      </c>
      <c r="KR28" s="1">
        <v>8</v>
      </c>
      <c r="KS28" s="5">
        <f t="shared" ref="KS28:KS29" si="204">KQ28/1000*KR28</f>
        <v>24.8</v>
      </c>
      <c r="KT28" s="5">
        <v>8.3000000000000007</v>
      </c>
      <c r="KU28" s="129">
        <f t="shared" ref="KU28:KU29" si="205">KS28*KT28</f>
        <v>205.84000000000003</v>
      </c>
      <c r="KV28" s="31"/>
      <c r="KW28" s="30"/>
      <c r="KX28" s="1">
        <f>KX27+1</f>
        <v>13</v>
      </c>
      <c r="KY28" s="113" t="s">
        <v>188</v>
      </c>
      <c r="KZ28" s="1"/>
      <c r="LA28" s="114" t="s">
        <v>189</v>
      </c>
      <c r="LB28" s="49">
        <f>KZ10*1000</f>
        <v>9000</v>
      </c>
      <c r="LC28" s="49">
        <f>KZ6</f>
        <v>24</v>
      </c>
      <c r="LD28" s="114">
        <f t="shared" si="142"/>
        <v>216</v>
      </c>
      <c r="LE28" s="114">
        <v>25</v>
      </c>
      <c r="LF28" s="115">
        <f t="shared" si="143"/>
        <v>5400</v>
      </c>
      <c r="LG28" s="31"/>
      <c r="LH28" s="30"/>
      <c r="LI28" s="1">
        <f t="shared" si="113"/>
        <v>13</v>
      </c>
      <c r="LJ28" s="113" t="s">
        <v>191</v>
      </c>
      <c r="LK28" s="1"/>
      <c r="LL28" s="131" t="s">
        <v>226</v>
      </c>
      <c r="LM28" s="49">
        <f>6100*2</f>
        <v>12200</v>
      </c>
      <c r="LN28" s="49">
        <f>LK6*2</f>
        <v>38</v>
      </c>
      <c r="LO28" s="131">
        <f t="shared" si="198"/>
        <v>463.59999999999997</v>
      </c>
      <c r="LP28" s="131">
        <f>LP27</f>
        <v>13.5</v>
      </c>
      <c r="LQ28" s="248">
        <f t="shared" si="199"/>
        <v>6258.5999999999995</v>
      </c>
      <c r="LR28" s="31"/>
      <c r="LS28" s="30"/>
      <c r="LT28" s="1">
        <f t="shared" si="124"/>
        <v>9</v>
      </c>
      <c r="LU28" s="1" t="s">
        <v>60</v>
      </c>
      <c r="LV28" s="1" t="s">
        <v>58</v>
      </c>
      <c r="LW28" s="5" t="s">
        <v>63</v>
      </c>
      <c r="LX28" s="1">
        <f>LV5*1000+1100</f>
        <v>5100</v>
      </c>
      <c r="LY28" s="1">
        <v>4</v>
      </c>
      <c r="LZ28" s="5">
        <f t="shared" si="167"/>
        <v>20.399999999999999</v>
      </c>
      <c r="MA28" s="227">
        <v>8.3000000000000007</v>
      </c>
      <c r="MB28" s="129">
        <f t="shared" si="168"/>
        <v>169.32</v>
      </c>
      <c r="MC28" s="31"/>
      <c r="ME28" s="30"/>
      <c r="MF28" s="1">
        <f t="shared" si="127"/>
        <v>9</v>
      </c>
      <c r="MG28" s="1" t="s">
        <v>60</v>
      </c>
      <c r="MH28" s="1" t="s">
        <v>58</v>
      </c>
      <c r="MI28" s="5" t="s">
        <v>63</v>
      </c>
      <c r="MJ28" s="1">
        <f>MH5*1000+1300</f>
        <v>6300</v>
      </c>
      <c r="MK28" s="1">
        <v>4</v>
      </c>
      <c r="ML28" s="5">
        <f t="shared" si="169"/>
        <v>25.2</v>
      </c>
      <c r="MM28" s="227">
        <v>8.3000000000000007</v>
      </c>
      <c r="MN28" s="129">
        <f t="shared" si="170"/>
        <v>209.16000000000003</v>
      </c>
      <c r="MO28" s="31"/>
      <c r="MQ28" s="30"/>
      <c r="MR28" s="1"/>
      <c r="MS28" s="49"/>
      <c r="MT28" s="49"/>
      <c r="MU28" s="5"/>
      <c r="MV28" s="1"/>
      <c r="MW28" s="1"/>
      <c r="MX28" s="5"/>
      <c r="MY28" s="5"/>
      <c r="MZ28" s="263"/>
      <c r="NA28" s="31"/>
      <c r="ND28" s="30"/>
      <c r="NE28" s="1"/>
      <c r="NF28" s="1" t="s">
        <v>344</v>
      </c>
      <c r="NG28" s="1" t="s">
        <v>69</v>
      </c>
      <c r="NH28" s="5" t="s">
        <v>63</v>
      </c>
      <c r="NI28" s="1">
        <f>NI21</f>
        <v>11100</v>
      </c>
      <c r="NJ28" s="1">
        <v>4</v>
      </c>
      <c r="NK28" s="5">
        <f t="shared" si="0"/>
        <v>44.4</v>
      </c>
      <c r="NL28" s="5">
        <v>8.3000000000000007</v>
      </c>
      <c r="NM28" s="263">
        <f t="shared" si="1"/>
        <v>368.52000000000004</v>
      </c>
      <c r="NN28" s="31"/>
      <c r="NP28" s="30"/>
      <c r="NZ28" s="31"/>
      <c r="OC28" s="30"/>
      <c r="OM28" s="31"/>
      <c r="OP28" s="30"/>
      <c r="OZ28" s="31"/>
      <c r="PD28" s="30"/>
      <c r="PN28" s="31"/>
      <c r="PQ28" s="30"/>
      <c r="QA28" s="31"/>
      <c r="QD28" s="30"/>
      <c r="QN28" s="31"/>
      <c r="QQ28" s="30"/>
      <c r="RA28" s="31"/>
    </row>
    <row r="29" spans="1:469" x14ac:dyDescent="0.25">
      <c r="A29" s="30"/>
      <c r="B29" s="18"/>
      <c r="C29" s="18"/>
      <c r="D29" s="18"/>
      <c r="E29" s="18"/>
      <c r="F29" s="18"/>
      <c r="G29" s="18"/>
      <c r="H29" s="219"/>
      <c r="I29" s="219"/>
      <c r="J29" s="220"/>
      <c r="K29" s="31"/>
      <c r="L29" s="30"/>
      <c r="M29" s="18"/>
      <c r="N29" s="18"/>
      <c r="O29" s="18"/>
      <c r="P29" s="18"/>
      <c r="Q29" s="18"/>
      <c r="R29" s="18"/>
      <c r="S29" s="219"/>
      <c r="T29" s="219"/>
      <c r="U29" s="220"/>
      <c r="V29" s="31"/>
      <c r="W29" s="30"/>
      <c r="X29" s="18"/>
      <c r="Y29" s="18"/>
      <c r="Z29" s="18"/>
      <c r="AA29" s="18"/>
      <c r="AB29" s="18"/>
      <c r="AC29" s="18"/>
      <c r="AD29" s="18"/>
      <c r="AE29" s="18"/>
      <c r="AF29" s="18"/>
      <c r="AG29" s="31"/>
      <c r="AH29" s="30"/>
      <c r="AR29" s="31"/>
      <c r="AS29" s="30"/>
      <c r="BC29" s="31"/>
      <c r="BD29" s="30"/>
      <c r="BN29" s="31"/>
      <c r="BO29" s="30"/>
      <c r="BP29" s="18"/>
      <c r="BQ29" s="18"/>
      <c r="BR29" s="18"/>
      <c r="BS29" s="18"/>
      <c r="BT29" s="18"/>
      <c r="BU29" s="18"/>
      <c r="BV29" s="219"/>
      <c r="BW29" s="219"/>
      <c r="BX29" s="220"/>
      <c r="BY29" s="31"/>
      <c r="BZ29" s="30"/>
      <c r="CA29" s="18"/>
      <c r="CB29" s="18"/>
      <c r="CC29" s="18"/>
      <c r="CD29" s="18"/>
      <c r="CE29" s="18"/>
      <c r="CF29" s="18"/>
      <c r="CG29" s="18"/>
      <c r="CH29" s="18"/>
      <c r="CI29" s="18"/>
      <c r="CJ29" s="31"/>
      <c r="CK29" s="30"/>
      <c r="CL29" s="18"/>
      <c r="CM29" s="18"/>
      <c r="CN29" s="18"/>
      <c r="CP29" s="338" t="s">
        <v>114</v>
      </c>
      <c r="CQ29" s="339"/>
      <c r="CR29" s="185">
        <f>CR18</f>
        <v>280</v>
      </c>
      <c r="CS29" s="185"/>
      <c r="CT29" s="185">
        <f>CT18</f>
        <v>924</v>
      </c>
      <c r="CU29" s="31"/>
      <c r="CV29" s="30"/>
      <c r="DF29" s="31"/>
      <c r="DG29" s="30"/>
      <c r="DH29" s="1">
        <f>DH28+1</f>
        <v>14</v>
      </c>
      <c r="DI29" s="1" t="s">
        <v>10</v>
      </c>
      <c r="DJ29" s="1" t="s">
        <v>43</v>
      </c>
      <c r="DK29" s="25">
        <v>2.5</v>
      </c>
      <c r="DL29" s="1"/>
      <c r="DM29" s="1">
        <f>DM20*2</f>
        <v>12</v>
      </c>
      <c r="DN29" s="25"/>
      <c r="DO29" s="25">
        <v>1.2</v>
      </c>
      <c r="DP29" s="26">
        <f>DM29*DO29</f>
        <v>14.399999999999999</v>
      </c>
      <c r="DQ29" s="31"/>
      <c r="DR29" s="30"/>
      <c r="DS29" s="1"/>
      <c r="DT29" s="1" t="s">
        <v>60</v>
      </c>
      <c r="DU29" s="1" t="s">
        <v>58</v>
      </c>
      <c r="DV29" s="5" t="s">
        <v>63</v>
      </c>
      <c r="DW29" s="1">
        <f>DU5*1000+800</f>
        <v>4800</v>
      </c>
      <c r="DX29" s="1">
        <v>4</v>
      </c>
      <c r="DY29" s="5">
        <f t="shared" si="193"/>
        <v>19.2</v>
      </c>
      <c r="DZ29" s="227">
        <v>8.3000000000000007</v>
      </c>
      <c r="EA29" s="129">
        <f t="shared" si="194"/>
        <v>159.36000000000001</v>
      </c>
      <c r="EB29" s="31"/>
      <c r="EC29" s="30"/>
      <c r="ED29" s="1">
        <f t="shared" si="95"/>
        <v>14</v>
      </c>
      <c r="EE29" s="1" t="s">
        <v>210</v>
      </c>
      <c r="EF29" s="1" t="s">
        <v>211</v>
      </c>
      <c r="EG29" s="3" t="s">
        <v>62</v>
      </c>
      <c r="EH29" s="1">
        <v>4000</v>
      </c>
      <c r="EI29" s="1">
        <v>8</v>
      </c>
      <c r="EJ29" s="3">
        <f>EH29/1000*EI29</f>
        <v>32</v>
      </c>
      <c r="EK29" s="3">
        <v>10.1</v>
      </c>
      <c r="EL29" s="108">
        <f>EJ29*EK29</f>
        <v>323.2</v>
      </c>
      <c r="EM29" s="31"/>
      <c r="EN29" s="30"/>
      <c r="EO29" s="1">
        <f t="shared" si="96"/>
        <v>14</v>
      </c>
      <c r="EP29" s="1" t="s">
        <v>155</v>
      </c>
      <c r="EQ29" s="1" t="s">
        <v>156</v>
      </c>
      <c r="ER29" s="5" t="s">
        <v>63</v>
      </c>
      <c r="ES29" s="1">
        <v>3900</v>
      </c>
      <c r="ET29" s="49">
        <v>6</v>
      </c>
      <c r="EU29" s="5">
        <f t="shared" ref="EU29:EU34" si="206">ES29/1000*ET29</f>
        <v>23.4</v>
      </c>
      <c r="EV29" s="5">
        <v>8.3000000000000007</v>
      </c>
      <c r="EW29" s="87">
        <f t="shared" ref="EW29:EW34" si="207">EU29*EV29</f>
        <v>194.22</v>
      </c>
      <c r="EX29" s="31"/>
      <c r="EY29" s="30"/>
      <c r="FF29" s="60" t="s">
        <v>120</v>
      </c>
      <c r="FG29" s="60"/>
      <c r="FH29" s="62">
        <f>FH16</f>
        <v>5647.6224000000002</v>
      </c>
      <c r="FI29" s="31"/>
      <c r="FJ29" s="30"/>
      <c r="FQ29" s="84" t="s">
        <v>152</v>
      </c>
      <c r="FR29" s="66"/>
      <c r="FS29" s="85">
        <f>FS17</f>
        <v>3742.2</v>
      </c>
      <c r="FT29" s="31"/>
      <c r="FU29" s="30"/>
      <c r="FV29" s="1">
        <f t="shared" si="101"/>
        <v>14</v>
      </c>
      <c r="FW29" s="1" t="s">
        <v>60</v>
      </c>
      <c r="FX29" s="1" t="s">
        <v>58</v>
      </c>
      <c r="FY29" s="3" t="s">
        <v>62</v>
      </c>
      <c r="FZ29" s="1">
        <v>7400</v>
      </c>
      <c r="GA29" s="1">
        <v>2</v>
      </c>
      <c r="GB29" s="3">
        <f>FZ29/1000*GA29</f>
        <v>14.8</v>
      </c>
      <c r="GC29" s="3">
        <v>10.1</v>
      </c>
      <c r="GD29" s="128">
        <f>GB29*GC29</f>
        <v>149.47999999999999</v>
      </c>
      <c r="GE29" s="31"/>
      <c r="GF29" s="30"/>
      <c r="GG29" s="1">
        <f t="shared" si="102"/>
        <v>14</v>
      </c>
      <c r="GH29" s="1" t="s">
        <v>94</v>
      </c>
      <c r="GI29" s="1" t="s">
        <v>25</v>
      </c>
      <c r="GJ29" s="189" t="s">
        <v>291</v>
      </c>
      <c r="GK29" s="49">
        <f>GI9*1000-250</f>
        <v>4750</v>
      </c>
      <c r="GL29" s="49">
        <f>2*GI6*GI8</f>
        <v>240</v>
      </c>
      <c r="GM29" s="189">
        <f t="shared" si="22"/>
        <v>1140</v>
      </c>
      <c r="GN29" s="189">
        <v>7.1</v>
      </c>
      <c r="GO29" s="233">
        <f t="shared" si="23"/>
        <v>8094</v>
      </c>
      <c r="GP29" s="31"/>
      <c r="GQ29" s="30"/>
      <c r="GR29" s="18"/>
      <c r="GS29" s="18"/>
      <c r="GT29" s="18"/>
      <c r="GU29" s="18"/>
      <c r="GV29" s="18"/>
      <c r="GW29" s="18"/>
      <c r="GX29" s="6" t="s">
        <v>20</v>
      </c>
      <c r="GY29" s="6"/>
      <c r="GZ29" s="7">
        <f>GZ17+GZ18+GZ19+GZ20+GZ21+GZ24+GZ27</f>
        <v>7859.2700000000013</v>
      </c>
      <c r="HA29" s="31"/>
      <c r="HB29" s="30"/>
      <c r="HC29" s="18"/>
      <c r="HD29" s="18"/>
      <c r="HE29" s="18"/>
      <c r="HF29" s="18"/>
      <c r="HG29" s="18"/>
      <c r="HH29" s="18"/>
      <c r="HI29" s="18"/>
      <c r="HJ29" s="18"/>
      <c r="HK29" s="18"/>
      <c r="HL29" s="31"/>
      <c r="HM29" s="30"/>
      <c r="HN29" s="1">
        <f t="shared" si="66"/>
        <v>14</v>
      </c>
      <c r="HO29" s="1" t="s">
        <v>97</v>
      </c>
      <c r="HP29" s="1" t="s">
        <v>80</v>
      </c>
      <c r="HQ29" s="5" t="s">
        <v>63</v>
      </c>
      <c r="HR29" s="1">
        <v>4150</v>
      </c>
      <c r="HS29" s="1">
        <v>6</v>
      </c>
      <c r="HT29" s="5">
        <f t="shared" si="172"/>
        <v>24.900000000000002</v>
      </c>
      <c r="HU29" s="5">
        <v>8.3000000000000007</v>
      </c>
      <c r="HV29" s="229">
        <f t="shared" si="173"/>
        <v>206.67000000000004</v>
      </c>
      <c r="HW29" s="31"/>
      <c r="HX29" s="30"/>
      <c r="HY29" s="18"/>
      <c r="HZ29" s="18"/>
      <c r="IA29" s="18"/>
      <c r="IB29" s="18"/>
      <c r="IC29" s="18"/>
      <c r="ID29" s="18"/>
      <c r="IE29" s="8" t="s">
        <v>12</v>
      </c>
      <c r="IF29" s="8"/>
      <c r="IG29" s="9">
        <f>IG16+IG17+IG18+IG19+IG23+IG24+IG25</f>
        <v>11740.643999999998</v>
      </c>
      <c r="IH29" s="31"/>
      <c r="II29" s="30"/>
      <c r="IJ29" s="1">
        <f t="shared" si="108"/>
        <v>14</v>
      </c>
      <c r="IK29" s="1" t="s">
        <v>96</v>
      </c>
      <c r="IL29" s="1" t="s">
        <v>264</v>
      </c>
      <c r="IM29" s="109" t="s">
        <v>263</v>
      </c>
      <c r="IN29" s="1">
        <v>4180</v>
      </c>
      <c r="IO29" s="177">
        <v>6</v>
      </c>
      <c r="IP29" s="109">
        <f>IN29/1000*IO29</f>
        <v>25.08</v>
      </c>
      <c r="IQ29" s="109">
        <v>18.5</v>
      </c>
      <c r="IR29" s="149">
        <f>IP29*IQ29</f>
        <v>463.97999999999996</v>
      </c>
      <c r="IS29" s="31"/>
      <c r="IT29" s="30"/>
      <c r="IU29" s="1">
        <f t="shared" si="109"/>
        <v>14</v>
      </c>
      <c r="IV29" s="1" t="s">
        <v>96</v>
      </c>
      <c r="IW29" s="1" t="s">
        <v>79</v>
      </c>
      <c r="IX29" s="5" t="s">
        <v>63</v>
      </c>
      <c r="IY29" s="1">
        <v>5390</v>
      </c>
      <c r="IZ29" s="1">
        <v>10</v>
      </c>
      <c r="JA29" s="5">
        <f>IY29/1000*IZ29</f>
        <v>53.9</v>
      </c>
      <c r="JB29" s="5">
        <f>JB26</f>
        <v>6.6</v>
      </c>
      <c r="JC29" s="145">
        <f>JA29*JB29</f>
        <v>355.73999999999995</v>
      </c>
      <c r="JD29" s="31"/>
      <c r="JE29" s="30"/>
      <c r="JF29" s="1">
        <f t="shared" si="67"/>
        <v>14</v>
      </c>
      <c r="JG29" s="1" t="s">
        <v>61</v>
      </c>
      <c r="JH29" s="1" t="s">
        <v>59</v>
      </c>
      <c r="JI29" s="3" t="s">
        <v>62</v>
      </c>
      <c r="JJ29" s="1">
        <v>9200</v>
      </c>
      <c r="JK29" s="1">
        <v>4</v>
      </c>
      <c r="JL29" s="3">
        <f t="shared" si="188"/>
        <v>36.799999999999997</v>
      </c>
      <c r="JM29" s="3">
        <v>10.1</v>
      </c>
      <c r="JN29" s="108">
        <f t="shared" si="189"/>
        <v>371.67999999999995</v>
      </c>
      <c r="JO29" s="31"/>
      <c r="JP29" s="30"/>
      <c r="JQ29" s="1">
        <f t="shared" si="68"/>
        <v>14</v>
      </c>
      <c r="JR29" s="1" t="s">
        <v>98</v>
      </c>
      <c r="JS29" s="1" t="s">
        <v>99</v>
      </c>
      <c r="JT29" s="109" t="s">
        <v>299</v>
      </c>
      <c r="JU29" s="1">
        <v>4100</v>
      </c>
      <c r="JV29" s="1">
        <v>4</v>
      </c>
      <c r="JW29" s="109">
        <f t="shared" si="176"/>
        <v>16.399999999999999</v>
      </c>
      <c r="JX29" s="109">
        <v>25.2</v>
      </c>
      <c r="JY29" s="200">
        <f t="shared" si="177"/>
        <v>413.28</v>
      </c>
      <c r="JZ29" s="31"/>
      <c r="KA29" s="30"/>
      <c r="KB29" s="1">
        <f t="shared" si="69"/>
        <v>14</v>
      </c>
      <c r="KC29" s="1" t="s">
        <v>98</v>
      </c>
      <c r="KD29" s="1" t="s">
        <v>99</v>
      </c>
      <c r="KE29" s="109" t="s">
        <v>300</v>
      </c>
      <c r="KF29" s="1">
        <v>4100</v>
      </c>
      <c r="KG29" s="1">
        <v>4</v>
      </c>
      <c r="KH29" s="109">
        <f t="shared" si="178"/>
        <v>16.399999999999999</v>
      </c>
      <c r="KI29" s="109">
        <v>20.7</v>
      </c>
      <c r="KJ29" s="200">
        <f t="shared" si="179"/>
        <v>339.47999999999996</v>
      </c>
      <c r="KK29" s="31"/>
      <c r="KL29" s="30"/>
      <c r="KM29" s="1">
        <f t="shared" si="197"/>
        <v>14</v>
      </c>
      <c r="KN29" s="1" t="s">
        <v>98</v>
      </c>
      <c r="KO29" s="1" t="s">
        <v>99</v>
      </c>
      <c r="KP29" s="5" t="s">
        <v>63</v>
      </c>
      <c r="KQ29" s="1">
        <v>4500</v>
      </c>
      <c r="KR29" s="1">
        <v>8</v>
      </c>
      <c r="KS29" s="5">
        <f t="shared" si="204"/>
        <v>36</v>
      </c>
      <c r="KT29" s="5">
        <v>8.3000000000000007</v>
      </c>
      <c r="KU29" s="129">
        <f t="shared" si="205"/>
        <v>298.8</v>
      </c>
      <c r="KV29" s="31"/>
      <c r="KW29" s="30"/>
      <c r="KX29" s="1">
        <f>KX28+1</f>
        <v>14</v>
      </c>
      <c r="KY29" s="113" t="s">
        <v>190</v>
      </c>
      <c r="KZ29" s="1"/>
      <c r="LA29" s="114" t="s">
        <v>189</v>
      </c>
      <c r="LB29" s="49">
        <f>KZ10*1000</f>
        <v>9000</v>
      </c>
      <c r="LC29" s="49">
        <f>KZ6</f>
        <v>24</v>
      </c>
      <c r="LD29" s="114">
        <f t="shared" si="142"/>
        <v>216</v>
      </c>
      <c r="LE29" s="114">
        <v>25</v>
      </c>
      <c r="LF29" s="115">
        <f t="shared" si="143"/>
        <v>5400</v>
      </c>
      <c r="LG29" s="31"/>
      <c r="LH29" s="30"/>
      <c r="LI29" s="1">
        <f t="shared" si="113"/>
        <v>14</v>
      </c>
      <c r="LJ29" s="112" t="s">
        <v>227</v>
      </c>
      <c r="LK29" s="1"/>
      <c r="LL29" s="49"/>
      <c r="LM29" s="49"/>
      <c r="LN29" s="49"/>
      <c r="LO29" s="49"/>
      <c r="LP29" s="49"/>
      <c r="LQ29" s="244"/>
      <c r="LR29" s="31"/>
      <c r="LS29" s="30"/>
      <c r="LT29" s="1"/>
      <c r="LU29" s="1" t="s">
        <v>60</v>
      </c>
      <c r="LV29" s="1" t="s">
        <v>58</v>
      </c>
      <c r="LW29" s="5" t="s">
        <v>63</v>
      </c>
      <c r="LX29" s="1">
        <f>LV5*1000+800</f>
        <v>4800</v>
      </c>
      <c r="LY29" s="1">
        <v>4</v>
      </c>
      <c r="LZ29" s="5">
        <f t="shared" si="167"/>
        <v>19.2</v>
      </c>
      <c r="MA29" s="227">
        <v>8.3000000000000007</v>
      </c>
      <c r="MB29" s="129">
        <f t="shared" si="168"/>
        <v>159.36000000000001</v>
      </c>
      <c r="MC29" s="31"/>
      <c r="ME29" s="30"/>
      <c r="MF29" s="1"/>
      <c r="MG29" s="1" t="s">
        <v>60</v>
      </c>
      <c r="MH29" s="1" t="s">
        <v>58</v>
      </c>
      <c r="MI29" s="5" t="s">
        <v>63</v>
      </c>
      <c r="MJ29" s="1">
        <f>MH5*1000+800</f>
        <v>5800</v>
      </c>
      <c r="MK29" s="1">
        <v>4</v>
      </c>
      <c r="ML29" s="5">
        <f t="shared" si="169"/>
        <v>23.2</v>
      </c>
      <c r="MM29" s="227">
        <v>8.3000000000000007</v>
      </c>
      <c r="MN29" s="129">
        <f t="shared" si="170"/>
        <v>192.56</v>
      </c>
      <c r="MO29" s="31"/>
      <c r="MQ29" s="30"/>
      <c r="MR29" s="1"/>
      <c r="MS29" s="1"/>
      <c r="MT29" s="1"/>
      <c r="MU29" s="5"/>
      <c r="MV29" s="1"/>
      <c r="MW29" s="1"/>
      <c r="MX29" s="5"/>
      <c r="MY29" s="5"/>
      <c r="MZ29" s="263"/>
      <c r="NA29" s="31"/>
      <c r="ND29" s="30"/>
      <c r="NE29" s="1"/>
      <c r="NF29" s="1"/>
      <c r="NG29" s="1"/>
      <c r="NH29" s="3"/>
      <c r="NI29" s="1"/>
      <c r="NJ29" s="1"/>
      <c r="NK29" s="3"/>
      <c r="NL29" s="3"/>
      <c r="NM29" s="261"/>
      <c r="NN29" s="31"/>
      <c r="NP29" s="30"/>
      <c r="NZ29" s="31"/>
      <c r="OC29" s="30"/>
      <c r="OM29" s="31"/>
      <c r="OP29" s="30"/>
      <c r="OZ29" s="31"/>
      <c r="PD29" s="30"/>
      <c r="PN29" s="31"/>
      <c r="PQ29" s="30"/>
      <c r="QA29" s="31"/>
      <c r="QD29" s="30"/>
      <c r="QN29" s="31"/>
      <c r="QQ29" s="30"/>
      <c r="RA29" s="31"/>
    </row>
    <row r="30" spans="1:469" x14ac:dyDescent="0.25">
      <c r="A30" s="30"/>
      <c r="B30" s="18"/>
      <c r="C30" s="18"/>
      <c r="D30" s="18"/>
      <c r="E30" s="18"/>
      <c r="F30" s="18"/>
      <c r="G30" s="18"/>
      <c r="H30" s="219"/>
      <c r="I30" s="219"/>
      <c r="J30" s="220"/>
      <c r="K30" s="31"/>
      <c r="L30" s="30"/>
      <c r="M30" s="18"/>
      <c r="N30" s="18"/>
      <c r="O30" s="18"/>
      <c r="P30" s="18"/>
      <c r="Q30" s="18"/>
      <c r="R30" s="18"/>
      <c r="S30" s="219"/>
      <c r="T30" s="219"/>
      <c r="U30" s="220"/>
      <c r="V30" s="31"/>
      <c r="W30" s="30"/>
      <c r="X30" s="1"/>
      <c r="Y30" s="1" t="s">
        <v>139</v>
      </c>
      <c r="Z30" s="1"/>
      <c r="AA30" s="1"/>
      <c r="AB30" s="1">
        <f>Z4*1000</f>
        <v>6000</v>
      </c>
      <c r="AC30" s="1">
        <f>Z6-1</f>
        <v>5</v>
      </c>
      <c r="AD30" s="1">
        <f>AB30/1000*AC30</f>
        <v>30</v>
      </c>
      <c r="AE30" s="1"/>
      <c r="AF30" s="1">
        <f>AD30*2.2</f>
        <v>66</v>
      </c>
      <c r="AG30" s="31"/>
      <c r="AH30" s="30"/>
      <c r="AI30" s="1"/>
      <c r="AJ30" s="1" t="s">
        <v>49</v>
      </c>
      <c r="AK30" s="1"/>
      <c r="AL30" s="1"/>
      <c r="AM30" s="1">
        <f>AK4*1000-400</f>
        <v>8600</v>
      </c>
      <c r="AN30" s="1">
        <f>AN18/4-2</f>
        <v>6</v>
      </c>
      <c r="AO30" s="1">
        <f>AM30/1000*AN30</f>
        <v>51.599999999999994</v>
      </c>
      <c r="AP30" s="1"/>
      <c r="AQ30" s="1">
        <f>AO30*1.3</f>
        <v>67.08</v>
      </c>
      <c r="AR30" s="31"/>
      <c r="AS30" s="30"/>
      <c r="AT30" s="1"/>
      <c r="AU30" s="1" t="s">
        <v>49</v>
      </c>
      <c r="AV30" s="1"/>
      <c r="AW30" s="1"/>
      <c r="AX30" s="1">
        <f>AV4/2*1000-200</f>
        <v>5800</v>
      </c>
      <c r="AY30" s="1">
        <f>(AV6-1)*2</f>
        <v>12</v>
      </c>
      <c r="AZ30" s="1">
        <f>AX30/1000*AY30</f>
        <v>69.599999999999994</v>
      </c>
      <c r="BA30" s="1"/>
      <c r="BB30" s="1">
        <f>AZ30*1.3</f>
        <v>90.47999999999999</v>
      </c>
      <c r="BC30" s="31"/>
      <c r="BD30" s="30"/>
      <c r="BE30" s="1"/>
      <c r="BF30" s="1" t="s">
        <v>49</v>
      </c>
      <c r="BG30" s="1"/>
      <c r="BH30" s="1"/>
      <c r="BI30" s="1">
        <f>BG4/2*1000-200</f>
        <v>6000</v>
      </c>
      <c r="BJ30" s="1">
        <f>(BG6-1)*2</f>
        <v>14</v>
      </c>
      <c r="BK30" s="1">
        <f>BI30/1000*BJ30</f>
        <v>84</v>
      </c>
      <c r="BL30" s="1"/>
      <c r="BM30" s="1">
        <f>BK30*1.3</f>
        <v>109.2</v>
      </c>
      <c r="BN30" s="31"/>
      <c r="BO30" s="30"/>
      <c r="BP30" s="1"/>
      <c r="BQ30" s="1" t="s">
        <v>72</v>
      </c>
      <c r="BR30" s="1"/>
      <c r="BS30" s="1"/>
      <c r="BT30" s="1">
        <f>BR4/2*1000-200</f>
        <v>5800</v>
      </c>
      <c r="BU30" s="1">
        <f>(BR6-1)*2</f>
        <v>8</v>
      </c>
      <c r="BV30" s="1">
        <f>BT30/1000*BU30</f>
        <v>46.4</v>
      </c>
      <c r="BW30" s="1"/>
      <c r="BX30" s="1">
        <f>BV30*3</f>
        <v>139.19999999999999</v>
      </c>
      <c r="BY30" s="31"/>
      <c r="BZ30" s="30"/>
      <c r="CA30" s="1"/>
      <c r="CB30" s="1" t="s">
        <v>72</v>
      </c>
      <c r="CC30" s="1"/>
      <c r="CD30" s="1"/>
      <c r="CE30" s="1">
        <f>CC4/2*1000-200</f>
        <v>7300</v>
      </c>
      <c r="CF30" s="1">
        <f>(CC6-1)*2</f>
        <v>12</v>
      </c>
      <c r="CG30" s="1">
        <f>CE30/1000*CF30</f>
        <v>87.6</v>
      </c>
      <c r="CH30" s="1"/>
      <c r="CI30" s="1">
        <f>CG30*2.5</f>
        <v>219</v>
      </c>
      <c r="CJ30" s="31"/>
      <c r="CK30" s="30"/>
      <c r="CL30" s="18"/>
      <c r="CM30" s="18"/>
      <c r="CN30" s="18"/>
      <c r="CP30" s="323" t="s">
        <v>37</v>
      </c>
      <c r="CQ30" s="324"/>
      <c r="CR30" s="13">
        <f>CR17+CR19+CR26</f>
        <v>238</v>
      </c>
      <c r="CS30" s="13"/>
      <c r="CT30" s="13">
        <f>CT17+CT19+CT26</f>
        <v>1570.8</v>
      </c>
      <c r="CU30" s="31"/>
      <c r="CV30" s="30"/>
      <c r="CW30" s="1"/>
      <c r="CX30" s="1" t="s">
        <v>72</v>
      </c>
      <c r="CY30" s="1"/>
      <c r="CZ30" s="1"/>
      <c r="DA30" s="1">
        <f>CY4/2*1000-200</f>
        <v>1800</v>
      </c>
      <c r="DB30" s="1">
        <f>(CY6-1)*2</f>
        <v>22</v>
      </c>
      <c r="DC30" s="1">
        <f>DA30/1000*DB30</f>
        <v>39.6</v>
      </c>
      <c r="DD30" s="1"/>
      <c r="DE30" s="1">
        <f>DC30*2.5</f>
        <v>99</v>
      </c>
      <c r="DF30" s="31"/>
      <c r="DG30" s="30"/>
      <c r="DH30" s="1">
        <f>DH29+1</f>
        <v>15</v>
      </c>
      <c r="DI30" s="1" t="s">
        <v>10</v>
      </c>
      <c r="DJ30" s="1" t="s">
        <v>11</v>
      </c>
      <c r="DK30" s="25">
        <v>2.5</v>
      </c>
      <c r="DL30" s="1"/>
      <c r="DM30" s="1">
        <f>(DM21+DM23+DM26+DM27+DM28)*2</f>
        <v>292</v>
      </c>
      <c r="DN30" s="25"/>
      <c r="DO30" s="25">
        <v>1.5</v>
      </c>
      <c r="DP30" s="26">
        <f>DM30*DO30</f>
        <v>438</v>
      </c>
      <c r="DQ30" s="31"/>
      <c r="DR30" s="30"/>
      <c r="DS30" s="1">
        <f t="shared" si="115"/>
        <v>1</v>
      </c>
      <c r="DT30" s="1" t="s">
        <v>210</v>
      </c>
      <c r="DU30" s="1" t="s">
        <v>211</v>
      </c>
      <c r="DV30" s="5" t="s">
        <v>63</v>
      </c>
      <c r="DW30" s="1">
        <f>DW26</f>
        <v>5700</v>
      </c>
      <c r="DX30" s="1">
        <v>18</v>
      </c>
      <c r="DY30" s="5">
        <f t="shared" si="193"/>
        <v>102.60000000000001</v>
      </c>
      <c r="DZ30" s="227">
        <v>8.3000000000000007</v>
      </c>
      <c r="EA30" s="129">
        <f t="shared" si="194"/>
        <v>851.58000000000015</v>
      </c>
      <c r="EB30" s="31"/>
      <c r="EC30" s="30"/>
      <c r="ED30" s="1">
        <f>ED29+1</f>
        <v>15</v>
      </c>
      <c r="EE30" s="1" t="s">
        <v>95</v>
      </c>
      <c r="EF30" s="1" t="s">
        <v>55</v>
      </c>
      <c r="EG30" s="5" t="s">
        <v>63</v>
      </c>
      <c r="EH30" s="1">
        <v>5100</v>
      </c>
      <c r="EI30" s="1">
        <v>16</v>
      </c>
      <c r="EJ30" s="5">
        <f>EH30/1000*EI30</f>
        <v>81.599999999999994</v>
      </c>
      <c r="EK30" s="5">
        <v>8.3000000000000007</v>
      </c>
      <c r="EL30" s="106">
        <f>EJ30*EK30</f>
        <v>677.28</v>
      </c>
      <c r="EM30" s="31"/>
      <c r="EN30" s="30"/>
      <c r="EO30" s="1">
        <f>EO29+1</f>
        <v>15</v>
      </c>
      <c r="EP30" s="1" t="s">
        <v>157</v>
      </c>
      <c r="EQ30" s="1" t="s">
        <v>158</v>
      </c>
      <c r="ER30" s="5" t="s">
        <v>63</v>
      </c>
      <c r="ES30" s="1">
        <v>2100</v>
      </c>
      <c r="ET30" s="49">
        <v>2</v>
      </c>
      <c r="EU30" s="5">
        <f t="shared" si="206"/>
        <v>4.2</v>
      </c>
      <c r="EV30" s="5">
        <v>8.3000000000000007</v>
      </c>
      <c r="EW30" s="87">
        <f t="shared" si="207"/>
        <v>34.860000000000007</v>
      </c>
      <c r="EX30" s="31"/>
      <c r="EY30" s="30"/>
      <c r="FF30" s="304" t="s">
        <v>9</v>
      </c>
      <c r="FG30" s="306"/>
      <c r="FH30" s="2">
        <f>FH26+FH27+FH28+FH29</f>
        <v>10806.8624</v>
      </c>
      <c r="FI30" s="31"/>
      <c r="FJ30" s="30"/>
      <c r="FQ30" s="304" t="s">
        <v>9</v>
      </c>
      <c r="FR30" s="306"/>
      <c r="FS30" s="2">
        <f>FS26+FS27+FS28+FS29</f>
        <v>16711.32</v>
      </c>
      <c r="FT30" s="31"/>
      <c r="FU30" s="30"/>
      <c r="FV30" s="1">
        <f>FV29+1</f>
        <v>15</v>
      </c>
      <c r="FW30" s="1" t="s">
        <v>61</v>
      </c>
      <c r="FX30" s="1" t="s">
        <v>59</v>
      </c>
      <c r="FY30" s="3" t="s">
        <v>62</v>
      </c>
      <c r="FZ30" s="1">
        <v>6700</v>
      </c>
      <c r="GA30" s="1">
        <v>4</v>
      </c>
      <c r="GB30" s="3">
        <f>FZ30/1000*GA30</f>
        <v>26.8</v>
      </c>
      <c r="GC30" s="3">
        <v>10.1</v>
      </c>
      <c r="GD30" s="128">
        <f>GB30*GC30</f>
        <v>270.68</v>
      </c>
      <c r="GE30" s="31"/>
      <c r="GF30" s="30"/>
      <c r="GG30" s="1">
        <f>GG29+1</f>
        <v>15</v>
      </c>
      <c r="GH30" s="1" t="s">
        <v>235</v>
      </c>
      <c r="GI30" s="1" t="s">
        <v>292</v>
      </c>
      <c r="GJ30" s="189" t="s">
        <v>291</v>
      </c>
      <c r="GK30" s="49">
        <f>GK16</f>
        <v>12179.999999999998</v>
      </c>
      <c r="GL30" s="49">
        <v>4</v>
      </c>
      <c r="GM30" s="189">
        <f t="shared" si="22"/>
        <v>48.719999999999992</v>
      </c>
      <c r="GN30" s="189">
        <v>7.1</v>
      </c>
      <c r="GO30" s="233">
        <f t="shared" si="23"/>
        <v>345.91199999999992</v>
      </c>
      <c r="GP30" s="31"/>
      <c r="GQ30" s="30"/>
      <c r="GR30" s="18"/>
      <c r="GX30" s="8" t="s">
        <v>12</v>
      </c>
      <c r="GY30" s="8"/>
      <c r="GZ30" s="9">
        <f>GZ16+GZ23+GZ25+GZ26</f>
        <v>8823.36</v>
      </c>
      <c r="HA30" s="31"/>
      <c r="HB30" s="30"/>
      <c r="HC30" s="1"/>
      <c r="HD30" s="1" t="s">
        <v>78</v>
      </c>
      <c r="HE30" s="1"/>
      <c r="HF30" s="1"/>
      <c r="HG30" s="1">
        <f>HE4*1000/4</f>
        <v>6250</v>
      </c>
      <c r="HH30" s="1">
        <f>(HE6-1)*4</f>
        <v>44</v>
      </c>
      <c r="HI30" s="1">
        <f>HG30/1000*HH30</f>
        <v>275</v>
      </c>
      <c r="HJ30" s="1"/>
      <c r="HK30" s="1">
        <f>HI30*3</f>
        <v>825</v>
      </c>
      <c r="HL30" s="31"/>
      <c r="HM30" s="30"/>
      <c r="HN30" s="1">
        <f>HN29+1</f>
        <v>15</v>
      </c>
      <c r="HO30" s="1" t="s">
        <v>98</v>
      </c>
      <c r="HP30" s="1" t="s">
        <v>99</v>
      </c>
      <c r="HQ30" s="5" t="s">
        <v>63</v>
      </c>
      <c r="HR30" s="1">
        <v>2500</v>
      </c>
      <c r="HS30" s="1">
        <v>4</v>
      </c>
      <c r="HT30" s="5">
        <f t="shared" si="172"/>
        <v>10</v>
      </c>
      <c r="HU30" s="5">
        <v>8.3000000000000007</v>
      </c>
      <c r="HV30" s="229">
        <f t="shared" si="173"/>
        <v>83</v>
      </c>
      <c r="HW30" s="31"/>
      <c r="HX30" s="30"/>
      <c r="HY30" s="18"/>
      <c r="HZ30" s="18"/>
      <c r="IA30" s="18"/>
      <c r="IB30" s="18"/>
      <c r="IC30" s="18"/>
      <c r="ID30" s="18"/>
      <c r="IE30" s="15" t="s">
        <v>9</v>
      </c>
      <c r="IF30" s="16"/>
      <c r="IG30" s="2">
        <f>IG28+IG29</f>
        <v>18625.194</v>
      </c>
      <c r="IH30" s="31"/>
      <c r="II30" s="30"/>
      <c r="IJ30" s="1">
        <f>IJ29+1</f>
        <v>15</v>
      </c>
      <c r="IK30" s="1" t="s">
        <v>97</v>
      </c>
      <c r="IL30" s="1" t="s">
        <v>265</v>
      </c>
      <c r="IM30" s="109" t="s">
        <v>263</v>
      </c>
      <c r="IN30" s="1">
        <v>3180</v>
      </c>
      <c r="IO30" s="177">
        <v>28</v>
      </c>
      <c r="IP30" s="109">
        <f t="shared" ref="IP30:IP32" si="208">IN30/1000*IO30</f>
        <v>89.04</v>
      </c>
      <c r="IQ30" s="109">
        <v>18.5</v>
      </c>
      <c r="IR30" s="149">
        <f t="shared" ref="IR30:IR32" si="209">IP30*IQ30</f>
        <v>1647.24</v>
      </c>
      <c r="IS30" s="31"/>
      <c r="IT30" s="30"/>
      <c r="IU30" s="1">
        <f>IU29+1</f>
        <v>15</v>
      </c>
      <c r="IV30" s="1" t="s">
        <v>97</v>
      </c>
      <c r="IW30" s="1" t="s">
        <v>80</v>
      </c>
      <c r="IX30" s="5" t="s">
        <v>63</v>
      </c>
      <c r="IY30" s="1">
        <v>3100</v>
      </c>
      <c r="IZ30" s="1">
        <v>20</v>
      </c>
      <c r="JA30" s="5">
        <f t="shared" ref="JA30:JA32" si="210">IY30/1000*IZ30</f>
        <v>62</v>
      </c>
      <c r="JB30" s="5">
        <v>8.3000000000000007</v>
      </c>
      <c r="JC30" s="145">
        <f t="shared" ref="JC30:JC32" si="211">JA30*JB30</f>
        <v>514.6</v>
      </c>
      <c r="JD30" s="31"/>
      <c r="JE30" s="30"/>
      <c r="JF30" s="1">
        <f>JF29+1</f>
        <v>15</v>
      </c>
      <c r="JG30" s="1" t="s">
        <v>70</v>
      </c>
      <c r="JH30" s="1" t="s">
        <v>69</v>
      </c>
      <c r="JI30" s="3" t="s">
        <v>62</v>
      </c>
      <c r="JJ30" s="1">
        <v>7050</v>
      </c>
      <c r="JK30" s="1">
        <v>4</v>
      </c>
      <c r="JL30" s="3">
        <f t="shared" si="188"/>
        <v>28.2</v>
      </c>
      <c r="JM30" s="3">
        <v>10.1</v>
      </c>
      <c r="JN30" s="108">
        <f t="shared" si="189"/>
        <v>284.82</v>
      </c>
      <c r="JO30" s="31"/>
      <c r="JP30" s="30"/>
      <c r="JQ30" s="1">
        <f>JQ29+1</f>
        <v>15</v>
      </c>
      <c r="JR30" s="1" t="s">
        <v>301</v>
      </c>
      <c r="JS30" s="1" t="s">
        <v>302</v>
      </c>
      <c r="JT30" s="109" t="s">
        <v>299</v>
      </c>
      <c r="JU30" s="1">
        <v>3100</v>
      </c>
      <c r="JV30" s="1">
        <v>4</v>
      </c>
      <c r="JW30" s="109">
        <f t="shared" si="176"/>
        <v>12.4</v>
      </c>
      <c r="JX30" s="109">
        <v>25.2</v>
      </c>
      <c r="JY30" s="200">
        <f t="shared" si="177"/>
        <v>312.48</v>
      </c>
      <c r="JZ30" s="31"/>
      <c r="KA30" s="30"/>
      <c r="KB30" s="1">
        <f>KB29+1</f>
        <v>15</v>
      </c>
      <c r="KC30" s="1" t="s">
        <v>301</v>
      </c>
      <c r="KD30" s="1" t="s">
        <v>302</v>
      </c>
      <c r="KE30" s="109" t="s">
        <v>300</v>
      </c>
      <c r="KF30" s="1">
        <v>3100</v>
      </c>
      <c r="KG30" s="1">
        <v>4</v>
      </c>
      <c r="KH30" s="109">
        <f t="shared" si="178"/>
        <v>12.4</v>
      </c>
      <c r="KI30" s="109">
        <v>20.7</v>
      </c>
      <c r="KJ30" s="200">
        <f t="shared" si="179"/>
        <v>256.68</v>
      </c>
      <c r="KK30" s="31"/>
      <c r="KL30" s="30"/>
      <c r="KM30" s="1">
        <f>KM29+1</f>
        <v>15</v>
      </c>
      <c r="KN30" s="1" t="s">
        <v>105</v>
      </c>
      <c r="KO30" s="1" t="s">
        <v>106</v>
      </c>
      <c r="KP30" s="50" t="s">
        <v>104</v>
      </c>
      <c r="KQ30" s="1">
        <v>1000</v>
      </c>
      <c r="KR30" s="1">
        <f>(KO6+1)*2</f>
        <v>40</v>
      </c>
      <c r="KS30" s="51">
        <f>KQ30/1000*KR30</f>
        <v>40</v>
      </c>
      <c r="KT30" s="51">
        <v>3.3</v>
      </c>
      <c r="KU30" s="139">
        <f>KS30*KT30</f>
        <v>132</v>
      </c>
      <c r="KV30" s="31"/>
      <c r="KW30" s="30"/>
      <c r="KX30" s="1">
        <f t="shared" si="112"/>
        <v>15</v>
      </c>
      <c r="KY30" s="113" t="s">
        <v>191</v>
      </c>
      <c r="KZ30" s="1"/>
      <c r="LA30" s="114" t="s">
        <v>189</v>
      </c>
      <c r="LB30" s="49">
        <f>(1.8*6+2)*1000</f>
        <v>12800</v>
      </c>
      <c r="LC30" s="49">
        <f>KZ6</f>
        <v>24</v>
      </c>
      <c r="LD30" s="114">
        <f t="shared" si="142"/>
        <v>307.20000000000005</v>
      </c>
      <c r="LE30" s="114">
        <v>25</v>
      </c>
      <c r="LF30" s="115">
        <f t="shared" si="143"/>
        <v>7680.0000000000009</v>
      </c>
      <c r="LG30" s="31"/>
      <c r="LH30" s="30"/>
      <c r="LI30" s="1">
        <f t="shared" si="113"/>
        <v>15</v>
      </c>
      <c r="LJ30" s="113" t="s">
        <v>225</v>
      </c>
      <c r="LK30" s="1"/>
      <c r="LL30" s="131" t="s">
        <v>226</v>
      </c>
      <c r="LM30" s="49">
        <f>LM27</f>
        <v>6000</v>
      </c>
      <c r="LN30" s="49">
        <f>LK6*2*2</f>
        <v>76</v>
      </c>
      <c r="LO30" s="131">
        <f t="shared" ref="LO30:LO31" si="212">LM30/1000*LN30</f>
        <v>456</v>
      </c>
      <c r="LP30" s="131">
        <f>LP28</f>
        <v>13.5</v>
      </c>
      <c r="LQ30" s="248">
        <f t="shared" ref="LQ30:LQ31" si="213">LO30*LP30</f>
        <v>6156</v>
      </c>
      <c r="LR30" s="31"/>
      <c r="LS30" s="30"/>
      <c r="LT30" s="1">
        <f t="shared" si="124"/>
        <v>1</v>
      </c>
      <c r="LU30" s="1" t="s">
        <v>210</v>
      </c>
      <c r="LV30" s="1" t="s">
        <v>211</v>
      </c>
      <c r="LW30" s="5" t="s">
        <v>63</v>
      </c>
      <c r="LX30" s="1">
        <f>LX26</f>
        <v>5700</v>
      </c>
      <c r="LY30" s="1">
        <v>18</v>
      </c>
      <c r="LZ30" s="5">
        <f t="shared" si="167"/>
        <v>102.60000000000001</v>
      </c>
      <c r="MA30" s="227">
        <v>8.3000000000000007</v>
      </c>
      <c r="MB30" s="129">
        <f t="shared" si="168"/>
        <v>851.58000000000015</v>
      </c>
      <c r="MC30" s="31"/>
      <c r="ME30" s="30"/>
      <c r="MF30" s="1">
        <f t="shared" si="127"/>
        <v>1</v>
      </c>
      <c r="MG30" s="1" t="s">
        <v>95</v>
      </c>
      <c r="MH30" s="1" t="s">
        <v>55</v>
      </c>
      <c r="MI30" s="5" t="s">
        <v>63</v>
      </c>
      <c r="MJ30" s="1">
        <v>5000</v>
      </c>
      <c r="MK30" s="1">
        <v>4</v>
      </c>
      <c r="ML30" s="5">
        <f t="shared" ref="ML30" si="214">MJ30/1000*MK30</f>
        <v>20</v>
      </c>
      <c r="MM30" s="227">
        <v>8.3000000000000007</v>
      </c>
      <c r="MN30" s="129">
        <f t="shared" ref="MN30" si="215">ML30*MM30</f>
        <v>166</v>
      </c>
      <c r="MO30" s="31"/>
      <c r="MQ30" s="30"/>
      <c r="MR30" s="1">
        <f>MR27+1</f>
        <v>1</v>
      </c>
      <c r="MS30" s="1" t="s">
        <v>10</v>
      </c>
      <c r="MT30" s="1" t="s">
        <v>11</v>
      </c>
      <c r="MU30" s="25">
        <v>2.5</v>
      </c>
      <c r="MV30" s="1"/>
      <c r="MW30" s="1">
        <f>(MW15+MW19+MW23+MW27+MW29+MW20+MW16+MW28+MW24)*2</f>
        <v>84</v>
      </c>
      <c r="MX30" s="25"/>
      <c r="MY30" s="25">
        <v>1.5</v>
      </c>
      <c r="MZ30" s="265">
        <f>MW30*MY30</f>
        <v>126</v>
      </c>
      <c r="NA30" s="31"/>
      <c r="ND30" s="30"/>
      <c r="NE30" s="1"/>
      <c r="NF30" s="1"/>
      <c r="NG30" s="1"/>
      <c r="NH30" s="3"/>
      <c r="NI30" s="1"/>
      <c r="NJ30" s="1"/>
      <c r="NK30" s="3"/>
      <c r="NL30" s="3"/>
      <c r="NM30" s="261"/>
      <c r="NN30" s="31"/>
      <c r="NP30" s="30"/>
      <c r="NQ30" s="18"/>
      <c r="NR30" s="18"/>
      <c r="NS30" s="18"/>
      <c r="NT30" s="18"/>
      <c r="NU30" s="18"/>
      <c r="NV30" s="18"/>
      <c r="NW30" s="18"/>
      <c r="NX30" s="18"/>
      <c r="NY30" s="18"/>
      <c r="NZ30" s="31"/>
      <c r="OC30" s="30"/>
      <c r="OD30" s="18"/>
      <c r="OE30" s="18"/>
      <c r="OF30" s="18"/>
      <c r="OG30" s="18"/>
      <c r="OH30" s="18"/>
      <c r="OI30" s="18"/>
      <c r="OJ30" s="18"/>
      <c r="OK30" s="18"/>
      <c r="OL30" s="18"/>
      <c r="OM30" s="31"/>
      <c r="OP30" s="30"/>
      <c r="OQ30" s="18"/>
      <c r="OR30" s="18"/>
      <c r="OS30" s="18"/>
      <c r="OT30" s="18"/>
      <c r="OU30" s="18"/>
      <c r="OV30" s="18"/>
      <c r="OW30" s="18"/>
      <c r="OX30" s="18"/>
      <c r="OY30" s="18"/>
      <c r="OZ30" s="31"/>
      <c r="PD30" s="30"/>
      <c r="PE30" s="18"/>
      <c r="PF30" s="18"/>
      <c r="PG30" s="18"/>
      <c r="PH30" s="18"/>
      <c r="PI30" s="18"/>
      <c r="PJ30" s="18"/>
      <c r="PK30" s="18"/>
      <c r="PL30" s="18"/>
      <c r="PM30" s="18"/>
      <c r="PN30" s="31"/>
      <c r="PQ30" s="30"/>
      <c r="PR30" s="18"/>
      <c r="PS30" s="18"/>
      <c r="PT30" s="18"/>
      <c r="PU30" s="18"/>
      <c r="PV30" s="18"/>
      <c r="PW30" s="18"/>
      <c r="PX30" s="18"/>
      <c r="PY30" s="18"/>
      <c r="PZ30" s="18"/>
      <c r="QA30" s="31"/>
      <c r="QD30" s="30"/>
      <c r="QE30" s="18"/>
      <c r="QF30" s="18"/>
      <c r="QG30" s="18"/>
      <c r="QH30" s="18"/>
      <c r="QI30" s="18"/>
      <c r="QJ30" s="18"/>
      <c r="QK30" s="18"/>
      <c r="QL30" s="18"/>
      <c r="QM30" s="18"/>
      <c r="QN30" s="31"/>
      <c r="QQ30" s="30"/>
      <c r="QR30" s="18"/>
      <c r="QS30" s="18"/>
      <c r="QT30" s="18"/>
      <c r="QU30" s="18"/>
      <c r="QV30" s="18"/>
      <c r="QW30" s="18"/>
      <c r="QX30" s="18"/>
      <c r="QY30" s="18"/>
      <c r="QZ30" s="18"/>
      <c r="RA30" s="31"/>
    </row>
    <row r="31" spans="1:469" x14ac:dyDescent="0.25">
      <c r="A31" s="30"/>
      <c r="B31" s="18"/>
      <c r="C31" s="18"/>
      <c r="D31" s="18"/>
      <c r="E31" s="18"/>
      <c r="F31" s="18"/>
      <c r="G31" s="18"/>
      <c r="H31" s="219"/>
      <c r="I31" s="219"/>
      <c r="J31" s="220"/>
      <c r="K31" s="31"/>
      <c r="L31" s="30"/>
      <c r="M31" s="18"/>
      <c r="N31" s="18"/>
      <c r="O31" s="18"/>
      <c r="P31" s="18"/>
      <c r="Q31" s="18"/>
      <c r="R31" s="18"/>
      <c r="S31" s="219"/>
      <c r="T31" s="219"/>
      <c r="U31" s="220"/>
      <c r="V31" s="31"/>
      <c r="W31" s="30"/>
      <c r="X31" s="18"/>
      <c r="Y31" s="18"/>
      <c r="Z31" s="18"/>
      <c r="AA31" s="18"/>
      <c r="AB31" s="18"/>
      <c r="AC31" s="18"/>
      <c r="AD31" s="18"/>
      <c r="AE31" s="18"/>
      <c r="AF31" s="18"/>
      <c r="AG31" s="31"/>
      <c r="AH31" s="30"/>
      <c r="AR31" s="31"/>
      <c r="AS31" s="30"/>
      <c r="BC31" s="31"/>
      <c r="BD31" s="30"/>
      <c r="BN31" s="31"/>
      <c r="BO31" s="30"/>
      <c r="BP31" s="18"/>
      <c r="BQ31" s="18"/>
      <c r="BR31" s="18"/>
      <c r="BS31" s="18"/>
      <c r="BT31" s="18"/>
      <c r="BU31" s="18"/>
      <c r="BV31" s="219"/>
      <c r="BW31" s="219"/>
      <c r="BX31" s="220"/>
      <c r="BY31" s="31"/>
      <c r="BZ31" s="30"/>
      <c r="CA31" s="18"/>
      <c r="CB31" s="18"/>
      <c r="CC31" s="18"/>
      <c r="CD31" s="18"/>
      <c r="CE31" s="18"/>
      <c r="CF31" s="18"/>
      <c r="CG31" s="18"/>
      <c r="CH31" s="18"/>
      <c r="CI31" s="18"/>
      <c r="CJ31" s="31"/>
      <c r="CK31" s="30"/>
      <c r="CL31" s="18"/>
      <c r="CM31" s="18"/>
      <c r="CN31" s="18"/>
      <c r="CP31" s="317" t="s">
        <v>223</v>
      </c>
      <c r="CQ31" s="318"/>
      <c r="CR31" s="84">
        <f>CR20</f>
        <v>220.00000000000003</v>
      </c>
      <c r="CS31" s="84"/>
      <c r="CT31" s="84">
        <f>CT20</f>
        <v>1452</v>
      </c>
      <c r="CU31" s="31"/>
      <c r="CV31" s="30"/>
      <c r="CW31" s="18"/>
      <c r="CX31" s="18"/>
      <c r="CY31" s="18"/>
      <c r="CZ31" s="18"/>
      <c r="DA31" s="18"/>
      <c r="DB31" s="18"/>
      <c r="DC31" s="18"/>
      <c r="DD31" s="18"/>
      <c r="DE31" s="18"/>
      <c r="DF31" s="31"/>
      <c r="DG31" s="30"/>
      <c r="DH31" s="18"/>
      <c r="DI31" s="18"/>
      <c r="DJ31" s="18"/>
      <c r="DL31" s="18"/>
      <c r="DM31" s="18"/>
      <c r="DN31" s="13" t="s">
        <v>37</v>
      </c>
      <c r="DO31" s="13"/>
      <c r="DP31" s="14">
        <f>DP17+DP18+DP19+DP20</f>
        <v>2455.1999999999998</v>
      </c>
      <c r="DQ31" s="31"/>
      <c r="DR31" s="30"/>
      <c r="DS31" s="1">
        <f>DS30+1</f>
        <v>2</v>
      </c>
      <c r="DT31" s="1" t="s">
        <v>95</v>
      </c>
      <c r="DU31" s="1" t="s">
        <v>55</v>
      </c>
      <c r="DV31" s="5" t="s">
        <v>63</v>
      </c>
      <c r="DW31" s="1">
        <v>3400</v>
      </c>
      <c r="DX31" s="1">
        <v>12</v>
      </c>
      <c r="DY31" s="5">
        <f t="shared" ref="DY31:DY32" si="216">DW31/1000*DX31</f>
        <v>40.799999999999997</v>
      </c>
      <c r="DZ31" s="227">
        <v>8.3000000000000007</v>
      </c>
      <c r="EA31" s="129">
        <f t="shared" ref="EA31:EA32" si="217">DY31*DZ31</f>
        <v>338.64</v>
      </c>
      <c r="EB31" s="31"/>
      <c r="EC31" s="30"/>
      <c r="ED31" s="1">
        <f>ED30+1</f>
        <v>16</v>
      </c>
      <c r="EE31" s="1" t="s">
        <v>153</v>
      </c>
      <c r="EF31" s="1" t="s">
        <v>154</v>
      </c>
      <c r="EG31" s="5" t="s">
        <v>63</v>
      </c>
      <c r="EH31" s="1">
        <v>4700</v>
      </c>
      <c r="EI31" s="1">
        <v>6</v>
      </c>
      <c r="EJ31" s="5">
        <f>EH31/1000*EI31</f>
        <v>28.200000000000003</v>
      </c>
      <c r="EK31" s="5">
        <v>8.3000000000000007</v>
      </c>
      <c r="EL31" s="106">
        <f>EJ31*EK31</f>
        <v>234.06000000000003</v>
      </c>
      <c r="EM31" s="31"/>
      <c r="EN31" s="30"/>
      <c r="EO31" s="1">
        <f>EO30+1</f>
        <v>16</v>
      </c>
      <c r="EP31" s="1" t="s">
        <v>157</v>
      </c>
      <c r="EQ31" s="1" t="s">
        <v>159</v>
      </c>
      <c r="ER31" s="5" t="s">
        <v>63</v>
      </c>
      <c r="ES31" s="1">
        <v>4400</v>
      </c>
      <c r="ET31" s="49">
        <v>1</v>
      </c>
      <c r="EU31" s="5">
        <f t="shared" si="206"/>
        <v>4.4000000000000004</v>
      </c>
      <c r="EV31" s="5">
        <v>8.3000000000000007</v>
      </c>
      <c r="EW31" s="87">
        <f t="shared" si="207"/>
        <v>36.520000000000003</v>
      </c>
      <c r="EX31" s="31"/>
      <c r="EY31" s="30"/>
      <c r="EZ31" s="18"/>
      <c r="FA31" s="18"/>
      <c r="FB31" s="18"/>
      <c r="FC31" s="18"/>
      <c r="FD31" s="18"/>
      <c r="FE31" s="18"/>
      <c r="FF31" s="18"/>
      <c r="FG31" s="18"/>
      <c r="FH31" s="18"/>
      <c r="FI31" s="31"/>
      <c r="FJ31" s="30"/>
      <c r="FK31" s="18"/>
      <c r="FL31" s="18"/>
      <c r="FM31" s="18"/>
      <c r="FN31" s="18"/>
      <c r="FO31" s="18"/>
      <c r="FP31" s="18"/>
      <c r="FQ31" s="18"/>
      <c r="FR31" s="18"/>
      <c r="FS31" s="18"/>
      <c r="FT31" s="31"/>
      <c r="FU31" s="30"/>
      <c r="FV31" s="1">
        <f>FV30+1</f>
        <v>16</v>
      </c>
      <c r="FW31" s="1" t="s">
        <v>70</v>
      </c>
      <c r="FX31" s="1" t="s">
        <v>69</v>
      </c>
      <c r="FY31" s="3" t="s">
        <v>62</v>
      </c>
      <c r="FZ31" s="1">
        <v>7550</v>
      </c>
      <c r="GA31" s="1">
        <v>2</v>
      </c>
      <c r="GB31" s="3">
        <f t="shared" ref="GB31:GB37" si="218">FZ31/1000*GA31</f>
        <v>15.1</v>
      </c>
      <c r="GC31" s="3">
        <v>10.1</v>
      </c>
      <c r="GD31" s="128">
        <f t="shared" ref="GD31:GD37" si="219">GB31*GC31</f>
        <v>152.51</v>
      </c>
      <c r="GE31" s="31"/>
      <c r="GF31" s="30"/>
      <c r="GG31" s="1">
        <f>GG30+1</f>
        <v>16</v>
      </c>
      <c r="GH31" s="1" t="s">
        <v>60</v>
      </c>
      <c r="GI31" s="1" t="s">
        <v>58</v>
      </c>
      <c r="GJ31" s="5" t="s">
        <v>63</v>
      </c>
      <c r="GK31" s="1">
        <v>8900</v>
      </c>
      <c r="GL31" s="1">
        <v>8</v>
      </c>
      <c r="GM31" s="5">
        <f t="shared" si="22"/>
        <v>71.2</v>
      </c>
      <c r="GN31" s="227">
        <v>8.3000000000000007</v>
      </c>
      <c r="GO31" s="229">
        <f t="shared" si="23"/>
        <v>590.96</v>
      </c>
      <c r="GP31" s="31"/>
      <c r="GQ31" s="30"/>
      <c r="GR31" s="18"/>
      <c r="GS31" s="18"/>
      <c r="GT31" s="18"/>
      <c r="GU31" s="18"/>
      <c r="GV31" s="18"/>
      <c r="GW31" s="18"/>
      <c r="GX31" s="84" t="s">
        <v>249</v>
      </c>
      <c r="GY31" s="66"/>
      <c r="GZ31" s="85">
        <f>GZ22</f>
        <v>3379.2</v>
      </c>
      <c r="HA31" s="31"/>
      <c r="HB31" s="30"/>
      <c r="HC31" s="18"/>
      <c r="HD31" s="18"/>
      <c r="HE31" s="18"/>
      <c r="HF31" s="18"/>
      <c r="HG31" s="18"/>
      <c r="HH31" s="18"/>
      <c r="HI31" s="18"/>
      <c r="HJ31" s="18"/>
      <c r="HK31" s="18"/>
      <c r="HL31" s="31"/>
      <c r="HM31" s="30"/>
      <c r="HN31" s="1">
        <f>HN30+1</f>
        <v>16</v>
      </c>
      <c r="HO31" s="1" t="s">
        <v>10</v>
      </c>
      <c r="HP31" s="1" t="s">
        <v>11</v>
      </c>
      <c r="HQ31" s="25">
        <v>2.5</v>
      </c>
      <c r="HR31" s="1"/>
      <c r="HS31" s="1">
        <f>(HS24+HS25+HS28+HS29+HS30)*2</f>
        <v>340</v>
      </c>
      <c r="HT31" s="25"/>
      <c r="HU31" s="25">
        <v>1.5</v>
      </c>
      <c r="HV31" s="234">
        <f>HS31*HU31</f>
        <v>510</v>
      </c>
      <c r="HW31" s="31"/>
      <c r="HX31" s="30"/>
      <c r="HY31" s="18"/>
      <c r="HZ31" s="18"/>
      <c r="IA31" s="18"/>
      <c r="IB31" s="18"/>
      <c r="IC31" s="18"/>
      <c r="ID31" s="18"/>
      <c r="IE31" s="18"/>
      <c r="IF31" s="18"/>
      <c r="IG31" s="18"/>
      <c r="IH31" s="31"/>
      <c r="II31" s="30"/>
      <c r="IJ31" s="1">
        <f>IJ30+1</f>
        <v>16</v>
      </c>
      <c r="IK31" s="1" t="s">
        <v>98</v>
      </c>
      <c r="IL31" s="1" t="s">
        <v>266</v>
      </c>
      <c r="IM31" s="109" t="s">
        <v>263</v>
      </c>
      <c r="IN31" s="1">
        <v>2030</v>
      </c>
      <c r="IO31" s="177">
        <v>4</v>
      </c>
      <c r="IP31" s="109">
        <f t="shared" si="208"/>
        <v>8.1199999999999992</v>
      </c>
      <c r="IQ31" s="109">
        <v>18.5</v>
      </c>
      <c r="IR31" s="149">
        <f t="shared" si="209"/>
        <v>150.22</v>
      </c>
      <c r="IS31" s="31"/>
      <c r="IT31" s="30"/>
      <c r="IU31" s="1">
        <f>IU30+1</f>
        <v>16</v>
      </c>
      <c r="IV31" s="1" t="s">
        <v>98</v>
      </c>
      <c r="IW31" s="1" t="s">
        <v>99</v>
      </c>
      <c r="IX31" s="5" t="s">
        <v>63</v>
      </c>
      <c r="IY31" s="1">
        <v>2650</v>
      </c>
      <c r="IZ31" s="1">
        <v>12</v>
      </c>
      <c r="JA31" s="5">
        <f t="shared" si="210"/>
        <v>31.799999999999997</v>
      </c>
      <c r="JB31" s="5">
        <v>8.3000000000000007</v>
      </c>
      <c r="JC31" s="145">
        <f t="shared" si="211"/>
        <v>263.94</v>
      </c>
      <c r="JD31" s="31"/>
      <c r="JE31" s="30"/>
      <c r="JF31" s="1">
        <f>JF30+1</f>
        <v>16</v>
      </c>
      <c r="JG31" s="1" t="s">
        <v>96</v>
      </c>
      <c r="JH31" s="1" t="s">
        <v>79</v>
      </c>
      <c r="JI31" s="5" t="s">
        <v>63</v>
      </c>
      <c r="JJ31" s="1">
        <v>3150</v>
      </c>
      <c r="JK31" s="1">
        <v>20</v>
      </c>
      <c r="JL31" s="5">
        <f t="shared" si="188"/>
        <v>63</v>
      </c>
      <c r="JM31" s="5">
        <v>8.3000000000000007</v>
      </c>
      <c r="JN31" s="106">
        <f t="shared" si="189"/>
        <v>522.90000000000009</v>
      </c>
      <c r="JO31" s="31"/>
      <c r="JP31" s="30"/>
      <c r="JQ31" s="1">
        <f>JQ30+1</f>
        <v>16</v>
      </c>
      <c r="JR31" s="1" t="s">
        <v>105</v>
      </c>
      <c r="JS31" s="1" t="s">
        <v>106</v>
      </c>
      <c r="JT31" s="50" t="s">
        <v>303</v>
      </c>
      <c r="JU31" s="1">
        <v>850</v>
      </c>
      <c r="JV31" s="1">
        <f>(JS6+1)*2</f>
        <v>40</v>
      </c>
      <c r="JW31" s="51">
        <f>JU31/1000*JV31</f>
        <v>34</v>
      </c>
      <c r="JX31" s="51">
        <v>3.3</v>
      </c>
      <c r="JY31" s="203">
        <f>JW31*JX31</f>
        <v>112.19999999999999</v>
      </c>
      <c r="JZ31" s="31"/>
      <c r="KA31" s="30"/>
      <c r="KB31" s="1">
        <f>KB30+1</f>
        <v>16</v>
      </c>
      <c r="KC31" s="1" t="s">
        <v>105</v>
      </c>
      <c r="KD31" s="1" t="s">
        <v>106</v>
      </c>
      <c r="KE31" s="50" t="s">
        <v>303</v>
      </c>
      <c r="KF31" s="1">
        <v>870</v>
      </c>
      <c r="KG31" s="1">
        <f>(KD6+1)*2</f>
        <v>40</v>
      </c>
      <c r="KH31" s="51">
        <f>KF31/1000*KG31</f>
        <v>34.799999999999997</v>
      </c>
      <c r="KI31" s="51">
        <v>3.3</v>
      </c>
      <c r="KJ31" s="203">
        <f>KH31*KI31</f>
        <v>114.83999999999999</v>
      </c>
      <c r="KK31" s="31"/>
      <c r="KL31" s="30"/>
      <c r="KM31" s="1">
        <f>KM30+1</f>
        <v>16</v>
      </c>
      <c r="KN31" s="52" t="s">
        <v>245</v>
      </c>
      <c r="KO31" s="1" t="s">
        <v>246</v>
      </c>
      <c r="KP31" s="50" t="s">
        <v>104</v>
      </c>
      <c r="KQ31" s="1">
        <v>1000</v>
      </c>
      <c r="KR31" s="1">
        <f>(KO6+1)*2</f>
        <v>40</v>
      </c>
      <c r="KS31" s="51">
        <f>KQ31/1000*KR31</f>
        <v>40</v>
      </c>
      <c r="KT31" s="51">
        <v>3.3</v>
      </c>
      <c r="KU31" s="139">
        <f>KS31*KT31</f>
        <v>132</v>
      </c>
      <c r="KV31" s="31"/>
      <c r="KW31" s="30"/>
      <c r="KX31" s="1">
        <f>KX30+1</f>
        <v>16</v>
      </c>
      <c r="KY31" s="1" t="s">
        <v>23</v>
      </c>
      <c r="KZ31" s="1" t="s">
        <v>24</v>
      </c>
      <c r="LA31" s="66" t="s">
        <v>192</v>
      </c>
      <c r="LB31" s="1">
        <f>KZ11*1000</f>
        <v>4500</v>
      </c>
      <c r="LC31" s="1">
        <f>32*KZ7</f>
        <v>1536</v>
      </c>
      <c r="LD31" s="66">
        <f t="shared" si="142"/>
        <v>6912</v>
      </c>
      <c r="LE31" s="66">
        <v>6.6</v>
      </c>
      <c r="LF31" s="107">
        <f t="shared" si="143"/>
        <v>45619.199999999997</v>
      </c>
      <c r="LG31" s="31"/>
      <c r="LH31" s="30"/>
      <c r="LI31" s="1">
        <f>LI30+1</f>
        <v>16</v>
      </c>
      <c r="LJ31" s="113" t="s">
        <v>191</v>
      </c>
      <c r="LK31" s="1"/>
      <c r="LL31" s="131" t="s">
        <v>226</v>
      </c>
      <c r="LM31" s="49">
        <f>6700*2</f>
        <v>13400</v>
      </c>
      <c r="LN31" s="49">
        <f>LK6*2</f>
        <v>38</v>
      </c>
      <c r="LO31" s="131">
        <f t="shared" si="212"/>
        <v>509.2</v>
      </c>
      <c r="LP31" s="131">
        <f>LP30</f>
        <v>13.5</v>
      </c>
      <c r="LQ31" s="248">
        <f t="shared" si="213"/>
        <v>6874.2</v>
      </c>
      <c r="LR31" s="31"/>
      <c r="LS31" s="30"/>
      <c r="LT31" s="1">
        <f>LT30+1</f>
        <v>2</v>
      </c>
      <c r="LU31" s="1" t="s">
        <v>95</v>
      </c>
      <c r="LV31" s="1" t="s">
        <v>55</v>
      </c>
      <c r="LW31" s="5" t="s">
        <v>63</v>
      </c>
      <c r="LX31" s="1">
        <v>3400</v>
      </c>
      <c r="LY31" s="1">
        <v>12</v>
      </c>
      <c r="LZ31" s="5">
        <f t="shared" si="167"/>
        <v>40.799999999999997</v>
      </c>
      <c r="MA31" s="227">
        <v>8.3000000000000007</v>
      </c>
      <c r="MB31" s="129">
        <f t="shared" si="168"/>
        <v>338.64</v>
      </c>
      <c r="MC31" s="31"/>
      <c r="ME31" s="30"/>
      <c r="MF31" s="1">
        <f>MF30+1</f>
        <v>2</v>
      </c>
      <c r="MG31" s="1" t="s">
        <v>95</v>
      </c>
      <c r="MH31" s="1" t="s">
        <v>55</v>
      </c>
      <c r="MI31" s="5" t="s">
        <v>63</v>
      </c>
      <c r="MJ31" s="1">
        <v>3500</v>
      </c>
      <c r="MK31" s="1">
        <v>12</v>
      </c>
      <c r="ML31" s="5">
        <f t="shared" si="169"/>
        <v>42</v>
      </c>
      <c r="MM31" s="227">
        <v>8.3000000000000007</v>
      </c>
      <c r="MN31" s="129">
        <f t="shared" si="170"/>
        <v>348.6</v>
      </c>
      <c r="MO31" s="31"/>
      <c r="MQ31" s="30"/>
      <c r="MR31" s="18"/>
      <c r="MS31" s="18"/>
      <c r="MT31" s="18"/>
      <c r="MU31" s="18"/>
      <c r="MV31" s="18"/>
      <c r="MW31" s="18"/>
      <c r="MX31" s="6" t="s">
        <v>20</v>
      </c>
      <c r="MY31" s="6"/>
      <c r="MZ31" s="7"/>
      <c r="NA31" s="31"/>
      <c r="ND31" s="30"/>
      <c r="NE31" s="1"/>
      <c r="NF31" s="1"/>
      <c r="NG31" s="1"/>
      <c r="NH31" s="3"/>
      <c r="NI31" s="1"/>
      <c r="NJ31" s="1"/>
      <c r="NK31" s="3"/>
      <c r="NL31" s="3"/>
      <c r="NM31" s="261"/>
      <c r="NN31" s="31"/>
      <c r="NP31" s="30"/>
      <c r="NQ31" s="1"/>
      <c r="NR31" s="1" t="s">
        <v>78</v>
      </c>
      <c r="NS31" s="1"/>
      <c r="NT31" s="1"/>
      <c r="NU31" s="1">
        <f>NS4/2*1000-200</f>
        <v>3300</v>
      </c>
      <c r="NV31" s="1">
        <f>(NS6-1)*2</f>
        <v>4</v>
      </c>
      <c r="NW31" s="1">
        <f>NU31/1000*NV31</f>
        <v>13.2</v>
      </c>
      <c r="NX31" s="1"/>
      <c r="NY31" s="1">
        <f>NW31*3</f>
        <v>39.599999999999994</v>
      </c>
      <c r="NZ31" s="31"/>
      <c r="OC31" s="30"/>
      <c r="OD31" s="1"/>
      <c r="OE31" s="1" t="s">
        <v>78</v>
      </c>
      <c r="OF31" s="1"/>
      <c r="OG31" s="1"/>
      <c r="OH31" s="1">
        <f>OF4/2*1000-200</f>
        <v>3300</v>
      </c>
      <c r="OI31" s="1">
        <f>(OF6-1)*2</f>
        <v>6</v>
      </c>
      <c r="OJ31" s="1">
        <f>OH31/1000*OI31</f>
        <v>19.799999999999997</v>
      </c>
      <c r="OK31" s="1"/>
      <c r="OL31" s="1">
        <f>OJ31*3</f>
        <v>59.399999999999991</v>
      </c>
      <c r="OM31" s="31"/>
      <c r="OP31" s="30"/>
      <c r="OQ31" s="1"/>
      <c r="OR31" s="1" t="s">
        <v>78</v>
      </c>
      <c r="OS31" s="1"/>
      <c r="OT31" s="1"/>
      <c r="OU31" s="1">
        <f>OS4/2*1000-200</f>
        <v>3300</v>
      </c>
      <c r="OV31" s="1">
        <f>(OS6-1)*2</f>
        <v>6</v>
      </c>
      <c r="OW31" s="1">
        <f>OU31/1000*OV31</f>
        <v>19.799999999999997</v>
      </c>
      <c r="OX31" s="1"/>
      <c r="OY31" s="1">
        <f>OW31*3</f>
        <v>59.399999999999991</v>
      </c>
      <c r="OZ31" s="31"/>
      <c r="PD31" s="30"/>
      <c r="PE31" s="1"/>
      <c r="PF31" s="1" t="s">
        <v>78</v>
      </c>
      <c r="PG31" s="1"/>
      <c r="PH31" s="1"/>
      <c r="PI31" s="1">
        <f>PG4/2*1000-200</f>
        <v>3300</v>
      </c>
      <c r="PJ31" s="1">
        <f>(PG6-1)*2</f>
        <v>6</v>
      </c>
      <c r="PK31" s="1">
        <f>PI31/1000*PJ31</f>
        <v>19.799999999999997</v>
      </c>
      <c r="PL31" s="1"/>
      <c r="PM31" s="1">
        <f>PK31*3</f>
        <v>59.399999999999991</v>
      </c>
      <c r="PN31" s="31"/>
      <c r="PQ31" s="30"/>
      <c r="PR31" s="1"/>
      <c r="PS31" s="1" t="s">
        <v>78</v>
      </c>
      <c r="PT31" s="1"/>
      <c r="PU31" s="1"/>
      <c r="PV31" s="1">
        <f>PT4/2*1000-200</f>
        <v>3300</v>
      </c>
      <c r="PW31" s="1">
        <f>(PT6-1)*2</f>
        <v>6</v>
      </c>
      <c r="PX31" s="1">
        <f>PV31/1000*PW31</f>
        <v>19.799999999999997</v>
      </c>
      <c r="PY31" s="1"/>
      <c r="PZ31" s="1">
        <f>PX31*3</f>
        <v>59.399999999999991</v>
      </c>
      <c r="QA31" s="31"/>
      <c r="QD31" s="30"/>
      <c r="QE31" s="1"/>
      <c r="QF31" s="1" t="s">
        <v>78</v>
      </c>
      <c r="QG31" s="1"/>
      <c r="QH31" s="1"/>
      <c r="QI31" s="1">
        <f>QG4/2*1000-200</f>
        <v>4800</v>
      </c>
      <c r="QJ31" s="1">
        <f>(QG6-1)*2</f>
        <v>2</v>
      </c>
      <c r="QK31" s="1">
        <f>QI31/1000*QJ31</f>
        <v>9.6</v>
      </c>
      <c r="QL31" s="1"/>
      <c r="QM31" s="1">
        <f>QK31*3</f>
        <v>28.799999999999997</v>
      </c>
      <c r="QN31" s="31"/>
      <c r="QQ31" s="30"/>
      <c r="QR31" s="1"/>
      <c r="QS31" s="1" t="s">
        <v>78</v>
      </c>
      <c r="QT31" s="1"/>
      <c r="QU31" s="1"/>
      <c r="QV31" s="1">
        <f>QT4/2*1000-200</f>
        <v>3300</v>
      </c>
      <c r="QW31" s="1">
        <f>(QT6-1)*2</f>
        <v>6</v>
      </c>
      <c r="QX31" s="1">
        <f>QV31/1000*QW31</f>
        <v>19.799999999999997</v>
      </c>
      <c r="QY31" s="1"/>
      <c r="QZ31" s="1">
        <f>QX31*3</f>
        <v>59.399999999999991</v>
      </c>
      <c r="RA31" s="31"/>
    </row>
    <row r="32" spans="1:469" x14ac:dyDescent="0.25">
      <c r="A32" s="30"/>
      <c r="B32" s="18"/>
      <c r="C32" s="18"/>
      <c r="D32" s="18"/>
      <c r="E32" s="18"/>
      <c r="F32" s="18"/>
      <c r="G32" s="18"/>
      <c r="H32" s="219"/>
      <c r="I32" s="219"/>
      <c r="J32" s="220"/>
      <c r="K32" s="31"/>
      <c r="L32" s="30"/>
      <c r="M32" s="18"/>
      <c r="N32" s="18"/>
      <c r="O32" s="18"/>
      <c r="P32" s="18"/>
      <c r="Q32" s="18"/>
      <c r="R32" s="18"/>
      <c r="S32" s="219"/>
      <c r="T32" s="219"/>
      <c r="U32" s="220"/>
      <c r="V32" s="31"/>
      <c r="W32" s="30"/>
      <c r="X32" s="18"/>
      <c r="Y32" s="18"/>
      <c r="Z32" s="18"/>
      <c r="AA32" s="18"/>
      <c r="AB32" s="18"/>
      <c r="AC32" s="18"/>
      <c r="AD32" s="18"/>
      <c r="AE32" s="18"/>
      <c r="AF32" s="18"/>
      <c r="AG32" s="31"/>
      <c r="AH32" s="30"/>
      <c r="AR32" s="31"/>
      <c r="AS32" s="30"/>
      <c r="BC32" s="31"/>
      <c r="BD32" s="30"/>
      <c r="BN32" s="31"/>
      <c r="BO32" s="30"/>
      <c r="BP32" s="18"/>
      <c r="BQ32" s="18"/>
      <c r="BR32" s="18"/>
      <c r="BS32" s="18"/>
      <c r="BT32" s="18"/>
      <c r="BU32" s="18"/>
      <c r="BV32" s="219"/>
      <c r="BW32" s="219"/>
      <c r="BX32" s="220"/>
      <c r="BY32" s="31"/>
      <c r="BZ32" s="30"/>
      <c r="CA32" s="18"/>
      <c r="CB32" s="18"/>
      <c r="CC32" s="18"/>
      <c r="CD32" s="18"/>
      <c r="CE32" s="18"/>
      <c r="CF32" s="18"/>
      <c r="CG32" s="18"/>
      <c r="CH32" s="18"/>
      <c r="CI32" s="18"/>
      <c r="CJ32" s="31"/>
      <c r="CK32" s="30"/>
      <c r="CL32" s="18"/>
      <c r="CM32" s="18"/>
      <c r="CN32" s="18"/>
      <c r="CP32" s="307" t="s">
        <v>20</v>
      </c>
      <c r="CQ32" s="309"/>
      <c r="CR32" s="6">
        <f>CR22+CR23+CR24+CR25</f>
        <v>329.6</v>
      </c>
      <c r="CS32" s="6"/>
      <c r="CT32" s="6">
        <f>CT22+CT23+CT24+CT25</f>
        <v>2735.6800000000003</v>
      </c>
      <c r="CU32" s="31"/>
      <c r="CV32" s="30"/>
      <c r="CW32" s="18"/>
      <c r="CX32" s="18"/>
      <c r="CY32" s="18"/>
      <c r="CZ32" s="18"/>
      <c r="DA32" s="18"/>
      <c r="DB32" s="18"/>
      <c r="DC32" s="18"/>
      <c r="DD32" s="18"/>
      <c r="DE32" s="18"/>
      <c r="DF32" s="31"/>
      <c r="DG32" s="30"/>
      <c r="DI32" s="18"/>
      <c r="DJ32" s="18"/>
      <c r="DK32" s="18"/>
      <c r="DL32" s="18"/>
      <c r="DM32" s="18"/>
      <c r="DN32" s="6" t="s">
        <v>20</v>
      </c>
      <c r="DO32" s="6"/>
      <c r="DP32" s="7">
        <f>DP21+DP23</f>
        <v>3421.6</v>
      </c>
      <c r="DQ32" s="31"/>
      <c r="DR32" s="30"/>
      <c r="DS32" s="1"/>
      <c r="DT32" s="1" t="s">
        <v>333</v>
      </c>
      <c r="DU32" s="1"/>
      <c r="DV32" s="176" t="s">
        <v>218</v>
      </c>
      <c r="DW32" s="1">
        <f>2650*2</f>
        <v>5300</v>
      </c>
      <c r="DX32" s="1">
        <f>DU6</f>
        <v>10</v>
      </c>
      <c r="DY32" s="176">
        <f t="shared" si="216"/>
        <v>53</v>
      </c>
      <c r="DZ32" s="176">
        <v>3.3</v>
      </c>
      <c r="EA32" s="257">
        <f t="shared" si="217"/>
        <v>174.89999999999998</v>
      </c>
      <c r="EB32" s="31"/>
      <c r="EC32" s="30"/>
      <c r="ED32" s="1">
        <f t="shared" si="95"/>
        <v>17</v>
      </c>
      <c r="EE32" s="1" t="s">
        <v>10</v>
      </c>
      <c r="EF32" s="1" t="s">
        <v>11</v>
      </c>
      <c r="EG32" s="25">
        <v>2.5</v>
      </c>
      <c r="EH32" s="1"/>
      <c r="EI32" s="1">
        <f>(EI24+EI23+EI26+EI30+EI31+EI29)*2</f>
        <v>560</v>
      </c>
      <c r="EJ32" s="25"/>
      <c r="EK32" s="25">
        <v>1.5</v>
      </c>
      <c r="EL32" s="116">
        <f>EI32*EK32</f>
        <v>840</v>
      </c>
      <c r="EM32" s="31"/>
      <c r="EN32" s="30"/>
      <c r="EO32" s="1">
        <f t="shared" si="96"/>
        <v>17</v>
      </c>
      <c r="EP32" s="1" t="s">
        <v>157</v>
      </c>
      <c r="EQ32" s="1" t="s">
        <v>160</v>
      </c>
      <c r="ER32" s="5" t="s">
        <v>63</v>
      </c>
      <c r="ES32" s="1">
        <v>4400</v>
      </c>
      <c r="ET32" s="49">
        <v>1</v>
      </c>
      <c r="EU32" s="5">
        <f t="shared" si="206"/>
        <v>4.4000000000000004</v>
      </c>
      <c r="EV32" s="5">
        <v>8.3000000000000007</v>
      </c>
      <c r="EW32" s="87">
        <f t="shared" si="207"/>
        <v>36.520000000000003</v>
      </c>
      <c r="EX32" s="31"/>
      <c r="EY32" s="30"/>
      <c r="EZ32" s="1"/>
      <c r="FA32" s="1" t="s">
        <v>72</v>
      </c>
      <c r="FB32" s="1"/>
      <c r="FC32" s="1"/>
      <c r="FD32" s="1">
        <f>FB4/2*1000-200</f>
        <v>10300</v>
      </c>
      <c r="FE32" s="1">
        <f>(FB6-1)*2</f>
        <v>12</v>
      </c>
      <c r="FF32" s="1">
        <f>FD32/1000*FE32</f>
        <v>123.60000000000001</v>
      </c>
      <c r="FG32" s="1"/>
      <c r="FH32" s="1">
        <f>FF32*3</f>
        <v>370.8</v>
      </c>
      <c r="FI32" s="31"/>
      <c r="FJ32" s="30"/>
      <c r="FK32" s="1"/>
      <c r="FL32" s="1" t="s">
        <v>72</v>
      </c>
      <c r="FM32" s="1"/>
      <c r="FN32" s="1"/>
      <c r="FO32" s="1">
        <f>FM4/2*1000-200</f>
        <v>10300</v>
      </c>
      <c r="FP32" s="1">
        <f>(FM6-1)*2</f>
        <v>16</v>
      </c>
      <c r="FQ32" s="1">
        <f>FO32/1000*FP32</f>
        <v>164.8</v>
      </c>
      <c r="FR32" s="1"/>
      <c r="FS32" s="1">
        <f>FQ32*3</f>
        <v>494.40000000000003</v>
      </c>
      <c r="FT32" s="31"/>
      <c r="FU32" s="30"/>
      <c r="FV32" s="1">
        <f t="shared" si="101"/>
        <v>17</v>
      </c>
      <c r="FW32" s="1" t="s">
        <v>92</v>
      </c>
      <c r="FX32" s="1" t="s">
        <v>93</v>
      </c>
      <c r="FY32" s="3" t="s">
        <v>62</v>
      </c>
      <c r="FZ32" s="1">
        <v>7100</v>
      </c>
      <c r="GA32" s="1">
        <v>2</v>
      </c>
      <c r="GB32" s="3">
        <f t="shared" si="218"/>
        <v>14.2</v>
      </c>
      <c r="GC32" s="3">
        <v>10.1</v>
      </c>
      <c r="GD32" s="128">
        <f t="shared" si="219"/>
        <v>143.41999999999999</v>
      </c>
      <c r="GE32" s="31"/>
      <c r="GF32" s="30"/>
      <c r="GG32" s="1">
        <f t="shared" si="102"/>
        <v>17</v>
      </c>
      <c r="GH32" s="1" t="s">
        <v>61</v>
      </c>
      <c r="GI32" s="1" t="s">
        <v>59</v>
      </c>
      <c r="GJ32" s="5" t="s">
        <v>63</v>
      </c>
      <c r="GK32" s="1">
        <v>9900</v>
      </c>
      <c r="GL32" s="1">
        <v>8</v>
      </c>
      <c r="GM32" s="5">
        <f t="shared" si="22"/>
        <v>79.2</v>
      </c>
      <c r="GN32" s="227">
        <v>8.3000000000000007</v>
      </c>
      <c r="GO32" s="229">
        <f t="shared" si="23"/>
        <v>657.36000000000013</v>
      </c>
      <c r="GP32" s="31"/>
      <c r="GQ32" s="30"/>
      <c r="GX32" s="304" t="s">
        <v>9</v>
      </c>
      <c r="GY32" s="306"/>
      <c r="GZ32" s="2">
        <f>SUM(GZ29:GZ31)</f>
        <v>20061.830000000002</v>
      </c>
      <c r="HA32" s="31"/>
      <c r="HB32" s="30"/>
      <c r="HC32" s="18"/>
      <c r="HD32" s="18"/>
      <c r="HE32" s="18"/>
      <c r="HF32" s="18"/>
      <c r="HG32" s="18"/>
      <c r="HH32" s="18"/>
      <c r="HI32" s="18"/>
      <c r="HJ32" s="18"/>
      <c r="HK32" s="18"/>
      <c r="HL32" s="31"/>
      <c r="HM32" s="30"/>
      <c r="HN32" s="18"/>
      <c r="HO32" s="18"/>
      <c r="HP32" s="18"/>
      <c r="HQ32" s="18"/>
      <c r="HR32" s="18"/>
      <c r="HS32" s="18"/>
      <c r="HT32" s="8" t="s">
        <v>12</v>
      </c>
      <c r="HU32" s="8"/>
      <c r="HV32" s="9">
        <f>HV16+HV17+HV26+HV27</f>
        <v>5080.2999999999993</v>
      </c>
      <c r="HW32" s="31"/>
      <c r="HX32" s="30"/>
      <c r="HY32" s="1"/>
      <c r="HZ32" s="1" t="s">
        <v>78</v>
      </c>
      <c r="IA32" s="1"/>
      <c r="IB32" s="1"/>
      <c r="IC32" s="1">
        <f>IA4*1000/4-500</f>
        <v>8500</v>
      </c>
      <c r="ID32" s="1">
        <f>(IA6-1)*4</f>
        <v>24</v>
      </c>
      <c r="IE32" s="1">
        <f>IC32/1000*ID32</f>
        <v>204</v>
      </c>
      <c r="IF32" s="1"/>
      <c r="IG32" s="1">
        <f>IE32*3</f>
        <v>612</v>
      </c>
      <c r="IH32" s="31"/>
      <c r="II32" s="30"/>
      <c r="IJ32" s="1">
        <f t="shared" si="108"/>
        <v>17</v>
      </c>
      <c r="IK32" s="1" t="s">
        <v>100</v>
      </c>
      <c r="IL32" s="1" t="s">
        <v>267</v>
      </c>
      <c r="IM32" s="109" t="s">
        <v>263</v>
      </c>
      <c r="IN32" s="1">
        <v>1930</v>
      </c>
      <c r="IO32" s="177">
        <v>8</v>
      </c>
      <c r="IP32" s="109">
        <f t="shared" si="208"/>
        <v>15.44</v>
      </c>
      <c r="IQ32" s="109">
        <v>18.5</v>
      </c>
      <c r="IR32" s="149">
        <f t="shared" si="209"/>
        <v>285.64</v>
      </c>
      <c r="IS32" s="31"/>
      <c r="IT32" s="30"/>
      <c r="IU32" s="1">
        <f t="shared" si="109"/>
        <v>17</v>
      </c>
      <c r="IV32" s="1" t="s">
        <v>100</v>
      </c>
      <c r="IW32" s="1" t="s">
        <v>101</v>
      </c>
      <c r="IX32" s="5" t="s">
        <v>63</v>
      </c>
      <c r="IY32" s="1">
        <v>2250</v>
      </c>
      <c r="IZ32" s="1">
        <v>8</v>
      </c>
      <c r="JA32" s="5">
        <f t="shared" si="210"/>
        <v>18</v>
      </c>
      <c r="JB32" s="5">
        <v>8.3000000000000007</v>
      </c>
      <c r="JC32" s="145">
        <f t="shared" si="211"/>
        <v>149.4</v>
      </c>
      <c r="JD32" s="31"/>
      <c r="JE32" s="30"/>
      <c r="JF32" s="1">
        <f t="shared" si="67"/>
        <v>17</v>
      </c>
      <c r="JG32" s="1" t="s">
        <v>97</v>
      </c>
      <c r="JH32" s="1" t="s">
        <v>80</v>
      </c>
      <c r="JI32" s="5" t="s">
        <v>63</v>
      </c>
      <c r="JJ32" s="1">
        <v>2300</v>
      </c>
      <c r="JK32" s="1">
        <v>20</v>
      </c>
      <c r="JL32" s="5">
        <f t="shared" si="188"/>
        <v>46</v>
      </c>
      <c r="JM32" s="5">
        <v>8.3000000000000007</v>
      </c>
      <c r="JN32" s="106">
        <f t="shared" si="189"/>
        <v>381.8</v>
      </c>
      <c r="JO32" s="31"/>
      <c r="JP32" s="30"/>
      <c r="JQ32" s="1">
        <f t="shared" si="68"/>
        <v>17</v>
      </c>
      <c r="JR32" s="52" t="s">
        <v>111</v>
      </c>
      <c r="JS32" s="1" t="s">
        <v>107</v>
      </c>
      <c r="JT32" s="50" t="s">
        <v>303</v>
      </c>
      <c r="JU32" s="1">
        <v>1800</v>
      </c>
      <c r="JV32" s="1">
        <f>(JS6+1)*2</f>
        <v>40</v>
      </c>
      <c r="JW32" s="51">
        <f>JU32/1000*JV32</f>
        <v>72</v>
      </c>
      <c r="JX32" s="51">
        <v>3.3</v>
      </c>
      <c r="JY32" s="203">
        <f>JW32*JX32</f>
        <v>237.6</v>
      </c>
      <c r="JZ32" s="31"/>
      <c r="KA32" s="30"/>
      <c r="KB32" s="1">
        <f t="shared" si="69"/>
        <v>17</v>
      </c>
      <c r="KC32" s="52" t="s">
        <v>111</v>
      </c>
      <c r="KD32" s="1" t="s">
        <v>107</v>
      </c>
      <c r="KE32" s="50" t="s">
        <v>303</v>
      </c>
      <c r="KF32" s="1">
        <v>1800</v>
      </c>
      <c r="KG32" s="1">
        <f>(KD6+1)*2</f>
        <v>40</v>
      </c>
      <c r="KH32" s="51">
        <f>KF32/1000*KG32</f>
        <v>72</v>
      </c>
      <c r="KI32" s="51">
        <v>3.3</v>
      </c>
      <c r="KJ32" s="203">
        <f>KH32*KI32</f>
        <v>237.6</v>
      </c>
      <c r="KK32" s="31"/>
      <c r="KL32" s="30"/>
      <c r="KM32" s="1">
        <f>KM31+1</f>
        <v>17</v>
      </c>
      <c r="KN32" s="1" t="s">
        <v>108</v>
      </c>
      <c r="KO32" s="1" t="s">
        <v>109</v>
      </c>
      <c r="KP32" s="50" t="s">
        <v>104</v>
      </c>
      <c r="KQ32" s="1">
        <f>KO9*1000</f>
        <v>4800</v>
      </c>
      <c r="KR32" s="1">
        <f>KO6*4</f>
        <v>76</v>
      </c>
      <c r="KS32" s="51">
        <f>KQ32/1000*KR32</f>
        <v>364.8</v>
      </c>
      <c r="KT32" s="51">
        <v>3.3</v>
      </c>
      <c r="KU32" s="139">
        <f>KS32*KT32</f>
        <v>1203.8399999999999</v>
      </c>
      <c r="KV32" s="31"/>
      <c r="KW32" s="30"/>
      <c r="KX32" s="1">
        <f t="shared" si="112"/>
        <v>17</v>
      </c>
      <c r="KY32" s="1" t="s">
        <v>94</v>
      </c>
      <c r="KZ32" s="1" t="s">
        <v>25</v>
      </c>
      <c r="LA32" s="5" t="s">
        <v>63</v>
      </c>
      <c r="LB32" s="1">
        <f>KZ11*1000</f>
        <v>4500</v>
      </c>
      <c r="LC32" s="1">
        <f>3*KZ7*KZ9</f>
        <v>432</v>
      </c>
      <c r="LD32" s="5">
        <f t="shared" si="142"/>
        <v>1944</v>
      </c>
      <c r="LE32" s="5">
        <v>8.3000000000000007</v>
      </c>
      <c r="LF32" s="106">
        <f t="shared" si="143"/>
        <v>16135.2</v>
      </c>
      <c r="LG32" s="31"/>
      <c r="LH32" s="30"/>
      <c r="LI32" s="1">
        <f>LI31+1</f>
        <v>17</v>
      </c>
      <c r="LJ32" s="112" t="s">
        <v>64</v>
      </c>
      <c r="LK32" s="1"/>
      <c r="LL32" s="131" t="s">
        <v>226</v>
      </c>
      <c r="LM32" s="49">
        <f>(9600*2+6000)*4</f>
        <v>100800</v>
      </c>
      <c r="LN32" s="49">
        <f>LK7</f>
        <v>4</v>
      </c>
      <c r="LO32" s="131">
        <f>LM32/1000*LN32</f>
        <v>403.2</v>
      </c>
      <c r="LP32" s="131">
        <f>LP31</f>
        <v>13.5</v>
      </c>
      <c r="LQ32" s="248">
        <f>LO32*LP32</f>
        <v>5443.2</v>
      </c>
      <c r="LR32" s="31"/>
      <c r="LS32" s="30"/>
      <c r="LT32" s="1"/>
      <c r="LU32" s="1" t="s">
        <v>333</v>
      </c>
      <c r="LV32" s="1"/>
      <c r="LW32" s="176" t="s">
        <v>218</v>
      </c>
      <c r="LX32" s="1">
        <f>2650*2</f>
        <v>5300</v>
      </c>
      <c r="LY32" s="1">
        <f>LV6</f>
        <v>6</v>
      </c>
      <c r="LZ32" s="176">
        <f t="shared" si="167"/>
        <v>31.799999999999997</v>
      </c>
      <c r="MA32" s="176">
        <v>3.3</v>
      </c>
      <c r="MB32" s="257">
        <f t="shared" si="168"/>
        <v>104.93999999999998</v>
      </c>
      <c r="MC32" s="31"/>
      <c r="ME32" s="30"/>
      <c r="MF32" s="1"/>
      <c r="MG32" s="1" t="s">
        <v>333</v>
      </c>
      <c r="MH32" s="1"/>
      <c r="MI32" s="176" t="s">
        <v>218</v>
      </c>
      <c r="MJ32" s="1">
        <f>2650*2</f>
        <v>5300</v>
      </c>
      <c r="MK32" s="1">
        <f>MH6</f>
        <v>5</v>
      </c>
      <c r="ML32" s="176">
        <f t="shared" si="169"/>
        <v>26.5</v>
      </c>
      <c r="MM32" s="176">
        <v>3.3</v>
      </c>
      <c r="MN32" s="257">
        <f t="shared" si="170"/>
        <v>87.449999999999989</v>
      </c>
      <c r="MO32" s="31"/>
      <c r="MQ32" s="30"/>
      <c r="MR32" s="18"/>
      <c r="MS32" s="18"/>
      <c r="MT32" s="18"/>
      <c r="MU32" s="18"/>
      <c r="MV32" s="18"/>
      <c r="MW32" s="18"/>
      <c r="MX32" s="8" t="s">
        <v>12</v>
      </c>
      <c r="MY32" s="8"/>
      <c r="MZ32" s="9"/>
      <c r="NA32" s="31"/>
      <c r="ND32" s="30"/>
      <c r="NE32" s="1"/>
      <c r="NF32" s="1"/>
      <c r="NG32" s="1"/>
      <c r="NH32" s="3"/>
      <c r="NI32" s="1"/>
      <c r="NJ32" s="1"/>
      <c r="NK32" s="3"/>
      <c r="NL32" s="3"/>
      <c r="NM32" s="261"/>
      <c r="NN32" s="31"/>
      <c r="NP32" s="30"/>
      <c r="NQ32" s="18"/>
      <c r="NR32" s="18"/>
      <c r="NS32" s="18"/>
      <c r="NT32" s="18"/>
      <c r="NU32" s="18"/>
      <c r="NV32" s="18"/>
      <c r="NW32" s="18"/>
      <c r="NX32" s="18"/>
      <c r="NY32" s="18"/>
      <c r="NZ32" s="31"/>
      <c r="OC32" s="30"/>
      <c r="OD32" s="18"/>
      <c r="OE32" s="18"/>
      <c r="OF32" s="18"/>
      <c r="OG32" s="18"/>
      <c r="OH32" s="18"/>
      <c r="OI32" s="18"/>
      <c r="OJ32" s="18"/>
      <c r="OK32" s="18"/>
      <c r="OL32" s="18"/>
      <c r="OM32" s="31"/>
      <c r="OP32" s="30"/>
      <c r="OQ32" s="18"/>
      <c r="OR32" s="18"/>
      <c r="OS32" s="18"/>
      <c r="OT32" s="18"/>
      <c r="OU32" s="18"/>
      <c r="OV32" s="18"/>
      <c r="OW32" s="18"/>
      <c r="OX32" s="18"/>
      <c r="OY32" s="18"/>
      <c r="OZ32" s="31"/>
      <c r="PD32" s="30"/>
      <c r="PE32" s="18"/>
      <c r="PF32" s="18"/>
      <c r="PG32" s="18"/>
      <c r="PH32" s="18"/>
      <c r="PI32" s="18"/>
      <c r="PJ32" s="18"/>
      <c r="PK32" s="18"/>
      <c r="PL32" s="18"/>
      <c r="PM32" s="18"/>
      <c r="PN32" s="31"/>
      <c r="PQ32" s="30"/>
      <c r="PR32" s="18"/>
      <c r="PS32" s="18"/>
      <c r="PT32" s="18"/>
      <c r="PU32" s="18"/>
      <c r="PV32" s="18"/>
      <c r="PW32" s="18"/>
      <c r="PX32" s="18"/>
      <c r="PY32" s="18"/>
      <c r="PZ32" s="18"/>
      <c r="QA32" s="31"/>
      <c r="QD32" s="30"/>
      <c r="QE32" s="18"/>
      <c r="QF32" s="18"/>
      <c r="QG32" s="18"/>
      <c r="QH32" s="18"/>
      <c r="QI32" s="18"/>
      <c r="QJ32" s="18"/>
      <c r="QK32" s="18"/>
      <c r="QL32" s="18"/>
      <c r="QM32" s="18"/>
      <c r="QN32" s="31"/>
      <c r="QQ32" s="30"/>
      <c r="QR32" s="18"/>
      <c r="QS32" s="18"/>
      <c r="QT32" s="18"/>
      <c r="QU32" s="18"/>
      <c r="QV32" s="18"/>
      <c r="QW32" s="18"/>
      <c r="QX32" s="18"/>
      <c r="QY32" s="18"/>
      <c r="QZ32" s="18"/>
      <c r="RA32" s="31"/>
    </row>
    <row r="33" spans="1:469" x14ac:dyDescent="0.25">
      <c r="A33" s="30"/>
      <c r="B33" s="18"/>
      <c r="C33" s="18"/>
      <c r="D33" s="18"/>
      <c r="E33" s="18"/>
      <c r="F33" s="18"/>
      <c r="G33" s="18"/>
      <c r="H33" s="219"/>
      <c r="I33" s="219"/>
      <c r="J33" s="220"/>
      <c r="K33" s="31"/>
      <c r="L33" s="30"/>
      <c r="M33" s="18"/>
      <c r="N33" s="18"/>
      <c r="O33" s="18"/>
      <c r="P33" s="18"/>
      <c r="Q33" s="18"/>
      <c r="R33" s="18"/>
      <c r="S33" s="219"/>
      <c r="T33" s="219"/>
      <c r="U33" s="220"/>
      <c r="V33" s="31"/>
      <c r="W33" s="30"/>
      <c r="X33" s="18"/>
      <c r="Y33" s="18"/>
      <c r="Z33" s="18"/>
      <c r="AA33" s="18"/>
      <c r="AB33" s="18"/>
      <c r="AC33" s="18"/>
      <c r="AD33" s="18"/>
      <c r="AE33" s="18"/>
      <c r="AF33" s="18"/>
      <c r="AG33" s="31"/>
      <c r="AH33" s="30"/>
      <c r="AR33" s="31"/>
      <c r="AS33" s="30"/>
      <c r="BC33" s="31"/>
      <c r="BD33" s="30"/>
      <c r="BN33" s="31"/>
      <c r="BO33" s="30"/>
      <c r="BP33" s="18"/>
      <c r="BQ33" s="18"/>
      <c r="BR33" s="18"/>
      <c r="BS33" s="18"/>
      <c r="BT33" s="18"/>
      <c r="BU33" s="18"/>
      <c r="BV33" s="219"/>
      <c r="BW33" s="219"/>
      <c r="BX33" s="220"/>
      <c r="BY33" s="31"/>
      <c r="BZ33" s="30"/>
      <c r="CA33" s="18"/>
      <c r="CB33" s="18"/>
      <c r="CC33" s="18"/>
      <c r="CD33" s="18"/>
      <c r="CE33" s="18"/>
      <c r="CF33" s="18"/>
      <c r="CG33" s="18"/>
      <c r="CH33" s="18"/>
      <c r="CI33" s="18"/>
      <c r="CJ33" s="31"/>
      <c r="CK33" s="30"/>
      <c r="CL33" s="18"/>
      <c r="CM33" s="18"/>
      <c r="CN33" s="18"/>
      <c r="CP33" s="340" t="s">
        <v>12</v>
      </c>
      <c r="CQ33" s="341"/>
      <c r="CR33" s="8">
        <f>CR16+CR21</f>
        <v>409.44</v>
      </c>
      <c r="CS33" s="8"/>
      <c r="CT33" s="8">
        <f>CT16+CT21</f>
        <v>4135.3440000000001</v>
      </c>
      <c r="CU33" s="31"/>
      <c r="CV33" s="30"/>
      <c r="CW33" s="18"/>
      <c r="CX33" s="18"/>
      <c r="CY33" s="18"/>
      <c r="CZ33" s="18"/>
      <c r="DA33" s="18"/>
      <c r="DB33" s="18"/>
      <c r="DC33" s="18"/>
      <c r="DD33" s="18"/>
      <c r="DE33" s="18"/>
      <c r="DF33" s="31"/>
      <c r="DG33" s="30"/>
      <c r="DH33" s="18"/>
      <c r="DI33" s="18"/>
      <c r="DJ33" s="18"/>
      <c r="DK33" s="18"/>
      <c r="DL33" s="18"/>
      <c r="DM33" s="18"/>
      <c r="DN33" s="8" t="s">
        <v>12</v>
      </c>
      <c r="DO33" s="8"/>
      <c r="DP33" s="9">
        <f>DP16+DP22+DP24+DP25+DP26+DP27+DP28</f>
        <v>5126.4039999999995</v>
      </c>
      <c r="DQ33" s="31"/>
      <c r="DR33" s="30"/>
      <c r="DS33" s="1">
        <f t="shared" si="115"/>
        <v>1</v>
      </c>
      <c r="DT33" s="1" t="s">
        <v>10</v>
      </c>
      <c r="DU33" s="1" t="s">
        <v>11</v>
      </c>
      <c r="DV33" s="25">
        <v>2.5</v>
      </c>
      <c r="DW33" s="1"/>
      <c r="DX33" s="1">
        <f>(DX24+DX23+DX27+DX31+DX32+DX30)*2</f>
        <v>360</v>
      </c>
      <c r="DY33" s="25"/>
      <c r="DZ33" s="25">
        <v>1.5</v>
      </c>
      <c r="EA33" s="127">
        <f>DX33*DZ33</f>
        <v>540</v>
      </c>
      <c r="EB33" s="31"/>
      <c r="EC33" s="30"/>
      <c r="ED33" s="1">
        <f t="shared" si="95"/>
        <v>18</v>
      </c>
      <c r="EE33" s="1" t="s">
        <v>105</v>
      </c>
      <c r="EF33" s="1" t="s">
        <v>106</v>
      </c>
      <c r="EG33" s="50" t="s">
        <v>303</v>
      </c>
      <c r="EH33" s="1">
        <v>870</v>
      </c>
      <c r="EI33" s="1">
        <f>EF6*2</f>
        <v>20</v>
      </c>
      <c r="EJ33" s="51">
        <f>EH33/1000*EI33</f>
        <v>17.399999999999999</v>
      </c>
      <c r="EK33" s="51">
        <v>3.3</v>
      </c>
      <c r="EL33" s="228">
        <f>EJ33*EK33</f>
        <v>57.419999999999995</v>
      </c>
      <c r="EM33" s="31"/>
      <c r="EN33" s="30"/>
      <c r="EO33" s="1">
        <f t="shared" si="96"/>
        <v>18</v>
      </c>
      <c r="EP33" s="1" t="s">
        <v>157</v>
      </c>
      <c r="EQ33" s="1" t="s">
        <v>161</v>
      </c>
      <c r="ER33" s="5" t="s">
        <v>63</v>
      </c>
      <c r="ES33" s="1">
        <v>4400</v>
      </c>
      <c r="ET33" s="49">
        <v>2</v>
      </c>
      <c r="EU33" s="5">
        <f t="shared" si="206"/>
        <v>8.8000000000000007</v>
      </c>
      <c r="EV33" s="5">
        <v>8.3000000000000007</v>
      </c>
      <c r="EW33" s="87">
        <f t="shared" si="207"/>
        <v>73.040000000000006</v>
      </c>
      <c r="EX33" s="31"/>
      <c r="EY33" s="30"/>
      <c r="EZ33" s="18"/>
      <c r="FA33" s="18"/>
      <c r="FB33" s="18"/>
      <c r="FC33" s="18"/>
      <c r="FD33" s="18"/>
      <c r="FE33" s="18"/>
      <c r="FF33" s="18"/>
      <c r="FG33" s="18"/>
      <c r="FH33" s="18"/>
      <c r="FI33" s="31"/>
      <c r="FJ33" s="30"/>
      <c r="FK33" s="18"/>
      <c r="FL33" s="18"/>
      <c r="FM33" s="18"/>
      <c r="FN33" s="18"/>
      <c r="FO33" s="18"/>
      <c r="FP33" s="18"/>
      <c r="FQ33" s="18"/>
      <c r="FR33" s="18"/>
      <c r="FS33" s="18"/>
      <c r="FT33" s="31"/>
      <c r="FU33" s="30"/>
      <c r="FV33" s="1">
        <f t="shared" si="101"/>
        <v>18</v>
      </c>
      <c r="FW33" s="1" t="s">
        <v>194</v>
      </c>
      <c r="FX33" s="1" t="s">
        <v>195</v>
      </c>
      <c r="FY33" s="3" t="s">
        <v>62</v>
      </c>
      <c r="FZ33" s="1">
        <v>6200</v>
      </c>
      <c r="GA33" s="1">
        <v>2</v>
      </c>
      <c r="GB33" s="3">
        <f t="shared" si="218"/>
        <v>12.4</v>
      </c>
      <c r="GC33" s="3">
        <v>10.1</v>
      </c>
      <c r="GD33" s="128">
        <f t="shared" si="219"/>
        <v>125.24</v>
      </c>
      <c r="GE33" s="31"/>
      <c r="GF33" s="30"/>
      <c r="GG33" s="1">
        <f t="shared" si="102"/>
        <v>18</v>
      </c>
      <c r="GH33" s="1" t="s">
        <v>70</v>
      </c>
      <c r="GI33" s="1" t="s">
        <v>69</v>
      </c>
      <c r="GJ33" s="5" t="s">
        <v>63</v>
      </c>
      <c r="GK33" s="1">
        <v>10900</v>
      </c>
      <c r="GL33" s="1">
        <v>8</v>
      </c>
      <c r="GM33" s="5">
        <f t="shared" si="22"/>
        <v>87.2</v>
      </c>
      <c r="GN33" s="227">
        <v>8.3000000000000007</v>
      </c>
      <c r="GO33" s="229">
        <f t="shared" si="23"/>
        <v>723.7600000000001</v>
      </c>
      <c r="GP33" s="31"/>
      <c r="GQ33" s="30"/>
      <c r="GX33" s="219"/>
      <c r="GY33" s="219"/>
      <c r="GZ33" s="220"/>
      <c r="HA33" s="31"/>
      <c r="HB33" s="30"/>
      <c r="HC33" s="18"/>
      <c r="HD33" s="18"/>
      <c r="HE33" s="18"/>
      <c r="HF33" s="18"/>
      <c r="HG33" s="18"/>
      <c r="HH33" s="18"/>
      <c r="HI33" s="18"/>
      <c r="HJ33" s="18"/>
      <c r="HK33" s="18"/>
      <c r="HL33" s="31"/>
      <c r="HM33" s="30"/>
      <c r="HN33" s="18"/>
      <c r="HO33" s="18"/>
      <c r="HP33" s="18"/>
      <c r="HQ33" s="18"/>
      <c r="HR33" s="18"/>
      <c r="HS33" s="18"/>
      <c r="HT33" s="6" t="s">
        <v>20</v>
      </c>
      <c r="HU33" s="6"/>
      <c r="HV33" s="7">
        <f>HV25+HV28+HV29+HV30</f>
        <v>1700.67</v>
      </c>
      <c r="HW33" s="31"/>
      <c r="HX33" s="30"/>
      <c r="HY33" s="18"/>
      <c r="HZ33" s="18"/>
      <c r="IA33" s="18"/>
      <c r="IB33" s="18"/>
      <c r="IC33" s="18"/>
      <c r="ID33" s="18"/>
      <c r="IE33" s="18"/>
      <c r="IF33" s="18"/>
      <c r="IG33" s="18"/>
      <c r="IH33" s="31"/>
      <c r="II33" s="30"/>
      <c r="IJ33" s="1">
        <f>IJ32+1</f>
        <v>18</v>
      </c>
      <c r="IK33" s="1" t="s">
        <v>102</v>
      </c>
      <c r="IL33" s="1" t="s">
        <v>268</v>
      </c>
      <c r="IM33" s="109" t="s">
        <v>263</v>
      </c>
      <c r="IN33" s="1">
        <v>2480</v>
      </c>
      <c r="IO33" s="177">
        <v>12</v>
      </c>
      <c r="IP33" s="109">
        <f>IN33/1000*IO33</f>
        <v>29.759999999999998</v>
      </c>
      <c r="IQ33" s="109">
        <v>18.5</v>
      </c>
      <c r="IR33" s="149">
        <f>IP33*IQ33</f>
        <v>550.55999999999995</v>
      </c>
      <c r="IS33" s="31"/>
      <c r="IT33" s="30"/>
      <c r="IU33" s="1">
        <f>IU32+1</f>
        <v>18</v>
      </c>
      <c r="IV33" s="1" t="s">
        <v>102</v>
      </c>
      <c r="IW33" s="1" t="s">
        <v>103</v>
      </c>
      <c r="IX33" s="5" t="s">
        <v>63</v>
      </c>
      <c r="IY33" s="1">
        <v>2450</v>
      </c>
      <c r="IZ33" s="1">
        <v>12</v>
      </c>
      <c r="JA33" s="5">
        <f>IY33/1000*IZ33</f>
        <v>29.400000000000002</v>
      </c>
      <c r="JB33" s="5">
        <v>8.3000000000000007</v>
      </c>
      <c r="JC33" s="145">
        <f>JA33*JB33</f>
        <v>244.02000000000004</v>
      </c>
      <c r="JD33" s="31"/>
      <c r="JE33" s="30"/>
      <c r="JF33" s="1">
        <f>JF32+1</f>
        <v>18</v>
      </c>
      <c r="JG33" s="1" t="s">
        <v>98</v>
      </c>
      <c r="JH33" s="1" t="s">
        <v>99</v>
      </c>
      <c r="JI33" s="5" t="s">
        <v>63</v>
      </c>
      <c r="JJ33" s="1">
        <v>3000</v>
      </c>
      <c r="JK33" s="1">
        <v>20</v>
      </c>
      <c r="JL33" s="5">
        <f t="shared" si="188"/>
        <v>60</v>
      </c>
      <c r="JM33" s="5">
        <v>8.3000000000000007</v>
      </c>
      <c r="JN33" s="106">
        <f t="shared" si="189"/>
        <v>498.00000000000006</v>
      </c>
      <c r="JO33" s="31"/>
      <c r="JP33" s="30"/>
      <c r="JQ33" s="1">
        <f>JQ32+1</f>
        <v>18</v>
      </c>
      <c r="JR33" s="1" t="s">
        <v>108</v>
      </c>
      <c r="JS33" s="1" t="s">
        <v>109</v>
      </c>
      <c r="JT33" s="50" t="s">
        <v>303</v>
      </c>
      <c r="JU33" s="1">
        <f>JS9*1000</f>
        <v>5000</v>
      </c>
      <c r="JV33" s="1">
        <f>JS6*8</f>
        <v>152</v>
      </c>
      <c r="JW33" s="51">
        <f>JU33/1000*JV33</f>
        <v>760</v>
      </c>
      <c r="JX33" s="51">
        <v>3.3</v>
      </c>
      <c r="JY33" s="203">
        <f>JW33*JX33</f>
        <v>2508</v>
      </c>
      <c r="JZ33" s="31"/>
      <c r="KA33" s="30"/>
      <c r="KB33" s="1">
        <f>KB32+1</f>
        <v>18</v>
      </c>
      <c r="KC33" s="1" t="s">
        <v>108</v>
      </c>
      <c r="KD33" s="1" t="s">
        <v>109</v>
      </c>
      <c r="KE33" s="50" t="s">
        <v>303</v>
      </c>
      <c r="KF33" s="1">
        <f>KD9*1000</f>
        <v>5000</v>
      </c>
      <c r="KG33" s="1">
        <f>KD6*8</f>
        <v>152</v>
      </c>
      <c r="KH33" s="51">
        <f>KF33/1000*KG33</f>
        <v>760</v>
      </c>
      <c r="KI33" s="51">
        <v>3.3</v>
      </c>
      <c r="KJ33" s="203">
        <f>KH33*KI33</f>
        <v>2508</v>
      </c>
      <c r="KK33" s="31"/>
      <c r="KL33" s="30"/>
      <c r="KM33" s="1">
        <f>KM32+1</f>
        <v>18</v>
      </c>
      <c r="KN33" s="53" t="s">
        <v>116</v>
      </c>
      <c r="KO33" s="54"/>
      <c r="KP33" s="25">
        <v>2.5</v>
      </c>
      <c r="KQ33" s="1"/>
      <c r="KR33" s="1">
        <f>KR32*2</f>
        <v>152</v>
      </c>
      <c r="KS33" s="25"/>
      <c r="KT33" s="25">
        <v>0.5</v>
      </c>
      <c r="KU33" s="127">
        <f>KR33*KT33</f>
        <v>76</v>
      </c>
      <c r="KV33" s="31"/>
      <c r="KW33" s="30"/>
      <c r="KX33" s="1">
        <f>KX32+1</f>
        <v>18</v>
      </c>
      <c r="KY33" s="112" t="s">
        <v>193</v>
      </c>
      <c r="KZ33" s="1"/>
      <c r="LA33" s="49"/>
      <c r="LB33" s="49"/>
      <c r="LC33" s="49"/>
      <c r="LD33" s="49"/>
      <c r="LE33" s="49"/>
      <c r="LF33" s="111"/>
      <c r="LG33" s="31"/>
      <c r="LH33" s="30"/>
      <c r="LI33" s="1">
        <f t="shared" si="113"/>
        <v>18</v>
      </c>
      <c r="LJ33" s="132" t="s">
        <v>228</v>
      </c>
      <c r="LK33" s="1"/>
      <c r="LL33" s="49"/>
      <c r="LM33" s="49"/>
      <c r="LN33" s="49"/>
      <c r="LO33" s="49"/>
      <c r="LP33" s="49"/>
      <c r="LQ33" s="244"/>
      <c r="LR33" s="31"/>
      <c r="LS33" s="30"/>
      <c r="LT33" s="1">
        <f t="shared" si="124"/>
        <v>1</v>
      </c>
      <c r="LU33" s="1" t="s">
        <v>10</v>
      </c>
      <c r="LV33" s="1" t="s">
        <v>11</v>
      </c>
      <c r="LW33" s="25">
        <v>2.5</v>
      </c>
      <c r="LX33" s="1"/>
      <c r="LY33" s="1">
        <f>(LY24+LY23+LY27+LY31+LY32+LY30)*2</f>
        <v>240</v>
      </c>
      <c r="LZ33" s="25"/>
      <c r="MA33" s="25">
        <v>1.5</v>
      </c>
      <c r="MB33" s="127">
        <f>LY33*MA33</f>
        <v>360</v>
      </c>
      <c r="MC33" s="31"/>
      <c r="ME33" s="30"/>
      <c r="MF33" s="1">
        <f t="shared" si="127"/>
        <v>1</v>
      </c>
      <c r="MG33" s="1" t="s">
        <v>10</v>
      </c>
      <c r="MH33" s="1" t="s">
        <v>11</v>
      </c>
      <c r="MI33" s="25">
        <v>2.5</v>
      </c>
      <c r="MJ33" s="1"/>
      <c r="MK33" s="1">
        <f>(MK24+MK23+MK27+MK31+MK32+MK30)*2</f>
        <v>182</v>
      </c>
      <c r="ML33" s="25"/>
      <c r="MM33" s="25">
        <v>1.5</v>
      </c>
      <c r="MN33" s="127">
        <f>MK33*MM33</f>
        <v>273</v>
      </c>
      <c r="MO33" s="31"/>
      <c r="MQ33" s="30"/>
      <c r="MR33" s="18"/>
      <c r="MS33" s="18"/>
      <c r="MT33" s="18"/>
      <c r="MU33" s="18"/>
      <c r="MV33" s="18"/>
      <c r="MW33" s="18"/>
      <c r="MX33" s="304" t="s">
        <v>9</v>
      </c>
      <c r="MY33" s="306"/>
      <c r="MZ33" s="2">
        <f>SUM(MZ14:MZ29)</f>
        <v>3497.1840000000002</v>
      </c>
      <c r="NA33" s="31"/>
      <c r="ND33" s="30"/>
      <c r="NE33" s="1">
        <f t="shared" si="114"/>
        <v>1</v>
      </c>
      <c r="NF33" s="1" t="s">
        <v>196</v>
      </c>
      <c r="NG33" s="1" t="s">
        <v>79</v>
      </c>
      <c r="NH33" s="5" t="s">
        <v>63</v>
      </c>
      <c r="NI33" s="1">
        <v>4500</v>
      </c>
      <c r="NJ33" s="1">
        <v>28</v>
      </c>
      <c r="NK33" s="5">
        <f t="shared" si="0"/>
        <v>126</v>
      </c>
      <c r="NL33" s="5">
        <v>8.3000000000000007</v>
      </c>
      <c r="NM33" s="263">
        <f t="shared" si="1"/>
        <v>1045.8000000000002</v>
      </c>
      <c r="NN33" s="31"/>
      <c r="NP33" s="30"/>
      <c r="NQ33" s="18"/>
      <c r="NR33" s="18"/>
      <c r="NS33" s="18"/>
      <c r="NT33" s="18"/>
      <c r="NU33" s="310" t="s">
        <v>13</v>
      </c>
      <c r="NV33" s="310"/>
      <c r="NW33" s="19">
        <f>NY26</f>
        <v>3458.3112000000006</v>
      </c>
      <c r="NX33" s="22">
        <v>175</v>
      </c>
      <c r="NY33" s="20">
        <f t="shared" ref="NY33:NY39" si="220">NW33*NX33</f>
        <v>605204.46000000008</v>
      </c>
      <c r="NZ33" s="31"/>
      <c r="OC33" s="30"/>
      <c r="OD33" s="18"/>
      <c r="OE33" s="18"/>
      <c r="OF33" s="18"/>
      <c r="OG33" s="18"/>
      <c r="OH33" s="310" t="s">
        <v>13</v>
      </c>
      <c r="OI33" s="310"/>
      <c r="OJ33" s="19">
        <f>OL26</f>
        <v>4260.2240000000011</v>
      </c>
      <c r="OK33" s="22">
        <v>175</v>
      </c>
      <c r="OL33" s="20">
        <f t="shared" ref="OL33:OL39" si="221">OJ33*OK33</f>
        <v>745539.20000000019</v>
      </c>
      <c r="OM33" s="31"/>
      <c r="OP33" s="30"/>
      <c r="OQ33" s="18"/>
      <c r="OR33" s="18"/>
      <c r="OS33" s="18"/>
      <c r="OT33" s="18"/>
      <c r="OU33" s="310" t="s">
        <v>13</v>
      </c>
      <c r="OV33" s="310"/>
      <c r="OW33" s="19">
        <f>OY26</f>
        <v>4260.2240000000011</v>
      </c>
      <c r="OX33" s="22">
        <v>157</v>
      </c>
      <c r="OY33" s="20">
        <f t="shared" ref="OY33:OY39" si="222">OW33*OX33</f>
        <v>668855.16800000018</v>
      </c>
      <c r="OZ33" s="31"/>
      <c r="PD33" s="30"/>
      <c r="PE33" s="18"/>
      <c r="PF33" s="18"/>
      <c r="PG33" s="18"/>
      <c r="PH33" s="18"/>
      <c r="PI33" s="310" t="s">
        <v>13</v>
      </c>
      <c r="PJ33" s="310"/>
      <c r="PK33" s="19">
        <f>PM26</f>
        <v>4260.2240000000011</v>
      </c>
      <c r="PL33" s="22">
        <v>130</v>
      </c>
      <c r="PM33" s="20">
        <f t="shared" ref="PM33:PM39" si="223">PK33*PL33</f>
        <v>553829.12000000011</v>
      </c>
      <c r="PN33" s="31"/>
      <c r="PQ33" s="30"/>
      <c r="PR33" s="18"/>
      <c r="PS33" s="18"/>
      <c r="PT33" s="18"/>
      <c r="PU33" s="18"/>
      <c r="PV33" s="310" t="s">
        <v>13</v>
      </c>
      <c r="PW33" s="310"/>
      <c r="PX33" s="19">
        <f>PZ26</f>
        <v>4260.2240000000011</v>
      </c>
      <c r="PY33" s="22">
        <f>110+30</f>
        <v>140</v>
      </c>
      <c r="PZ33" s="20">
        <f t="shared" ref="PZ33:PZ39" si="224">PX33*PY33</f>
        <v>596431.3600000001</v>
      </c>
      <c r="QA33" s="31"/>
      <c r="QD33" s="30"/>
      <c r="QE33" s="18"/>
      <c r="QF33" s="18"/>
      <c r="QG33" s="18"/>
      <c r="QH33" s="18"/>
      <c r="QI33" s="310" t="s">
        <v>13</v>
      </c>
      <c r="QJ33" s="310"/>
      <c r="QK33" s="19">
        <f>QM26</f>
        <v>2560.2339999999999</v>
      </c>
      <c r="QL33" s="22">
        <f>105+40</f>
        <v>145</v>
      </c>
      <c r="QM33" s="20">
        <f t="shared" ref="QM33:QM39" si="225">QK33*QL33</f>
        <v>371233.93</v>
      </c>
      <c r="QN33" s="31"/>
      <c r="QQ33" s="30"/>
      <c r="QR33" s="18"/>
      <c r="QS33" s="18"/>
      <c r="QT33" s="18"/>
      <c r="QU33" s="18"/>
      <c r="QV33" s="310" t="s">
        <v>13</v>
      </c>
      <c r="QW33" s="310"/>
      <c r="QX33" s="19">
        <f>QZ26</f>
        <v>4260.2240000000011</v>
      </c>
      <c r="QY33" s="22">
        <f>107+30</f>
        <v>137</v>
      </c>
      <c r="QZ33" s="20">
        <f t="shared" ref="QZ33:QZ39" si="226">QX33*QY33</f>
        <v>583650.6880000002</v>
      </c>
      <c r="RA33" s="31"/>
    </row>
    <row r="34" spans="1:469" x14ac:dyDescent="0.25">
      <c r="A34" s="30"/>
      <c r="B34" s="18"/>
      <c r="C34" s="18"/>
      <c r="D34" s="18"/>
      <c r="E34" s="18"/>
      <c r="F34" s="18"/>
      <c r="G34" s="18"/>
      <c r="H34" s="219"/>
      <c r="I34" s="219"/>
      <c r="J34" s="220"/>
      <c r="K34" s="31"/>
      <c r="L34" s="30"/>
      <c r="M34" s="18"/>
      <c r="N34" s="18"/>
      <c r="O34" s="18"/>
      <c r="P34" s="18"/>
      <c r="Q34" s="18"/>
      <c r="R34" s="18"/>
      <c r="S34" s="219"/>
      <c r="T34" s="219"/>
      <c r="U34" s="220"/>
      <c r="V34" s="31"/>
      <c r="W34" s="30"/>
      <c r="X34" s="18"/>
      <c r="Y34" s="18"/>
      <c r="Z34" s="18"/>
      <c r="AA34" s="18"/>
      <c r="AB34" s="18"/>
      <c r="AC34" s="18"/>
      <c r="AD34" s="18"/>
      <c r="AE34" s="18"/>
      <c r="AF34" s="18"/>
      <c r="AG34" s="31"/>
      <c r="AH34" s="30"/>
      <c r="AR34" s="31"/>
      <c r="AS34" s="30"/>
      <c r="BC34" s="31"/>
      <c r="BD34" s="30"/>
      <c r="BN34" s="31"/>
      <c r="BO34" s="30"/>
      <c r="BP34" s="18"/>
      <c r="BQ34" s="18"/>
      <c r="BR34" s="18"/>
      <c r="BS34" s="18"/>
      <c r="BT34" s="18"/>
      <c r="BU34" s="18"/>
      <c r="BV34" s="219"/>
      <c r="BW34" s="219"/>
      <c r="BX34" s="220"/>
      <c r="BY34" s="31"/>
      <c r="BZ34" s="30"/>
      <c r="CA34" s="18"/>
      <c r="CB34" s="18"/>
      <c r="CC34" s="18"/>
      <c r="CD34" s="18"/>
      <c r="CE34" s="18"/>
      <c r="CF34" s="18"/>
      <c r="CG34" s="18"/>
      <c r="CH34" s="18"/>
      <c r="CI34" s="18"/>
      <c r="CJ34" s="31"/>
      <c r="CK34" s="30"/>
      <c r="CR34" s="304" t="s">
        <v>9</v>
      </c>
      <c r="CS34" s="306"/>
      <c r="CT34" s="2">
        <f>SUM(CT29:CT33)</f>
        <v>10817.824000000001</v>
      </c>
      <c r="CU34" s="31"/>
      <c r="CV34" s="30"/>
      <c r="CW34" s="18"/>
      <c r="CX34" s="18"/>
      <c r="CY34" s="18"/>
      <c r="CZ34" s="18"/>
      <c r="DA34" s="18"/>
      <c r="DB34" s="18"/>
      <c r="DC34" s="18"/>
      <c r="DD34" s="18"/>
      <c r="DE34" s="18"/>
      <c r="DF34" s="31"/>
      <c r="DG34" s="30"/>
      <c r="DH34" s="18"/>
      <c r="DN34" s="64" t="s">
        <v>9</v>
      </c>
      <c r="DO34" s="65"/>
      <c r="DP34" s="2">
        <f>SUM(DP31:DP33)</f>
        <v>11003.203999999998</v>
      </c>
      <c r="DQ34" s="31"/>
      <c r="DR34" s="30"/>
      <c r="DS34" s="18"/>
      <c r="DT34" s="18"/>
      <c r="DU34" s="18"/>
      <c r="DW34" s="18"/>
      <c r="DX34" s="18"/>
      <c r="DY34" s="13" t="s">
        <v>37</v>
      </c>
      <c r="DZ34" s="13"/>
      <c r="EA34" s="14">
        <f>EA18+EA19+EA20+EA21+EA22</f>
        <v>683.1</v>
      </c>
      <c r="EB34" s="31"/>
      <c r="EC34" s="30"/>
      <c r="ED34" s="1">
        <f t="shared" si="95"/>
        <v>19</v>
      </c>
      <c r="EE34" s="52" t="s">
        <v>111</v>
      </c>
      <c r="EF34" s="1" t="s">
        <v>107</v>
      </c>
      <c r="EG34" s="50" t="s">
        <v>303</v>
      </c>
      <c r="EH34" s="1">
        <v>1200</v>
      </c>
      <c r="EI34" s="1">
        <f>EF6*2</f>
        <v>20</v>
      </c>
      <c r="EJ34" s="51">
        <f>EH34/1000*EI34</f>
        <v>24</v>
      </c>
      <c r="EK34" s="51">
        <v>3.3</v>
      </c>
      <c r="EL34" s="228">
        <f>EJ34*EK34</f>
        <v>79.199999999999989</v>
      </c>
      <c r="EM34" s="31"/>
      <c r="EN34" s="30"/>
      <c r="EO34" s="1">
        <f t="shared" si="96"/>
        <v>19</v>
      </c>
      <c r="EP34" s="1" t="s">
        <v>157</v>
      </c>
      <c r="EQ34" s="1" t="s">
        <v>162</v>
      </c>
      <c r="ER34" s="5" t="s">
        <v>63</v>
      </c>
      <c r="ES34" s="1">
        <v>1650</v>
      </c>
      <c r="ET34" s="49">
        <v>2</v>
      </c>
      <c r="EU34" s="5">
        <f t="shared" si="206"/>
        <v>3.3</v>
      </c>
      <c r="EV34" s="5">
        <v>8.3000000000000007</v>
      </c>
      <c r="EW34" s="87">
        <f t="shared" si="207"/>
        <v>27.39</v>
      </c>
      <c r="EX34" s="31"/>
      <c r="EY34" s="30"/>
      <c r="EZ34" s="18"/>
      <c r="FA34" s="18"/>
      <c r="FB34" s="18"/>
      <c r="FC34" s="18"/>
      <c r="FD34" s="18"/>
      <c r="FE34" s="18"/>
      <c r="FF34" s="18"/>
      <c r="FG34" s="18"/>
      <c r="FH34" s="18"/>
      <c r="FI34" s="31"/>
      <c r="FJ34" s="30"/>
      <c r="FK34" s="18"/>
      <c r="FL34" s="18"/>
      <c r="FM34" s="18"/>
      <c r="FN34" s="18"/>
      <c r="FO34" s="18"/>
      <c r="FP34" s="18"/>
      <c r="FQ34" s="18"/>
      <c r="FR34" s="18"/>
      <c r="FS34" s="18"/>
      <c r="FT34" s="31"/>
      <c r="FU34" s="30"/>
      <c r="FV34" s="1">
        <f t="shared" si="101"/>
        <v>19</v>
      </c>
      <c r="FW34" s="1" t="s">
        <v>96</v>
      </c>
      <c r="FX34" s="1" t="s">
        <v>79</v>
      </c>
      <c r="FY34" s="5" t="s">
        <v>63</v>
      </c>
      <c r="FZ34" s="1">
        <v>5000</v>
      </c>
      <c r="GA34" s="1">
        <v>7</v>
      </c>
      <c r="GB34" s="5">
        <f t="shared" si="218"/>
        <v>35</v>
      </c>
      <c r="GC34" s="227">
        <v>8.3000000000000007</v>
      </c>
      <c r="GD34" s="129">
        <f t="shared" si="219"/>
        <v>290.5</v>
      </c>
      <c r="GE34" s="31"/>
      <c r="GF34" s="30"/>
      <c r="GG34" s="1">
        <f t="shared" si="102"/>
        <v>19</v>
      </c>
      <c r="GH34" s="1" t="s">
        <v>96</v>
      </c>
      <c r="GI34" s="1" t="s">
        <v>79</v>
      </c>
      <c r="GJ34" s="189" t="s">
        <v>291</v>
      </c>
      <c r="GK34" s="1">
        <v>4800</v>
      </c>
      <c r="GL34" s="1">
        <v>70</v>
      </c>
      <c r="GM34" s="189">
        <f t="shared" si="22"/>
        <v>336</v>
      </c>
      <c r="GN34" s="189">
        <v>7.1</v>
      </c>
      <c r="GO34" s="233">
        <f t="shared" si="23"/>
        <v>2385.6</v>
      </c>
      <c r="GP34" s="31"/>
      <c r="GQ34" s="30"/>
      <c r="GX34" s="219"/>
      <c r="GY34" s="219"/>
      <c r="GZ34" s="220"/>
      <c r="HA34" s="31"/>
      <c r="HB34" s="30"/>
      <c r="HC34" s="18"/>
      <c r="HD34" s="18"/>
      <c r="HE34" s="18"/>
      <c r="HF34" s="18"/>
      <c r="HG34" s="18"/>
      <c r="HH34" s="18"/>
      <c r="HI34" s="18"/>
      <c r="HJ34" s="18"/>
      <c r="HK34" s="18"/>
      <c r="HL34" s="31"/>
      <c r="HM34" s="30"/>
      <c r="HN34" s="18"/>
      <c r="HO34" s="18"/>
      <c r="HP34" s="18"/>
      <c r="HQ34" s="18"/>
      <c r="HR34" s="18"/>
      <c r="HS34" s="18"/>
      <c r="HT34" s="13" t="s">
        <v>37</v>
      </c>
      <c r="HU34" s="13"/>
      <c r="HV34" s="14">
        <f>HV22+HV23</f>
        <v>1104.8399999999999</v>
      </c>
      <c r="HW34" s="31"/>
      <c r="HX34" s="30"/>
      <c r="HY34" s="18"/>
      <c r="HZ34" s="18"/>
      <c r="IA34" s="18"/>
      <c r="IB34" s="18"/>
      <c r="IC34" s="18"/>
      <c r="ID34" s="18"/>
      <c r="IE34" s="18"/>
      <c r="IF34" s="18"/>
      <c r="IG34" s="18"/>
      <c r="IH34" s="31"/>
      <c r="II34" s="30"/>
      <c r="IJ34" s="1">
        <f t="shared" si="108"/>
        <v>19</v>
      </c>
      <c r="IK34" s="1" t="s">
        <v>124</v>
      </c>
      <c r="IL34" s="1" t="s">
        <v>269</v>
      </c>
      <c r="IM34" s="109" t="s">
        <v>263</v>
      </c>
      <c r="IN34" s="1">
        <v>440</v>
      </c>
      <c r="IO34" s="177">
        <v>12</v>
      </c>
      <c r="IP34" s="109">
        <f>IN34/1000*IO34</f>
        <v>5.28</v>
      </c>
      <c r="IQ34" s="109">
        <v>18.5</v>
      </c>
      <c r="IR34" s="149">
        <f>IP34*IQ34</f>
        <v>97.68</v>
      </c>
      <c r="IS34" s="31"/>
      <c r="IT34" s="30"/>
      <c r="IU34" s="1">
        <f t="shared" si="109"/>
        <v>19</v>
      </c>
      <c r="IV34" s="1" t="s">
        <v>124</v>
      </c>
      <c r="IW34" s="1" t="s">
        <v>125</v>
      </c>
      <c r="IX34" s="5" t="s">
        <v>126</v>
      </c>
      <c r="IY34" s="1">
        <v>2450</v>
      </c>
      <c r="IZ34" s="1">
        <v>4</v>
      </c>
      <c r="JA34" s="5">
        <f>IY34/1000*IZ34</f>
        <v>9.8000000000000007</v>
      </c>
      <c r="JB34" s="5">
        <v>8.3000000000000007</v>
      </c>
      <c r="JC34" s="145">
        <f>JA34*JB34</f>
        <v>81.340000000000018</v>
      </c>
      <c r="JD34" s="31"/>
      <c r="JE34" s="30"/>
      <c r="JF34" s="1">
        <f t="shared" si="67"/>
        <v>19</v>
      </c>
      <c r="JG34" s="1" t="s">
        <v>100</v>
      </c>
      <c r="JH34" s="1" t="s">
        <v>101</v>
      </c>
      <c r="JI34" s="5" t="s">
        <v>63</v>
      </c>
      <c r="JJ34" s="1">
        <v>3650</v>
      </c>
      <c r="JK34" s="1">
        <v>12</v>
      </c>
      <c r="JL34" s="5">
        <f t="shared" si="188"/>
        <v>43.8</v>
      </c>
      <c r="JM34" s="5">
        <v>8.3000000000000007</v>
      </c>
      <c r="JN34" s="106">
        <f t="shared" si="189"/>
        <v>363.54</v>
      </c>
      <c r="JO34" s="31"/>
      <c r="JP34" s="30"/>
      <c r="JQ34" s="1">
        <f t="shared" si="68"/>
        <v>19</v>
      </c>
      <c r="JR34" s="53" t="s">
        <v>116</v>
      </c>
      <c r="JS34" s="1" t="s">
        <v>110</v>
      </c>
      <c r="JT34" s="25">
        <v>2.5</v>
      </c>
      <c r="JU34" s="1"/>
      <c r="JV34" s="1">
        <f>JV33*2+4</f>
        <v>308</v>
      </c>
      <c r="JW34" s="25"/>
      <c r="JX34" s="25">
        <v>0.5</v>
      </c>
      <c r="JY34" s="202">
        <f>JV34*JX34</f>
        <v>154</v>
      </c>
      <c r="JZ34" s="31"/>
      <c r="KA34" s="30"/>
      <c r="KB34" s="1">
        <f t="shared" si="69"/>
        <v>19</v>
      </c>
      <c r="KC34" s="53" t="s">
        <v>116</v>
      </c>
      <c r="KD34" s="1" t="s">
        <v>110</v>
      </c>
      <c r="KE34" s="25">
        <v>2.5</v>
      </c>
      <c r="KF34" s="1"/>
      <c r="KG34" s="1">
        <f>KG33*2+4</f>
        <v>308</v>
      </c>
      <c r="KH34" s="25"/>
      <c r="KI34" s="25">
        <v>0.5</v>
      </c>
      <c r="KJ34" s="202">
        <f>KG34*KI34</f>
        <v>154</v>
      </c>
      <c r="KK34" s="31"/>
      <c r="KL34" s="30"/>
      <c r="KM34" s="18"/>
      <c r="KN34" s="74" t="s">
        <v>137</v>
      </c>
      <c r="KO34" s="75">
        <f>SUM(KU25:KU29)</f>
        <v>1759.5200000000002</v>
      </c>
      <c r="KP34" s="18"/>
      <c r="KQ34" s="321" t="s">
        <v>114</v>
      </c>
      <c r="KR34" s="322"/>
      <c r="KS34" s="77">
        <f>SUM(KS30:KS32)</f>
        <v>444.8</v>
      </c>
      <c r="KT34" s="50"/>
      <c r="KU34" s="77">
        <f>SUM(KU30:KU32)</f>
        <v>1467.84</v>
      </c>
      <c r="KV34" s="31"/>
      <c r="KW34" s="30"/>
      <c r="KX34" s="1">
        <f t="shared" si="112"/>
        <v>19</v>
      </c>
      <c r="KY34" s="1" t="s">
        <v>60</v>
      </c>
      <c r="KZ34" s="1" t="s">
        <v>58</v>
      </c>
      <c r="LA34" s="3" t="s">
        <v>62</v>
      </c>
      <c r="LB34" s="1">
        <f>(KZ5+0.2+0.7)*1000</f>
        <v>9099.9999999999982</v>
      </c>
      <c r="LC34" s="1">
        <v>4</v>
      </c>
      <c r="LD34" s="3">
        <f t="shared" ref="LD34:LD41" si="227">LB34/1000*LC34</f>
        <v>36.399999999999991</v>
      </c>
      <c r="LE34" s="3">
        <v>10.1</v>
      </c>
      <c r="LF34" s="108">
        <f t="shared" ref="LF34:LF41" si="228">LD34*LE34</f>
        <v>367.63999999999987</v>
      </c>
      <c r="LG34" s="31"/>
      <c r="LH34" s="30"/>
      <c r="LI34" s="1">
        <f>LI33+1</f>
        <v>19</v>
      </c>
      <c r="LJ34" s="101" t="s">
        <v>229</v>
      </c>
      <c r="LK34" s="1" t="s">
        <v>230</v>
      </c>
      <c r="LL34" s="133" t="s">
        <v>231</v>
      </c>
      <c r="LM34" s="49">
        <f>LK9*1000</f>
        <v>6000</v>
      </c>
      <c r="LN34" s="49">
        <f>4*4*2</f>
        <v>32</v>
      </c>
      <c r="LO34" s="133">
        <f>LM34/1000*LN34</f>
        <v>192</v>
      </c>
      <c r="LP34" s="133">
        <v>25.7</v>
      </c>
      <c r="LQ34" s="249">
        <f>LO34*LP34</f>
        <v>4934.3999999999996</v>
      </c>
      <c r="LR34" s="31"/>
      <c r="LS34" s="30"/>
      <c r="LT34" s="18"/>
      <c r="LU34" s="18"/>
      <c r="LV34" s="18"/>
      <c r="LX34" s="18"/>
      <c r="LY34" s="18"/>
      <c r="LZ34" s="13" t="s">
        <v>37</v>
      </c>
      <c r="MA34" s="13"/>
      <c r="MB34" s="14">
        <f>MB18+MB19+MB20+MB21+MB22</f>
        <v>379.49999999999994</v>
      </c>
      <c r="MC34" s="31"/>
      <c r="ME34" s="30"/>
      <c r="MF34" s="18"/>
      <c r="MG34" s="18"/>
      <c r="MH34" s="18"/>
      <c r="MJ34" s="18"/>
      <c r="MK34" s="18"/>
      <c r="ML34" s="13" t="s">
        <v>37</v>
      </c>
      <c r="MM34" s="13"/>
      <c r="MN34" s="14">
        <f>MN18+MN19+MN20+MN21+MN22</f>
        <v>390.71999999999997</v>
      </c>
      <c r="MO34" s="31"/>
      <c r="MQ34" s="30"/>
      <c r="NA34" s="31"/>
      <c r="ND34" s="30"/>
      <c r="NE34" s="1">
        <f t="shared" si="114"/>
        <v>2</v>
      </c>
      <c r="NF34" s="1"/>
      <c r="NG34" s="1"/>
      <c r="NH34" s="5"/>
      <c r="NI34" s="1"/>
      <c r="NJ34" s="1"/>
      <c r="NK34" s="5"/>
      <c r="NL34" s="5"/>
      <c r="NM34" s="263"/>
      <c r="NN34" s="31"/>
      <c r="NP34" s="30"/>
      <c r="NQ34" s="18"/>
      <c r="NR34" s="18"/>
      <c r="NS34" s="18"/>
      <c r="NT34" s="18"/>
      <c r="NU34" s="310" t="s">
        <v>33</v>
      </c>
      <c r="NV34" s="310"/>
      <c r="NW34" s="1">
        <f>NV24</f>
        <v>116</v>
      </c>
      <c r="NX34" s="22">
        <v>250</v>
      </c>
      <c r="NY34" s="20">
        <f t="shared" si="220"/>
        <v>29000</v>
      </c>
      <c r="NZ34" s="31"/>
      <c r="OC34" s="30"/>
      <c r="OD34" s="18"/>
      <c r="OE34" s="18"/>
      <c r="OF34" s="18"/>
      <c r="OG34" s="18"/>
      <c r="OH34" s="310" t="s">
        <v>33</v>
      </c>
      <c r="OI34" s="310"/>
      <c r="OJ34" s="1">
        <f>OI24</f>
        <v>140</v>
      </c>
      <c r="OK34" s="22">
        <v>250</v>
      </c>
      <c r="OL34" s="20">
        <f t="shared" si="221"/>
        <v>35000</v>
      </c>
      <c r="OM34" s="31"/>
      <c r="OP34" s="30"/>
      <c r="OQ34" s="18"/>
      <c r="OR34" s="18"/>
      <c r="OS34" s="18"/>
      <c r="OT34" s="18"/>
      <c r="OU34" s="310" t="s">
        <v>33</v>
      </c>
      <c r="OV34" s="310"/>
      <c r="OW34" s="1">
        <f>OV24</f>
        <v>140</v>
      </c>
      <c r="OX34" s="22">
        <v>250</v>
      </c>
      <c r="OY34" s="20">
        <f t="shared" si="222"/>
        <v>35000</v>
      </c>
      <c r="OZ34" s="31"/>
      <c r="PD34" s="30"/>
      <c r="PE34" s="18"/>
      <c r="PF34" s="18"/>
      <c r="PG34" s="18"/>
      <c r="PH34" s="18"/>
      <c r="PI34" s="310" t="s">
        <v>33</v>
      </c>
      <c r="PJ34" s="310"/>
      <c r="PK34" s="1">
        <f>PJ24</f>
        <v>140</v>
      </c>
      <c r="PL34" s="22">
        <v>250</v>
      </c>
      <c r="PM34" s="20">
        <f t="shared" si="223"/>
        <v>35000</v>
      </c>
      <c r="PN34" s="31"/>
      <c r="PQ34" s="30"/>
      <c r="PR34" s="18"/>
      <c r="PS34" s="18"/>
      <c r="PT34" s="18"/>
      <c r="PU34" s="18"/>
      <c r="PV34" s="310" t="s">
        <v>33</v>
      </c>
      <c r="PW34" s="310"/>
      <c r="PX34" s="1">
        <f>PW24</f>
        <v>140</v>
      </c>
      <c r="PY34" s="22">
        <v>250</v>
      </c>
      <c r="PZ34" s="20">
        <f t="shared" si="224"/>
        <v>35000</v>
      </c>
      <c r="QA34" s="31"/>
      <c r="QD34" s="30"/>
      <c r="QE34" s="18"/>
      <c r="QF34" s="18"/>
      <c r="QG34" s="18"/>
      <c r="QH34" s="18"/>
      <c r="QI34" s="310" t="s">
        <v>33</v>
      </c>
      <c r="QJ34" s="310"/>
      <c r="QK34" s="1">
        <f>QJ24</f>
        <v>88</v>
      </c>
      <c r="QL34" s="22">
        <v>300</v>
      </c>
      <c r="QM34" s="20">
        <f t="shared" si="225"/>
        <v>26400</v>
      </c>
      <c r="QN34" s="31"/>
      <c r="QQ34" s="30"/>
      <c r="QR34" s="18"/>
      <c r="QS34" s="18"/>
      <c r="QT34" s="18"/>
      <c r="QU34" s="18"/>
      <c r="QV34" s="310" t="s">
        <v>33</v>
      </c>
      <c r="QW34" s="310"/>
      <c r="QX34" s="1">
        <f>QW24</f>
        <v>140</v>
      </c>
      <c r="QY34" s="22">
        <v>250</v>
      </c>
      <c r="QZ34" s="20">
        <f t="shared" si="226"/>
        <v>35000</v>
      </c>
      <c r="RA34" s="31"/>
    </row>
    <row r="35" spans="1:469" x14ac:dyDescent="0.25">
      <c r="A35" s="30"/>
      <c r="B35" s="18"/>
      <c r="C35" s="18"/>
      <c r="D35" s="18"/>
      <c r="E35" s="18"/>
      <c r="F35" s="18"/>
      <c r="G35" s="18"/>
      <c r="H35" s="219"/>
      <c r="I35" s="219"/>
      <c r="J35" s="220"/>
      <c r="K35" s="31"/>
      <c r="L35" s="30"/>
      <c r="M35" s="18"/>
      <c r="N35" s="18"/>
      <c r="O35" s="18"/>
      <c r="P35" s="18"/>
      <c r="Q35" s="18"/>
      <c r="R35" s="18"/>
      <c r="S35" s="219"/>
      <c r="T35" s="219"/>
      <c r="U35" s="220"/>
      <c r="V35" s="31"/>
      <c r="W35" s="30"/>
      <c r="X35" s="18"/>
      <c r="Y35" s="18"/>
      <c r="Z35" s="18"/>
      <c r="AA35" s="18"/>
      <c r="AB35" s="18"/>
      <c r="AC35" s="18"/>
      <c r="AD35" s="18"/>
      <c r="AE35" s="18"/>
      <c r="AF35" s="18"/>
      <c r="AG35" s="31"/>
      <c r="AH35" s="30"/>
      <c r="AR35" s="31"/>
      <c r="AS35" s="30"/>
      <c r="BC35" s="31"/>
      <c r="BD35" s="30"/>
      <c r="BN35" s="31"/>
      <c r="BO35" s="30"/>
      <c r="BP35" s="18"/>
      <c r="BQ35" s="18"/>
      <c r="BR35" s="18"/>
      <c r="BS35" s="18"/>
      <c r="BT35" s="18"/>
      <c r="BU35" s="18"/>
      <c r="BV35" s="219"/>
      <c r="BW35" s="219"/>
      <c r="BX35" s="220"/>
      <c r="BY35" s="31"/>
      <c r="BZ35" s="30"/>
      <c r="CA35" s="18"/>
      <c r="CB35" s="18"/>
      <c r="CC35" s="18"/>
      <c r="CD35" s="18"/>
      <c r="CE35" s="18"/>
      <c r="CF35" s="18"/>
      <c r="CG35" s="18"/>
      <c r="CH35" s="18"/>
      <c r="CI35" s="18"/>
      <c r="CJ35" s="31"/>
      <c r="CK35" s="30"/>
      <c r="CR35" s="219"/>
      <c r="CS35" s="219"/>
      <c r="CT35" s="220"/>
      <c r="CU35" s="31"/>
      <c r="CV35" s="30"/>
      <c r="CW35" s="18"/>
      <c r="CX35" s="18"/>
      <c r="CY35" s="18"/>
      <c r="CZ35" s="18"/>
      <c r="DA35" s="18"/>
      <c r="DB35" s="18"/>
      <c r="DC35" s="18"/>
      <c r="DD35" s="18"/>
      <c r="DE35" s="18"/>
      <c r="DF35" s="31"/>
      <c r="DG35" s="30"/>
      <c r="DH35" s="18"/>
      <c r="DN35" s="219"/>
      <c r="DO35" s="219"/>
      <c r="DP35" s="220"/>
      <c r="DQ35" s="31"/>
      <c r="DR35" s="30"/>
      <c r="DT35" s="18"/>
      <c r="DU35" s="18"/>
      <c r="DV35" s="18"/>
      <c r="DW35" s="18"/>
      <c r="DX35" s="18"/>
      <c r="DY35" s="6" t="s">
        <v>20</v>
      </c>
      <c r="DZ35" s="6"/>
      <c r="EA35" s="7">
        <f>EA23+EA27+EA31+EA32+EA17</f>
        <v>3537</v>
      </c>
      <c r="EB35" s="31"/>
      <c r="EC35" s="30"/>
      <c r="ED35" s="1">
        <f>ED34+1</f>
        <v>20</v>
      </c>
      <c r="EE35" s="1" t="s">
        <v>108</v>
      </c>
      <c r="EF35" s="1" t="s">
        <v>109</v>
      </c>
      <c r="EG35" s="50" t="s">
        <v>303</v>
      </c>
      <c r="EH35" s="1">
        <v>1500</v>
      </c>
      <c r="EI35" s="1">
        <f>(EF6-1)*6</f>
        <v>54</v>
      </c>
      <c r="EJ35" s="51">
        <f>EH35/1000*EI35</f>
        <v>81</v>
      </c>
      <c r="EK35" s="51">
        <v>3.3</v>
      </c>
      <c r="EL35" s="228">
        <f>EJ35*EK35</f>
        <v>267.3</v>
      </c>
      <c r="EM35" s="31"/>
      <c r="EN35" s="30"/>
      <c r="EO35" s="1">
        <f>EO34+1</f>
        <v>20</v>
      </c>
      <c r="EP35" s="1" t="s">
        <v>153</v>
      </c>
      <c r="EQ35" s="1" t="s">
        <v>154</v>
      </c>
      <c r="ER35" s="5" t="s">
        <v>63</v>
      </c>
      <c r="ES35" s="1">
        <v>2000</v>
      </c>
      <c r="ET35" s="49">
        <v>1</v>
      </c>
      <c r="EU35" s="5">
        <f>ES35/1000*ET35</f>
        <v>2</v>
      </c>
      <c r="EV35" s="5">
        <v>8.3000000000000007</v>
      </c>
      <c r="EW35" s="87">
        <f>EU35*EV35</f>
        <v>16.600000000000001</v>
      </c>
      <c r="EX35" s="31"/>
      <c r="EY35" s="30"/>
      <c r="EZ35" s="18"/>
      <c r="FA35" s="18"/>
      <c r="FB35" s="18"/>
      <c r="FC35" s="18"/>
      <c r="FD35" s="18"/>
      <c r="FE35" s="18"/>
      <c r="FF35" s="18"/>
      <c r="FG35" s="18"/>
      <c r="FH35" s="18"/>
      <c r="FI35" s="31"/>
      <c r="FJ35" s="30"/>
      <c r="FK35" s="18"/>
      <c r="FL35" s="18"/>
      <c r="FM35" s="18"/>
      <c r="FN35" s="18"/>
      <c r="FO35" s="18"/>
      <c r="FP35" s="18"/>
      <c r="FQ35" s="18"/>
      <c r="FR35" s="18"/>
      <c r="FS35" s="18"/>
      <c r="FT35" s="31"/>
      <c r="FU35" s="30"/>
      <c r="FV35" s="1">
        <f>FV34+1</f>
        <v>20</v>
      </c>
      <c r="FW35" s="1" t="s">
        <v>97</v>
      </c>
      <c r="FX35" s="1" t="s">
        <v>80</v>
      </c>
      <c r="FY35" s="5" t="s">
        <v>63</v>
      </c>
      <c r="FZ35" s="1">
        <v>4500</v>
      </c>
      <c r="GA35" s="1">
        <v>4</v>
      </c>
      <c r="GB35" s="5">
        <f t="shared" si="218"/>
        <v>18</v>
      </c>
      <c r="GC35" s="227">
        <v>8.3000000000000007</v>
      </c>
      <c r="GD35" s="129">
        <f t="shared" si="219"/>
        <v>149.4</v>
      </c>
      <c r="GE35" s="31"/>
      <c r="GF35" s="30"/>
      <c r="GG35" s="1">
        <f>GG34+1</f>
        <v>20</v>
      </c>
      <c r="GH35" s="1" t="s">
        <v>10</v>
      </c>
      <c r="GI35" s="1" t="s">
        <v>43</v>
      </c>
      <c r="GJ35" s="25">
        <v>2.5</v>
      </c>
      <c r="GK35" s="1"/>
      <c r="GL35" s="1">
        <f>GL24*2</f>
        <v>112</v>
      </c>
      <c r="GM35" s="25"/>
      <c r="GN35" s="25">
        <v>1.2</v>
      </c>
      <c r="GO35" s="234">
        <f>GL35*GN35</f>
        <v>134.4</v>
      </c>
      <c r="GP35" s="31"/>
      <c r="GQ35" s="30"/>
      <c r="GX35" s="219"/>
      <c r="GY35" s="219"/>
      <c r="GZ35" s="220"/>
      <c r="HA35" s="31"/>
      <c r="HB35" s="30"/>
      <c r="HC35" s="18"/>
      <c r="HD35" s="18"/>
      <c r="HE35" s="18"/>
      <c r="HF35" s="18"/>
      <c r="HG35" s="18"/>
      <c r="HH35" s="18"/>
      <c r="HI35" s="18"/>
      <c r="HJ35" s="18"/>
      <c r="HK35" s="18"/>
      <c r="HL35" s="31"/>
      <c r="HM35" s="30"/>
      <c r="HN35" s="18"/>
      <c r="HO35" s="18"/>
      <c r="HP35" s="18"/>
      <c r="HQ35" s="18"/>
      <c r="HR35" s="18"/>
      <c r="HS35" s="18"/>
      <c r="HT35" s="8" t="s">
        <v>243</v>
      </c>
      <c r="HU35" s="8"/>
      <c r="HV35" s="9">
        <f>HV18+HV19+HV20+HV21</f>
        <v>2920.6800000000003</v>
      </c>
      <c r="HW35" s="31"/>
      <c r="HX35" s="30"/>
      <c r="HY35" s="18"/>
      <c r="HZ35" s="18"/>
      <c r="IA35" s="18"/>
      <c r="IB35" s="18"/>
      <c r="IC35" s="18"/>
      <c r="ID35" s="18"/>
      <c r="IE35" s="18"/>
      <c r="IF35" s="18"/>
      <c r="IG35" s="18"/>
      <c r="IH35" s="31"/>
      <c r="II35" s="30"/>
      <c r="IJ35" s="1">
        <f>IJ34+1</f>
        <v>20</v>
      </c>
      <c r="IK35" s="1" t="s">
        <v>271</v>
      </c>
      <c r="IL35" s="1" t="s">
        <v>270</v>
      </c>
      <c r="IM35" s="109" t="s">
        <v>263</v>
      </c>
      <c r="IN35" s="1">
        <v>5340</v>
      </c>
      <c r="IO35" s="178">
        <v>2</v>
      </c>
      <c r="IP35" s="109">
        <f>IN35/1000*IO35</f>
        <v>10.68</v>
      </c>
      <c r="IQ35" s="109">
        <v>18.5</v>
      </c>
      <c r="IR35" s="149">
        <f>IP35*IQ35</f>
        <v>197.57999999999998</v>
      </c>
      <c r="IS35" s="31"/>
      <c r="IT35" s="30"/>
      <c r="IU35" s="1">
        <f>IU34+1</f>
        <v>20</v>
      </c>
      <c r="IV35" s="1" t="s">
        <v>123</v>
      </c>
      <c r="IW35" s="1"/>
      <c r="IX35" s="5" t="s">
        <v>63</v>
      </c>
      <c r="IY35" s="1"/>
      <c r="IZ35" s="1"/>
      <c r="JA35" s="5"/>
      <c r="JB35" s="5"/>
      <c r="JC35" s="145">
        <v>500</v>
      </c>
      <c r="JD35" s="31"/>
      <c r="JE35" s="30"/>
      <c r="JF35" s="1">
        <f>JF34+1</f>
        <v>20</v>
      </c>
      <c r="JG35" s="1" t="s">
        <v>123</v>
      </c>
      <c r="JH35" s="1"/>
      <c r="JI35" s="5" t="s">
        <v>63</v>
      </c>
      <c r="JJ35" s="1"/>
      <c r="JK35" s="1"/>
      <c r="JL35" s="5"/>
      <c r="JM35" s="5"/>
      <c r="JN35" s="106">
        <v>500</v>
      </c>
      <c r="JO35" s="31"/>
      <c r="JP35" s="30"/>
      <c r="JQ35" s="1">
        <f>JQ34+1</f>
        <v>20</v>
      </c>
      <c r="JR35" s="53" t="s">
        <v>113</v>
      </c>
      <c r="JS35" s="54" t="s">
        <v>112</v>
      </c>
      <c r="JT35" s="25">
        <v>2.5</v>
      </c>
      <c r="JU35" s="1"/>
      <c r="JV35" s="1">
        <f>JS6*8+4</f>
        <v>156</v>
      </c>
      <c r="JW35" s="25"/>
      <c r="JX35" s="25">
        <v>0.5</v>
      </c>
      <c r="JY35" s="202">
        <f>JV35*JX35</f>
        <v>78</v>
      </c>
      <c r="JZ35" s="31"/>
      <c r="KA35" s="30"/>
      <c r="KB35" s="1">
        <f>KB34+1</f>
        <v>20</v>
      </c>
      <c r="KC35" s="53" t="s">
        <v>113</v>
      </c>
      <c r="KD35" s="54" t="s">
        <v>112</v>
      </c>
      <c r="KE35" s="25">
        <v>2.5</v>
      </c>
      <c r="KF35" s="1"/>
      <c r="KG35" s="1">
        <f>KD6*8+4</f>
        <v>156</v>
      </c>
      <c r="KH35" s="25"/>
      <c r="KI35" s="25">
        <v>0.5</v>
      </c>
      <c r="KJ35" s="202">
        <f>KG35*KI35</f>
        <v>78</v>
      </c>
      <c r="KK35" s="31"/>
      <c r="KL35" s="30"/>
      <c r="KM35" s="18"/>
      <c r="KN35" s="78" t="s">
        <v>247</v>
      </c>
      <c r="KO35" s="79">
        <f>KU30+KU31+KU32+KU33</f>
        <v>1543.84</v>
      </c>
      <c r="KP35" s="18"/>
      <c r="KQ35" s="327" t="s">
        <v>37</v>
      </c>
      <c r="KR35" s="327"/>
      <c r="KS35" s="72">
        <f>KS18</f>
        <v>244.79999999999998</v>
      </c>
      <c r="KT35" s="104"/>
      <c r="KU35" s="72">
        <f>KU18</f>
        <v>1615.6799999999998</v>
      </c>
      <c r="KV35" s="31"/>
      <c r="KW35" s="30"/>
      <c r="KX35" s="1">
        <f t="shared" si="112"/>
        <v>20</v>
      </c>
      <c r="KY35" s="1" t="s">
        <v>61</v>
      </c>
      <c r="KZ35" s="1" t="s">
        <v>59</v>
      </c>
      <c r="LA35" s="3" t="s">
        <v>62</v>
      </c>
      <c r="LB35" s="1">
        <f>(KZ5+0.2+1.4)*1000</f>
        <v>9799.9999999999982</v>
      </c>
      <c r="LC35" s="1">
        <v>4</v>
      </c>
      <c r="LD35" s="3">
        <f t="shared" si="227"/>
        <v>39.199999999999996</v>
      </c>
      <c r="LE35" s="3">
        <v>10.1</v>
      </c>
      <c r="LF35" s="108">
        <f t="shared" si="228"/>
        <v>395.91999999999996</v>
      </c>
      <c r="LG35" s="31"/>
      <c r="LH35" s="30"/>
      <c r="LI35" s="1">
        <f t="shared" si="113"/>
        <v>20</v>
      </c>
      <c r="LJ35" s="101" t="s">
        <v>232</v>
      </c>
      <c r="LK35" s="1" t="s">
        <v>233</v>
      </c>
      <c r="LL35" s="133" t="s">
        <v>231</v>
      </c>
      <c r="LM35" s="49">
        <f>LK9*1000</f>
        <v>6000</v>
      </c>
      <c r="LN35" s="49">
        <f>10*2</f>
        <v>20</v>
      </c>
      <c r="LO35" s="133">
        <f>LM35/1000*LN35</f>
        <v>120</v>
      </c>
      <c r="LP35" s="133">
        <f>LP34</f>
        <v>25.7</v>
      </c>
      <c r="LQ35" s="249">
        <f>LO35*LP35</f>
        <v>3084</v>
      </c>
      <c r="LR35" s="31"/>
      <c r="LS35" s="30"/>
      <c r="LU35" s="18"/>
      <c r="LV35" s="18"/>
      <c r="LW35" s="18"/>
      <c r="LX35" s="18"/>
      <c r="LY35" s="18"/>
      <c r="LZ35" s="6" t="s">
        <v>20</v>
      </c>
      <c r="MA35" s="6"/>
      <c r="MB35" s="7">
        <f>MB23+MB27+MB31+MB32+MB17</f>
        <v>2202.48</v>
      </c>
      <c r="MC35" s="31"/>
      <c r="ME35" s="30"/>
      <c r="MG35" s="18"/>
      <c r="MH35" s="18"/>
      <c r="MI35" s="18"/>
      <c r="MJ35" s="18"/>
      <c r="MK35" s="18"/>
      <c r="ML35" s="6" t="s">
        <v>20</v>
      </c>
      <c r="MM35" s="6"/>
      <c r="MN35" s="7">
        <f>MN23+MN27+MN31+MN32+MN17</f>
        <v>1581.81</v>
      </c>
      <c r="MO35" s="31"/>
      <c r="MQ35" s="30"/>
      <c r="MR35" s="18"/>
      <c r="MS35" s="18"/>
      <c r="MT35" s="18"/>
      <c r="MU35" s="18"/>
      <c r="MV35" s="18"/>
      <c r="MW35" s="18"/>
      <c r="MX35" s="18"/>
      <c r="MY35" s="18"/>
      <c r="MZ35" s="18"/>
      <c r="NA35" s="31"/>
      <c r="ND35" s="30"/>
      <c r="NE35" s="1">
        <f t="shared" si="114"/>
        <v>3</v>
      </c>
      <c r="NF35" s="1"/>
      <c r="NG35" s="1"/>
      <c r="NH35" s="5"/>
      <c r="NI35" s="1"/>
      <c r="NJ35" s="1"/>
      <c r="NK35" s="5"/>
      <c r="NL35" s="5"/>
      <c r="NM35" s="263"/>
      <c r="NN35" s="31"/>
      <c r="NP35" s="30"/>
      <c r="NQ35" s="18"/>
      <c r="NR35" s="18"/>
      <c r="NS35" s="18"/>
      <c r="NT35" s="18"/>
      <c r="NU35" s="310" t="s">
        <v>14</v>
      </c>
      <c r="NV35" s="310"/>
      <c r="NW35" s="19">
        <f>NW33*0.2</f>
        <v>691.66224000000011</v>
      </c>
      <c r="NX35" s="22">
        <v>140</v>
      </c>
      <c r="NY35" s="20">
        <f t="shared" si="220"/>
        <v>96832.713600000017</v>
      </c>
      <c r="NZ35" s="31"/>
      <c r="OC35" s="30"/>
      <c r="OD35" s="18"/>
      <c r="OE35" s="18"/>
      <c r="OF35" s="18"/>
      <c r="OG35" s="18"/>
      <c r="OH35" s="310" t="s">
        <v>14</v>
      </c>
      <c r="OI35" s="310"/>
      <c r="OJ35" s="19">
        <f>OJ33*0.2</f>
        <v>852.04480000000024</v>
      </c>
      <c r="OK35" s="22">
        <v>140</v>
      </c>
      <c r="OL35" s="20">
        <f t="shared" si="221"/>
        <v>119286.27200000003</v>
      </c>
      <c r="OM35" s="31"/>
      <c r="OP35" s="30"/>
      <c r="OQ35" s="18"/>
      <c r="OR35" s="18"/>
      <c r="OS35" s="18"/>
      <c r="OT35" s="18"/>
      <c r="OU35" s="310" t="s">
        <v>14</v>
      </c>
      <c r="OV35" s="310"/>
      <c r="OW35" s="19">
        <f>OW33*0.2</f>
        <v>852.04480000000024</v>
      </c>
      <c r="OX35" s="22">
        <v>130</v>
      </c>
      <c r="OY35" s="20">
        <f t="shared" si="222"/>
        <v>110765.82400000004</v>
      </c>
      <c r="OZ35" s="31"/>
      <c r="PD35" s="30"/>
      <c r="PE35" s="18"/>
      <c r="PF35" s="18"/>
      <c r="PG35" s="18"/>
      <c r="PH35" s="18"/>
      <c r="PI35" s="310" t="s">
        <v>14</v>
      </c>
      <c r="PJ35" s="310"/>
      <c r="PK35" s="19">
        <f>PK33*0.2</f>
        <v>852.04480000000024</v>
      </c>
      <c r="PL35" s="22">
        <v>130</v>
      </c>
      <c r="PM35" s="20">
        <f t="shared" si="223"/>
        <v>110765.82400000004</v>
      </c>
      <c r="PN35" s="31"/>
      <c r="PQ35" s="30"/>
      <c r="PR35" s="18"/>
      <c r="PS35" s="18"/>
      <c r="PT35" s="18"/>
      <c r="PU35" s="18"/>
      <c r="PV35" s="310" t="s">
        <v>14</v>
      </c>
      <c r="PW35" s="310"/>
      <c r="PX35" s="19">
        <f>PX33*0.2</f>
        <v>852.04480000000024</v>
      </c>
      <c r="PY35" s="22">
        <f>100*1.2+30</f>
        <v>150</v>
      </c>
      <c r="PZ35" s="20">
        <f t="shared" si="224"/>
        <v>127806.72000000003</v>
      </c>
      <c r="QA35" s="31"/>
      <c r="QD35" s="30"/>
      <c r="QE35" s="18"/>
      <c r="QF35" s="18"/>
      <c r="QG35" s="18"/>
      <c r="QH35" s="18"/>
      <c r="QI35" s="310" t="s">
        <v>14</v>
      </c>
      <c r="QJ35" s="310"/>
      <c r="QK35" s="19">
        <f>QK33*0.2</f>
        <v>512.04679999999996</v>
      </c>
      <c r="QL35" s="22">
        <f>80*1.2+40</f>
        <v>136</v>
      </c>
      <c r="QM35" s="20">
        <f t="shared" si="225"/>
        <v>69638.364799999996</v>
      </c>
      <c r="QN35" s="31"/>
      <c r="QQ35" s="30"/>
      <c r="QR35" s="18"/>
      <c r="QS35" s="18"/>
      <c r="QT35" s="18"/>
      <c r="QU35" s="18"/>
      <c r="QV35" s="310" t="s">
        <v>14</v>
      </c>
      <c r="QW35" s="310"/>
      <c r="QX35" s="19">
        <f>QX33*0.2</f>
        <v>852.04480000000024</v>
      </c>
      <c r="QY35" s="22">
        <f>85*1.2+30</f>
        <v>132</v>
      </c>
      <c r="QZ35" s="20">
        <f t="shared" si="226"/>
        <v>112469.91360000003</v>
      </c>
      <c r="RA35" s="31"/>
    </row>
    <row r="36" spans="1:469" x14ac:dyDescent="0.25">
      <c r="A36" s="30"/>
      <c r="B36" s="18"/>
      <c r="C36" s="18"/>
      <c r="D36" s="18"/>
      <c r="E36" s="18"/>
      <c r="F36" s="18"/>
      <c r="G36" s="18"/>
      <c r="H36" s="219"/>
      <c r="I36" s="219"/>
      <c r="J36" s="220"/>
      <c r="K36" s="31"/>
      <c r="L36" s="30"/>
      <c r="M36" s="18"/>
      <c r="N36" s="18"/>
      <c r="O36" s="18"/>
      <c r="P36" s="18"/>
      <c r="Q36" s="18"/>
      <c r="R36" s="18"/>
      <c r="S36" s="219"/>
      <c r="T36" s="219"/>
      <c r="U36" s="220"/>
      <c r="V36" s="31"/>
      <c r="W36" s="30"/>
      <c r="X36" s="18"/>
      <c r="Y36" s="18"/>
      <c r="Z36" s="18"/>
      <c r="AA36" s="18"/>
      <c r="AB36" s="18"/>
      <c r="AC36" s="18"/>
      <c r="AD36" s="18"/>
      <c r="AE36" s="18"/>
      <c r="AF36" s="18"/>
      <c r="AG36" s="31"/>
      <c r="AH36" s="30"/>
      <c r="AR36" s="31"/>
      <c r="AS36" s="30"/>
      <c r="BC36" s="31"/>
      <c r="BD36" s="30"/>
      <c r="BN36" s="31"/>
      <c r="BO36" s="30"/>
      <c r="BP36" s="18"/>
      <c r="BQ36" s="18"/>
      <c r="BR36" s="18"/>
      <c r="BS36" s="18"/>
      <c r="BT36" s="18"/>
      <c r="BU36" s="18"/>
      <c r="BV36" s="219"/>
      <c r="BW36" s="219"/>
      <c r="BX36" s="220"/>
      <c r="BY36" s="31"/>
      <c r="BZ36" s="30"/>
      <c r="CA36" s="18"/>
      <c r="CB36" s="18"/>
      <c r="CC36" s="18"/>
      <c r="CD36" s="18"/>
      <c r="CE36" s="18"/>
      <c r="CF36" s="18"/>
      <c r="CG36" s="18"/>
      <c r="CH36" s="18"/>
      <c r="CI36" s="18"/>
      <c r="CJ36" s="31"/>
      <c r="CK36" s="30"/>
      <c r="CR36" s="219"/>
      <c r="CS36" s="219"/>
      <c r="CT36" s="220"/>
      <c r="CU36" s="31"/>
      <c r="CV36" s="30"/>
      <c r="CW36" s="18"/>
      <c r="CX36" s="18"/>
      <c r="CY36" s="18"/>
      <c r="CZ36" s="18"/>
      <c r="DA36" s="18"/>
      <c r="DB36" s="18"/>
      <c r="DC36" s="18"/>
      <c r="DD36" s="18"/>
      <c r="DE36" s="18"/>
      <c r="DF36" s="31"/>
      <c r="DG36" s="30"/>
      <c r="DH36" s="18"/>
      <c r="DN36" s="219"/>
      <c r="DO36" s="219"/>
      <c r="DP36" s="220"/>
      <c r="DQ36" s="31"/>
      <c r="DR36" s="30"/>
      <c r="DS36" s="18"/>
      <c r="DT36" s="18"/>
      <c r="DU36" s="18"/>
      <c r="DV36" s="18"/>
      <c r="DW36" s="18"/>
      <c r="DX36" s="18"/>
      <c r="DY36" s="8" t="s">
        <v>12</v>
      </c>
      <c r="DZ36" s="8"/>
      <c r="EA36" s="9">
        <f>EA16+EA25+EA28+EA29+EA30+EA26</f>
        <v>4923.5600000000013</v>
      </c>
      <c r="EB36" s="31"/>
      <c r="EC36" s="30"/>
      <c r="ED36" s="1">
        <f t="shared" si="95"/>
        <v>21</v>
      </c>
      <c r="EE36" s="1" t="s">
        <v>10</v>
      </c>
      <c r="EF36" s="1" t="s">
        <v>110</v>
      </c>
      <c r="EG36" s="25">
        <v>2.5</v>
      </c>
      <c r="EH36" s="1"/>
      <c r="EI36" s="1">
        <f>EI35*2</f>
        <v>108</v>
      </c>
      <c r="EJ36" s="25"/>
      <c r="EK36" s="25">
        <v>0.5</v>
      </c>
      <c r="EL36" s="116">
        <f>EI36*EK36</f>
        <v>54</v>
      </c>
      <c r="EM36" s="31"/>
      <c r="EN36" s="30"/>
      <c r="EO36" s="1">
        <f t="shared" si="96"/>
        <v>21</v>
      </c>
      <c r="EP36" s="1" t="s">
        <v>163</v>
      </c>
      <c r="EQ36" s="1" t="s">
        <v>164</v>
      </c>
      <c r="ER36" s="5" t="s">
        <v>63</v>
      </c>
      <c r="ES36" s="1">
        <v>2300</v>
      </c>
      <c r="ET36" s="49">
        <v>1</v>
      </c>
      <c r="EU36" s="5">
        <f t="shared" ref="EU36:EU38" si="229">ES36/1000*ET36</f>
        <v>2.2999999999999998</v>
      </c>
      <c r="EV36" s="5">
        <v>8.3000000000000007</v>
      </c>
      <c r="EW36" s="87">
        <f t="shared" ref="EW36:EW38" si="230">EU36*EV36</f>
        <v>19.09</v>
      </c>
      <c r="EX36" s="31"/>
      <c r="EY36" s="30"/>
      <c r="EZ36" s="18"/>
      <c r="FA36" s="18"/>
      <c r="FB36" s="18"/>
      <c r="FC36" s="18"/>
      <c r="FD36" s="18"/>
      <c r="FE36" s="18"/>
      <c r="FF36" s="18"/>
      <c r="FG36" s="18"/>
      <c r="FH36" s="18"/>
      <c r="FI36" s="31"/>
      <c r="FJ36" s="30"/>
      <c r="FK36" s="18"/>
      <c r="FL36" s="18"/>
      <c r="FM36" s="18"/>
      <c r="FN36" s="18"/>
      <c r="FO36" s="18"/>
      <c r="FP36" s="18"/>
      <c r="FQ36" s="18"/>
      <c r="FR36" s="18"/>
      <c r="FS36" s="18"/>
      <c r="FT36" s="31"/>
      <c r="FU36" s="30"/>
      <c r="FV36" s="1">
        <f t="shared" si="101"/>
        <v>21</v>
      </c>
      <c r="FW36" s="1" t="s">
        <v>98</v>
      </c>
      <c r="FX36" s="1" t="s">
        <v>99</v>
      </c>
      <c r="FY36" s="5" t="s">
        <v>63</v>
      </c>
      <c r="FZ36" s="1">
        <v>1500</v>
      </c>
      <c r="GA36" s="1">
        <v>4</v>
      </c>
      <c r="GB36" s="5">
        <f t="shared" si="218"/>
        <v>6</v>
      </c>
      <c r="GC36" s="227">
        <v>8.3000000000000007</v>
      </c>
      <c r="GD36" s="129">
        <f t="shared" si="219"/>
        <v>49.800000000000004</v>
      </c>
      <c r="GE36" s="31"/>
      <c r="GF36" s="30"/>
      <c r="GG36" s="1">
        <f t="shared" si="102"/>
        <v>21</v>
      </c>
      <c r="GH36" s="1" t="s">
        <v>10</v>
      </c>
      <c r="GI36" s="1" t="s">
        <v>11</v>
      </c>
      <c r="GJ36" s="25">
        <v>2.5</v>
      </c>
      <c r="GK36" s="1"/>
      <c r="GL36" s="1">
        <f>(GL26+GL34+GL27+GL28)*2</f>
        <v>788</v>
      </c>
      <c r="GM36" s="25"/>
      <c r="GN36" s="25">
        <v>1.5</v>
      </c>
      <c r="GO36" s="234">
        <f>GL36*GN36</f>
        <v>1182</v>
      </c>
      <c r="GP36" s="31"/>
      <c r="GQ36" s="30"/>
      <c r="GX36" s="219"/>
      <c r="GY36" s="219"/>
      <c r="GZ36" s="220"/>
      <c r="HA36" s="31"/>
      <c r="HB36" s="30"/>
      <c r="HC36" s="18"/>
      <c r="HD36" s="18"/>
      <c r="HE36" s="18"/>
      <c r="HF36" s="18"/>
      <c r="HG36" s="18"/>
      <c r="HH36" s="18"/>
      <c r="HI36" s="18"/>
      <c r="HJ36" s="18"/>
      <c r="HK36" s="18"/>
      <c r="HL36" s="31"/>
      <c r="HM36" s="30"/>
      <c r="HN36" s="18"/>
      <c r="HO36" s="18"/>
      <c r="HP36" s="18"/>
      <c r="HQ36" s="18"/>
      <c r="HR36" s="18"/>
      <c r="HS36" s="18"/>
      <c r="HT36" s="240" t="s">
        <v>223</v>
      </c>
      <c r="HU36" s="240"/>
      <c r="HV36" s="241">
        <f>HV24</f>
        <v>6220.7999999999993</v>
      </c>
      <c r="HW36" s="31"/>
      <c r="HX36" s="30"/>
      <c r="HY36" s="18"/>
      <c r="HZ36" s="18"/>
      <c r="IA36" s="18"/>
      <c r="IB36" s="18"/>
      <c r="IC36" s="18"/>
      <c r="ID36" s="18"/>
      <c r="IE36" s="18"/>
      <c r="IF36" s="18"/>
      <c r="IG36" s="18"/>
      <c r="IH36" s="31"/>
      <c r="II36" s="30"/>
      <c r="IJ36" s="1">
        <f t="shared" si="108"/>
        <v>21</v>
      </c>
      <c r="IK36" s="1" t="s">
        <v>10</v>
      </c>
      <c r="IL36" s="1" t="s">
        <v>11</v>
      </c>
      <c r="IM36" s="25">
        <v>2.5</v>
      </c>
      <c r="IN36" s="1"/>
      <c r="IO36" s="1">
        <f>(IO26+IO27+IO28)*2</f>
        <v>988</v>
      </c>
      <c r="IP36" s="25"/>
      <c r="IQ36" s="25">
        <v>1.5</v>
      </c>
      <c r="IR36" s="147">
        <f>IO36*IQ36</f>
        <v>1482</v>
      </c>
      <c r="IS36" s="31"/>
      <c r="IT36" s="30"/>
      <c r="IU36" s="1">
        <f t="shared" si="109"/>
        <v>21</v>
      </c>
      <c r="IV36" s="1" t="s">
        <v>10</v>
      </c>
      <c r="IW36" s="1" t="s">
        <v>11</v>
      </c>
      <c r="IX36" s="25">
        <v>2.5</v>
      </c>
      <c r="IY36" s="1"/>
      <c r="IZ36" s="1">
        <f>(IZ26+IZ27+IZ28+IZ25/2+IZ29+IZ30+IZ31+IZ32+IZ33+IZ34)*2</f>
        <v>1234</v>
      </c>
      <c r="JA36" s="25"/>
      <c r="JB36" s="25">
        <v>1.5</v>
      </c>
      <c r="JC36" s="147">
        <f>IZ36*JB36</f>
        <v>1851</v>
      </c>
      <c r="JD36" s="31"/>
      <c r="JE36" s="30"/>
      <c r="JF36" s="1">
        <f t="shared" si="67"/>
        <v>21</v>
      </c>
      <c r="JG36" s="1" t="s">
        <v>105</v>
      </c>
      <c r="JH36" s="1" t="s">
        <v>106</v>
      </c>
      <c r="JI36" s="50" t="s">
        <v>303</v>
      </c>
      <c r="JJ36" s="1">
        <v>850</v>
      </c>
      <c r="JK36" s="1">
        <f>(JH6+1)*2</f>
        <v>40</v>
      </c>
      <c r="JL36" s="51">
        <f>JJ36/1000*JK36</f>
        <v>34</v>
      </c>
      <c r="JM36" s="51">
        <v>3.3</v>
      </c>
      <c r="JN36" s="124">
        <f>JL36*JM36</f>
        <v>112.19999999999999</v>
      </c>
      <c r="JO36" s="31"/>
      <c r="JP36" s="30"/>
      <c r="JQ36" s="1">
        <f t="shared" si="68"/>
        <v>21</v>
      </c>
      <c r="JR36" s="53" t="s">
        <v>115</v>
      </c>
      <c r="JS36" s="54"/>
      <c r="JT36" s="25">
        <v>2.5</v>
      </c>
      <c r="JU36" s="1"/>
      <c r="JV36" s="1">
        <f>JS6+1</f>
        <v>20</v>
      </c>
      <c r="JW36" s="25"/>
      <c r="JX36" s="25">
        <v>2.5</v>
      </c>
      <c r="JY36" s="202">
        <f>JV36*JX36</f>
        <v>50</v>
      </c>
      <c r="JZ36" s="31"/>
      <c r="KA36" s="30"/>
      <c r="KB36" s="1">
        <f t="shared" si="69"/>
        <v>21</v>
      </c>
      <c r="KC36" s="53" t="s">
        <v>115</v>
      </c>
      <c r="KD36" s="54"/>
      <c r="KE36" s="25">
        <v>2.5</v>
      </c>
      <c r="KF36" s="1"/>
      <c r="KG36" s="1">
        <f>KD6+1</f>
        <v>20</v>
      </c>
      <c r="KH36" s="25"/>
      <c r="KI36" s="25">
        <v>2.5</v>
      </c>
      <c r="KJ36" s="202">
        <f>KG36*KI36</f>
        <v>50</v>
      </c>
      <c r="KK36" s="31"/>
      <c r="KL36" s="30"/>
      <c r="KM36" s="18"/>
      <c r="KN36" s="18"/>
      <c r="KO36" s="18"/>
      <c r="KP36" s="18"/>
      <c r="KQ36" s="317" t="s">
        <v>136</v>
      </c>
      <c r="KR36" s="318"/>
      <c r="KS36" s="73">
        <f>KS23</f>
        <v>1459.2</v>
      </c>
      <c r="KT36" s="66"/>
      <c r="KU36" s="73">
        <f>KU23</f>
        <v>9630.7199999999993</v>
      </c>
      <c r="KV36" s="31"/>
      <c r="KW36" s="30"/>
      <c r="KX36" s="1">
        <f t="shared" si="112"/>
        <v>21</v>
      </c>
      <c r="KY36" s="1" t="s">
        <v>70</v>
      </c>
      <c r="KZ36" s="1" t="s">
        <v>69</v>
      </c>
      <c r="LA36" s="3" t="s">
        <v>62</v>
      </c>
      <c r="LB36" s="49">
        <v>5150</v>
      </c>
      <c r="LC36" s="49">
        <v>4</v>
      </c>
      <c r="LD36" s="3">
        <f t="shared" si="227"/>
        <v>20.6</v>
      </c>
      <c r="LE36" s="3">
        <v>10.1</v>
      </c>
      <c r="LF36" s="108">
        <f t="shared" si="228"/>
        <v>208.06</v>
      </c>
      <c r="LG36" s="31"/>
      <c r="LH36" s="30"/>
      <c r="LI36" s="1">
        <f>LI35+1</f>
        <v>21</v>
      </c>
      <c r="LJ36" s="1" t="s">
        <v>10</v>
      </c>
      <c r="LK36" s="1" t="s">
        <v>43</v>
      </c>
      <c r="LL36" s="25">
        <v>2.5</v>
      </c>
      <c r="LM36" s="1"/>
      <c r="LN36" s="1">
        <f>(LN25)*2</f>
        <v>912</v>
      </c>
      <c r="LO36" s="25"/>
      <c r="LP36" s="25">
        <v>1.2</v>
      </c>
      <c r="LQ36" s="250">
        <f>LN36*LP36</f>
        <v>1094.3999999999999</v>
      </c>
      <c r="LR36" s="31"/>
      <c r="LS36" s="30"/>
      <c r="LT36" s="18"/>
      <c r="LU36" s="18"/>
      <c r="LV36" s="18"/>
      <c r="LW36" s="18"/>
      <c r="LX36" s="18"/>
      <c r="LY36" s="18"/>
      <c r="LZ36" s="8" t="s">
        <v>12</v>
      </c>
      <c r="MA36" s="8"/>
      <c r="MB36" s="9">
        <f>MB16+MB25+MB28+MB29+MB30+MB26</f>
        <v>3562.3600000000006</v>
      </c>
      <c r="MC36" s="31"/>
      <c r="ME36" s="30"/>
      <c r="MF36" s="18"/>
      <c r="MG36" s="18"/>
      <c r="MH36" s="18"/>
      <c r="MI36" s="18"/>
      <c r="MJ36" s="18"/>
      <c r="MK36" s="18"/>
      <c r="ML36" s="8" t="s">
        <v>12</v>
      </c>
      <c r="MM36" s="8"/>
      <c r="MN36" s="9">
        <f>MN16+MN25+MN28+MN29+MN30+MN26</f>
        <v>3277.4159999999997</v>
      </c>
      <c r="MO36" s="31"/>
      <c r="MQ36" s="30"/>
      <c r="MR36" s="18"/>
      <c r="MS36" s="18"/>
      <c r="MT36" s="18"/>
      <c r="MU36" s="18"/>
      <c r="MV36" s="310" t="s">
        <v>13</v>
      </c>
      <c r="MW36" s="310"/>
      <c r="MX36" s="19">
        <f>MZ33</f>
        <v>3497.1840000000002</v>
      </c>
      <c r="MY36" s="1">
        <v>175</v>
      </c>
      <c r="MZ36" s="20">
        <f t="shared" ref="MZ36:MZ42" si="231">MX36*MY36</f>
        <v>612007.20000000007</v>
      </c>
      <c r="NA36" s="31"/>
      <c r="ND36" s="30"/>
      <c r="NE36" s="1">
        <f t="shared" si="114"/>
        <v>4</v>
      </c>
      <c r="NF36" s="1"/>
      <c r="NG36" s="1"/>
      <c r="NH36" s="5"/>
      <c r="NI36" s="1"/>
      <c r="NJ36" s="1"/>
      <c r="NK36" s="5"/>
      <c r="NL36" s="5"/>
      <c r="NM36" s="263"/>
      <c r="NN36" s="31"/>
      <c r="NP36" s="30"/>
      <c r="NQ36" s="18"/>
      <c r="NR36" s="1" t="s">
        <v>28</v>
      </c>
      <c r="NS36" s="1">
        <f>NS11</f>
        <v>105</v>
      </c>
      <c r="NT36" s="18"/>
      <c r="NU36" s="310" t="s">
        <v>78</v>
      </c>
      <c r="NV36" s="310"/>
      <c r="NW36" s="1">
        <f>NY31</f>
        <v>39.599999999999994</v>
      </c>
      <c r="NX36" s="22">
        <v>150</v>
      </c>
      <c r="NY36" s="20">
        <f t="shared" si="220"/>
        <v>5939.9999999999991</v>
      </c>
      <c r="NZ36" s="31"/>
      <c r="OC36" s="30"/>
      <c r="OD36" s="18"/>
      <c r="OE36" s="1" t="s">
        <v>28</v>
      </c>
      <c r="OF36" s="1">
        <f>OF11</f>
        <v>140</v>
      </c>
      <c r="OG36" s="18"/>
      <c r="OH36" s="310" t="s">
        <v>78</v>
      </c>
      <c r="OI36" s="310"/>
      <c r="OJ36" s="1">
        <f>OL31</f>
        <v>59.399999999999991</v>
      </c>
      <c r="OK36" s="22">
        <v>150</v>
      </c>
      <c r="OL36" s="20">
        <f t="shared" si="221"/>
        <v>8909.9999999999982</v>
      </c>
      <c r="OM36" s="31"/>
      <c r="OP36" s="30"/>
      <c r="OQ36" s="18"/>
      <c r="OR36" s="1" t="s">
        <v>28</v>
      </c>
      <c r="OS36" s="1">
        <f>OS11</f>
        <v>140</v>
      </c>
      <c r="OT36" s="18"/>
      <c r="OU36" s="310" t="s">
        <v>78</v>
      </c>
      <c r="OV36" s="310"/>
      <c r="OW36" s="1">
        <f>OY31</f>
        <v>59.399999999999991</v>
      </c>
      <c r="OX36" s="22">
        <v>150</v>
      </c>
      <c r="OY36" s="20">
        <f t="shared" si="222"/>
        <v>8909.9999999999982</v>
      </c>
      <c r="OZ36" s="31"/>
      <c r="PD36" s="30"/>
      <c r="PE36" s="18"/>
      <c r="PF36" s="1" t="s">
        <v>28</v>
      </c>
      <c r="PG36" s="1">
        <f>PG11</f>
        <v>140</v>
      </c>
      <c r="PH36" s="18"/>
      <c r="PI36" s="310" t="s">
        <v>78</v>
      </c>
      <c r="PJ36" s="310"/>
      <c r="PK36" s="1">
        <f>PM31</f>
        <v>59.399999999999991</v>
      </c>
      <c r="PL36" s="22">
        <v>150</v>
      </c>
      <c r="PM36" s="20">
        <f t="shared" si="223"/>
        <v>8909.9999999999982</v>
      </c>
      <c r="PN36" s="31"/>
      <c r="PQ36" s="30"/>
      <c r="PR36" s="18"/>
      <c r="PS36" s="1" t="s">
        <v>28</v>
      </c>
      <c r="PT36" s="1">
        <f>PT11</f>
        <v>140</v>
      </c>
      <c r="PU36" s="18"/>
      <c r="PV36" s="310" t="s">
        <v>78</v>
      </c>
      <c r="PW36" s="310"/>
      <c r="PX36" s="1">
        <f>PZ31</f>
        <v>59.399999999999991</v>
      </c>
      <c r="PY36" s="22">
        <f>91.7*1.2+50</f>
        <v>160.04000000000002</v>
      </c>
      <c r="PZ36" s="20">
        <f t="shared" si="224"/>
        <v>9506.3760000000002</v>
      </c>
      <c r="QA36" s="31"/>
      <c r="QD36" s="30"/>
      <c r="QE36" s="18"/>
      <c r="QF36" s="1" t="s">
        <v>28</v>
      </c>
      <c r="QG36" s="1">
        <f>QG11</f>
        <v>120</v>
      </c>
      <c r="QH36" s="18"/>
      <c r="QI36" s="310" t="s">
        <v>78</v>
      </c>
      <c r="QJ36" s="310"/>
      <c r="QK36" s="1">
        <f>QM31</f>
        <v>28.799999999999997</v>
      </c>
      <c r="QL36" s="22">
        <v>150</v>
      </c>
      <c r="QM36" s="20">
        <f t="shared" si="225"/>
        <v>4320</v>
      </c>
      <c r="QN36" s="31"/>
      <c r="QQ36" s="30"/>
      <c r="QR36" s="18"/>
      <c r="QS36" s="1" t="s">
        <v>28</v>
      </c>
      <c r="QT36" s="1">
        <f>QT11</f>
        <v>140</v>
      </c>
      <c r="QU36" s="18"/>
      <c r="QV36" s="310" t="s">
        <v>78</v>
      </c>
      <c r="QW36" s="310"/>
      <c r="QX36" s="1">
        <f>QZ31</f>
        <v>59.399999999999991</v>
      </c>
      <c r="QY36" s="22">
        <f>85*1.2+50</f>
        <v>152</v>
      </c>
      <c r="QZ36" s="20">
        <f t="shared" si="226"/>
        <v>9028.7999999999993</v>
      </c>
      <c r="RA36" s="31"/>
    </row>
    <row r="37" spans="1:469" x14ac:dyDescent="0.25">
      <c r="A37" s="30"/>
      <c r="B37" s="18"/>
      <c r="C37" s="18"/>
      <c r="D37" s="18"/>
      <c r="E37" s="18"/>
      <c r="F37" s="18"/>
      <c r="G37" s="18"/>
      <c r="H37" s="219"/>
      <c r="I37" s="219"/>
      <c r="J37" s="220"/>
      <c r="K37" s="31"/>
      <c r="L37" s="30"/>
      <c r="M37" s="18"/>
      <c r="N37" s="18"/>
      <c r="O37" s="18"/>
      <c r="P37" s="18"/>
      <c r="Q37" s="18"/>
      <c r="R37" s="18"/>
      <c r="S37" s="219"/>
      <c r="T37" s="219"/>
      <c r="U37" s="220"/>
      <c r="V37" s="31"/>
      <c r="W37" s="30"/>
      <c r="X37" s="18"/>
      <c r="Y37" s="18"/>
      <c r="Z37" s="18"/>
      <c r="AA37" s="18"/>
      <c r="AB37" s="18"/>
      <c r="AC37" s="18"/>
      <c r="AD37" s="18"/>
      <c r="AE37" s="18"/>
      <c r="AF37" s="18"/>
      <c r="AG37" s="31"/>
      <c r="AH37" s="30"/>
      <c r="AR37" s="31"/>
      <c r="AS37" s="30"/>
      <c r="BC37" s="31"/>
      <c r="BD37" s="30"/>
      <c r="BN37" s="31"/>
      <c r="BO37" s="30"/>
      <c r="BP37" s="18"/>
      <c r="BQ37" s="18"/>
      <c r="BR37" s="18"/>
      <c r="BS37" s="18"/>
      <c r="BT37" s="18"/>
      <c r="BU37" s="18"/>
      <c r="BV37" s="219"/>
      <c r="BW37" s="219"/>
      <c r="BX37" s="220"/>
      <c r="BY37" s="31"/>
      <c r="BZ37" s="30"/>
      <c r="CA37" s="18"/>
      <c r="CB37" s="18"/>
      <c r="CC37" s="18"/>
      <c r="CD37" s="18"/>
      <c r="CE37" s="18"/>
      <c r="CF37" s="18"/>
      <c r="CG37" s="18"/>
      <c r="CH37" s="18"/>
      <c r="CI37" s="18"/>
      <c r="CJ37" s="31"/>
      <c r="CK37" s="30"/>
      <c r="CR37" s="219"/>
      <c r="CS37" s="219"/>
      <c r="CT37" s="220"/>
      <c r="CU37" s="31"/>
      <c r="CV37" s="30"/>
      <c r="CW37" s="18"/>
      <c r="CX37" s="18"/>
      <c r="CY37" s="18"/>
      <c r="CZ37" s="18"/>
      <c r="DA37" s="18"/>
      <c r="DB37" s="18"/>
      <c r="DC37" s="18"/>
      <c r="DD37" s="18"/>
      <c r="DE37" s="18"/>
      <c r="DF37" s="31"/>
      <c r="DG37" s="30"/>
      <c r="DH37" s="18"/>
      <c r="DN37" s="219"/>
      <c r="DO37" s="219"/>
      <c r="DP37" s="220"/>
      <c r="DQ37" s="31"/>
      <c r="DR37" s="30"/>
      <c r="DS37" s="18"/>
      <c r="DT37" s="18"/>
      <c r="DU37" s="18"/>
      <c r="DV37" s="18"/>
      <c r="DW37" s="18"/>
      <c r="DX37" s="18"/>
      <c r="DY37" s="84" t="s">
        <v>152</v>
      </c>
      <c r="DZ37" s="66"/>
      <c r="EA37" s="85">
        <f>EA24</f>
        <v>2376</v>
      </c>
      <c r="EB37" s="31"/>
      <c r="EC37" s="30"/>
      <c r="ED37" s="1">
        <f t="shared" si="95"/>
        <v>22</v>
      </c>
      <c r="EE37" s="53" t="s">
        <v>113</v>
      </c>
      <c r="EF37" s="54" t="s">
        <v>112</v>
      </c>
      <c r="EG37" s="25">
        <v>2.5</v>
      </c>
      <c r="EH37" s="1"/>
      <c r="EI37" s="1">
        <f>EF6*8+4</f>
        <v>84</v>
      </c>
      <c r="EJ37" s="25"/>
      <c r="EK37" s="25">
        <v>0.5</v>
      </c>
      <c r="EL37" s="116">
        <f>EI37*EK37</f>
        <v>42</v>
      </c>
      <c r="EM37" s="31"/>
      <c r="EN37" s="30"/>
      <c r="EO37" s="1">
        <f t="shared" si="96"/>
        <v>22</v>
      </c>
      <c r="EP37" s="1" t="s">
        <v>163</v>
      </c>
      <c r="EQ37" s="1" t="s">
        <v>165</v>
      </c>
      <c r="ER37" s="5" t="s">
        <v>63</v>
      </c>
      <c r="ES37" s="1">
        <v>1200</v>
      </c>
      <c r="ET37" s="49">
        <v>2</v>
      </c>
      <c r="EU37" s="5">
        <f t="shared" si="229"/>
        <v>2.4</v>
      </c>
      <c r="EV37" s="5">
        <v>8.3000000000000007</v>
      </c>
      <c r="EW37" s="87">
        <f t="shared" si="230"/>
        <v>19.920000000000002</v>
      </c>
      <c r="EX37" s="31"/>
      <c r="EY37" s="30"/>
      <c r="EZ37" s="18"/>
      <c r="FA37" s="18"/>
      <c r="FB37" s="18"/>
      <c r="FC37" s="18"/>
      <c r="FD37" s="18"/>
      <c r="FE37" s="18"/>
      <c r="FF37" s="18"/>
      <c r="FG37" s="18"/>
      <c r="FH37" s="18"/>
      <c r="FI37" s="31"/>
      <c r="FJ37" s="30"/>
      <c r="FK37" s="18"/>
      <c r="FL37" s="18"/>
      <c r="FM37" s="18"/>
      <c r="FN37" s="18"/>
      <c r="FO37" s="18"/>
      <c r="FP37" s="18"/>
      <c r="FQ37" s="18"/>
      <c r="FR37" s="18"/>
      <c r="FS37" s="18"/>
      <c r="FT37" s="31"/>
      <c r="FU37" s="30"/>
      <c r="FV37" s="1">
        <f t="shared" si="101"/>
        <v>22</v>
      </c>
      <c r="FW37" s="1" t="s">
        <v>100</v>
      </c>
      <c r="FX37" s="1" t="s">
        <v>101</v>
      </c>
      <c r="FY37" s="5" t="s">
        <v>63</v>
      </c>
      <c r="FZ37" s="1">
        <v>3000</v>
      </c>
      <c r="GA37" s="1">
        <v>20</v>
      </c>
      <c r="GB37" s="5">
        <f t="shared" si="218"/>
        <v>60</v>
      </c>
      <c r="GC37" s="227">
        <v>8.3000000000000007</v>
      </c>
      <c r="GD37" s="129">
        <f t="shared" si="219"/>
        <v>498.00000000000006</v>
      </c>
      <c r="GE37" s="31"/>
      <c r="GF37" s="30"/>
      <c r="GG37" s="18"/>
      <c r="GH37" s="18"/>
      <c r="GI37" s="18"/>
      <c r="GK37" s="330" t="s">
        <v>259</v>
      </c>
      <c r="GL37" s="331"/>
      <c r="GM37" s="109">
        <f>GM25</f>
        <v>240.79999999999998</v>
      </c>
      <c r="GN37" s="109"/>
      <c r="GO37" s="231">
        <f>GO25</f>
        <v>10234</v>
      </c>
      <c r="GP37" s="31"/>
      <c r="GQ37" s="30"/>
      <c r="GX37" s="219"/>
      <c r="GY37" s="219"/>
      <c r="GZ37" s="220"/>
      <c r="HA37" s="31"/>
      <c r="HB37" s="30"/>
      <c r="HC37" s="18"/>
      <c r="HD37" s="18"/>
      <c r="HE37" s="18"/>
      <c r="HF37" s="18"/>
      <c r="HG37" s="18"/>
      <c r="HH37" s="18"/>
      <c r="HI37" s="18"/>
      <c r="HJ37" s="18"/>
      <c r="HK37" s="18"/>
      <c r="HL37" s="31"/>
      <c r="HM37" s="30"/>
      <c r="HN37" s="18"/>
      <c r="HO37" s="18"/>
      <c r="HP37" s="18"/>
      <c r="HQ37" s="18"/>
      <c r="HR37" s="18"/>
      <c r="HS37" s="18"/>
      <c r="HT37" s="225" t="s">
        <v>9</v>
      </c>
      <c r="HU37" s="226"/>
      <c r="HV37" s="2">
        <f>SUM(HV32:HV36)</f>
        <v>17027.29</v>
      </c>
      <c r="HW37" s="31"/>
      <c r="HX37" s="30"/>
      <c r="HY37" s="18"/>
      <c r="HZ37" s="18"/>
      <c r="IA37" s="18"/>
      <c r="IB37" s="18"/>
      <c r="IC37" s="18"/>
      <c r="ID37" s="18"/>
      <c r="IE37" s="18"/>
      <c r="IF37" s="18"/>
      <c r="IG37" s="18"/>
      <c r="IH37" s="31"/>
      <c r="II37" s="30"/>
      <c r="IJ37" s="1">
        <f t="shared" si="108"/>
        <v>22</v>
      </c>
      <c r="IK37" s="1" t="s">
        <v>105</v>
      </c>
      <c r="IL37" s="1" t="s">
        <v>106</v>
      </c>
      <c r="IM37" s="50" t="s">
        <v>303</v>
      </c>
      <c r="IN37" s="1">
        <v>850</v>
      </c>
      <c r="IO37" s="1">
        <f>(IL6+1)*2</f>
        <v>40</v>
      </c>
      <c r="IP37" s="51">
        <f>IN37/1000*IO37</f>
        <v>34</v>
      </c>
      <c r="IQ37" s="51">
        <v>3.3</v>
      </c>
      <c r="IR37" s="148">
        <f>IP37*IQ37</f>
        <v>112.19999999999999</v>
      </c>
      <c r="IS37" s="31"/>
      <c r="IT37" s="30"/>
      <c r="IU37" s="1">
        <f t="shared" si="109"/>
        <v>22</v>
      </c>
      <c r="IV37" s="1" t="s">
        <v>105</v>
      </c>
      <c r="IW37" s="1" t="s">
        <v>106</v>
      </c>
      <c r="IX37" s="50" t="s">
        <v>303</v>
      </c>
      <c r="IY37" s="1">
        <v>850</v>
      </c>
      <c r="IZ37" s="1">
        <f>(IW6+1)*2</f>
        <v>40</v>
      </c>
      <c r="JA37" s="51">
        <f>IY37/1000*IZ37</f>
        <v>34</v>
      </c>
      <c r="JB37" s="51">
        <v>3.3</v>
      </c>
      <c r="JC37" s="148">
        <f>JA37*JB37</f>
        <v>112.19999999999999</v>
      </c>
      <c r="JD37" s="31"/>
      <c r="JE37" s="30"/>
      <c r="JF37" s="1">
        <f t="shared" si="67"/>
        <v>22</v>
      </c>
      <c r="JG37" s="52" t="s">
        <v>111</v>
      </c>
      <c r="JH37" s="1" t="s">
        <v>107</v>
      </c>
      <c r="JI37" s="50" t="s">
        <v>303</v>
      </c>
      <c r="JJ37" s="1">
        <v>1800</v>
      </c>
      <c r="JK37" s="1">
        <f>(JH6+1)*2</f>
        <v>40</v>
      </c>
      <c r="JL37" s="51">
        <f>JJ37/1000*JK37</f>
        <v>72</v>
      </c>
      <c r="JM37" s="51">
        <v>3.3</v>
      </c>
      <c r="JN37" s="124">
        <f>JL37*JM37</f>
        <v>237.6</v>
      </c>
      <c r="JO37" s="31"/>
      <c r="JP37" s="30"/>
      <c r="JQ37" s="18"/>
      <c r="JR37" s="150"/>
      <c r="JS37" s="151"/>
      <c r="JT37" s="18"/>
      <c r="JU37" s="315" t="s">
        <v>306</v>
      </c>
      <c r="JV37" s="316"/>
      <c r="JW37" s="152">
        <f>JW19</f>
        <v>160</v>
      </c>
      <c r="JX37" s="153"/>
      <c r="JY37" s="152">
        <f>JY19</f>
        <v>5312</v>
      </c>
      <c r="JZ37" s="31"/>
      <c r="KA37" s="30"/>
      <c r="KB37" s="18"/>
      <c r="KC37" s="150"/>
      <c r="KD37" s="151"/>
      <c r="KE37" s="18"/>
      <c r="KF37" s="315" t="s">
        <v>307</v>
      </c>
      <c r="KG37" s="316"/>
      <c r="KH37" s="152">
        <f>KH19</f>
        <v>160</v>
      </c>
      <c r="KI37" s="153"/>
      <c r="KJ37" s="152">
        <f>KJ19</f>
        <v>3923.2</v>
      </c>
      <c r="KK37" s="31"/>
      <c r="KL37" s="30"/>
      <c r="KM37" s="18"/>
      <c r="KN37" s="18"/>
      <c r="KO37" s="18"/>
      <c r="KP37" s="18"/>
      <c r="KQ37" s="319" t="s">
        <v>20</v>
      </c>
      <c r="KR37" s="319"/>
      <c r="KS37" s="70">
        <f>KS21+KS27+KS28+KS29</f>
        <v>502.4</v>
      </c>
      <c r="KT37" s="105"/>
      <c r="KU37" s="70">
        <f>KU21+KU27+KU28+KU29</f>
        <v>4169.92</v>
      </c>
      <c r="KV37" s="31"/>
      <c r="KW37" s="30"/>
      <c r="KX37" s="1">
        <f t="shared" si="112"/>
        <v>22</v>
      </c>
      <c r="KY37" s="1" t="s">
        <v>92</v>
      </c>
      <c r="KZ37" s="1" t="s">
        <v>93</v>
      </c>
      <c r="LA37" s="3" t="s">
        <v>62</v>
      </c>
      <c r="LB37" s="49">
        <f>(KZ5+0.2+2.5)*1000</f>
        <v>10899.999999999998</v>
      </c>
      <c r="LC37" s="49">
        <v>4</v>
      </c>
      <c r="LD37" s="3">
        <f t="shared" si="227"/>
        <v>43.599999999999994</v>
      </c>
      <c r="LE37" s="3">
        <v>10.1</v>
      </c>
      <c r="LF37" s="108">
        <f t="shared" si="228"/>
        <v>440.3599999999999</v>
      </c>
      <c r="LG37" s="31"/>
      <c r="LH37" s="30"/>
      <c r="LI37" s="18"/>
      <c r="LJ37" s="18"/>
      <c r="LK37" s="18"/>
      <c r="LM37" s="18"/>
      <c r="LN37" s="18"/>
      <c r="LO37" s="117" t="s">
        <v>214</v>
      </c>
      <c r="LP37" s="117"/>
      <c r="LQ37" s="118">
        <f>SUM(LQ16:LQ18)</f>
        <v>37106.959999999999</v>
      </c>
      <c r="LR37" s="31"/>
      <c r="LS37" s="30"/>
      <c r="LT37" s="18"/>
      <c r="LU37" s="18"/>
      <c r="LV37" s="18"/>
      <c r="LW37" s="18"/>
      <c r="LX37" s="18"/>
      <c r="LY37" s="18"/>
      <c r="LZ37" s="84" t="s">
        <v>152</v>
      </c>
      <c r="MA37" s="66"/>
      <c r="MB37" s="85">
        <f>MB24</f>
        <v>1425.6</v>
      </c>
      <c r="MC37" s="31"/>
      <c r="ME37" s="30"/>
      <c r="MF37" s="18"/>
      <c r="MG37" s="18"/>
      <c r="MH37" s="18"/>
      <c r="MI37" s="18"/>
      <c r="MJ37" s="18"/>
      <c r="MK37" s="18"/>
      <c r="ML37" s="84" t="s">
        <v>152</v>
      </c>
      <c r="MM37" s="66"/>
      <c r="MN37" s="85">
        <f>MN24</f>
        <v>1485</v>
      </c>
      <c r="MO37" s="31"/>
      <c r="MQ37" s="30"/>
      <c r="MR37" s="18"/>
      <c r="MS37" s="18"/>
      <c r="MT37" s="18"/>
      <c r="MU37" s="18"/>
      <c r="MV37" s="310" t="s">
        <v>33</v>
      </c>
      <c r="MW37" s="310"/>
      <c r="MX37" s="1">
        <f>MW30</f>
        <v>84</v>
      </c>
      <c r="MY37" s="1">
        <v>250</v>
      </c>
      <c r="MZ37" s="20">
        <f t="shared" si="231"/>
        <v>21000</v>
      </c>
      <c r="NA37" s="31"/>
      <c r="ND37" s="30"/>
      <c r="NE37" s="1">
        <f t="shared" si="114"/>
        <v>5</v>
      </c>
      <c r="NF37" s="1" t="s">
        <v>10</v>
      </c>
      <c r="NG37" s="1" t="s">
        <v>11</v>
      </c>
      <c r="NH37" s="25">
        <v>2.5</v>
      </c>
      <c r="NI37" s="1"/>
      <c r="NJ37" s="1">
        <f>(NJ22/2+NJ23+NJ24+NJ33+NJ34+NJ35+NJ36)*2</f>
        <v>576</v>
      </c>
      <c r="NK37" s="25"/>
      <c r="NL37" s="25">
        <v>2</v>
      </c>
      <c r="NM37" s="265">
        <f>NJ37*NL37</f>
        <v>1152</v>
      </c>
      <c r="NN37" s="31"/>
      <c r="NP37" s="30"/>
      <c r="NQ37" s="18"/>
      <c r="NR37" s="1" t="s">
        <v>29</v>
      </c>
      <c r="NS37" s="19">
        <f>NY44/NS36/NS39</f>
        <v>47.797198933333341</v>
      </c>
      <c r="NT37" s="18"/>
      <c r="NU37" s="310" t="s">
        <v>50</v>
      </c>
      <c r="NV37" s="310"/>
      <c r="NW37" s="1">
        <f>(5.75*2+7.7*2)*2*NS7</f>
        <v>53.8</v>
      </c>
      <c r="NX37" s="22">
        <v>150</v>
      </c>
      <c r="NY37" s="20">
        <f t="shared" si="220"/>
        <v>8070</v>
      </c>
      <c r="NZ37" s="31"/>
      <c r="OC37" s="30"/>
      <c r="OD37" s="18"/>
      <c r="OE37" s="1" t="s">
        <v>29</v>
      </c>
      <c r="OF37" s="19">
        <f>OL44/OF36/OF39</f>
        <v>43.934841142857152</v>
      </c>
      <c r="OG37" s="18"/>
      <c r="OH37" s="310" t="s">
        <v>50</v>
      </c>
      <c r="OI37" s="310"/>
      <c r="OJ37" s="1">
        <f>(5.75*2+7.7*2)*2*OF7</f>
        <v>53.8</v>
      </c>
      <c r="OK37" s="22">
        <v>150</v>
      </c>
      <c r="OL37" s="20">
        <f t="shared" si="221"/>
        <v>8070</v>
      </c>
      <c r="OM37" s="31"/>
      <c r="OP37" s="30"/>
      <c r="OQ37" s="18"/>
      <c r="OR37" s="1" t="s">
        <v>29</v>
      </c>
      <c r="OS37" s="19">
        <f>OY44/OS36/OS39</f>
        <v>43.934841142857152</v>
      </c>
      <c r="OT37" s="18"/>
      <c r="OU37" s="310" t="s">
        <v>50</v>
      </c>
      <c r="OV37" s="310"/>
      <c r="OW37" s="1">
        <f>(5.75*2+7.7*2)*2*OS7</f>
        <v>53.8</v>
      </c>
      <c r="OX37" s="22">
        <v>150</v>
      </c>
      <c r="OY37" s="20">
        <f t="shared" si="222"/>
        <v>8070</v>
      </c>
      <c r="OZ37" s="31"/>
      <c r="PD37" s="30"/>
      <c r="PE37" s="18"/>
      <c r="PF37" s="1" t="s">
        <v>29</v>
      </c>
      <c r="PG37" s="19">
        <f>PM44/PG36/PG39</f>
        <v>43.934841142857145</v>
      </c>
      <c r="PH37" s="18"/>
      <c r="PI37" s="310" t="s">
        <v>50</v>
      </c>
      <c r="PJ37" s="310"/>
      <c r="PK37" s="1">
        <f>(5.75*2+7.7*2)*2*PG7</f>
        <v>53.8</v>
      </c>
      <c r="PL37" s="22">
        <v>150</v>
      </c>
      <c r="PM37" s="20">
        <f t="shared" si="223"/>
        <v>8070</v>
      </c>
      <c r="PN37" s="31"/>
      <c r="PQ37" s="30"/>
      <c r="PR37" s="18"/>
      <c r="PS37" s="1" t="s">
        <v>29</v>
      </c>
      <c r="PT37" s="19">
        <f>PZ44/PT36/PT39</f>
        <v>43.934841142857152</v>
      </c>
      <c r="PU37" s="18"/>
      <c r="PV37" s="310" t="s">
        <v>50</v>
      </c>
      <c r="PW37" s="310"/>
      <c r="PX37" s="1">
        <f>(5.75*2+7.7*2)*2*PT7</f>
        <v>53.8</v>
      </c>
      <c r="PY37" s="22">
        <f>PY36</f>
        <v>160.04000000000002</v>
      </c>
      <c r="PZ37" s="20">
        <f t="shared" si="224"/>
        <v>8610.152</v>
      </c>
      <c r="QA37" s="31"/>
      <c r="QD37" s="30"/>
      <c r="QE37" s="18"/>
      <c r="QF37" s="1" t="s">
        <v>29</v>
      </c>
      <c r="QG37" s="19">
        <f>QM44/QG36/QG39</f>
        <v>31.194084666666672</v>
      </c>
      <c r="QH37" s="18"/>
      <c r="QI37" s="310" t="s">
        <v>50</v>
      </c>
      <c r="QJ37" s="310"/>
      <c r="QK37" s="1">
        <f>(5.75*2+7.7*2)*2*QG7</f>
        <v>53.8</v>
      </c>
      <c r="QL37" s="22">
        <f>85*1.2+60</f>
        <v>162</v>
      </c>
      <c r="QM37" s="20">
        <f t="shared" si="225"/>
        <v>8715.6</v>
      </c>
      <c r="QN37" s="31"/>
      <c r="QQ37" s="30"/>
      <c r="QR37" s="18"/>
      <c r="QS37" s="1" t="s">
        <v>29</v>
      </c>
      <c r="QT37" s="19">
        <f>QZ44/QT36/QT39</f>
        <v>43.934841142857145</v>
      </c>
      <c r="QU37" s="18"/>
      <c r="QV37" s="310" t="s">
        <v>50</v>
      </c>
      <c r="QW37" s="310"/>
      <c r="QX37" s="1">
        <f>(5.75*2+7.7*2)*2*QT7</f>
        <v>53.8</v>
      </c>
      <c r="QY37" s="22">
        <f>QY36</f>
        <v>152</v>
      </c>
      <c r="QZ37" s="20">
        <f t="shared" si="226"/>
        <v>8177.5999999999995</v>
      </c>
      <c r="RA37" s="31"/>
    </row>
    <row r="38" spans="1:469" x14ac:dyDescent="0.25">
      <c r="A38" s="30"/>
      <c r="B38" s="18"/>
      <c r="C38" s="18"/>
      <c r="D38" s="18"/>
      <c r="E38" s="18"/>
      <c r="F38" s="18"/>
      <c r="G38" s="18"/>
      <c r="H38" s="219"/>
      <c r="I38" s="219"/>
      <c r="J38" s="220"/>
      <c r="K38" s="31"/>
      <c r="L38" s="30"/>
      <c r="M38" s="18"/>
      <c r="N38" s="18"/>
      <c r="O38" s="18"/>
      <c r="P38" s="18"/>
      <c r="Q38" s="18"/>
      <c r="R38" s="18"/>
      <c r="S38" s="219"/>
      <c r="T38" s="219"/>
      <c r="U38" s="220"/>
      <c r="V38" s="31"/>
      <c r="W38" s="30"/>
      <c r="X38" s="18"/>
      <c r="Y38" s="18"/>
      <c r="Z38" s="18"/>
      <c r="AA38" s="18"/>
      <c r="AB38" s="18"/>
      <c r="AC38" s="18"/>
      <c r="AD38" s="18"/>
      <c r="AE38" s="18"/>
      <c r="AF38" s="18"/>
      <c r="AG38" s="31"/>
      <c r="AH38" s="30"/>
      <c r="AR38" s="31"/>
      <c r="AS38" s="30"/>
      <c r="BC38" s="31"/>
      <c r="BD38" s="30"/>
      <c r="BN38" s="31"/>
      <c r="BO38" s="30"/>
      <c r="BP38" s="18"/>
      <c r="BQ38" s="18"/>
      <c r="BR38" s="18"/>
      <c r="BS38" s="18"/>
      <c r="BT38" s="18"/>
      <c r="BU38" s="18"/>
      <c r="BV38" s="219"/>
      <c r="BW38" s="219"/>
      <c r="BX38" s="220"/>
      <c r="BY38" s="31"/>
      <c r="BZ38" s="30"/>
      <c r="CA38" s="18"/>
      <c r="CB38" s="18"/>
      <c r="CC38" s="18"/>
      <c r="CD38" s="18"/>
      <c r="CE38" s="18"/>
      <c r="CF38" s="18"/>
      <c r="CG38" s="18"/>
      <c r="CH38" s="18"/>
      <c r="CI38" s="18"/>
      <c r="CJ38" s="31"/>
      <c r="CK38" s="30"/>
      <c r="CR38" s="219"/>
      <c r="CS38" s="219"/>
      <c r="CT38" s="220"/>
      <c r="CU38" s="31"/>
      <c r="CV38" s="30"/>
      <c r="CW38" s="18"/>
      <c r="CX38" s="18"/>
      <c r="CY38" s="18"/>
      <c r="CZ38" s="18"/>
      <c r="DA38" s="18"/>
      <c r="DB38" s="18"/>
      <c r="DC38" s="18"/>
      <c r="DD38" s="18"/>
      <c r="DE38" s="18"/>
      <c r="DF38" s="31"/>
      <c r="DG38" s="30"/>
      <c r="DH38" s="18"/>
      <c r="DN38" s="219"/>
      <c r="DO38" s="219"/>
      <c r="DP38" s="220"/>
      <c r="DQ38" s="31"/>
      <c r="DR38" s="30"/>
      <c r="DS38" s="18"/>
      <c r="DY38" s="99" t="s">
        <v>9</v>
      </c>
      <c r="DZ38" s="100"/>
      <c r="EA38" s="2">
        <f>EA34+EA35+EA36+EA37</f>
        <v>11519.660000000002</v>
      </c>
      <c r="EB38" s="31"/>
      <c r="EC38" s="30"/>
      <c r="ED38" s="1">
        <f t="shared" si="95"/>
        <v>23</v>
      </c>
      <c r="EE38" s="53" t="s">
        <v>115</v>
      </c>
      <c r="EF38" s="54"/>
      <c r="EG38" s="25">
        <v>2.5</v>
      </c>
      <c r="EH38" s="1"/>
      <c r="EI38" s="1">
        <f>EF6</f>
        <v>10</v>
      </c>
      <c r="EJ38" s="25"/>
      <c r="EK38" s="25">
        <v>2.5</v>
      </c>
      <c r="EL38" s="116">
        <f>EI38*EK38</f>
        <v>25</v>
      </c>
      <c r="EM38" s="31"/>
      <c r="EN38" s="30"/>
      <c r="EO38" s="1">
        <f t="shared" si="96"/>
        <v>23</v>
      </c>
      <c r="EP38" s="1" t="s">
        <v>166</v>
      </c>
      <c r="EQ38" s="1" t="s">
        <v>55</v>
      </c>
      <c r="ER38" s="5" t="s">
        <v>63</v>
      </c>
      <c r="ES38" s="1">
        <v>4900</v>
      </c>
      <c r="ET38" s="49">
        <v>9</v>
      </c>
      <c r="EU38" s="5">
        <f t="shared" si="229"/>
        <v>44.1</v>
      </c>
      <c r="EV38" s="5">
        <v>8.3000000000000007</v>
      </c>
      <c r="EW38" s="87">
        <f t="shared" si="230"/>
        <v>366.03000000000003</v>
      </c>
      <c r="EX38" s="31"/>
      <c r="EY38" s="30"/>
      <c r="EZ38" s="18"/>
      <c r="FA38" s="18"/>
      <c r="FB38" s="18"/>
      <c r="FC38" s="18"/>
      <c r="FD38" s="18"/>
      <c r="FE38" s="18"/>
      <c r="FF38" s="18"/>
      <c r="FG38" s="18"/>
      <c r="FH38" s="18"/>
      <c r="FI38" s="31"/>
      <c r="FJ38" s="30"/>
      <c r="FK38" s="18"/>
      <c r="FL38" s="18"/>
      <c r="FM38" s="18"/>
      <c r="FN38" s="18"/>
      <c r="FO38" s="18"/>
      <c r="FP38" s="18"/>
      <c r="FQ38" s="18"/>
      <c r="FR38" s="18"/>
      <c r="FS38" s="18"/>
      <c r="FT38" s="31"/>
      <c r="FU38" s="30"/>
      <c r="FV38" s="1">
        <f t="shared" si="101"/>
        <v>23</v>
      </c>
      <c r="FW38" s="1" t="s">
        <v>10</v>
      </c>
      <c r="FX38" s="1" t="s">
        <v>43</v>
      </c>
      <c r="FY38" s="25">
        <v>2.5</v>
      </c>
      <c r="FZ38" s="1"/>
      <c r="GA38" s="1">
        <f>GA24*2</f>
        <v>14</v>
      </c>
      <c r="GB38" s="25"/>
      <c r="GC38" s="25">
        <v>1.2</v>
      </c>
      <c r="GD38" s="127">
        <f>GA38*GC38</f>
        <v>16.8</v>
      </c>
      <c r="GE38" s="31"/>
      <c r="GF38" s="30"/>
      <c r="GG38" s="18"/>
      <c r="GH38" s="18"/>
      <c r="GI38" s="18"/>
      <c r="GK38" s="307" t="s">
        <v>63</v>
      </c>
      <c r="GL38" s="309"/>
      <c r="GM38" s="5">
        <f>GM16+GM31+GM32+GM33</f>
        <v>919.68000000000006</v>
      </c>
      <c r="GN38" s="5"/>
      <c r="GO38" s="190">
        <f>GO16+GO31+GO32+GO33</f>
        <v>7633.344000000001</v>
      </c>
      <c r="GP38" s="31"/>
      <c r="GQ38" s="30"/>
      <c r="GX38" s="219"/>
      <c r="GY38" s="219"/>
      <c r="GZ38" s="220"/>
      <c r="HA38" s="31"/>
      <c r="HB38" s="30"/>
      <c r="HC38" s="18"/>
      <c r="HD38" s="18"/>
      <c r="HE38" s="18"/>
      <c r="HF38" s="18"/>
      <c r="HG38" s="18"/>
      <c r="HH38" s="18"/>
      <c r="HI38" s="18"/>
      <c r="HJ38" s="18"/>
      <c r="HK38" s="18"/>
      <c r="HL38" s="31"/>
      <c r="HM38" s="30"/>
      <c r="HN38" s="18"/>
      <c r="HO38" s="18"/>
      <c r="HP38" s="18"/>
      <c r="HQ38" s="18"/>
      <c r="HR38" s="18"/>
      <c r="HS38" s="18"/>
      <c r="HT38" s="219"/>
      <c r="HU38" s="219"/>
      <c r="HV38" s="220"/>
      <c r="HW38" s="31"/>
      <c r="HX38" s="30"/>
      <c r="HY38" s="18"/>
      <c r="HZ38" s="18"/>
      <c r="IA38" s="18"/>
      <c r="IB38" s="18"/>
      <c r="IC38" s="18"/>
      <c r="ID38" s="18"/>
      <c r="IE38" s="18"/>
      <c r="IF38" s="18"/>
      <c r="IG38" s="18"/>
      <c r="IH38" s="31"/>
      <c r="II38" s="30"/>
      <c r="IJ38" s="1">
        <f t="shared" ref="IJ38:IJ42" si="232">IJ37+1</f>
        <v>23</v>
      </c>
      <c r="IK38" s="52" t="s">
        <v>111</v>
      </c>
      <c r="IL38" s="1" t="s">
        <v>107</v>
      </c>
      <c r="IM38" s="50" t="s">
        <v>303</v>
      </c>
      <c r="IN38" s="1">
        <v>1800</v>
      </c>
      <c r="IO38" s="1">
        <f>(IL6+1)*2</f>
        <v>40</v>
      </c>
      <c r="IP38" s="51">
        <f>IN38/1000*IO38</f>
        <v>72</v>
      </c>
      <c r="IQ38" s="51">
        <v>3.3</v>
      </c>
      <c r="IR38" s="148">
        <f>IP38*IQ38</f>
        <v>237.6</v>
      </c>
      <c r="IS38" s="31"/>
      <c r="IT38" s="30"/>
      <c r="IU38" s="1">
        <f t="shared" si="109"/>
        <v>23</v>
      </c>
      <c r="IV38" s="52" t="s">
        <v>111</v>
      </c>
      <c r="IW38" s="1" t="s">
        <v>107</v>
      </c>
      <c r="IX38" s="50" t="s">
        <v>303</v>
      </c>
      <c r="IY38" s="1">
        <v>1800</v>
      </c>
      <c r="IZ38" s="1">
        <f>(IW6+1)*2</f>
        <v>40</v>
      </c>
      <c r="JA38" s="51">
        <f>IY38/1000*IZ38</f>
        <v>72</v>
      </c>
      <c r="JB38" s="51">
        <v>3.3</v>
      </c>
      <c r="JC38" s="148">
        <f>JA38*JB38</f>
        <v>237.6</v>
      </c>
      <c r="JD38" s="31"/>
      <c r="JE38" s="30"/>
      <c r="JF38" s="1">
        <f>JF37+1</f>
        <v>23</v>
      </c>
      <c r="JG38" s="1" t="s">
        <v>108</v>
      </c>
      <c r="JH38" s="1" t="s">
        <v>109</v>
      </c>
      <c r="JI38" s="50" t="s">
        <v>303</v>
      </c>
      <c r="JJ38" s="1">
        <f>JH9*1000</f>
        <v>4800</v>
      </c>
      <c r="JK38" s="1">
        <f>JH6*8</f>
        <v>152</v>
      </c>
      <c r="JL38" s="51">
        <f>JJ38/1000*JK38</f>
        <v>729.6</v>
      </c>
      <c r="JM38" s="51">
        <v>3.3</v>
      </c>
      <c r="JN38" s="124">
        <f>JL38*JM38</f>
        <v>2407.6799999999998</v>
      </c>
      <c r="JO38" s="31"/>
      <c r="JP38" s="30"/>
      <c r="JQ38" s="18"/>
      <c r="JR38" s="150"/>
      <c r="JS38" s="151"/>
      <c r="JT38" s="18"/>
      <c r="JU38" s="315" t="s">
        <v>299</v>
      </c>
      <c r="JV38" s="316"/>
      <c r="JW38" s="152">
        <f>JW20+JW25+JW26+JW27+JW28+JW29+JW30</f>
        <v>424.4</v>
      </c>
      <c r="JX38" s="153"/>
      <c r="JY38" s="152">
        <f>JY20+JY25+JY26+JY27+JY28+JY29+JY30</f>
        <v>10694.88</v>
      </c>
      <c r="JZ38" s="31"/>
      <c r="KA38" s="30"/>
      <c r="KB38" s="18"/>
      <c r="KC38" s="150"/>
      <c r="KD38" s="151"/>
      <c r="KE38" s="18"/>
      <c r="KF38" s="315" t="s">
        <v>300</v>
      </c>
      <c r="KG38" s="316"/>
      <c r="KH38" s="152">
        <f>KH20+KH25+KH26+KH27+KH28+KH29+KH30</f>
        <v>424.4</v>
      </c>
      <c r="KI38" s="153"/>
      <c r="KJ38" s="152">
        <f>KJ20+KJ25+KJ26+KJ27+KJ28+KJ29+KJ30</f>
        <v>8785.08</v>
      </c>
      <c r="KK38" s="31"/>
      <c r="KL38" s="30"/>
      <c r="KM38" s="18"/>
      <c r="KN38" s="18"/>
      <c r="KO38" s="18"/>
      <c r="KP38" s="18"/>
      <c r="KQ38" s="329" t="s">
        <v>12</v>
      </c>
      <c r="KR38" s="329"/>
      <c r="KS38" s="71">
        <f>KS16+KS17+KS19+KS20+KS25+KS26</f>
        <v>2156.8000000000002</v>
      </c>
      <c r="KT38" s="103"/>
      <c r="KU38" s="71">
        <f>KU16+KU17+KU19+KU20+KU25+KU26</f>
        <v>21783.68</v>
      </c>
      <c r="KV38" s="31"/>
      <c r="KW38" s="30"/>
      <c r="KX38" s="1">
        <f t="shared" si="112"/>
        <v>23</v>
      </c>
      <c r="KY38" s="1" t="s">
        <v>194</v>
      </c>
      <c r="KZ38" s="1" t="s">
        <v>195</v>
      </c>
      <c r="LA38" s="3" t="s">
        <v>62</v>
      </c>
      <c r="LB38" s="49">
        <f>(KZ5+0.2+3.2)*1000</f>
        <v>11599.999999999998</v>
      </c>
      <c r="LC38" s="49">
        <v>4</v>
      </c>
      <c r="LD38" s="3">
        <f t="shared" si="227"/>
        <v>46.399999999999991</v>
      </c>
      <c r="LE38" s="3">
        <v>10.1</v>
      </c>
      <c r="LF38" s="108">
        <f t="shared" si="228"/>
        <v>468.63999999999987</v>
      </c>
      <c r="LG38" s="31"/>
      <c r="LH38" s="30"/>
      <c r="LI38" s="18"/>
      <c r="LJ38" s="18"/>
      <c r="LK38" s="18"/>
      <c r="LM38" s="18"/>
      <c r="LN38" s="18"/>
      <c r="LO38" s="134" t="s">
        <v>231</v>
      </c>
      <c r="LP38" s="134"/>
      <c r="LQ38" s="135">
        <f>SUM(LQ34:LQ35)</f>
        <v>8018.4</v>
      </c>
      <c r="LR38" s="31"/>
      <c r="LS38" s="30"/>
      <c r="LT38" s="18"/>
      <c r="LZ38" s="269" t="s">
        <v>9</v>
      </c>
      <c r="MA38" s="270"/>
      <c r="MB38" s="2">
        <f>MB34+MB35+MB36+MB37</f>
        <v>7569.9400000000005</v>
      </c>
      <c r="MC38" s="31"/>
      <c r="ME38" s="30"/>
      <c r="MF38" s="18"/>
      <c r="ML38" s="254" t="s">
        <v>9</v>
      </c>
      <c r="MM38" s="255"/>
      <c r="MN38" s="2">
        <f>MN34+MN35+MN36+MN37</f>
        <v>6734.9459999999999</v>
      </c>
      <c r="MO38" s="31"/>
      <c r="MQ38" s="30"/>
      <c r="MR38" s="18"/>
      <c r="MS38" s="18"/>
      <c r="MT38" s="18"/>
      <c r="MU38" s="18"/>
      <c r="MV38" s="310" t="s">
        <v>14</v>
      </c>
      <c r="MW38" s="310"/>
      <c r="MX38" s="19">
        <f>MX36*0.1+(((4.3+1.2*4)*5)*0.25)*47.1</f>
        <v>885.48090000000002</v>
      </c>
      <c r="MY38" s="1">
        <v>140</v>
      </c>
      <c r="MZ38" s="20">
        <f t="shared" si="231"/>
        <v>123967.326</v>
      </c>
      <c r="NA38" s="31"/>
      <c r="ND38" s="30"/>
      <c r="NE38" s="18"/>
      <c r="NF38" s="18"/>
      <c r="NG38" s="18"/>
      <c r="NI38" s="18"/>
      <c r="NJ38" s="18"/>
      <c r="NK38" s="13" t="s">
        <v>37</v>
      </c>
      <c r="NL38" s="13"/>
      <c r="NM38" s="14"/>
      <c r="NN38" s="31"/>
      <c r="NP38" s="30"/>
      <c r="NQ38" s="18"/>
      <c r="NR38" s="1" t="s">
        <v>30</v>
      </c>
      <c r="NS38" s="19">
        <f>NW42</f>
        <v>5018.7058880000013</v>
      </c>
      <c r="NT38" s="18"/>
      <c r="NU38" s="310" t="s">
        <v>15</v>
      </c>
      <c r="NV38" s="310"/>
      <c r="NW38" s="1">
        <f>(NV16/2)*35+(NV18/2+NV22/2)*25</f>
        <v>405</v>
      </c>
      <c r="NX38" s="22">
        <f>NX35</f>
        <v>140</v>
      </c>
      <c r="NY38" s="20">
        <f t="shared" si="220"/>
        <v>56700</v>
      </c>
      <c r="NZ38" s="31"/>
      <c r="OC38" s="30"/>
      <c r="OD38" s="18"/>
      <c r="OE38" s="1" t="s">
        <v>30</v>
      </c>
      <c r="OF38" s="19">
        <f>OJ42</f>
        <v>6150.8777600000012</v>
      </c>
      <c r="OG38" s="18"/>
      <c r="OH38" s="310" t="s">
        <v>15</v>
      </c>
      <c r="OI38" s="310"/>
      <c r="OJ38" s="1">
        <f>(OI16/2)*35+(OI18/2+OI22/2)*25</f>
        <v>475</v>
      </c>
      <c r="OK38" s="22">
        <f>OK35</f>
        <v>140</v>
      </c>
      <c r="OL38" s="20">
        <f t="shared" si="221"/>
        <v>66500</v>
      </c>
      <c r="OM38" s="31"/>
      <c r="OP38" s="30"/>
      <c r="OQ38" s="18"/>
      <c r="OR38" s="1" t="s">
        <v>30</v>
      </c>
      <c r="OS38" s="19">
        <f>OW42</f>
        <v>6150.8777600000012</v>
      </c>
      <c r="OT38" s="18"/>
      <c r="OU38" s="310" t="s">
        <v>15</v>
      </c>
      <c r="OV38" s="310"/>
      <c r="OW38" s="1">
        <f>(OV16/2)*35+(OV18/2+OV22/2)*25</f>
        <v>475</v>
      </c>
      <c r="OX38" s="22">
        <f>OX35</f>
        <v>130</v>
      </c>
      <c r="OY38" s="20">
        <f t="shared" si="222"/>
        <v>61750</v>
      </c>
      <c r="OZ38" s="31"/>
      <c r="PD38" s="30"/>
      <c r="PE38" s="18"/>
      <c r="PF38" s="1" t="s">
        <v>30</v>
      </c>
      <c r="PG38" s="19">
        <f>PK42</f>
        <v>6150.8777600000012</v>
      </c>
      <c r="PH38" s="18"/>
      <c r="PI38" s="310" t="s">
        <v>15</v>
      </c>
      <c r="PJ38" s="310"/>
      <c r="PK38" s="1">
        <f>(PJ16/2)*35+(PJ18/2+PJ22/2)*25</f>
        <v>475</v>
      </c>
      <c r="PL38" s="22">
        <f>PL35</f>
        <v>130</v>
      </c>
      <c r="PM38" s="20">
        <f t="shared" si="223"/>
        <v>61750</v>
      </c>
      <c r="PN38" s="31"/>
      <c r="PQ38" s="30"/>
      <c r="PR38" s="18"/>
      <c r="PS38" s="1" t="s">
        <v>30</v>
      </c>
      <c r="PT38" s="19">
        <f>PX42</f>
        <v>6150.8777600000012</v>
      </c>
      <c r="PU38" s="18"/>
      <c r="PV38" s="310" t="s">
        <v>15</v>
      </c>
      <c r="PW38" s="310"/>
      <c r="PX38" s="1">
        <f>(PW16/2)*35+(PW18/2+PW22/2)*25</f>
        <v>475</v>
      </c>
      <c r="PY38" s="22">
        <f>100*1.1+30</f>
        <v>140</v>
      </c>
      <c r="PZ38" s="20">
        <f t="shared" si="224"/>
        <v>66500</v>
      </c>
      <c r="QA38" s="31"/>
      <c r="QD38" s="30"/>
      <c r="QE38" s="18"/>
      <c r="QF38" s="1" t="s">
        <v>30</v>
      </c>
      <c r="QG38" s="19">
        <f>QK42</f>
        <v>3743.2901600000005</v>
      </c>
      <c r="QH38" s="18"/>
      <c r="QI38" s="310" t="s">
        <v>15</v>
      </c>
      <c r="QJ38" s="310"/>
      <c r="QK38" s="1">
        <f>(QJ16/2)*35+(QJ18/2+QJ22/2)*25</f>
        <v>310</v>
      </c>
      <c r="QL38" s="22">
        <f>80*1.1+36</f>
        <v>124</v>
      </c>
      <c r="QM38" s="20">
        <f t="shared" si="225"/>
        <v>38440</v>
      </c>
      <c r="QN38" s="31"/>
      <c r="QQ38" s="30"/>
      <c r="QR38" s="18"/>
      <c r="QS38" s="1" t="s">
        <v>30</v>
      </c>
      <c r="QT38" s="19">
        <f>QX42</f>
        <v>6150.8777600000012</v>
      </c>
      <c r="QU38" s="18"/>
      <c r="QV38" s="310" t="s">
        <v>15</v>
      </c>
      <c r="QW38" s="310"/>
      <c r="QX38" s="1">
        <f>(QW16/2)*35+(QW18/2+QW22/2)*25</f>
        <v>475</v>
      </c>
      <c r="QY38" s="22">
        <f>90*1.1+30</f>
        <v>129</v>
      </c>
      <c r="QZ38" s="20">
        <f t="shared" si="226"/>
        <v>61275</v>
      </c>
      <c r="RA38" s="31"/>
    </row>
    <row r="39" spans="1:469" x14ac:dyDescent="0.25">
      <c r="A39" s="30"/>
      <c r="B39" s="18"/>
      <c r="C39" s="18"/>
      <c r="D39" s="18"/>
      <c r="E39" s="18"/>
      <c r="F39" s="18"/>
      <c r="G39" s="18"/>
      <c r="H39" s="219"/>
      <c r="I39" s="219"/>
      <c r="J39" s="220"/>
      <c r="K39" s="31"/>
      <c r="L39" s="30"/>
      <c r="M39" s="18"/>
      <c r="N39" s="18"/>
      <c r="O39" s="18"/>
      <c r="P39" s="18"/>
      <c r="Q39" s="18"/>
      <c r="R39" s="18"/>
      <c r="S39" s="219"/>
      <c r="T39" s="219"/>
      <c r="U39" s="220"/>
      <c r="V39" s="31"/>
      <c r="W39" s="30"/>
      <c r="X39" s="18"/>
      <c r="Y39" s="18"/>
      <c r="Z39" s="18"/>
      <c r="AA39" s="18"/>
      <c r="AB39" s="18"/>
      <c r="AC39" s="18"/>
      <c r="AD39" s="18"/>
      <c r="AE39" s="18"/>
      <c r="AF39" s="18"/>
      <c r="AG39" s="31"/>
      <c r="AH39" s="30"/>
      <c r="AR39" s="31"/>
      <c r="AS39" s="30"/>
      <c r="BC39" s="31"/>
      <c r="BD39" s="30"/>
      <c r="BN39" s="31"/>
      <c r="BO39" s="30"/>
      <c r="BP39" s="18"/>
      <c r="BQ39" s="18"/>
      <c r="BR39" s="18"/>
      <c r="BS39" s="18"/>
      <c r="BT39" s="18"/>
      <c r="BU39" s="18"/>
      <c r="BV39" s="219"/>
      <c r="BW39" s="219"/>
      <c r="BX39" s="220"/>
      <c r="BY39" s="31"/>
      <c r="BZ39" s="30"/>
      <c r="CA39" s="18"/>
      <c r="CB39" s="18"/>
      <c r="CC39" s="18"/>
      <c r="CD39" s="18"/>
      <c r="CE39" s="18"/>
      <c r="CF39" s="18"/>
      <c r="CG39" s="18"/>
      <c r="CH39" s="18"/>
      <c r="CI39" s="18"/>
      <c r="CJ39" s="31"/>
      <c r="CK39" s="30"/>
      <c r="CR39" s="219"/>
      <c r="CS39" s="219"/>
      <c r="CT39" s="220"/>
      <c r="CU39" s="31"/>
      <c r="CV39" s="30"/>
      <c r="CW39" s="18"/>
      <c r="CX39" s="18"/>
      <c r="CY39" s="18"/>
      <c r="CZ39" s="18"/>
      <c r="DA39" s="18"/>
      <c r="DB39" s="18"/>
      <c r="DC39" s="18"/>
      <c r="DD39" s="18"/>
      <c r="DE39" s="18"/>
      <c r="DF39" s="31"/>
      <c r="DG39" s="30"/>
      <c r="DH39" s="18"/>
      <c r="DN39" s="219"/>
      <c r="DO39" s="219"/>
      <c r="DP39" s="220"/>
      <c r="DQ39" s="31"/>
      <c r="DR39" s="30"/>
      <c r="DS39" s="18"/>
      <c r="DY39" s="219"/>
      <c r="DZ39" s="219"/>
      <c r="EA39" s="220"/>
      <c r="EB39" s="31"/>
      <c r="EC39" s="30"/>
      <c r="ED39" s="18"/>
      <c r="EE39" s="18"/>
      <c r="EF39" s="18"/>
      <c r="EG39" s="18"/>
      <c r="EH39" s="18"/>
      <c r="EI39" s="18"/>
      <c r="EJ39" s="55" t="s">
        <v>114</v>
      </c>
      <c r="EK39" s="55"/>
      <c r="EL39" s="56">
        <f>SUM(EL33:EL35)</f>
        <v>403.91999999999996</v>
      </c>
      <c r="EM39" s="31"/>
      <c r="EN39" s="30"/>
      <c r="EO39" s="1">
        <f t="shared" si="96"/>
        <v>24</v>
      </c>
      <c r="EP39" s="1" t="s">
        <v>10</v>
      </c>
      <c r="EQ39" s="1" t="s">
        <v>11</v>
      </c>
      <c r="ER39" s="25">
        <v>2.5</v>
      </c>
      <c r="ES39" s="1"/>
      <c r="ET39" s="1">
        <f>(ET23+ET24+ET26+ET29+ET30+ET31+ET32+ET33+ET34+ET35+ET36+ET37+ET38)*2</f>
        <v>502</v>
      </c>
      <c r="EU39" s="25"/>
      <c r="EV39" s="25">
        <v>1.5</v>
      </c>
      <c r="EW39" s="90">
        <f>ET39*EV39</f>
        <v>753</v>
      </c>
      <c r="EX39" s="31"/>
      <c r="EY39" s="30"/>
      <c r="EZ39" s="18"/>
      <c r="FA39" s="18"/>
      <c r="FB39" s="18"/>
      <c r="FC39" s="18"/>
      <c r="FD39" s="18"/>
      <c r="FE39" s="18"/>
      <c r="FF39" s="18"/>
      <c r="FG39" s="18"/>
      <c r="FH39" s="18"/>
      <c r="FI39" s="31"/>
      <c r="FJ39" s="30"/>
      <c r="FK39" s="18"/>
      <c r="FL39" s="18"/>
      <c r="FM39" s="18"/>
      <c r="FN39" s="18"/>
      <c r="FO39" s="18"/>
      <c r="FP39" s="18"/>
      <c r="FQ39" s="18"/>
      <c r="FR39" s="18"/>
      <c r="FS39" s="18"/>
      <c r="FT39" s="31"/>
      <c r="FU39" s="30"/>
      <c r="FV39" s="1">
        <f t="shared" si="101"/>
        <v>24</v>
      </c>
      <c r="FW39" s="1" t="s">
        <v>10</v>
      </c>
      <c r="FX39" s="1" t="s">
        <v>11</v>
      </c>
      <c r="FY39" s="25">
        <v>2.5</v>
      </c>
      <c r="FZ39" s="1"/>
      <c r="GA39" s="1">
        <f>(GA25+GA26+GA28+GA34+GA35+GA36+GA37)*2</f>
        <v>406</v>
      </c>
      <c r="GB39" s="25"/>
      <c r="GC39" s="25">
        <v>1.5</v>
      </c>
      <c r="GD39" s="127">
        <f>GA39*GC39</f>
        <v>609</v>
      </c>
      <c r="GE39" s="31"/>
      <c r="GF39" s="30"/>
      <c r="GG39" s="18"/>
      <c r="GH39" s="18"/>
      <c r="GI39" s="18"/>
      <c r="GK39" s="332" t="s">
        <v>291</v>
      </c>
      <c r="GL39" s="333"/>
      <c r="GM39" s="189">
        <f>GM29+GM30+GM34</f>
        <v>1524.72</v>
      </c>
      <c r="GN39" s="189"/>
      <c r="GO39" s="191">
        <f>GO29+GO30+GO34</f>
        <v>10825.512000000001</v>
      </c>
      <c r="GP39" s="31"/>
      <c r="GQ39" s="30"/>
      <c r="GX39" s="219"/>
      <c r="GY39" s="219"/>
      <c r="GZ39" s="220"/>
      <c r="HA39" s="31"/>
      <c r="HB39" s="30"/>
      <c r="HC39" s="18"/>
      <c r="HD39" s="18"/>
      <c r="HE39" s="18"/>
      <c r="HF39" s="18"/>
      <c r="HG39" s="18"/>
      <c r="HH39" s="18"/>
      <c r="HI39" s="18"/>
      <c r="HJ39" s="18"/>
      <c r="HK39" s="18"/>
      <c r="HL39" s="31"/>
      <c r="HM39" s="30"/>
      <c r="HN39" s="18"/>
      <c r="HO39" s="18"/>
      <c r="HP39" s="18"/>
      <c r="HQ39" s="18"/>
      <c r="HR39" s="18"/>
      <c r="HS39" s="18"/>
      <c r="HT39" s="219"/>
      <c r="HU39" s="219"/>
      <c r="HV39" s="220"/>
      <c r="HW39" s="31"/>
      <c r="HX39" s="30"/>
      <c r="HY39" s="18"/>
      <c r="HZ39" s="18"/>
      <c r="IA39" s="18"/>
      <c r="IB39" s="18"/>
      <c r="IC39" s="18"/>
      <c r="ID39" s="18"/>
      <c r="IE39" s="18"/>
      <c r="IF39" s="18"/>
      <c r="IG39" s="18"/>
      <c r="IH39" s="31"/>
      <c r="II39" s="30"/>
      <c r="IJ39" s="1">
        <f t="shared" si="232"/>
        <v>24</v>
      </c>
      <c r="IK39" s="1" t="s">
        <v>108</v>
      </c>
      <c r="IL39" s="1" t="s">
        <v>109</v>
      </c>
      <c r="IM39" s="50" t="s">
        <v>303</v>
      </c>
      <c r="IN39" s="1">
        <f>IL9*1000</f>
        <v>4800</v>
      </c>
      <c r="IO39" s="1">
        <f>IL6*8</f>
        <v>152</v>
      </c>
      <c r="IP39" s="51">
        <f>IN39/1000*IO39</f>
        <v>729.6</v>
      </c>
      <c r="IQ39" s="51">
        <v>3.3</v>
      </c>
      <c r="IR39" s="148">
        <f>IP39*IQ39</f>
        <v>2407.6799999999998</v>
      </c>
      <c r="IS39" s="31"/>
      <c r="IT39" s="30"/>
      <c r="IU39" s="1">
        <f t="shared" si="109"/>
        <v>24</v>
      </c>
      <c r="IV39" s="1" t="s">
        <v>108</v>
      </c>
      <c r="IW39" s="1" t="s">
        <v>109</v>
      </c>
      <c r="IX39" s="50" t="s">
        <v>303</v>
      </c>
      <c r="IY39" s="1">
        <f>IW9*1000</f>
        <v>4800</v>
      </c>
      <c r="IZ39" s="1">
        <f>IW6*8</f>
        <v>152</v>
      </c>
      <c r="JA39" s="51">
        <f>IY39/1000*IZ39</f>
        <v>729.6</v>
      </c>
      <c r="JB39" s="51">
        <v>3.3</v>
      </c>
      <c r="JC39" s="148">
        <f>JA39*JB39</f>
        <v>2407.6799999999998</v>
      </c>
      <c r="JD39" s="31"/>
      <c r="JE39" s="30"/>
      <c r="JF39" s="1">
        <f>JF38+1</f>
        <v>24</v>
      </c>
      <c r="JG39" s="1" t="s">
        <v>10</v>
      </c>
      <c r="JH39" s="1" t="s">
        <v>110</v>
      </c>
      <c r="JI39" s="25">
        <v>2.5</v>
      </c>
      <c r="JJ39" s="1"/>
      <c r="JK39" s="1">
        <f>JK38*2+4</f>
        <v>308</v>
      </c>
      <c r="JL39" s="25"/>
      <c r="JM39" s="25">
        <v>0.5</v>
      </c>
      <c r="JN39" s="116">
        <f>JK39*JM39</f>
        <v>154</v>
      </c>
      <c r="JO39" s="31"/>
      <c r="JP39" s="30"/>
      <c r="JQ39" s="18"/>
      <c r="JR39" s="74"/>
      <c r="JS39" s="75"/>
      <c r="JT39" s="18"/>
      <c r="JU39" s="321" t="s">
        <v>114</v>
      </c>
      <c r="JV39" s="322"/>
      <c r="JW39" s="77">
        <f>JW31+JW32+JW33</f>
        <v>866</v>
      </c>
      <c r="JX39" s="50"/>
      <c r="JY39" s="77">
        <f>JY31+JY32+JY33</f>
        <v>2857.8</v>
      </c>
      <c r="JZ39" s="31"/>
      <c r="KA39" s="30"/>
      <c r="KB39" s="18"/>
      <c r="KC39" s="74"/>
      <c r="KD39" s="75"/>
      <c r="KE39" s="18"/>
      <c r="KF39" s="321" t="s">
        <v>114</v>
      </c>
      <c r="KG39" s="322"/>
      <c r="KH39" s="77">
        <f>KH31+KH32+KH33</f>
        <v>866.8</v>
      </c>
      <c r="KI39" s="50"/>
      <c r="KJ39" s="77">
        <f>KJ31+KJ32+KJ33</f>
        <v>2860.44</v>
      </c>
      <c r="KK39" s="31"/>
      <c r="KL39" s="30"/>
      <c r="KM39" s="18"/>
      <c r="KN39" s="18"/>
      <c r="KO39" s="18"/>
      <c r="KP39" s="18"/>
      <c r="KQ39" s="18"/>
      <c r="KR39" s="18"/>
      <c r="KS39" s="68" t="s">
        <v>9</v>
      </c>
      <c r="KT39" s="69"/>
      <c r="KU39" s="80">
        <f>KU34+KU35+KU36+KU37+KU38</f>
        <v>38667.839999999997</v>
      </c>
      <c r="KV39" s="31"/>
      <c r="KW39" s="30"/>
      <c r="KX39" s="1">
        <f t="shared" si="112"/>
        <v>24</v>
      </c>
      <c r="KY39" s="1" t="s">
        <v>196</v>
      </c>
      <c r="KZ39" s="1" t="s">
        <v>79</v>
      </c>
      <c r="LA39" s="5" t="s">
        <v>63</v>
      </c>
      <c r="LB39" s="1">
        <v>4150</v>
      </c>
      <c r="LC39" s="1">
        <f>6*2*2</f>
        <v>24</v>
      </c>
      <c r="LD39" s="5">
        <f t="shared" si="227"/>
        <v>99.600000000000009</v>
      </c>
      <c r="LE39" s="5">
        <v>8.3000000000000007</v>
      </c>
      <c r="LF39" s="106">
        <f t="shared" si="228"/>
        <v>826.68000000000018</v>
      </c>
      <c r="LG39" s="31"/>
      <c r="LH39" s="30"/>
      <c r="LI39" s="18"/>
      <c r="LJ39" s="18"/>
      <c r="LK39" s="18"/>
      <c r="LM39" s="18"/>
      <c r="LN39" s="18"/>
      <c r="LO39" s="136" t="s">
        <v>226</v>
      </c>
      <c r="LP39" s="136"/>
      <c r="LQ39" s="137">
        <f>SUM(LQ27:LQ32)</f>
        <v>30888</v>
      </c>
      <c r="LR39" s="31"/>
      <c r="LS39" s="30"/>
      <c r="LT39" s="18"/>
      <c r="LZ39" s="219"/>
      <c r="MA39" s="219"/>
      <c r="MB39" s="220"/>
      <c r="MC39" s="31"/>
      <c r="ME39" s="30"/>
      <c r="MF39" s="18"/>
      <c r="ML39" s="219"/>
      <c r="MM39" s="219"/>
      <c r="MN39" s="220"/>
      <c r="MO39" s="31"/>
      <c r="MQ39" s="30"/>
      <c r="MR39" s="18"/>
      <c r="MS39" s="1" t="s">
        <v>28</v>
      </c>
      <c r="MT39" s="1">
        <f>MT11</f>
        <v>105</v>
      </c>
      <c r="MU39" s="18"/>
      <c r="MV39" s="310" t="s">
        <v>72</v>
      </c>
      <c r="MW39" s="310"/>
      <c r="MX39" s="1"/>
      <c r="MY39" s="1"/>
      <c r="MZ39" s="20">
        <f t="shared" si="231"/>
        <v>0</v>
      </c>
      <c r="NA39" s="31"/>
      <c r="ND39" s="30"/>
      <c r="NE39" s="18"/>
      <c r="NF39" s="18"/>
      <c r="NG39" s="18"/>
      <c r="NH39" s="18"/>
      <c r="NI39" s="18"/>
      <c r="NJ39" s="18"/>
      <c r="NK39" s="6" t="s">
        <v>20</v>
      </c>
      <c r="NL39" s="6"/>
      <c r="NM39" s="7"/>
      <c r="NN39" s="31"/>
      <c r="NP39" s="30"/>
      <c r="NQ39" s="18"/>
      <c r="NR39" s="1" t="s">
        <v>32</v>
      </c>
      <c r="NS39" s="21">
        <f>NY44/NW42</f>
        <v>199.06353657423168</v>
      </c>
      <c r="NT39" s="18"/>
      <c r="NU39" s="310" t="s">
        <v>16</v>
      </c>
      <c r="NV39" s="310"/>
      <c r="NW39" s="19">
        <f>NW33*0.04</f>
        <v>138.33244800000003</v>
      </c>
      <c r="NX39" s="22">
        <v>150</v>
      </c>
      <c r="NY39" s="20">
        <f t="shared" si="220"/>
        <v>20749.867200000004</v>
      </c>
      <c r="NZ39" s="31"/>
      <c r="OC39" s="30"/>
      <c r="OD39" s="18"/>
      <c r="OE39" s="1" t="s">
        <v>32</v>
      </c>
      <c r="OF39" s="21">
        <f>OL44/OJ42</f>
        <v>199.22396991742522</v>
      </c>
      <c r="OG39" s="18"/>
      <c r="OH39" s="310" t="s">
        <v>16</v>
      </c>
      <c r="OI39" s="310"/>
      <c r="OJ39" s="19">
        <f>OJ33*0.04</f>
        <v>170.40896000000004</v>
      </c>
      <c r="OK39" s="22">
        <v>150</v>
      </c>
      <c r="OL39" s="20">
        <f t="shared" si="221"/>
        <v>25561.344000000005</v>
      </c>
      <c r="OM39" s="31"/>
      <c r="OP39" s="30"/>
      <c r="OQ39" s="18"/>
      <c r="OR39" s="1" t="s">
        <v>32</v>
      </c>
      <c r="OS39" s="21">
        <f>OY44/OW42</f>
        <v>181.67438102752996</v>
      </c>
      <c r="OT39" s="18"/>
      <c r="OU39" s="310" t="s">
        <v>16</v>
      </c>
      <c r="OV39" s="310"/>
      <c r="OW39" s="19">
        <f>OW33*0.04</f>
        <v>170.40896000000004</v>
      </c>
      <c r="OX39" s="22">
        <v>150</v>
      </c>
      <c r="OY39" s="20">
        <f t="shared" si="222"/>
        <v>25561.344000000005</v>
      </c>
      <c r="OZ39" s="31"/>
      <c r="PD39" s="30"/>
      <c r="PE39" s="18"/>
      <c r="PF39" s="1" t="s">
        <v>32</v>
      </c>
      <c r="PG39" s="21">
        <f>PM44/PK42</f>
        <v>159.23347698329158</v>
      </c>
      <c r="PH39" s="18"/>
      <c r="PI39" s="310" t="s">
        <v>16</v>
      </c>
      <c r="PJ39" s="310"/>
      <c r="PK39" s="19">
        <f>PK33*0.04</f>
        <v>170.40896000000004</v>
      </c>
      <c r="PL39" s="22">
        <v>150</v>
      </c>
      <c r="PM39" s="20">
        <f t="shared" si="223"/>
        <v>25561.344000000005</v>
      </c>
      <c r="PN39" s="31"/>
      <c r="PQ39" s="30"/>
      <c r="PR39" s="18"/>
      <c r="PS39" s="1" t="s">
        <v>32</v>
      </c>
      <c r="PT39" s="21">
        <f>PZ44/PX42</f>
        <v>173.3477595730987</v>
      </c>
      <c r="PU39" s="18"/>
      <c r="PV39" s="310" t="s">
        <v>16</v>
      </c>
      <c r="PW39" s="310"/>
      <c r="PX39" s="19">
        <f>PX33*0.04</f>
        <v>170.40896000000004</v>
      </c>
      <c r="PY39" s="22">
        <v>190</v>
      </c>
      <c r="PZ39" s="20">
        <f t="shared" si="224"/>
        <v>32377.702400000006</v>
      </c>
      <c r="QA39" s="31"/>
      <c r="QD39" s="30"/>
      <c r="QE39" s="18"/>
      <c r="QF39" s="1" t="s">
        <v>32</v>
      </c>
      <c r="QG39" s="21">
        <f>QM44/QK42</f>
        <v>184.86282721935717</v>
      </c>
      <c r="QH39" s="18"/>
      <c r="QI39" s="310" t="s">
        <v>16</v>
      </c>
      <c r="QJ39" s="310"/>
      <c r="QK39" s="19">
        <f>QK33*0.04</f>
        <v>102.40935999999999</v>
      </c>
      <c r="QL39" s="22">
        <v>200</v>
      </c>
      <c r="QM39" s="20">
        <f t="shared" si="225"/>
        <v>20481.871999999999</v>
      </c>
      <c r="QN39" s="31"/>
      <c r="QQ39" s="30"/>
      <c r="QR39" s="18"/>
      <c r="QS39" s="1" t="s">
        <v>32</v>
      </c>
      <c r="QT39" s="21">
        <f>QZ44/QX42</f>
        <v>166.33282009883416</v>
      </c>
      <c r="QU39" s="18"/>
      <c r="QV39" s="310" t="s">
        <v>16</v>
      </c>
      <c r="QW39" s="310"/>
      <c r="QX39" s="19">
        <f>QX33*0.04</f>
        <v>170.40896000000004</v>
      </c>
      <c r="QY39" s="22">
        <v>180</v>
      </c>
      <c r="QZ39" s="20">
        <f t="shared" si="226"/>
        <v>30673.612800000006</v>
      </c>
      <c r="RA39" s="31"/>
    </row>
    <row r="40" spans="1:469" x14ac:dyDescent="0.25">
      <c r="A40" s="30"/>
      <c r="B40" s="18"/>
      <c r="C40" s="18"/>
      <c r="D40" s="18"/>
      <c r="E40" s="18"/>
      <c r="F40" s="18"/>
      <c r="G40" s="18"/>
      <c r="H40" s="219"/>
      <c r="I40" s="219"/>
      <c r="J40" s="220"/>
      <c r="K40" s="31"/>
      <c r="L40" s="30"/>
      <c r="M40" s="18"/>
      <c r="N40" s="18"/>
      <c r="O40" s="18"/>
      <c r="P40" s="18"/>
      <c r="Q40" s="18"/>
      <c r="R40" s="18"/>
      <c r="S40" s="219"/>
      <c r="T40" s="219"/>
      <c r="U40" s="220"/>
      <c r="V40" s="31"/>
      <c r="W40" s="30"/>
      <c r="X40" s="18"/>
      <c r="Y40" s="18"/>
      <c r="Z40" s="18"/>
      <c r="AA40" s="18"/>
      <c r="AB40" s="18"/>
      <c r="AC40" s="18"/>
      <c r="AD40" s="18"/>
      <c r="AE40" s="18"/>
      <c r="AF40" s="18"/>
      <c r="AG40" s="31"/>
      <c r="AH40" s="30"/>
      <c r="AR40" s="31"/>
      <c r="AS40" s="30"/>
      <c r="BC40" s="31"/>
      <c r="BD40" s="30"/>
      <c r="BN40" s="31"/>
      <c r="BO40" s="30"/>
      <c r="BP40" s="18"/>
      <c r="BQ40" s="18"/>
      <c r="BR40" s="18"/>
      <c r="BS40" s="18"/>
      <c r="BT40" s="18"/>
      <c r="BU40" s="18"/>
      <c r="BV40" s="219"/>
      <c r="BW40" s="219"/>
      <c r="BX40" s="220"/>
      <c r="BY40" s="31"/>
      <c r="BZ40" s="30"/>
      <c r="CA40" s="18"/>
      <c r="CB40" s="18"/>
      <c r="CC40" s="18"/>
      <c r="CD40" s="18"/>
      <c r="CE40" s="18"/>
      <c r="CF40" s="18"/>
      <c r="CG40" s="18"/>
      <c r="CH40" s="18"/>
      <c r="CI40" s="18"/>
      <c r="CJ40" s="31"/>
      <c r="CK40" s="30"/>
      <c r="CR40" s="219"/>
      <c r="CS40" s="219"/>
      <c r="CT40" s="220"/>
      <c r="CU40" s="31"/>
      <c r="CV40" s="30"/>
      <c r="CW40" s="18"/>
      <c r="CX40" s="18"/>
      <c r="CY40" s="18"/>
      <c r="CZ40" s="18"/>
      <c r="DA40" s="18"/>
      <c r="DB40" s="18"/>
      <c r="DC40" s="18"/>
      <c r="DD40" s="18"/>
      <c r="DE40" s="18"/>
      <c r="DF40" s="31"/>
      <c r="DG40" s="30"/>
      <c r="DH40" s="18"/>
      <c r="DN40" s="219"/>
      <c r="DO40" s="219"/>
      <c r="DP40" s="220"/>
      <c r="DQ40" s="31"/>
      <c r="DR40" s="30"/>
      <c r="DS40" s="18"/>
      <c r="DY40" s="219"/>
      <c r="DZ40" s="219"/>
      <c r="EA40" s="220"/>
      <c r="EB40" s="31"/>
      <c r="EC40" s="30"/>
      <c r="ED40" s="18"/>
      <c r="EE40" s="18"/>
      <c r="EF40" s="18"/>
      <c r="EH40" s="18"/>
      <c r="EI40" s="18"/>
      <c r="EJ40" s="13" t="s">
        <v>37</v>
      </c>
      <c r="EK40" s="13"/>
      <c r="EL40" s="14">
        <f>EL18+EL19+EL20+EL21+EL22</f>
        <v>2981.8799999999997</v>
      </c>
      <c r="EM40" s="31"/>
      <c r="EN40" s="30"/>
      <c r="EO40" s="18"/>
      <c r="EP40" s="18"/>
      <c r="EQ40" s="18"/>
      <c r="ES40" s="18"/>
      <c r="ET40" s="18"/>
      <c r="EU40" s="13" t="s">
        <v>37</v>
      </c>
      <c r="EV40" s="13"/>
      <c r="EW40" s="14">
        <f>EW18+EW19+EW20+EW21+EW22</f>
        <v>1681.02</v>
      </c>
      <c r="EX40" s="31"/>
      <c r="EY40" s="30"/>
      <c r="EZ40" s="18"/>
      <c r="FA40" s="18"/>
      <c r="FB40" s="18"/>
      <c r="FC40" s="18"/>
      <c r="FD40" s="18"/>
      <c r="FE40" s="18"/>
      <c r="FF40" s="18"/>
      <c r="FG40" s="18"/>
      <c r="FH40" s="18"/>
      <c r="FI40" s="31"/>
      <c r="FJ40" s="30"/>
      <c r="FK40" s="18"/>
      <c r="FL40" s="18"/>
      <c r="FM40" s="18"/>
      <c r="FN40" s="18"/>
      <c r="FO40" s="18"/>
      <c r="FP40" s="18"/>
      <c r="FQ40" s="18"/>
      <c r="FR40" s="18"/>
      <c r="FS40" s="18"/>
      <c r="FT40" s="31"/>
      <c r="FU40" s="30"/>
      <c r="FW40" s="18"/>
      <c r="FX40" s="18"/>
      <c r="FY40" s="18"/>
      <c r="FZ40" s="18"/>
      <c r="GA40" s="18"/>
      <c r="GB40" s="13" t="s">
        <v>37</v>
      </c>
      <c r="GC40" s="13"/>
      <c r="GD40" s="14">
        <f>SUM(GD17:GD24)</f>
        <v>4835.8200000000006</v>
      </c>
      <c r="GE40" s="31"/>
      <c r="GF40" s="30"/>
      <c r="GG40" s="18"/>
      <c r="GH40" s="18"/>
      <c r="GI40" s="18"/>
      <c r="GK40" s="334" t="s">
        <v>288</v>
      </c>
      <c r="GL40" s="335"/>
      <c r="GM40" s="188">
        <f>GM26</f>
        <v>1140</v>
      </c>
      <c r="GN40" s="188"/>
      <c r="GO40" s="192">
        <f>GO26</f>
        <v>6156</v>
      </c>
      <c r="GP40" s="31"/>
      <c r="GQ40" s="30"/>
      <c r="GX40" s="219"/>
      <c r="GY40" s="219"/>
      <c r="GZ40" s="220"/>
      <c r="HA40" s="31"/>
      <c r="HB40" s="30"/>
      <c r="HC40" s="18"/>
      <c r="HD40" s="18"/>
      <c r="HE40" s="18"/>
      <c r="HF40" s="18"/>
      <c r="HG40" s="18"/>
      <c r="HH40" s="18"/>
      <c r="HI40" s="18"/>
      <c r="HJ40" s="18"/>
      <c r="HK40" s="18"/>
      <c r="HL40" s="31"/>
      <c r="HM40" s="30"/>
      <c r="HN40" s="18"/>
      <c r="HO40" s="18"/>
      <c r="HP40" s="18"/>
      <c r="HQ40" s="18"/>
      <c r="HR40" s="18"/>
      <c r="HS40" s="18"/>
      <c r="HT40" s="219"/>
      <c r="HU40" s="219"/>
      <c r="HV40" s="220"/>
      <c r="HW40" s="31"/>
      <c r="HX40" s="30"/>
      <c r="HY40" s="18"/>
      <c r="HZ40" s="18"/>
      <c r="IA40" s="18"/>
      <c r="IB40" s="18"/>
      <c r="IC40" s="18"/>
      <c r="ID40" s="18"/>
      <c r="IE40" s="18"/>
      <c r="IF40" s="18"/>
      <c r="IG40" s="18"/>
      <c r="IH40" s="31"/>
      <c r="II40" s="30"/>
      <c r="IJ40" s="1">
        <f t="shared" si="232"/>
        <v>25</v>
      </c>
      <c r="IK40" s="1" t="s">
        <v>10</v>
      </c>
      <c r="IL40" s="1" t="s">
        <v>110</v>
      </c>
      <c r="IM40" s="25">
        <v>2.5</v>
      </c>
      <c r="IN40" s="1"/>
      <c r="IO40" s="1">
        <f>IL6*16+4</f>
        <v>308</v>
      </c>
      <c r="IP40" s="25"/>
      <c r="IQ40" s="25">
        <v>0.5</v>
      </c>
      <c r="IR40" s="147">
        <f>IO40*IQ40</f>
        <v>154</v>
      </c>
      <c r="IS40" s="31"/>
      <c r="IT40" s="30"/>
      <c r="IU40" s="1">
        <f t="shared" si="109"/>
        <v>25</v>
      </c>
      <c r="IV40" s="1" t="s">
        <v>10</v>
      </c>
      <c r="IW40" s="1" t="s">
        <v>110</v>
      </c>
      <c r="IX40" s="25">
        <v>2.5</v>
      </c>
      <c r="IY40" s="1"/>
      <c r="IZ40" s="1">
        <f>IZ39*2+4</f>
        <v>308</v>
      </c>
      <c r="JA40" s="25"/>
      <c r="JB40" s="25">
        <v>0.5</v>
      </c>
      <c r="JC40" s="147">
        <f>IZ40*JB40</f>
        <v>154</v>
      </c>
      <c r="JD40" s="31"/>
      <c r="JE40" s="30"/>
      <c r="JF40" s="1">
        <f>JF39+1</f>
        <v>25</v>
      </c>
      <c r="JG40" s="53" t="s">
        <v>113</v>
      </c>
      <c r="JH40" s="54" t="s">
        <v>112</v>
      </c>
      <c r="JI40" s="25">
        <v>2.5</v>
      </c>
      <c r="JJ40" s="1"/>
      <c r="JK40" s="1">
        <f>JH6*8+4</f>
        <v>156</v>
      </c>
      <c r="JL40" s="25"/>
      <c r="JM40" s="25">
        <v>0.5</v>
      </c>
      <c r="JN40" s="116">
        <f>JK40*JM40</f>
        <v>78</v>
      </c>
      <c r="JO40" s="31"/>
      <c r="JP40" s="30"/>
      <c r="JQ40" s="18"/>
      <c r="JR40" s="78"/>
      <c r="JS40" s="79"/>
      <c r="JT40" s="18"/>
      <c r="JU40" s="320" t="s">
        <v>37</v>
      </c>
      <c r="JV40" s="320"/>
      <c r="JW40" s="204">
        <f>JW18</f>
        <v>244.79999999999998</v>
      </c>
      <c r="JX40" s="205"/>
      <c r="JY40" s="204">
        <f>JY18</f>
        <v>1566.72</v>
      </c>
      <c r="JZ40" s="31"/>
      <c r="KA40" s="30"/>
      <c r="KB40" s="18"/>
      <c r="KC40" s="78"/>
      <c r="KD40" s="79"/>
      <c r="KE40" s="18"/>
      <c r="KF40" s="320" t="s">
        <v>37</v>
      </c>
      <c r="KG40" s="320"/>
      <c r="KH40" s="204">
        <f>KH18</f>
        <v>244.79999999999998</v>
      </c>
      <c r="KI40" s="205"/>
      <c r="KJ40" s="204">
        <f>KJ18</f>
        <v>1566.72</v>
      </c>
      <c r="KK40" s="31"/>
      <c r="KL40" s="30"/>
      <c r="KM40" s="18"/>
      <c r="KN40" s="18"/>
      <c r="KO40" s="18"/>
      <c r="KP40" s="18"/>
      <c r="KQ40" s="18"/>
      <c r="KR40" s="18"/>
      <c r="KS40" s="18"/>
      <c r="KT40" s="18"/>
      <c r="KU40" s="18"/>
      <c r="KV40" s="31"/>
      <c r="KW40" s="30"/>
      <c r="KX40" s="1">
        <f t="shared" si="112"/>
        <v>25</v>
      </c>
      <c r="KY40" s="1" t="s">
        <v>197</v>
      </c>
      <c r="KZ40" s="1" t="s">
        <v>80</v>
      </c>
      <c r="LA40" s="5" t="s">
        <v>63</v>
      </c>
      <c r="LB40" s="49">
        <v>4100</v>
      </c>
      <c r="LC40" s="49">
        <f>6*2*2</f>
        <v>24</v>
      </c>
      <c r="LD40" s="5">
        <f t="shared" si="227"/>
        <v>98.399999999999991</v>
      </c>
      <c r="LE40" s="5">
        <v>8.3000000000000007</v>
      </c>
      <c r="LF40" s="106">
        <f t="shared" si="228"/>
        <v>816.72</v>
      </c>
      <c r="LG40" s="31"/>
      <c r="LH40" s="30"/>
      <c r="LI40" s="18"/>
      <c r="LJ40" s="18"/>
      <c r="LK40" s="18"/>
      <c r="LM40" s="18"/>
      <c r="LN40" s="18"/>
      <c r="LO40" s="13" t="s">
        <v>37</v>
      </c>
      <c r="LP40" s="13"/>
      <c r="LQ40" s="14">
        <f>SUM(LQ20:LQ24)</f>
        <v>25066.880000000001</v>
      </c>
      <c r="LR40" s="31"/>
      <c r="LS40" s="30"/>
      <c r="LT40" s="18"/>
      <c r="LZ40" s="219"/>
      <c r="MA40" s="219"/>
      <c r="MB40" s="220"/>
      <c r="MC40" s="31"/>
      <c r="ME40" s="30"/>
      <c r="MF40" s="18"/>
      <c r="ML40" s="219"/>
      <c r="MM40" s="219"/>
      <c r="MN40" s="220"/>
      <c r="MO40" s="31"/>
      <c r="MQ40" s="30"/>
      <c r="MR40" s="18"/>
      <c r="MS40" s="1" t="s">
        <v>29</v>
      </c>
      <c r="MT40" s="19">
        <f>MZ47/MT39/MT42</f>
        <v>48.500307238095232</v>
      </c>
      <c r="MU40" s="18"/>
      <c r="MV40" s="310" t="s">
        <v>81</v>
      </c>
      <c r="MW40" s="310"/>
      <c r="MX40" s="1">
        <f>(5.75*2+10.4*2)*2*MT7*1.3</f>
        <v>83.97999999999999</v>
      </c>
      <c r="MY40" s="1">
        <v>150</v>
      </c>
      <c r="MZ40" s="20">
        <f t="shared" si="231"/>
        <v>12596.999999999998</v>
      </c>
      <c r="NA40" s="31"/>
      <c r="ND40" s="30"/>
      <c r="NE40" s="18"/>
      <c r="NF40" s="18"/>
      <c r="NG40" s="18"/>
      <c r="NH40" s="18"/>
      <c r="NI40" s="18"/>
      <c r="NJ40" s="18"/>
      <c r="NK40" s="8" t="s">
        <v>12</v>
      </c>
      <c r="NL40" s="8"/>
      <c r="NM40" s="9"/>
      <c r="NN40" s="31"/>
      <c r="NP40" s="30"/>
      <c r="NQ40" s="18"/>
      <c r="NR40" s="1" t="s">
        <v>35</v>
      </c>
      <c r="NS40" s="21">
        <f>NS41/NS36</f>
        <v>9514.6794580114292</v>
      </c>
      <c r="NT40" s="18"/>
      <c r="NU40" s="311" t="s">
        <v>140</v>
      </c>
      <c r="NV40" s="312"/>
      <c r="NW40" s="19">
        <f>NW33/18000</f>
        <v>0.19212840000000003</v>
      </c>
      <c r="NX40" s="1"/>
      <c r="NY40" s="20"/>
      <c r="NZ40" s="31"/>
      <c r="OC40" s="30"/>
      <c r="OD40" s="18"/>
      <c r="OE40" s="1" t="s">
        <v>35</v>
      </c>
      <c r="OF40" s="21">
        <f>OF41/OF36</f>
        <v>8752.8734701714293</v>
      </c>
      <c r="OG40" s="18"/>
      <c r="OH40" s="311" t="s">
        <v>140</v>
      </c>
      <c r="OI40" s="312"/>
      <c r="OJ40" s="19">
        <f>OJ33/18000</f>
        <v>0.23667911111111117</v>
      </c>
      <c r="OK40" s="1"/>
      <c r="OL40" s="20"/>
      <c r="OM40" s="31"/>
      <c r="OP40" s="30"/>
      <c r="OQ40" s="18"/>
      <c r="OR40" s="1" t="s">
        <v>35</v>
      </c>
      <c r="OS40" s="21">
        <f>OS41/OS36</f>
        <v>7981.8350701714298</v>
      </c>
      <c r="OT40" s="18"/>
      <c r="OU40" s="311" t="s">
        <v>140</v>
      </c>
      <c r="OV40" s="312"/>
      <c r="OW40" s="19">
        <f>OW33/18000</f>
        <v>0.23667911111111117</v>
      </c>
      <c r="OX40" s="1"/>
      <c r="OY40" s="20"/>
      <c r="OZ40" s="31"/>
      <c r="PD40" s="30"/>
      <c r="PE40" s="18"/>
      <c r="PF40" s="1" t="s">
        <v>35</v>
      </c>
      <c r="PG40" s="21">
        <f>PG41/PG36</f>
        <v>6995.8975158857165</v>
      </c>
      <c r="PH40" s="18"/>
      <c r="PI40" s="311" t="s">
        <v>140</v>
      </c>
      <c r="PJ40" s="312"/>
      <c r="PK40" s="19">
        <f>PK33/18000</f>
        <v>0.23667911111111117</v>
      </c>
      <c r="PL40" s="1"/>
      <c r="PM40" s="20"/>
      <c r="PN40" s="31"/>
      <c r="PQ40" s="30"/>
      <c r="PR40" s="18"/>
      <c r="PS40" s="1" t="s">
        <v>35</v>
      </c>
      <c r="PT40" s="21">
        <f>PT41/PT36</f>
        <v>7616.0062793142861</v>
      </c>
      <c r="PU40" s="18"/>
      <c r="PV40" s="311" t="s">
        <v>140</v>
      </c>
      <c r="PW40" s="312"/>
      <c r="PX40" s="19">
        <f>PX33/18000</f>
        <v>0.23667911111111117</v>
      </c>
      <c r="PY40" s="1"/>
      <c r="PZ40" s="20"/>
      <c r="QA40" s="31"/>
      <c r="QD40" s="30"/>
      <c r="QE40" s="18"/>
      <c r="QF40" s="1" t="s">
        <v>35</v>
      </c>
      <c r="QG40" s="21">
        <f>QG41/QG36</f>
        <v>5766.6266839999998</v>
      </c>
      <c r="QH40" s="18"/>
      <c r="QI40" s="311" t="s">
        <v>140</v>
      </c>
      <c r="QJ40" s="312"/>
      <c r="QK40" s="19">
        <f>QK33/18000</f>
        <v>0.14223522222222221</v>
      </c>
      <c r="QL40" s="1"/>
      <c r="QM40" s="20"/>
      <c r="QN40" s="31"/>
      <c r="QQ40" s="30"/>
      <c r="QR40" s="18"/>
      <c r="QS40" s="1" t="s">
        <v>35</v>
      </c>
      <c r="QT40" s="21">
        <f>QT41/QT36</f>
        <v>7307.8060278857156</v>
      </c>
      <c r="QU40" s="18"/>
      <c r="QV40" s="311" t="s">
        <v>140</v>
      </c>
      <c r="QW40" s="312"/>
      <c r="QX40" s="19">
        <f>QX33/18000</f>
        <v>0.23667911111111117</v>
      </c>
      <c r="QY40" s="1"/>
      <c r="QZ40" s="20"/>
      <c r="RA40" s="31"/>
    </row>
    <row r="41" spans="1:469" x14ac:dyDescent="0.25">
      <c r="A41" s="30"/>
      <c r="B41" s="18"/>
      <c r="C41" s="18"/>
      <c r="D41" s="18"/>
      <c r="E41" s="18"/>
      <c r="F41" s="18"/>
      <c r="G41" s="18"/>
      <c r="H41" s="219"/>
      <c r="I41" s="219"/>
      <c r="J41" s="220"/>
      <c r="K41" s="31"/>
      <c r="L41" s="30"/>
      <c r="M41" s="18"/>
      <c r="N41" s="18"/>
      <c r="O41" s="18"/>
      <c r="P41" s="18"/>
      <c r="Q41" s="18"/>
      <c r="R41" s="18"/>
      <c r="S41" s="219"/>
      <c r="T41" s="219"/>
      <c r="U41" s="220"/>
      <c r="V41" s="31"/>
      <c r="W41" s="30"/>
      <c r="X41" s="18"/>
      <c r="Y41" s="18"/>
      <c r="Z41" s="18"/>
      <c r="AA41" s="18"/>
      <c r="AB41" s="18"/>
      <c r="AC41" s="18"/>
      <c r="AD41" s="18"/>
      <c r="AE41" s="18"/>
      <c r="AF41" s="18"/>
      <c r="AG41" s="31"/>
      <c r="AH41" s="30"/>
      <c r="AR41" s="31"/>
      <c r="AS41" s="30"/>
      <c r="BC41" s="31"/>
      <c r="BD41" s="30"/>
      <c r="BN41" s="31"/>
      <c r="BO41" s="30"/>
      <c r="BP41" s="18"/>
      <c r="BQ41" s="18"/>
      <c r="BR41" s="18"/>
      <c r="BS41" s="18"/>
      <c r="BT41" s="18"/>
      <c r="BU41" s="18"/>
      <c r="BV41" s="219"/>
      <c r="BW41" s="219"/>
      <c r="BX41" s="220"/>
      <c r="BY41" s="31"/>
      <c r="BZ41" s="30"/>
      <c r="CA41" s="18"/>
      <c r="CB41" s="18"/>
      <c r="CC41" s="18"/>
      <c r="CD41" s="18"/>
      <c r="CE41" s="18"/>
      <c r="CF41" s="18"/>
      <c r="CG41" s="18"/>
      <c r="CH41" s="18"/>
      <c r="CI41" s="18"/>
      <c r="CJ41" s="31"/>
      <c r="CK41" s="30"/>
      <c r="CR41" s="219"/>
      <c r="CS41" s="219"/>
      <c r="CT41" s="220"/>
      <c r="CU41" s="31"/>
      <c r="CV41" s="30"/>
      <c r="CW41" s="18"/>
      <c r="CX41" s="18"/>
      <c r="CY41" s="18"/>
      <c r="CZ41" s="18"/>
      <c r="DA41" s="18"/>
      <c r="DB41" s="18"/>
      <c r="DC41" s="18"/>
      <c r="DD41" s="18"/>
      <c r="DE41" s="18"/>
      <c r="DF41" s="31"/>
      <c r="DG41" s="30"/>
      <c r="DH41" s="18"/>
      <c r="DN41" s="219"/>
      <c r="DO41" s="219"/>
      <c r="DP41" s="220"/>
      <c r="DQ41" s="31"/>
      <c r="DR41" s="30"/>
      <c r="DS41" s="18"/>
      <c r="DY41" s="219"/>
      <c r="DZ41" s="219"/>
      <c r="EA41" s="220"/>
      <c r="EB41" s="31"/>
      <c r="EC41" s="30"/>
      <c r="EE41" s="18"/>
      <c r="EF41" s="18"/>
      <c r="EG41" s="18"/>
      <c r="EH41" s="18"/>
      <c r="EI41" s="18"/>
      <c r="EJ41" s="6" t="s">
        <v>20</v>
      </c>
      <c r="EK41" s="6"/>
      <c r="EL41" s="7">
        <f>EL23+EL26+EL30+EL31</f>
        <v>4496.9400000000005</v>
      </c>
      <c r="EM41" s="31"/>
      <c r="EN41" s="30"/>
      <c r="EP41" s="18"/>
      <c r="EQ41" s="18"/>
      <c r="ER41" s="18"/>
      <c r="ES41" s="18"/>
      <c r="ET41" s="18"/>
      <c r="EU41" s="6" t="s">
        <v>20</v>
      </c>
      <c r="EV41" s="6"/>
      <c r="EW41" s="7">
        <f>EW17+EW23+EW26+EW29+EW30+EW31+EW32+EW33+EW34+EW35+EW36+EW37+EW38</f>
        <v>7218.5100000000011</v>
      </c>
      <c r="EX41" s="31"/>
      <c r="EY41" s="30"/>
      <c r="EZ41" s="18"/>
      <c r="FA41" s="18"/>
      <c r="FB41" s="18"/>
      <c r="FC41" s="18"/>
      <c r="FD41" s="18"/>
      <c r="FE41" s="18"/>
      <c r="FF41" s="18"/>
      <c r="FG41" s="18"/>
      <c r="FH41" s="18"/>
      <c r="FI41" s="31"/>
      <c r="FJ41" s="30"/>
      <c r="FK41" s="18"/>
      <c r="FL41" s="18"/>
      <c r="FM41" s="18"/>
      <c r="FN41" s="18"/>
      <c r="FO41" s="18"/>
      <c r="FP41" s="18"/>
      <c r="FQ41" s="18"/>
      <c r="FR41" s="18"/>
      <c r="FS41" s="18"/>
      <c r="FT41" s="31"/>
      <c r="FU41" s="30"/>
      <c r="FV41" s="18"/>
      <c r="FW41" s="18"/>
      <c r="FX41" s="18"/>
      <c r="FY41" s="18"/>
      <c r="FZ41" s="18"/>
      <c r="GA41" s="18"/>
      <c r="GB41" s="6" t="s">
        <v>20</v>
      </c>
      <c r="GC41" s="6"/>
      <c r="GD41" s="7">
        <f>GD25+GD28+GD34+GD35+GD36+GD37</f>
        <v>1917.3000000000002</v>
      </c>
      <c r="GE41" s="31"/>
      <c r="GF41" s="30"/>
      <c r="GG41" s="18"/>
      <c r="GH41" s="18"/>
      <c r="GI41" s="18"/>
      <c r="GK41" s="323" t="s">
        <v>40</v>
      </c>
      <c r="GL41" s="324"/>
      <c r="GM41" s="11">
        <f>GM17+GM18+GM22+GM23+GM24</f>
        <v>1331.68</v>
      </c>
      <c r="GN41" s="11"/>
      <c r="GO41" s="193">
        <f>GO17+GO18+GO22+GO23+GO24</f>
        <v>8789.0879999999997</v>
      </c>
      <c r="GP41" s="31"/>
      <c r="GQ41" s="30"/>
      <c r="GX41" s="219"/>
      <c r="GY41" s="219"/>
      <c r="GZ41" s="220"/>
      <c r="HA41" s="31"/>
      <c r="HB41" s="30"/>
      <c r="HC41" s="18"/>
      <c r="HD41" s="18"/>
      <c r="HE41" s="18"/>
      <c r="HF41" s="18"/>
      <c r="HG41" s="18"/>
      <c r="HH41" s="18"/>
      <c r="HI41" s="18"/>
      <c r="HJ41" s="18"/>
      <c r="HK41" s="18"/>
      <c r="HL41" s="31"/>
      <c r="HM41" s="30"/>
      <c r="HN41" s="18"/>
      <c r="HO41" s="18"/>
      <c r="HP41" s="18"/>
      <c r="HQ41" s="18"/>
      <c r="HR41" s="18"/>
      <c r="HS41" s="18"/>
      <c r="HT41" s="219"/>
      <c r="HU41" s="219"/>
      <c r="HV41" s="220"/>
      <c r="HW41" s="31"/>
      <c r="HX41" s="30"/>
      <c r="HY41" s="18"/>
      <c r="HZ41" s="18"/>
      <c r="IA41" s="18"/>
      <c r="IB41" s="18"/>
      <c r="IC41" s="18"/>
      <c r="ID41" s="18"/>
      <c r="IE41" s="18"/>
      <c r="IF41" s="18"/>
      <c r="IG41" s="18"/>
      <c r="IH41" s="31"/>
      <c r="II41" s="30"/>
      <c r="IJ41" s="1">
        <f t="shared" si="232"/>
        <v>26</v>
      </c>
      <c r="IK41" s="53" t="s">
        <v>113</v>
      </c>
      <c r="IL41" s="54" t="s">
        <v>112</v>
      </c>
      <c r="IM41" s="25">
        <v>2.5</v>
      </c>
      <c r="IN41" s="1"/>
      <c r="IO41" s="1">
        <f>IL6*8+4</f>
        <v>156</v>
      </c>
      <c r="IP41" s="25"/>
      <c r="IQ41" s="25">
        <v>0.5</v>
      </c>
      <c r="IR41" s="147">
        <f>IO41*IQ41</f>
        <v>78</v>
      </c>
      <c r="IS41" s="31"/>
      <c r="IT41" s="30"/>
      <c r="IU41" s="1">
        <f t="shared" si="109"/>
        <v>26</v>
      </c>
      <c r="IV41" s="53" t="s">
        <v>113</v>
      </c>
      <c r="IW41" s="54" t="s">
        <v>112</v>
      </c>
      <c r="IX41" s="25">
        <v>2.5</v>
      </c>
      <c r="IY41" s="1"/>
      <c r="IZ41" s="1">
        <f>IW6*8+4</f>
        <v>156</v>
      </c>
      <c r="JA41" s="25"/>
      <c r="JB41" s="25">
        <v>0.5</v>
      </c>
      <c r="JC41" s="147">
        <f>IZ41*JB41</f>
        <v>78</v>
      </c>
      <c r="JD41" s="31"/>
      <c r="JE41" s="30"/>
      <c r="JF41" s="1">
        <f>JF40+1</f>
        <v>26</v>
      </c>
      <c r="JG41" s="53" t="s">
        <v>115</v>
      </c>
      <c r="JH41" s="54"/>
      <c r="JI41" s="25">
        <v>2.5</v>
      </c>
      <c r="JJ41" s="1"/>
      <c r="JK41" s="1">
        <f>JH6+1</f>
        <v>20</v>
      </c>
      <c r="JL41" s="25"/>
      <c r="JM41" s="25">
        <v>2.5</v>
      </c>
      <c r="JN41" s="116">
        <f>JK41*JM41</f>
        <v>50</v>
      </c>
      <c r="JO41" s="31"/>
      <c r="JP41" s="30"/>
      <c r="JQ41" s="18"/>
      <c r="JR41" s="18"/>
      <c r="JS41" s="18"/>
      <c r="JT41" s="18"/>
      <c r="JU41" s="317" t="s">
        <v>136</v>
      </c>
      <c r="JV41" s="318"/>
      <c r="JW41" s="73">
        <f>JW23</f>
        <v>1520</v>
      </c>
      <c r="JX41" s="66"/>
      <c r="JY41" s="73">
        <f>JY23</f>
        <v>10032</v>
      </c>
      <c r="JZ41" s="31"/>
      <c r="KA41" s="30"/>
      <c r="KB41" s="18"/>
      <c r="KC41" s="18"/>
      <c r="KD41" s="18"/>
      <c r="KE41" s="18"/>
      <c r="KF41" s="317" t="s">
        <v>136</v>
      </c>
      <c r="KG41" s="318"/>
      <c r="KH41" s="73">
        <f>KH23</f>
        <v>1330</v>
      </c>
      <c r="KI41" s="66"/>
      <c r="KJ41" s="73">
        <f>KJ23</f>
        <v>8778</v>
      </c>
      <c r="KK41" s="31"/>
      <c r="KL41" s="30"/>
      <c r="KM41" s="1"/>
      <c r="KN41" s="1" t="s">
        <v>139</v>
      </c>
      <c r="KO41" s="1"/>
      <c r="KP41" s="1"/>
      <c r="KQ41" s="1">
        <v>5500</v>
      </c>
      <c r="KR41" s="1">
        <f>(KO6-1)*2</f>
        <v>36</v>
      </c>
      <c r="KS41" s="1">
        <f>KQ41/1000*KR41</f>
        <v>198</v>
      </c>
      <c r="KT41" s="1"/>
      <c r="KU41" s="1">
        <f>KS41*3.5</f>
        <v>693</v>
      </c>
      <c r="KV41" s="31"/>
      <c r="KW41" s="30"/>
      <c r="KX41" s="1">
        <f t="shared" si="112"/>
        <v>26</v>
      </c>
      <c r="KY41" s="1" t="s">
        <v>198</v>
      </c>
      <c r="KZ41" s="1" t="s">
        <v>99</v>
      </c>
      <c r="LA41" s="5" t="s">
        <v>63</v>
      </c>
      <c r="LB41" s="49">
        <v>6000</v>
      </c>
      <c r="LC41" s="49">
        <f>3*2*2</f>
        <v>12</v>
      </c>
      <c r="LD41" s="5">
        <f t="shared" si="227"/>
        <v>72</v>
      </c>
      <c r="LE41" s="5">
        <v>8.3000000000000007</v>
      </c>
      <c r="LF41" s="106">
        <f t="shared" si="228"/>
        <v>597.6</v>
      </c>
      <c r="LG41" s="31"/>
      <c r="LH41" s="30"/>
      <c r="LJ41" s="18"/>
      <c r="LK41" s="18"/>
      <c r="LL41" s="18"/>
      <c r="LM41" s="18"/>
      <c r="LN41" s="18"/>
      <c r="LO41" s="6" t="s">
        <v>20</v>
      </c>
      <c r="LP41" s="6"/>
      <c r="LQ41" s="7"/>
      <c r="LR41" s="31"/>
      <c r="LS41" s="30"/>
      <c r="LT41" s="18"/>
      <c r="LZ41" s="219"/>
      <c r="MA41" s="219"/>
      <c r="MB41" s="220"/>
      <c r="MC41" s="31"/>
      <c r="ME41" s="30"/>
      <c r="MF41" s="18"/>
      <c r="ML41" s="219"/>
      <c r="MM41" s="219"/>
      <c r="MN41" s="220"/>
      <c r="MO41" s="31"/>
      <c r="MQ41" s="30"/>
      <c r="MR41" s="18"/>
      <c r="MS41" s="1" t="s">
        <v>30</v>
      </c>
      <c r="MT41" s="19">
        <f>MX45</f>
        <v>5092.532259999999</v>
      </c>
      <c r="MU41" s="18"/>
      <c r="MV41" s="310" t="s">
        <v>15</v>
      </c>
      <c r="MW41" s="310"/>
      <c r="MX41" s="1">
        <f>(2+2*MT6)*35+(MW21/2+MW22/2)*20</f>
        <v>360</v>
      </c>
      <c r="MY41" s="1">
        <v>140</v>
      </c>
      <c r="MZ41" s="20">
        <f t="shared" si="231"/>
        <v>50400</v>
      </c>
      <c r="NA41" s="31"/>
      <c r="ND41" s="30"/>
      <c r="NE41" s="18"/>
      <c r="NF41" s="18"/>
      <c r="NG41" s="18"/>
      <c r="NH41" s="18"/>
      <c r="NI41" s="18"/>
      <c r="NJ41" s="18"/>
      <c r="NK41" s="84" t="s">
        <v>152</v>
      </c>
      <c r="NL41" s="267"/>
      <c r="NM41" s="85"/>
      <c r="NN41" s="31"/>
      <c r="NP41" s="30"/>
      <c r="NQ41" s="18"/>
      <c r="NR41" s="22" t="s">
        <v>31</v>
      </c>
      <c r="NS41" s="23">
        <f>NS39*NS38</f>
        <v>999041.34309120011</v>
      </c>
      <c r="NT41" s="18"/>
      <c r="NU41" s="310" t="s">
        <v>18</v>
      </c>
      <c r="NV41" s="310"/>
      <c r="NW41" s="1"/>
      <c r="NX41" s="1">
        <v>2</v>
      </c>
      <c r="NY41" s="20">
        <f>NW42*NX41</f>
        <v>10037.411776000003</v>
      </c>
      <c r="NZ41" s="31"/>
      <c r="OC41" s="30"/>
      <c r="OD41" s="18"/>
      <c r="OE41" s="22" t="s">
        <v>31</v>
      </c>
      <c r="OF41" s="23">
        <f>OF39*OF38</f>
        <v>1225402.2858240001</v>
      </c>
      <c r="OG41" s="18"/>
      <c r="OH41" s="310" t="s">
        <v>18</v>
      </c>
      <c r="OI41" s="310"/>
      <c r="OJ41" s="1"/>
      <c r="OK41" s="1">
        <v>2</v>
      </c>
      <c r="OL41" s="20">
        <f>OJ42*OK41</f>
        <v>12301.755520000002</v>
      </c>
      <c r="OM41" s="31"/>
      <c r="OP41" s="30"/>
      <c r="OQ41" s="18"/>
      <c r="OR41" s="22" t="s">
        <v>31</v>
      </c>
      <c r="OS41" s="23">
        <f>OS39*OS38</f>
        <v>1117456.9098240002</v>
      </c>
      <c r="OT41" s="18"/>
      <c r="OU41" s="310" t="s">
        <v>18</v>
      </c>
      <c r="OV41" s="310"/>
      <c r="OW41" s="1"/>
      <c r="OX41" s="1">
        <v>2</v>
      </c>
      <c r="OY41" s="20">
        <f>OW42*OX41</f>
        <v>12301.755520000002</v>
      </c>
      <c r="OZ41" s="31"/>
      <c r="PD41" s="30"/>
      <c r="PE41" s="18"/>
      <c r="PF41" s="22" t="s">
        <v>31</v>
      </c>
      <c r="PG41" s="23">
        <f>PG39*PG38</f>
        <v>979425.65222400031</v>
      </c>
      <c r="PH41" s="18"/>
      <c r="PI41" s="310" t="s">
        <v>18</v>
      </c>
      <c r="PJ41" s="310"/>
      <c r="PK41" s="1"/>
      <c r="PL41" s="1">
        <v>2</v>
      </c>
      <c r="PM41" s="20">
        <f>PK42*PL41</f>
        <v>12301.755520000002</v>
      </c>
      <c r="PN41" s="31"/>
      <c r="PQ41" s="30"/>
      <c r="PR41" s="18"/>
      <c r="PS41" s="22" t="s">
        <v>31</v>
      </c>
      <c r="PT41" s="23">
        <f>PT39*PT38</f>
        <v>1066240.8791040001</v>
      </c>
      <c r="PU41" s="18"/>
      <c r="PV41" s="310" t="s">
        <v>18</v>
      </c>
      <c r="PW41" s="310"/>
      <c r="PX41" s="1"/>
      <c r="PY41" s="1">
        <v>2</v>
      </c>
      <c r="PZ41" s="20">
        <f>PX42*PY41</f>
        <v>12301.755520000002</v>
      </c>
      <c r="QA41" s="31"/>
      <c r="QD41" s="30"/>
      <c r="QE41" s="18"/>
      <c r="QF41" s="22" t="s">
        <v>31</v>
      </c>
      <c r="QG41" s="23">
        <f>QG39*QG38</f>
        <v>691995.20207999996</v>
      </c>
      <c r="QH41" s="18"/>
      <c r="QI41" s="310" t="s">
        <v>18</v>
      </c>
      <c r="QJ41" s="310"/>
      <c r="QK41" s="1"/>
      <c r="QL41" s="1">
        <v>10</v>
      </c>
      <c r="QM41" s="20">
        <f>QK42*QL41</f>
        <v>37432.901600000005</v>
      </c>
      <c r="QN41" s="31"/>
      <c r="QQ41" s="30"/>
      <c r="QR41" s="18"/>
      <c r="QS41" s="22" t="s">
        <v>31</v>
      </c>
      <c r="QT41" s="23">
        <f>QT39*QT38</f>
        <v>1023092.8439040002</v>
      </c>
      <c r="QU41" s="18"/>
      <c r="QV41" s="310" t="s">
        <v>18</v>
      </c>
      <c r="QW41" s="310"/>
      <c r="QX41" s="1"/>
      <c r="QY41" s="1">
        <v>2</v>
      </c>
      <c r="QZ41" s="20">
        <f>QX42*QY41</f>
        <v>12301.755520000002</v>
      </c>
      <c r="RA41" s="31"/>
    </row>
    <row r="42" spans="1:469" ht="15.75" thickBot="1" x14ac:dyDescent="0.3">
      <c r="A42" s="30"/>
      <c r="B42" s="18"/>
      <c r="C42" s="18"/>
      <c r="D42" s="18"/>
      <c r="E42" s="18"/>
      <c r="F42" s="18"/>
      <c r="G42" s="18"/>
      <c r="H42" s="219"/>
      <c r="I42" s="219"/>
      <c r="J42" s="220"/>
      <c r="K42" s="31"/>
      <c r="L42" s="30"/>
      <c r="M42" s="18"/>
      <c r="N42" s="18"/>
      <c r="O42" s="18"/>
      <c r="P42" s="18"/>
      <c r="Q42" s="18"/>
      <c r="R42" s="18"/>
      <c r="S42" s="219"/>
      <c r="T42" s="219"/>
      <c r="U42" s="220"/>
      <c r="V42" s="31"/>
      <c r="W42" s="30"/>
      <c r="X42" s="18"/>
      <c r="Y42" s="18"/>
      <c r="Z42" s="18"/>
      <c r="AA42" s="18"/>
      <c r="AB42" s="18"/>
      <c r="AC42" s="18"/>
      <c r="AD42" s="18"/>
      <c r="AE42" s="18"/>
      <c r="AF42" s="18"/>
      <c r="AG42" s="31"/>
      <c r="AH42" s="30"/>
      <c r="AR42" s="31"/>
      <c r="AS42" s="30"/>
      <c r="BC42" s="31"/>
      <c r="BD42" s="30"/>
      <c r="BN42" s="31"/>
      <c r="BO42" s="30"/>
      <c r="BP42" s="18"/>
      <c r="BQ42" s="18"/>
      <c r="BR42" s="18"/>
      <c r="BS42" s="18"/>
      <c r="BT42" s="18"/>
      <c r="BU42" s="18"/>
      <c r="BV42" s="219"/>
      <c r="BW42" s="219"/>
      <c r="BX42" s="220"/>
      <c r="BY42" s="31"/>
      <c r="BZ42" s="30"/>
      <c r="CA42" s="18"/>
      <c r="CB42" s="18"/>
      <c r="CC42" s="18"/>
      <c r="CD42" s="18"/>
      <c r="CE42" s="18"/>
      <c r="CF42" s="18"/>
      <c r="CG42" s="18"/>
      <c r="CH42" s="18"/>
      <c r="CI42" s="18"/>
      <c r="CJ42" s="31"/>
      <c r="CK42" s="30"/>
      <c r="CR42" s="219"/>
      <c r="CS42" s="219"/>
      <c r="CT42" s="220"/>
      <c r="CU42" s="31"/>
      <c r="CV42" s="30"/>
      <c r="CW42" s="18"/>
      <c r="CX42" s="18"/>
      <c r="CY42" s="18"/>
      <c r="CZ42" s="18"/>
      <c r="DA42" s="18"/>
      <c r="DB42" s="18"/>
      <c r="DC42" s="18"/>
      <c r="DD42" s="18"/>
      <c r="DE42" s="18"/>
      <c r="DF42" s="31"/>
      <c r="DG42" s="30"/>
      <c r="DH42" s="18"/>
      <c r="DN42" s="219"/>
      <c r="DO42" s="219"/>
      <c r="DP42" s="220"/>
      <c r="DQ42" s="31"/>
      <c r="DR42" s="30"/>
      <c r="DS42" s="18"/>
      <c r="DY42" s="219"/>
      <c r="DZ42" s="219"/>
      <c r="EA42" s="220"/>
      <c r="EB42" s="31"/>
      <c r="EC42" s="30"/>
      <c r="ED42" s="18"/>
      <c r="EE42" s="18"/>
      <c r="EF42" s="18"/>
      <c r="EG42" s="18"/>
      <c r="EH42" s="18"/>
      <c r="EI42" s="18"/>
      <c r="EJ42" s="8" t="s">
        <v>12</v>
      </c>
      <c r="EK42" s="8"/>
      <c r="EL42" s="9">
        <f>EL16+EL17+EL25+EL27+EL28+EL29</f>
        <v>11100.288</v>
      </c>
      <c r="EM42" s="31"/>
      <c r="EN42" s="30"/>
      <c r="EO42" s="18"/>
      <c r="EP42" s="18"/>
      <c r="EQ42" s="18"/>
      <c r="ER42" s="18"/>
      <c r="ES42" s="18"/>
      <c r="ET42" s="18"/>
      <c r="EU42" s="8" t="s">
        <v>12</v>
      </c>
      <c r="EV42" s="8"/>
      <c r="EW42" s="9">
        <f>EW16+EW25+EW27+EW28</f>
        <v>6886.1799999999994</v>
      </c>
      <c r="EX42" s="31"/>
      <c r="EY42" s="30"/>
      <c r="EZ42" s="18"/>
      <c r="FA42" s="18"/>
      <c r="FB42" s="18"/>
      <c r="FC42" s="18"/>
      <c r="FD42" s="18"/>
      <c r="FE42" s="18"/>
      <c r="FF42" s="18"/>
      <c r="FG42" s="18"/>
      <c r="FH42" s="18"/>
      <c r="FI42" s="31"/>
      <c r="FJ42" s="30"/>
      <c r="FK42" s="18"/>
      <c r="FL42" s="18"/>
      <c r="FM42" s="18"/>
      <c r="FN42" s="18"/>
      <c r="FO42" s="18"/>
      <c r="FP42" s="18"/>
      <c r="FQ42" s="18"/>
      <c r="FR42" s="18"/>
      <c r="FS42" s="18"/>
      <c r="FT42" s="31"/>
      <c r="FU42" s="30"/>
      <c r="FV42" s="18"/>
      <c r="GB42" s="8" t="s">
        <v>12</v>
      </c>
      <c r="GC42" s="8"/>
      <c r="GD42" s="9">
        <f>GD16+GD27+GD29+GD30+GD31+GD32+GD33</f>
        <v>6284.018</v>
      </c>
      <c r="GE42" s="31"/>
      <c r="GF42" s="30"/>
      <c r="GG42" s="18"/>
      <c r="GH42" s="18"/>
      <c r="GI42" s="18"/>
      <c r="GK42" s="336" t="s">
        <v>218</v>
      </c>
      <c r="GL42" s="337"/>
      <c r="GM42" s="51">
        <f>GM19+GM20+GM21+GM27+GM28</f>
        <v>460.46</v>
      </c>
      <c r="GN42" s="51"/>
      <c r="GO42" s="235">
        <f>GO19+GO20+GO21+GO27+GO28</f>
        <v>1565.5640000000001</v>
      </c>
      <c r="GP42" s="31"/>
      <c r="GQ42" s="30"/>
      <c r="GX42" s="219"/>
      <c r="GY42" s="219"/>
      <c r="GZ42" s="220"/>
      <c r="HA42" s="31"/>
      <c r="HB42" s="30"/>
      <c r="HC42" s="18"/>
      <c r="HD42" s="18"/>
      <c r="HE42" s="18"/>
      <c r="HF42" s="18"/>
      <c r="HG42" s="18"/>
      <c r="HH42" s="18"/>
      <c r="HI42" s="18"/>
      <c r="HJ42" s="18"/>
      <c r="HK42" s="18"/>
      <c r="HL42" s="31"/>
      <c r="HM42" s="30"/>
      <c r="HN42" s="18"/>
      <c r="HO42" s="18"/>
      <c r="HP42" s="18"/>
      <c r="HQ42" s="18"/>
      <c r="HR42" s="18"/>
      <c r="HS42" s="18"/>
      <c r="HT42" s="219"/>
      <c r="HU42" s="219"/>
      <c r="HV42" s="220"/>
      <c r="HW42" s="31"/>
      <c r="HX42" s="30"/>
      <c r="HY42" s="18"/>
      <c r="HZ42" s="18"/>
      <c r="IA42" s="18"/>
      <c r="IB42" s="18"/>
      <c r="IC42" s="18"/>
      <c r="ID42" s="18"/>
      <c r="IE42" s="18"/>
      <c r="IF42" s="18"/>
      <c r="IG42" s="18"/>
      <c r="IH42" s="31"/>
      <c r="II42" s="30"/>
      <c r="IJ42" s="1">
        <f t="shared" si="232"/>
        <v>27</v>
      </c>
      <c r="IK42" s="53" t="s">
        <v>115</v>
      </c>
      <c r="IL42" s="54"/>
      <c r="IM42" s="25">
        <v>2.5</v>
      </c>
      <c r="IN42" s="1"/>
      <c r="IO42" s="1">
        <f>IL6+1</f>
        <v>20</v>
      </c>
      <c r="IP42" s="25"/>
      <c r="IQ42" s="25">
        <v>2.5</v>
      </c>
      <c r="IR42" s="147">
        <f>IO42*IQ42</f>
        <v>50</v>
      </c>
      <c r="IS42" s="31"/>
      <c r="IT42" s="30"/>
      <c r="IU42" s="1">
        <f t="shared" si="109"/>
        <v>27</v>
      </c>
      <c r="IV42" s="53" t="s">
        <v>115</v>
      </c>
      <c r="IW42" s="54"/>
      <c r="IX42" s="25">
        <v>2.5</v>
      </c>
      <c r="IY42" s="1"/>
      <c r="IZ42" s="1">
        <f>IW6+1</f>
        <v>20</v>
      </c>
      <c r="JA42" s="25"/>
      <c r="JB42" s="25">
        <v>2.5</v>
      </c>
      <c r="JC42" s="147">
        <f>IZ42*JB42</f>
        <v>50</v>
      </c>
      <c r="JD42" s="31"/>
      <c r="JE42" s="30"/>
      <c r="JF42" s="18"/>
      <c r="JG42" s="74"/>
      <c r="JH42" s="75"/>
      <c r="JI42" s="18"/>
      <c r="JJ42" s="321" t="s">
        <v>114</v>
      </c>
      <c r="JK42" s="322"/>
      <c r="JL42" s="77">
        <f>JL36+JL37+JL38</f>
        <v>835.6</v>
      </c>
      <c r="JM42" s="50"/>
      <c r="JN42" s="77">
        <f>JN36+JN37+JN38</f>
        <v>2757.4799999999996</v>
      </c>
      <c r="JO42" s="31"/>
      <c r="JP42" s="30"/>
      <c r="JQ42" s="18"/>
      <c r="JR42" s="18"/>
      <c r="JS42" s="18"/>
      <c r="JT42" s="18"/>
      <c r="JU42" s="319" t="s">
        <v>20</v>
      </c>
      <c r="JV42" s="319"/>
      <c r="JW42" s="70">
        <f>JW16+JW17+JW21+JW22</f>
        <v>2150</v>
      </c>
      <c r="JX42" s="186"/>
      <c r="JY42" s="70">
        <f>JY16+JY17+JY21+JY22</f>
        <v>17845</v>
      </c>
      <c r="JZ42" s="31"/>
      <c r="KA42" s="30"/>
      <c r="KB42" s="18"/>
      <c r="KC42" s="18"/>
      <c r="KD42" s="18"/>
      <c r="KE42" s="18"/>
      <c r="KF42" s="319" t="s">
        <v>20</v>
      </c>
      <c r="KG42" s="319"/>
      <c r="KH42" s="70">
        <f>KH16+KH17+KH21+KH22</f>
        <v>2150</v>
      </c>
      <c r="KI42" s="186"/>
      <c r="KJ42" s="70">
        <f>KJ16+KJ17+KJ21+KJ22</f>
        <v>17845</v>
      </c>
      <c r="KK42" s="31"/>
      <c r="KL42" s="30"/>
      <c r="KM42" s="18"/>
      <c r="KN42" s="18"/>
      <c r="KO42" s="18"/>
      <c r="KP42" s="18"/>
      <c r="KQ42" s="18"/>
      <c r="KR42" s="18"/>
      <c r="KS42" s="18"/>
      <c r="KT42" s="18"/>
      <c r="KU42" s="18"/>
      <c r="KV42" s="31"/>
      <c r="KW42" s="30"/>
      <c r="KX42" s="1">
        <f t="shared" si="112"/>
        <v>27</v>
      </c>
      <c r="KY42" s="1" t="s">
        <v>10</v>
      </c>
      <c r="KZ42" s="1" t="s">
        <v>11</v>
      </c>
      <c r="LA42" s="25">
        <v>2.5</v>
      </c>
      <c r="LB42" s="1"/>
      <c r="LC42" s="1">
        <f>(LC31+LC32+LC39+LC40+LC41+LC36)*2</f>
        <v>4064</v>
      </c>
      <c r="LD42" s="25"/>
      <c r="LE42" s="25">
        <v>1.5</v>
      </c>
      <c r="LF42" s="116">
        <f>LC42*LE42</f>
        <v>6096</v>
      </c>
      <c r="LG42" s="31"/>
      <c r="LH42" s="30"/>
      <c r="LI42" s="18"/>
      <c r="LJ42" s="125"/>
      <c r="LK42" s="18"/>
      <c r="LL42" s="18"/>
      <c r="LM42" s="18"/>
      <c r="LN42" s="18"/>
      <c r="LO42" s="8" t="s">
        <v>12</v>
      </c>
      <c r="LP42" s="8"/>
      <c r="LQ42" s="9"/>
      <c r="LR42" s="31"/>
      <c r="LS42" s="30"/>
      <c r="LT42" s="18"/>
      <c r="LZ42" s="219"/>
      <c r="MA42" s="219"/>
      <c r="MB42" s="220"/>
      <c r="MC42" s="31"/>
      <c r="ME42" s="30"/>
      <c r="MF42" s="18"/>
      <c r="ML42" s="219"/>
      <c r="MM42" s="219"/>
      <c r="MN42" s="220"/>
      <c r="MO42" s="31"/>
      <c r="MQ42" s="30"/>
      <c r="MR42" s="18"/>
      <c r="MS42" s="1" t="s">
        <v>32</v>
      </c>
      <c r="MT42" s="21">
        <f>MZ47/MX45</f>
        <v>200.56183864488673</v>
      </c>
      <c r="MU42" s="18"/>
      <c r="MV42" s="310" t="s">
        <v>16</v>
      </c>
      <c r="MW42" s="310"/>
      <c r="MX42" s="19">
        <f>MX36*0.04</f>
        <v>139.88736</v>
      </c>
      <c r="MY42" s="1">
        <v>150</v>
      </c>
      <c r="MZ42" s="20">
        <f t="shared" si="231"/>
        <v>20983.103999999999</v>
      </c>
      <c r="NA42" s="31"/>
      <c r="ND42" s="30"/>
      <c r="NE42" s="18"/>
      <c r="NF42" s="18"/>
      <c r="NG42" s="18"/>
      <c r="NH42" s="18"/>
      <c r="NI42" s="18"/>
      <c r="NJ42" s="18"/>
      <c r="NK42" s="258" t="s">
        <v>9</v>
      </c>
      <c r="NL42" s="259"/>
      <c r="NM42" s="2">
        <f>SUM(NM14:NM36)</f>
        <v>22755.443999999996</v>
      </c>
      <c r="NN42" s="31"/>
      <c r="NP42" s="30"/>
      <c r="NQ42" s="18"/>
      <c r="NR42" s="18"/>
      <c r="NS42" s="18"/>
      <c r="NT42" s="18"/>
      <c r="NU42" s="303" t="s">
        <v>36</v>
      </c>
      <c r="NV42" s="303"/>
      <c r="NW42" s="10">
        <f>NW33+NW35+NW36+NW37+NW38+NW39+NY24</f>
        <v>5018.7058880000013</v>
      </c>
      <c r="NX42" s="1"/>
      <c r="NY42" s="1"/>
      <c r="NZ42" s="31"/>
      <c r="OC42" s="30"/>
      <c r="OD42" s="18"/>
      <c r="OE42" s="18"/>
      <c r="OF42" s="18"/>
      <c r="OG42" s="18"/>
      <c r="OH42" s="303" t="s">
        <v>36</v>
      </c>
      <c r="OI42" s="303"/>
      <c r="OJ42" s="10">
        <f>OJ33+OJ35+OJ36+OJ37+OJ38+OJ39+OL24</f>
        <v>6150.8777600000012</v>
      </c>
      <c r="OK42" s="1"/>
      <c r="OL42" s="1"/>
      <c r="OM42" s="31"/>
      <c r="OP42" s="30"/>
      <c r="OQ42" s="18"/>
      <c r="OR42" s="18"/>
      <c r="OS42" s="18"/>
      <c r="OT42" s="18"/>
      <c r="OU42" s="303" t="s">
        <v>36</v>
      </c>
      <c r="OV42" s="303"/>
      <c r="OW42" s="10">
        <f>OW33+OW35+OW36+OW37+OW38+OW39+OY24</f>
        <v>6150.8777600000012</v>
      </c>
      <c r="OX42" s="1"/>
      <c r="OY42" s="1"/>
      <c r="OZ42" s="31"/>
      <c r="PD42" s="30"/>
      <c r="PE42" s="18"/>
      <c r="PF42" s="18"/>
      <c r="PG42" s="18"/>
      <c r="PH42" s="18"/>
      <c r="PI42" s="303" t="s">
        <v>36</v>
      </c>
      <c r="PJ42" s="303"/>
      <c r="PK42" s="10">
        <f>PK33+PK35+PK36+PK37+PK38+PK39+PM24</f>
        <v>6150.8777600000012</v>
      </c>
      <c r="PL42" s="1"/>
      <c r="PM42" s="1"/>
      <c r="PN42" s="31"/>
      <c r="PQ42" s="30"/>
      <c r="PR42" s="18"/>
      <c r="PS42" s="18"/>
      <c r="PT42" s="18"/>
      <c r="PU42" s="18"/>
      <c r="PV42" s="303" t="s">
        <v>36</v>
      </c>
      <c r="PW42" s="303"/>
      <c r="PX42" s="10">
        <f>PX33+PX35+PX36+PX37+PX38+PX39+PZ24</f>
        <v>6150.8777600000012</v>
      </c>
      <c r="PY42" s="1"/>
      <c r="PZ42" s="1"/>
      <c r="QA42" s="31"/>
      <c r="QD42" s="30"/>
      <c r="QE42" s="18"/>
      <c r="QF42" s="18"/>
      <c r="QG42" s="18"/>
      <c r="QH42" s="18"/>
      <c r="QI42" s="303" t="s">
        <v>36</v>
      </c>
      <c r="QJ42" s="303"/>
      <c r="QK42" s="10">
        <f>QK33+QK35+QK36+QK37+QK38+QK39+QM24</f>
        <v>3743.2901600000005</v>
      </c>
      <c r="QL42" s="1"/>
      <c r="QM42" s="1"/>
      <c r="QN42" s="31"/>
      <c r="QQ42" s="30"/>
      <c r="QR42" s="18"/>
      <c r="QS42" s="18"/>
      <c r="QT42" s="18"/>
      <c r="QU42" s="18"/>
      <c r="QV42" s="303" t="s">
        <v>36</v>
      </c>
      <c r="QW42" s="303"/>
      <c r="QX42" s="10">
        <f>QX33+QX35+QX36+QX37+QX38+QX39+QZ24</f>
        <v>6150.8777600000012</v>
      </c>
      <c r="QY42" s="1"/>
      <c r="QZ42" s="1"/>
      <c r="RA42" s="31"/>
    </row>
    <row r="43" spans="1:469" ht="15.75" thickBot="1" x14ac:dyDescent="0.3">
      <c r="A43" s="30"/>
      <c r="B43" s="18"/>
      <c r="C43" s="18"/>
      <c r="D43" s="18"/>
      <c r="E43" s="18"/>
      <c r="F43" s="18"/>
      <c r="G43" s="18"/>
      <c r="H43" s="219"/>
      <c r="I43" s="219"/>
      <c r="J43" s="220"/>
      <c r="K43" s="31"/>
      <c r="L43" s="30"/>
      <c r="M43" s="18"/>
      <c r="N43" s="18"/>
      <c r="O43" s="18"/>
      <c r="P43" s="18"/>
      <c r="Q43" s="18"/>
      <c r="R43" s="18"/>
      <c r="S43" s="219"/>
      <c r="T43" s="219"/>
      <c r="U43" s="220"/>
      <c r="V43" s="31"/>
      <c r="W43" s="30"/>
      <c r="X43" s="18"/>
      <c r="Y43" s="18"/>
      <c r="Z43" s="18"/>
      <c r="AA43" s="18"/>
      <c r="AB43" s="18"/>
      <c r="AC43" s="18"/>
      <c r="AD43" s="18"/>
      <c r="AE43" s="18"/>
      <c r="AF43" s="18"/>
      <c r="AG43" s="31"/>
      <c r="AH43" s="30"/>
      <c r="AR43" s="31"/>
      <c r="AS43" s="30"/>
      <c r="BC43" s="31"/>
      <c r="BD43" s="30"/>
      <c r="BN43" s="31"/>
      <c r="BO43" s="30"/>
      <c r="BP43" s="18"/>
      <c r="BQ43" s="18"/>
      <c r="BR43" s="18"/>
      <c r="BS43" s="18"/>
      <c r="BT43" s="18"/>
      <c r="BU43" s="18"/>
      <c r="BV43" s="219"/>
      <c r="BW43" s="219"/>
      <c r="BX43" s="220"/>
      <c r="BY43" s="31"/>
      <c r="BZ43" s="30"/>
      <c r="CA43" s="18"/>
      <c r="CB43" s="18"/>
      <c r="CC43" s="18"/>
      <c r="CD43" s="18"/>
      <c r="CE43" s="18"/>
      <c r="CF43" s="18"/>
      <c r="CG43" s="18"/>
      <c r="CH43" s="18"/>
      <c r="CI43" s="18"/>
      <c r="CJ43" s="31"/>
      <c r="CK43" s="30"/>
      <c r="CR43" s="219"/>
      <c r="CS43" s="219"/>
      <c r="CT43" s="220"/>
      <c r="CU43" s="31"/>
      <c r="CV43" s="30"/>
      <c r="CW43" s="18"/>
      <c r="CX43" s="18"/>
      <c r="CY43" s="18"/>
      <c r="CZ43" s="18"/>
      <c r="DA43" s="18"/>
      <c r="DB43" s="18"/>
      <c r="DC43" s="18"/>
      <c r="DD43" s="18"/>
      <c r="DE43" s="18"/>
      <c r="DF43" s="31"/>
      <c r="DG43" s="30"/>
      <c r="DH43" s="18"/>
      <c r="DN43" s="219"/>
      <c r="DO43" s="219"/>
      <c r="DP43" s="220"/>
      <c r="DQ43" s="31"/>
      <c r="DR43" s="30"/>
      <c r="DS43" s="18"/>
      <c r="DY43" s="219"/>
      <c r="DZ43" s="219"/>
      <c r="EA43" s="220"/>
      <c r="EB43" s="31"/>
      <c r="EC43" s="30"/>
      <c r="ED43" s="18"/>
      <c r="EE43" s="18"/>
      <c r="EF43" s="18"/>
      <c r="EG43" s="18"/>
      <c r="EH43" s="18"/>
      <c r="EI43" s="18"/>
      <c r="EJ43" s="84" t="s">
        <v>152</v>
      </c>
      <c r="EK43" s="66"/>
      <c r="EL43" s="85">
        <f>EL24</f>
        <v>5068.7999999999993</v>
      </c>
      <c r="EM43" s="31"/>
      <c r="EN43" s="30"/>
      <c r="EO43" s="18"/>
      <c r="EP43" s="18"/>
      <c r="EQ43" s="18"/>
      <c r="ER43" s="18"/>
      <c r="ES43" s="18"/>
      <c r="ET43" s="18"/>
      <c r="EU43" s="84" t="s">
        <v>152</v>
      </c>
      <c r="EV43" s="66"/>
      <c r="EW43" s="85">
        <f>EW24</f>
        <v>4435.2</v>
      </c>
      <c r="EX43" s="31"/>
      <c r="EY43" s="30"/>
      <c r="EZ43" s="18"/>
      <c r="FA43" s="18"/>
      <c r="FB43" s="18"/>
      <c r="FC43" s="18"/>
      <c r="FD43" s="18"/>
      <c r="FE43" s="18"/>
      <c r="FF43" s="18"/>
      <c r="FG43" s="18"/>
      <c r="FH43" s="18"/>
      <c r="FI43" s="31"/>
      <c r="FJ43" s="30"/>
      <c r="FK43" s="18"/>
      <c r="FL43" s="18"/>
      <c r="FM43" s="18"/>
      <c r="FN43" s="18"/>
      <c r="FO43" s="18"/>
      <c r="FP43" s="18"/>
      <c r="FQ43" s="18"/>
      <c r="FR43" s="18"/>
      <c r="FS43" s="18"/>
      <c r="FT43" s="31"/>
      <c r="FU43" s="30"/>
      <c r="FV43" s="18"/>
      <c r="FW43" s="18"/>
      <c r="FX43" s="18"/>
      <c r="FY43" s="18"/>
      <c r="FZ43" s="18"/>
      <c r="GA43" s="18"/>
      <c r="GB43" s="84" t="s">
        <v>192</v>
      </c>
      <c r="GC43" s="66"/>
      <c r="GD43" s="85">
        <f>GD26</f>
        <v>3696</v>
      </c>
      <c r="GE43" s="31"/>
      <c r="GF43" s="30"/>
      <c r="GM43" s="304" t="s">
        <v>9</v>
      </c>
      <c r="GN43" s="306"/>
      <c r="GO43" s="2">
        <f>SUM(GO38:GO42)</f>
        <v>34969.508000000002</v>
      </c>
      <c r="GP43" s="31"/>
      <c r="GQ43" s="30"/>
      <c r="GX43" s="219"/>
      <c r="GY43" s="219"/>
      <c r="GZ43" s="220"/>
      <c r="HA43" s="31"/>
      <c r="HB43" s="30"/>
      <c r="HC43" s="18"/>
      <c r="HD43" s="18"/>
      <c r="HE43" s="18"/>
      <c r="HF43" s="18"/>
      <c r="HG43" s="18"/>
      <c r="HH43" s="18"/>
      <c r="HI43" s="18"/>
      <c r="HJ43" s="18"/>
      <c r="HK43" s="18"/>
      <c r="HL43" s="31"/>
      <c r="HM43" s="30"/>
      <c r="HN43" s="18"/>
      <c r="HO43" s="18"/>
      <c r="HP43" s="18"/>
      <c r="HQ43" s="18"/>
      <c r="HR43" s="18"/>
      <c r="HS43" s="18"/>
      <c r="HT43" s="219"/>
      <c r="HU43" s="219"/>
      <c r="HV43" s="220"/>
      <c r="HW43" s="31"/>
      <c r="HX43" s="30"/>
      <c r="HY43" s="18"/>
      <c r="HZ43" s="18"/>
      <c r="IA43" s="18"/>
      <c r="IB43" s="18"/>
      <c r="IC43" s="18"/>
      <c r="ID43" s="18"/>
      <c r="IE43" s="18"/>
      <c r="IF43" s="18"/>
      <c r="IG43" s="18"/>
      <c r="IH43" s="31"/>
      <c r="II43" s="30"/>
      <c r="IJ43" s="18"/>
      <c r="IK43" s="150"/>
      <c r="IL43" s="151"/>
      <c r="IM43" s="18"/>
      <c r="IN43" s="315" t="s">
        <v>258</v>
      </c>
      <c r="IO43" s="316"/>
      <c r="IP43" s="152">
        <f>SUM(IP18:IP24)</f>
        <v>595.59999999999991</v>
      </c>
      <c r="IQ43" s="153"/>
      <c r="IR43" s="152">
        <f>SUM(IR18:IR24)</f>
        <v>16676.8</v>
      </c>
      <c r="IS43" s="31"/>
      <c r="IT43" s="30"/>
      <c r="IU43" s="18"/>
      <c r="IV43" s="18"/>
      <c r="IW43" s="18"/>
      <c r="IX43" s="18"/>
      <c r="IY43" s="321" t="s">
        <v>114</v>
      </c>
      <c r="IZ43" s="322"/>
      <c r="JA43" s="77">
        <f>SUM(JA37:JA39)</f>
        <v>835.6</v>
      </c>
      <c r="JB43" s="179"/>
      <c r="JC43" s="180">
        <f>SUM(JC37:JC39)</f>
        <v>2757.4799999999996</v>
      </c>
      <c r="JD43" s="31"/>
      <c r="JE43" s="30"/>
      <c r="JF43" s="18"/>
      <c r="JG43" s="78"/>
      <c r="JH43" s="79"/>
      <c r="JI43" s="18"/>
      <c r="JJ43" s="327" t="s">
        <v>37</v>
      </c>
      <c r="JK43" s="327"/>
      <c r="JL43" s="72">
        <f>JL18</f>
        <v>396</v>
      </c>
      <c r="JM43" s="95"/>
      <c r="JN43" s="72">
        <f>JN18</f>
        <v>2613.6</v>
      </c>
      <c r="JO43" s="31"/>
      <c r="JP43" s="30"/>
      <c r="JQ43" s="18"/>
      <c r="JR43" s="18"/>
      <c r="JS43" s="18"/>
      <c r="JT43" s="18"/>
      <c r="JU43" s="18"/>
      <c r="JV43" s="18"/>
      <c r="JW43" s="68" t="s">
        <v>9</v>
      </c>
      <c r="JX43" s="69"/>
      <c r="JY43" s="80">
        <f>SUM(JY39:JY42)</f>
        <v>32301.52</v>
      </c>
      <c r="JZ43" s="31"/>
      <c r="KA43" s="30"/>
      <c r="KB43" s="18"/>
      <c r="KC43" s="18"/>
      <c r="KD43" s="18"/>
      <c r="KE43" s="18"/>
      <c r="KF43" s="18"/>
      <c r="KG43" s="18"/>
      <c r="KH43" s="68" t="s">
        <v>9</v>
      </c>
      <c r="KI43" s="69"/>
      <c r="KJ43" s="80">
        <f>SUM(KJ39:KJ42)</f>
        <v>31050.16</v>
      </c>
      <c r="KK43" s="31"/>
      <c r="KL43" s="30"/>
      <c r="KM43" s="18"/>
      <c r="KN43" s="18"/>
      <c r="KO43" s="18"/>
      <c r="KP43" s="18"/>
      <c r="KQ43" s="18"/>
      <c r="KR43" s="18"/>
      <c r="KS43" s="18"/>
      <c r="KT43" s="18"/>
      <c r="KU43" s="18"/>
      <c r="KV43" s="31"/>
      <c r="KW43" s="30"/>
      <c r="KX43" s="18"/>
      <c r="KY43" s="18"/>
      <c r="KZ43" s="18"/>
      <c r="LB43" s="18"/>
      <c r="LC43" s="18"/>
      <c r="LD43" s="117" t="s">
        <v>181</v>
      </c>
      <c r="LE43" s="117"/>
      <c r="LF43" s="118">
        <f>LF17</f>
        <v>33789.999999999993</v>
      </c>
      <c r="LG43" s="31"/>
      <c r="LH43" s="30"/>
      <c r="LI43" s="18"/>
      <c r="LJ43" s="18"/>
      <c r="LK43" s="18"/>
      <c r="LL43" s="18"/>
      <c r="LM43" s="18"/>
      <c r="LN43" s="18"/>
      <c r="LO43" s="240" t="s">
        <v>152</v>
      </c>
      <c r="LP43" s="238"/>
      <c r="LQ43" s="241">
        <f>LQ25</f>
        <v>22161.599999999999</v>
      </c>
      <c r="LR43" s="31"/>
      <c r="LS43" s="30"/>
      <c r="LT43" s="18"/>
      <c r="LZ43" s="219"/>
      <c r="MA43" s="219"/>
      <c r="MB43" s="220"/>
      <c r="MC43" s="31"/>
      <c r="ME43" s="30"/>
      <c r="MF43" s="18"/>
      <c r="ML43" s="219"/>
      <c r="MM43" s="219"/>
      <c r="MN43" s="220"/>
      <c r="MO43" s="31"/>
      <c r="MQ43" s="30"/>
      <c r="MR43" s="18"/>
      <c r="MS43" s="1" t="s">
        <v>35</v>
      </c>
      <c r="MT43" s="21">
        <f>MT44/MT39</f>
        <v>9727.3107945142874</v>
      </c>
      <c r="MU43" s="18"/>
      <c r="MV43" s="311"/>
      <c r="MW43" s="312"/>
      <c r="MX43" s="19"/>
      <c r="MY43" s="1"/>
      <c r="MZ43" s="20"/>
      <c r="NA43" s="31"/>
      <c r="ND43" s="30"/>
      <c r="NE43" s="18"/>
      <c r="NF43" s="18"/>
      <c r="NG43" s="18"/>
      <c r="NH43" s="18"/>
      <c r="NI43" s="18"/>
      <c r="NJ43" s="18"/>
      <c r="NK43" s="18"/>
      <c r="NL43" s="18"/>
      <c r="NM43" s="18"/>
      <c r="NN43" s="31"/>
      <c r="NP43" s="30"/>
      <c r="NQ43" s="18"/>
      <c r="NR43" s="266"/>
      <c r="NS43" s="282" t="s">
        <v>348</v>
      </c>
      <c r="NT43" s="18"/>
      <c r="NU43" s="304" t="s">
        <v>17</v>
      </c>
      <c r="NV43" s="305"/>
      <c r="NW43" s="305"/>
      <c r="NX43" s="306"/>
      <c r="NY43" s="24">
        <f>SUM(NY33:NY41)</f>
        <v>832534.45257600013</v>
      </c>
      <c r="NZ43" s="31"/>
      <c r="OC43" s="30"/>
      <c r="OD43" s="18"/>
      <c r="OE43" s="266"/>
      <c r="OF43" s="266"/>
      <c r="OG43" s="18"/>
      <c r="OH43" s="304" t="s">
        <v>17</v>
      </c>
      <c r="OI43" s="305"/>
      <c r="OJ43" s="305"/>
      <c r="OK43" s="306"/>
      <c r="OL43" s="24">
        <f>SUM(OL33:OL41)</f>
        <v>1021168.5715200002</v>
      </c>
      <c r="OM43" s="31"/>
      <c r="OP43" s="30"/>
      <c r="OQ43" s="18"/>
      <c r="OR43" s="266"/>
      <c r="OS43" s="266"/>
      <c r="OT43" s="18"/>
      <c r="OU43" s="304" t="s">
        <v>17</v>
      </c>
      <c r="OV43" s="305"/>
      <c r="OW43" s="305"/>
      <c r="OX43" s="306"/>
      <c r="OY43" s="24">
        <f>SUM(OY33:OY41)</f>
        <v>931214.09152000025</v>
      </c>
      <c r="OZ43" s="31"/>
      <c r="PD43" s="30"/>
      <c r="PE43" s="18"/>
      <c r="PF43" s="266"/>
      <c r="PG43" s="266"/>
      <c r="PH43" s="18"/>
      <c r="PI43" s="304" t="s">
        <v>17</v>
      </c>
      <c r="PJ43" s="305"/>
      <c r="PK43" s="305"/>
      <c r="PL43" s="306"/>
      <c r="PM43" s="24">
        <f>SUM(PM33:PM41)</f>
        <v>816188.04352000018</v>
      </c>
      <c r="PN43" s="31"/>
      <c r="PQ43" s="30"/>
      <c r="PR43" s="18"/>
      <c r="PS43" s="266"/>
      <c r="PT43" s="266"/>
      <c r="PU43" s="18"/>
      <c r="PV43" s="304" t="s">
        <v>17</v>
      </c>
      <c r="PW43" s="305"/>
      <c r="PX43" s="305"/>
      <c r="PY43" s="306"/>
      <c r="PZ43" s="24">
        <f>SUM(PZ33:PZ41)</f>
        <v>888534.06592000008</v>
      </c>
      <c r="QA43" s="31"/>
      <c r="QD43" s="30"/>
      <c r="QE43" s="18"/>
      <c r="QF43" s="266"/>
      <c r="QG43" s="266"/>
      <c r="QH43" s="18"/>
      <c r="QI43" s="304" t="s">
        <v>17</v>
      </c>
      <c r="QJ43" s="305"/>
      <c r="QK43" s="305"/>
      <c r="QL43" s="306"/>
      <c r="QM43" s="24">
        <f>SUM(QM33:QM41)</f>
        <v>576662.66839999997</v>
      </c>
      <c r="QN43" s="31"/>
      <c r="QQ43" s="30"/>
      <c r="QR43" s="18"/>
      <c r="QS43" s="266"/>
      <c r="QT43" s="266"/>
      <c r="QU43" s="18"/>
      <c r="QV43" s="304" t="s">
        <v>17</v>
      </c>
      <c r="QW43" s="305"/>
      <c r="QX43" s="305"/>
      <c r="QY43" s="306"/>
      <c r="QZ43" s="24">
        <f>SUM(QZ33:QZ41)</f>
        <v>852577.3699200002</v>
      </c>
      <c r="RA43" s="31"/>
    </row>
    <row r="44" spans="1:469" x14ac:dyDescent="0.25">
      <c r="A44" s="30"/>
      <c r="B44" s="18"/>
      <c r="C44" s="18"/>
      <c r="D44" s="18"/>
      <c r="E44" s="18"/>
      <c r="F44" s="18"/>
      <c r="G44" s="18"/>
      <c r="H44" s="219"/>
      <c r="I44" s="219"/>
      <c r="J44" s="220"/>
      <c r="K44" s="31"/>
      <c r="L44" s="30"/>
      <c r="M44" s="18"/>
      <c r="N44" s="18"/>
      <c r="O44" s="18"/>
      <c r="P44" s="18"/>
      <c r="Q44" s="18"/>
      <c r="R44" s="18"/>
      <c r="S44" s="219"/>
      <c r="T44" s="219"/>
      <c r="U44" s="220"/>
      <c r="V44" s="31"/>
      <c r="W44" s="30"/>
      <c r="X44" s="18"/>
      <c r="Y44" s="18"/>
      <c r="Z44" s="18"/>
      <c r="AA44" s="18"/>
      <c r="AB44" s="18"/>
      <c r="AC44" s="18"/>
      <c r="AD44" s="18"/>
      <c r="AE44" s="18"/>
      <c r="AF44" s="18"/>
      <c r="AG44" s="31"/>
      <c r="AH44" s="30"/>
      <c r="AR44" s="31"/>
      <c r="AS44" s="30"/>
      <c r="BC44" s="31"/>
      <c r="BD44" s="30"/>
      <c r="BN44" s="31"/>
      <c r="BO44" s="30"/>
      <c r="BP44" s="18"/>
      <c r="BQ44" s="18"/>
      <c r="BR44" s="18"/>
      <c r="BS44" s="18"/>
      <c r="BT44" s="18"/>
      <c r="BU44" s="18"/>
      <c r="BV44" s="219"/>
      <c r="BW44" s="219"/>
      <c r="BX44" s="220"/>
      <c r="BY44" s="31"/>
      <c r="BZ44" s="30"/>
      <c r="CA44" s="18"/>
      <c r="CB44" s="18"/>
      <c r="CC44" s="18"/>
      <c r="CD44" s="18"/>
      <c r="CE44" s="18"/>
      <c r="CF44" s="18"/>
      <c r="CG44" s="18"/>
      <c r="CH44" s="18"/>
      <c r="CI44" s="18"/>
      <c r="CJ44" s="31"/>
      <c r="CK44" s="30"/>
      <c r="CR44" s="219"/>
      <c r="CS44" s="219"/>
      <c r="CT44" s="220"/>
      <c r="CU44" s="31"/>
      <c r="CV44" s="30"/>
      <c r="CW44" s="18"/>
      <c r="CX44" s="18"/>
      <c r="CY44" s="18"/>
      <c r="CZ44" s="18"/>
      <c r="DA44" s="18"/>
      <c r="DB44" s="18"/>
      <c r="DC44" s="18"/>
      <c r="DD44" s="18"/>
      <c r="DE44" s="18"/>
      <c r="DF44" s="31"/>
      <c r="DG44" s="30"/>
      <c r="DH44" s="18"/>
      <c r="DN44" s="219"/>
      <c r="DO44" s="219"/>
      <c r="DP44" s="220"/>
      <c r="DQ44" s="31"/>
      <c r="DR44" s="30"/>
      <c r="DS44" s="18"/>
      <c r="DY44" s="219"/>
      <c r="DZ44" s="219"/>
      <c r="EA44" s="220"/>
      <c r="EB44" s="31"/>
      <c r="EC44" s="30"/>
      <c r="ED44" s="18"/>
      <c r="EJ44" s="93" t="s">
        <v>9</v>
      </c>
      <c r="EK44" s="94"/>
      <c r="EL44" s="2">
        <f>EL39+EL40+EL41+EL42+EL43</f>
        <v>24051.827999999998</v>
      </c>
      <c r="EM44" s="31"/>
      <c r="EN44" s="30"/>
      <c r="EO44" s="18"/>
      <c r="EU44" s="81" t="s">
        <v>9</v>
      </c>
      <c r="EV44" s="82"/>
      <c r="EW44" s="2">
        <f>EW40+EW41+EW42+EW43</f>
        <v>20220.91</v>
      </c>
      <c r="EX44" s="31"/>
      <c r="EY44" s="30"/>
      <c r="EZ44" s="18"/>
      <c r="FA44" s="18"/>
      <c r="FB44" s="18"/>
      <c r="FC44" s="18"/>
      <c r="FD44" s="18"/>
      <c r="FE44" s="18"/>
      <c r="FF44" s="18"/>
      <c r="FG44" s="18"/>
      <c r="FH44" s="18"/>
      <c r="FI44" s="31"/>
      <c r="FJ44" s="30"/>
      <c r="FK44" s="18"/>
      <c r="FL44" s="18"/>
      <c r="FM44" s="18"/>
      <c r="FN44" s="18"/>
      <c r="FO44" s="18"/>
      <c r="FP44" s="18"/>
      <c r="FQ44" s="18"/>
      <c r="FR44" s="18"/>
      <c r="FS44" s="18"/>
      <c r="FT44" s="31"/>
      <c r="FU44" s="30"/>
      <c r="GB44" s="304" t="s">
        <v>9</v>
      </c>
      <c r="GC44" s="306"/>
      <c r="GD44" s="2">
        <f>SUM(GD40:GD43)</f>
        <v>16733.137999999999</v>
      </c>
      <c r="GE44" s="31"/>
      <c r="GF44" s="30"/>
      <c r="GG44" s="18"/>
      <c r="GH44" s="18"/>
      <c r="GI44" s="18"/>
      <c r="GJ44" s="18"/>
      <c r="GK44" s="18"/>
      <c r="GL44" s="18"/>
      <c r="GP44" s="31"/>
      <c r="GQ44" s="30"/>
      <c r="GX44" s="219"/>
      <c r="GY44" s="219"/>
      <c r="GZ44" s="220"/>
      <c r="HA44" s="31"/>
      <c r="HB44" s="30"/>
      <c r="HC44" s="18"/>
      <c r="HD44" s="18"/>
      <c r="HE44" s="18"/>
      <c r="HF44" s="18"/>
      <c r="HG44" s="18"/>
      <c r="HH44" s="18"/>
      <c r="HI44" s="18"/>
      <c r="HJ44" s="18"/>
      <c r="HK44" s="18"/>
      <c r="HL44" s="31"/>
      <c r="HM44" s="30"/>
      <c r="HN44" s="18"/>
      <c r="HO44" s="18"/>
      <c r="HP44" s="18"/>
      <c r="HQ44" s="18"/>
      <c r="HR44" s="18"/>
      <c r="HS44" s="18"/>
      <c r="HT44" s="219"/>
      <c r="HU44" s="219"/>
      <c r="HV44" s="220"/>
      <c r="HW44" s="31"/>
      <c r="HX44" s="30"/>
      <c r="HY44" s="18"/>
      <c r="HZ44" s="18"/>
      <c r="IA44" s="18"/>
      <c r="IB44" s="18"/>
      <c r="IC44" s="18"/>
      <c r="ID44" s="18"/>
      <c r="IE44" s="18"/>
      <c r="IF44" s="18"/>
      <c r="IG44" s="18"/>
      <c r="IH44" s="31"/>
      <c r="II44" s="30"/>
      <c r="IJ44" s="18"/>
      <c r="IK44" s="150"/>
      <c r="IL44" s="151"/>
      <c r="IM44" s="18"/>
      <c r="IN44" s="315" t="s">
        <v>263</v>
      </c>
      <c r="IO44" s="316"/>
      <c r="IP44" s="152">
        <f>SUM(IP29:IP34)</f>
        <v>172.72</v>
      </c>
      <c r="IQ44" s="153"/>
      <c r="IR44" s="152">
        <f>SUM(IR29:IR35)</f>
        <v>3392.8999999999992</v>
      </c>
      <c r="IS44" s="31"/>
      <c r="IT44" s="30"/>
      <c r="IU44" s="18"/>
      <c r="IV44" s="18"/>
      <c r="IW44" s="18"/>
      <c r="IX44" s="18"/>
      <c r="IY44" s="323" t="s">
        <v>37</v>
      </c>
      <c r="IZ44" s="324"/>
      <c r="JA44" s="163">
        <f>JA25</f>
        <v>547.19999999999993</v>
      </c>
      <c r="JB44" s="163"/>
      <c r="JC44" s="72">
        <f>JC25</f>
        <v>3611.5199999999995</v>
      </c>
      <c r="JD44" s="31"/>
      <c r="JE44" s="30"/>
      <c r="JF44" s="18"/>
      <c r="JG44" s="18"/>
      <c r="JH44" s="18"/>
      <c r="JI44" s="18"/>
      <c r="JJ44" s="317" t="s">
        <v>136</v>
      </c>
      <c r="JK44" s="318"/>
      <c r="JL44" s="73">
        <f>JL23</f>
        <v>1824</v>
      </c>
      <c r="JM44" s="66"/>
      <c r="JN44" s="73">
        <f>JN23</f>
        <v>12038.4</v>
      </c>
      <c r="JO44" s="31"/>
      <c r="JP44" s="30"/>
      <c r="JQ44" s="18"/>
      <c r="JR44" s="18"/>
      <c r="JS44" s="18"/>
      <c r="JT44" s="18"/>
      <c r="JU44" s="18"/>
      <c r="JV44" s="18"/>
      <c r="JW44" s="219"/>
      <c r="JX44" s="219"/>
      <c r="JY44" s="222"/>
      <c r="JZ44" s="31"/>
      <c r="KA44" s="30"/>
      <c r="KB44" s="18"/>
      <c r="KC44" s="18"/>
      <c r="KD44" s="18"/>
      <c r="KE44" s="18"/>
      <c r="KF44" s="18"/>
      <c r="KG44" s="18"/>
      <c r="KH44" s="219"/>
      <c r="KI44" s="219"/>
      <c r="KJ44" s="222"/>
      <c r="KK44" s="31"/>
      <c r="KL44" s="30"/>
      <c r="KM44" s="18"/>
      <c r="KN44" s="18"/>
      <c r="KO44" s="18"/>
      <c r="KP44" s="18"/>
      <c r="KQ44" s="18"/>
      <c r="KR44" s="18"/>
      <c r="KS44" s="18"/>
      <c r="KT44" s="18"/>
      <c r="KU44" s="18"/>
      <c r="KV44" s="31"/>
      <c r="KW44" s="30"/>
      <c r="KX44" s="18"/>
      <c r="KY44" s="18"/>
      <c r="KZ44" s="18"/>
      <c r="LB44" s="18"/>
      <c r="LC44" s="18"/>
      <c r="LD44" s="119" t="s">
        <v>199</v>
      </c>
      <c r="LE44" s="119"/>
      <c r="LF44" s="120">
        <f>LF28+LF29+LF30</f>
        <v>18480</v>
      </c>
      <c r="LG44" s="31"/>
      <c r="LH44" s="30"/>
      <c r="LI44" s="18"/>
      <c r="LO44" s="304" t="s">
        <v>200</v>
      </c>
      <c r="LP44" s="306"/>
      <c r="LQ44" s="2">
        <f>SUM(LQ40:LQ43)</f>
        <v>47228.479999999996</v>
      </c>
      <c r="LR44" s="31"/>
      <c r="LS44" s="30"/>
      <c r="LT44" s="18"/>
      <c r="LZ44" s="219"/>
      <c r="MA44" s="219"/>
      <c r="MB44" s="220"/>
      <c r="MC44" s="31"/>
      <c r="ME44" s="30"/>
      <c r="MF44" s="18"/>
      <c r="ML44" s="219"/>
      <c r="MM44" s="219"/>
      <c r="MN44" s="220"/>
      <c r="MO44" s="31"/>
      <c r="MQ44" s="30"/>
      <c r="MR44" s="18"/>
      <c r="MS44" s="22" t="s">
        <v>31</v>
      </c>
      <c r="MT44" s="23">
        <f>MT42*MT41</f>
        <v>1021367.6334240002</v>
      </c>
      <c r="MU44" s="18"/>
      <c r="MV44" s="310" t="s">
        <v>18</v>
      </c>
      <c r="MW44" s="310"/>
      <c r="MX44" s="19">
        <f>MX45</f>
        <v>5092.532259999999</v>
      </c>
      <c r="MY44" s="1">
        <v>2</v>
      </c>
      <c r="MZ44" s="20">
        <f>MX44*MY44</f>
        <v>10185.064519999998</v>
      </c>
      <c r="NA44" s="31"/>
      <c r="ND44" s="30"/>
      <c r="NE44" s="18"/>
      <c r="NF44" s="18"/>
      <c r="NG44" s="18"/>
      <c r="NH44" s="18"/>
      <c r="NI44" s="18"/>
      <c r="NJ44" s="18"/>
      <c r="NK44" s="18"/>
      <c r="NL44" s="18"/>
      <c r="NM44" s="18"/>
      <c r="NN44" s="31"/>
      <c r="NP44" s="30"/>
      <c r="NQ44" s="18"/>
      <c r="NR44" s="266"/>
      <c r="NS44" s="266"/>
      <c r="NT44" s="18"/>
      <c r="NU44" s="307" t="s">
        <v>134</v>
      </c>
      <c r="NV44" s="308"/>
      <c r="NW44" s="308"/>
      <c r="NX44" s="309"/>
      <c r="NY44" s="35">
        <f>NY43*1.2</f>
        <v>999041.34309120011</v>
      </c>
      <c r="NZ44" s="31"/>
      <c r="OC44" s="30"/>
      <c r="OD44" s="18"/>
      <c r="OE44" s="266"/>
      <c r="OF44" s="266"/>
      <c r="OG44" s="18"/>
      <c r="OH44" s="307" t="s">
        <v>134</v>
      </c>
      <c r="OI44" s="308"/>
      <c r="OJ44" s="308"/>
      <c r="OK44" s="309"/>
      <c r="OL44" s="35">
        <f>OL43*1.2</f>
        <v>1225402.2858240001</v>
      </c>
      <c r="OM44" s="31"/>
      <c r="OP44" s="30"/>
      <c r="OQ44" s="18"/>
      <c r="OR44" s="266"/>
      <c r="OS44" s="266"/>
      <c r="OT44" s="18"/>
      <c r="OU44" s="307" t="s">
        <v>134</v>
      </c>
      <c r="OV44" s="308"/>
      <c r="OW44" s="308"/>
      <c r="OX44" s="309"/>
      <c r="OY44" s="35">
        <f>OY43*1.2</f>
        <v>1117456.9098240002</v>
      </c>
      <c r="OZ44" s="31"/>
      <c r="PD44" s="30"/>
      <c r="PE44" s="18"/>
      <c r="PF44" s="266"/>
      <c r="PG44" s="266"/>
      <c r="PH44" s="18"/>
      <c r="PI44" s="307" t="s">
        <v>134</v>
      </c>
      <c r="PJ44" s="308"/>
      <c r="PK44" s="308"/>
      <c r="PL44" s="309"/>
      <c r="PM44" s="35">
        <f>PM43*1.2</f>
        <v>979425.65222400019</v>
      </c>
      <c r="PN44" s="31"/>
      <c r="PQ44" s="30"/>
      <c r="PR44" s="18"/>
      <c r="PS44" s="266"/>
      <c r="PT44" s="266"/>
      <c r="PU44" s="18"/>
      <c r="PV44" s="307" t="s">
        <v>134</v>
      </c>
      <c r="PW44" s="308"/>
      <c r="PX44" s="308"/>
      <c r="PY44" s="309"/>
      <c r="PZ44" s="35">
        <f>PZ43*1.2</f>
        <v>1066240.8791040001</v>
      </c>
      <c r="QA44" s="31"/>
      <c r="QD44" s="30"/>
      <c r="QE44" s="18"/>
      <c r="QF44" s="266"/>
      <c r="QG44" s="266"/>
      <c r="QH44" s="18"/>
      <c r="QI44" s="307" t="s">
        <v>134</v>
      </c>
      <c r="QJ44" s="308"/>
      <c r="QK44" s="308"/>
      <c r="QL44" s="309"/>
      <c r="QM44" s="35">
        <f>QM43*1.2</f>
        <v>691995.20207999996</v>
      </c>
      <c r="QN44" s="31"/>
      <c r="QQ44" s="30"/>
      <c r="QR44" s="18"/>
      <c r="QS44" s="266"/>
      <c r="QT44" s="266"/>
      <c r="QU44" s="18"/>
      <c r="QV44" s="307" t="s">
        <v>134</v>
      </c>
      <c r="QW44" s="308"/>
      <c r="QX44" s="308"/>
      <c r="QY44" s="309"/>
      <c r="QZ44" s="35">
        <f>QZ43*1.2</f>
        <v>1023092.8439040002</v>
      </c>
      <c r="RA44" s="31"/>
    </row>
    <row r="45" spans="1:469" x14ac:dyDescent="0.25">
      <c r="A45" s="30"/>
      <c r="B45" s="18"/>
      <c r="C45" s="18"/>
      <c r="D45" s="18"/>
      <c r="E45" s="18"/>
      <c r="F45" s="18"/>
      <c r="G45" s="18"/>
      <c r="H45" s="219"/>
      <c r="I45" s="219"/>
      <c r="J45" s="220"/>
      <c r="K45" s="31"/>
      <c r="L45" s="30"/>
      <c r="M45" s="18"/>
      <c r="N45" s="18"/>
      <c r="O45" s="18"/>
      <c r="P45" s="18"/>
      <c r="Q45" s="18"/>
      <c r="R45" s="18"/>
      <c r="S45" s="219"/>
      <c r="T45" s="219"/>
      <c r="U45" s="220"/>
      <c r="V45" s="31"/>
      <c r="W45" s="30"/>
      <c r="X45" s="18"/>
      <c r="Y45" s="18"/>
      <c r="Z45" s="18"/>
      <c r="AA45" s="18"/>
      <c r="AB45" s="18"/>
      <c r="AC45" s="18"/>
      <c r="AD45" s="18"/>
      <c r="AE45" s="18"/>
      <c r="AF45" s="18"/>
      <c r="AG45" s="31"/>
      <c r="AH45" s="30"/>
      <c r="AR45" s="31"/>
      <c r="AS45" s="30"/>
      <c r="BC45" s="31"/>
      <c r="BD45" s="30"/>
      <c r="BN45" s="31"/>
      <c r="BO45" s="30"/>
      <c r="BP45" s="18"/>
      <c r="BQ45" s="18"/>
      <c r="BR45" s="18"/>
      <c r="BS45" s="18"/>
      <c r="BT45" s="18"/>
      <c r="BU45" s="18"/>
      <c r="BV45" s="219"/>
      <c r="BW45" s="219"/>
      <c r="BX45" s="220"/>
      <c r="BY45" s="31"/>
      <c r="BZ45" s="30"/>
      <c r="CA45" s="18"/>
      <c r="CB45" s="18"/>
      <c r="CC45" s="18"/>
      <c r="CD45" s="18"/>
      <c r="CE45" s="18"/>
      <c r="CF45" s="18"/>
      <c r="CG45" s="18"/>
      <c r="CH45" s="18"/>
      <c r="CI45" s="18"/>
      <c r="CJ45" s="31"/>
      <c r="CK45" s="30"/>
      <c r="CR45" s="219"/>
      <c r="CS45" s="219"/>
      <c r="CT45" s="220"/>
      <c r="CU45" s="31"/>
      <c r="CV45" s="30"/>
      <c r="CW45" s="18"/>
      <c r="CX45" s="18"/>
      <c r="CY45" s="18"/>
      <c r="CZ45" s="18"/>
      <c r="DA45" s="18"/>
      <c r="DB45" s="18"/>
      <c r="DC45" s="18"/>
      <c r="DD45" s="18"/>
      <c r="DE45" s="18"/>
      <c r="DF45" s="31"/>
      <c r="DG45" s="30"/>
      <c r="DH45" s="18"/>
      <c r="DN45" s="219"/>
      <c r="DO45" s="219"/>
      <c r="DP45" s="220"/>
      <c r="DQ45" s="31"/>
      <c r="DR45" s="30"/>
      <c r="DS45" s="18"/>
      <c r="DY45" s="219"/>
      <c r="DZ45" s="219"/>
      <c r="EA45" s="220"/>
      <c r="EB45" s="31"/>
      <c r="EC45" s="30"/>
      <c r="ED45" s="18"/>
      <c r="EJ45" s="219"/>
      <c r="EK45" s="219"/>
      <c r="EL45" s="220"/>
      <c r="EM45" s="31"/>
      <c r="EN45" s="30"/>
      <c r="EO45" s="18"/>
      <c r="EU45" s="219"/>
      <c r="EV45" s="219"/>
      <c r="EW45" s="220"/>
      <c r="EX45" s="31"/>
      <c r="EY45" s="30"/>
      <c r="EZ45" s="18"/>
      <c r="FA45" s="18"/>
      <c r="FB45" s="18"/>
      <c r="FC45" s="18"/>
      <c r="FD45" s="18"/>
      <c r="FE45" s="18"/>
      <c r="FF45" s="18"/>
      <c r="FG45" s="18"/>
      <c r="FH45" s="18"/>
      <c r="FI45" s="31"/>
      <c r="FJ45" s="30"/>
      <c r="FK45" s="18"/>
      <c r="FL45" s="18"/>
      <c r="FM45" s="18"/>
      <c r="FN45" s="18"/>
      <c r="FO45" s="18"/>
      <c r="FP45" s="18"/>
      <c r="FQ45" s="18"/>
      <c r="FR45" s="18"/>
      <c r="FS45" s="18"/>
      <c r="FT45" s="31"/>
      <c r="FU45" s="30"/>
      <c r="GB45" s="219"/>
      <c r="GC45" s="219"/>
      <c r="GD45" s="220"/>
      <c r="GE45" s="31"/>
      <c r="GF45" s="30"/>
      <c r="GG45" s="18"/>
      <c r="GH45" s="18"/>
      <c r="GI45" s="18"/>
      <c r="GJ45" s="18"/>
      <c r="GK45" s="18"/>
      <c r="GL45" s="18"/>
      <c r="GP45" s="31"/>
      <c r="GQ45" s="30"/>
      <c r="GX45" s="219"/>
      <c r="GY45" s="219"/>
      <c r="GZ45" s="220"/>
      <c r="HA45" s="31"/>
      <c r="HB45" s="30"/>
      <c r="HC45" s="18"/>
      <c r="HD45" s="18"/>
      <c r="HE45" s="18"/>
      <c r="HF45" s="18"/>
      <c r="HG45" s="18"/>
      <c r="HH45" s="18"/>
      <c r="HI45" s="18"/>
      <c r="HJ45" s="18"/>
      <c r="HK45" s="18"/>
      <c r="HL45" s="31"/>
      <c r="HM45" s="30"/>
      <c r="HN45" s="18"/>
      <c r="HO45" s="18"/>
      <c r="HP45" s="18"/>
      <c r="HQ45" s="18"/>
      <c r="HR45" s="18"/>
      <c r="HS45" s="18"/>
      <c r="HT45" s="219"/>
      <c r="HU45" s="219"/>
      <c r="HV45" s="220"/>
      <c r="HW45" s="31"/>
      <c r="HX45" s="30"/>
      <c r="HY45" s="18"/>
      <c r="HZ45" s="18"/>
      <c r="IA45" s="18"/>
      <c r="IB45" s="18"/>
      <c r="IC45" s="18"/>
      <c r="ID45" s="18"/>
      <c r="IE45" s="18"/>
      <c r="IF45" s="18"/>
      <c r="IG45" s="18"/>
      <c r="IH45" s="31"/>
      <c r="II45" s="30"/>
      <c r="IJ45" s="18"/>
      <c r="IK45" s="18"/>
      <c r="IL45" s="18"/>
      <c r="IM45" s="18"/>
      <c r="IN45" s="321" t="s">
        <v>114</v>
      </c>
      <c r="IO45" s="322"/>
      <c r="IP45" s="77">
        <f>SUM(IP37:IP39)</f>
        <v>835.6</v>
      </c>
      <c r="IQ45" s="50"/>
      <c r="IR45" s="77">
        <f>SUM(IR37:IR39)</f>
        <v>2757.4799999999996</v>
      </c>
      <c r="IS45" s="31"/>
      <c r="IT45" s="30"/>
      <c r="IU45" s="18"/>
      <c r="IV45" s="18"/>
      <c r="IW45" s="18"/>
      <c r="IX45" s="18"/>
      <c r="IY45" s="317" t="s">
        <v>136</v>
      </c>
      <c r="IZ45" s="318"/>
      <c r="JA45" s="73">
        <f>JA26+JA28</f>
        <v>2188.8000000000002</v>
      </c>
      <c r="JB45" s="181"/>
      <c r="JC45" s="73">
        <f>JC26+JC28</f>
        <v>14446.08</v>
      </c>
      <c r="JD45" s="31"/>
      <c r="JE45" s="30"/>
      <c r="JF45" s="18"/>
      <c r="JG45" s="18"/>
      <c r="JH45" s="18"/>
      <c r="JI45" s="18"/>
      <c r="JJ45" s="319" t="s">
        <v>20</v>
      </c>
      <c r="JK45" s="319"/>
      <c r="JL45" s="70">
        <f>JL21+JL22+JL31+JL32+JL33+JL34+JL35</f>
        <v>1124.8</v>
      </c>
      <c r="JM45" s="96"/>
      <c r="JN45" s="70">
        <f>JN21+JN22+JN31+JN32+JN33+JN34+JN35</f>
        <v>9835.84</v>
      </c>
      <c r="JO45" s="31"/>
      <c r="JP45" s="30"/>
      <c r="JQ45" s="1"/>
      <c r="JR45" s="1" t="s">
        <v>304</v>
      </c>
      <c r="JS45" s="1"/>
      <c r="JT45" s="1"/>
      <c r="JU45" s="1">
        <v>5500</v>
      </c>
      <c r="JV45" s="1">
        <f>(JS6-1)*2</f>
        <v>36</v>
      </c>
      <c r="JW45" s="1">
        <f>JU45/1000*JV45</f>
        <v>198</v>
      </c>
      <c r="JX45" s="1"/>
      <c r="JY45" s="1">
        <f>JW45*3.5</f>
        <v>693</v>
      </c>
      <c r="JZ45" s="31"/>
      <c r="KA45" s="30"/>
      <c r="KB45" s="1"/>
      <c r="KC45" s="1" t="s">
        <v>304</v>
      </c>
      <c r="KD45" s="1"/>
      <c r="KE45" s="1"/>
      <c r="KF45" s="1">
        <v>5500</v>
      </c>
      <c r="KG45" s="1">
        <f>(KD6-1)*2</f>
        <v>36</v>
      </c>
      <c r="KH45" s="1">
        <f>KF45/1000*KG45</f>
        <v>198</v>
      </c>
      <c r="KI45" s="1"/>
      <c r="KJ45" s="1">
        <f>KH45*3.5</f>
        <v>693</v>
      </c>
      <c r="KK45" s="31"/>
      <c r="KL45" s="30"/>
      <c r="KM45" s="18"/>
      <c r="KN45" s="18"/>
      <c r="KO45" s="18"/>
      <c r="KP45" s="18"/>
      <c r="KQ45" s="18"/>
      <c r="KR45" s="18"/>
      <c r="KS45" s="18"/>
      <c r="KT45" s="18"/>
      <c r="KU45" s="18"/>
      <c r="KV45" s="31"/>
      <c r="KW45" s="30"/>
      <c r="KY45" s="18"/>
      <c r="KZ45" s="18"/>
      <c r="LA45" s="18"/>
      <c r="LB45" s="18"/>
      <c r="LC45" s="18"/>
      <c r="LD45" s="6" t="s">
        <v>20</v>
      </c>
      <c r="LE45" s="6"/>
      <c r="LF45" s="7">
        <f>LF32+LF39+LF40+LF41</f>
        <v>18376.2</v>
      </c>
      <c r="LG45" s="31"/>
      <c r="LH45" s="30"/>
      <c r="LI45" s="18"/>
      <c r="LO45" s="304" t="s">
        <v>201</v>
      </c>
      <c r="LP45" s="306"/>
      <c r="LQ45" s="2">
        <f>SUM(LQ37:LQ39)</f>
        <v>76013.36</v>
      </c>
      <c r="LR45" s="31"/>
      <c r="LS45" s="30"/>
      <c r="LT45" s="18"/>
      <c r="LZ45" s="219"/>
      <c r="MA45" s="219"/>
      <c r="MB45" s="220"/>
      <c r="MC45" s="31"/>
      <c r="ME45" s="30"/>
      <c r="MF45" s="18"/>
      <c r="ML45" s="219"/>
      <c r="MM45" s="219"/>
      <c r="MN45" s="220"/>
      <c r="MO45" s="31"/>
      <c r="MQ45" s="30"/>
      <c r="MR45" s="18"/>
      <c r="MS45" s="266"/>
      <c r="MT45" s="266"/>
      <c r="MU45" s="18"/>
      <c r="MV45" s="303" t="s">
        <v>36</v>
      </c>
      <c r="MW45" s="303"/>
      <c r="MX45" s="10">
        <f>MX36+MX38+MX39+MX40+MX41+MX42+MZ30</f>
        <v>5092.532259999999</v>
      </c>
      <c r="MY45" s="1"/>
      <c r="MZ45" s="1"/>
      <c r="NA45" s="31"/>
      <c r="ND45" s="30"/>
      <c r="NE45" s="18"/>
      <c r="NF45" s="18"/>
      <c r="NG45" s="18"/>
      <c r="NH45" s="18"/>
      <c r="NI45" s="311" t="s">
        <v>13</v>
      </c>
      <c r="NJ45" s="312"/>
      <c r="NK45" s="19">
        <f>NM42</f>
        <v>22755.443999999996</v>
      </c>
      <c r="NL45" s="1">
        <v>70</v>
      </c>
      <c r="NM45" s="20">
        <f t="shared" ref="NM45:NM51" si="233">NK45*NL45</f>
        <v>1592881.0799999996</v>
      </c>
      <c r="NN45" s="31"/>
      <c r="NP45" s="30"/>
      <c r="NQ45" s="18"/>
      <c r="NR45" s="18"/>
      <c r="NS45" s="18"/>
      <c r="NT45" s="18"/>
      <c r="NU45" s="18"/>
      <c r="NV45" s="18"/>
      <c r="NW45" s="18"/>
      <c r="NX45" s="18"/>
      <c r="NY45" s="18"/>
      <c r="NZ45" s="31"/>
      <c r="OC45" s="30"/>
      <c r="OD45" s="18"/>
      <c r="OE45" s="18"/>
      <c r="OF45" s="18"/>
      <c r="OG45" s="18"/>
      <c r="OH45" s="18"/>
      <c r="OI45" s="18"/>
      <c r="OJ45" s="18"/>
      <c r="OK45" s="18"/>
      <c r="OL45" s="18"/>
      <c r="OM45" s="31"/>
      <c r="OP45" s="30"/>
      <c r="OQ45" s="18"/>
      <c r="OR45" s="18"/>
      <c r="OS45" s="18"/>
      <c r="OT45" s="18"/>
      <c r="OU45" s="18"/>
      <c r="OV45" s="18"/>
      <c r="OW45" s="18"/>
      <c r="OX45" s="18"/>
      <c r="OY45" s="18"/>
      <c r="OZ45" s="31"/>
      <c r="PD45" s="30"/>
      <c r="PE45" s="18"/>
      <c r="PF45" s="18"/>
      <c r="PG45" s="18"/>
      <c r="PH45" s="18"/>
      <c r="PI45" s="18"/>
      <c r="PJ45" s="18"/>
      <c r="PK45" s="18"/>
      <c r="PL45" s="18"/>
      <c r="PM45" s="18"/>
      <c r="PN45" s="31"/>
      <c r="PQ45" s="30"/>
      <c r="PR45" s="18"/>
      <c r="PS45" s="18"/>
      <c r="PT45" s="18"/>
      <c r="PU45" s="18"/>
      <c r="PV45" s="18"/>
      <c r="PW45" s="18"/>
      <c r="PX45" s="18"/>
      <c r="PY45" s="18"/>
      <c r="PZ45" s="18"/>
      <c r="QA45" s="31"/>
      <c r="QD45" s="30"/>
      <c r="QE45" s="18"/>
      <c r="QF45" s="18"/>
      <c r="QG45" s="18"/>
      <c r="QH45" s="18"/>
      <c r="QI45" s="18"/>
      <c r="QJ45" s="18"/>
      <c r="QK45" s="18"/>
      <c r="QL45" s="18"/>
      <c r="QM45" s="18"/>
      <c r="QN45" s="31"/>
      <c r="QQ45" s="30"/>
      <c r="QR45" s="18"/>
      <c r="QS45" s="18"/>
      <c r="QT45" s="18"/>
      <c r="QU45" s="18"/>
      <c r="QV45" s="18"/>
      <c r="QW45" s="18"/>
      <c r="QX45" s="18"/>
      <c r="QY45" s="18"/>
      <c r="QZ45" s="18"/>
      <c r="RA45" s="31"/>
    </row>
    <row r="46" spans="1:469" x14ac:dyDescent="0.25">
      <c r="A46" s="30"/>
      <c r="B46" s="18"/>
      <c r="C46" s="18"/>
      <c r="D46" s="18"/>
      <c r="E46" s="18"/>
      <c r="F46" s="18"/>
      <c r="G46" s="18"/>
      <c r="H46" s="219"/>
      <c r="I46" s="219"/>
      <c r="J46" s="220"/>
      <c r="K46" s="31"/>
      <c r="L46" s="30"/>
      <c r="M46" s="18"/>
      <c r="N46" s="18"/>
      <c r="O46" s="18"/>
      <c r="P46" s="18"/>
      <c r="Q46" s="18"/>
      <c r="R46" s="18"/>
      <c r="S46" s="219"/>
      <c r="T46" s="219"/>
      <c r="U46" s="220"/>
      <c r="V46" s="31"/>
      <c r="W46" s="30"/>
      <c r="X46" s="18"/>
      <c r="Y46" s="18"/>
      <c r="Z46" s="18"/>
      <c r="AA46" s="18"/>
      <c r="AB46" s="18"/>
      <c r="AC46" s="18"/>
      <c r="AD46" s="18"/>
      <c r="AE46" s="18"/>
      <c r="AF46" s="18"/>
      <c r="AG46" s="31"/>
      <c r="AH46" s="30"/>
      <c r="AR46" s="31"/>
      <c r="AS46" s="30"/>
      <c r="BC46" s="31"/>
      <c r="BD46" s="30"/>
      <c r="BN46" s="31"/>
      <c r="BO46" s="30"/>
      <c r="BP46" s="18"/>
      <c r="BQ46" s="18"/>
      <c r="BR46" s="18"/>
      <c r="BS46" s="18"/>
      <c r="BT46" s="18"/>
      <c r="BU46" s="18"/>
      <c r="BV46" s="219"/>
      <c r="BW46" s="219"/>
      <c r="BX46" s="220"/>
      <c r="BY46" s="31"/>
      <c r="BZ46" s="30"/>
      <c r="CA46" s="18"/>
      <c r="CB46" s="18"/>
      <c r="CC46" s="18"/>
      <c r="CD46" s="18"/>
      <c r="CE46" s="18"/>
      <c r="CF46" s="18"/>
      <c r="CG46" s="18"/>
      <c r="CH46" s="18"/>
      <c r="CI46" s="18"/>
      <c r="CJ46" s="31"/>
      <c r="CK46" s="30"/>
      <c r="CR46" s="219"/>
      <c r="CS46" s="219"/>
      <c r="CT46" s="220"/>
      <c r="CU46" s="31"/>
      <c r="CV46" s="30"/>
      <c r="CW46" s="18"/>
      <c r="CX46" s="18"/>
      <c r="CY46" s="18"/>
      <c r="CZ46" s="18"/>
      <c r="DA46" s="18"/>
      <c r="DB46" s="18"/>
      <c r="DC46" s="18"/>
      <c r="DD46" s="18"/>
      <c r="DE46" s="18"/>
      <c r="DF46" s="31"/>
      <c r="DG46" s="30"/>
      <c r="DH46" s="18"/>
      <c r="DN46" s="219"/>
      <c r="DO46" s="219"/>
      <c r="DP46" s="220"/>
      <c r="DQ46" s="31"/>
      <c r="DR46" s="30"/>
      <c r="DS46" s="18"/>
      <c r="DY46" s="219"/>
      <c r="DZ46" s="219"/>
      <c r="EA46" s="220"/>
      <c r="EB46" s="31"/>
      <c r="EC46" s="30"/>
      <c r="ED46" s="18"/>
      <c r="EJ46" s="219"/>
      <c r="EK46" s="219"/>
      <c r="EL46" s="220"/>
      <c r="EM46" s="31"/>
      <c r="EN46" s="30"/>
      <c r="EO46" s="18"/>
      <c r="EU46" s="219"/>
      <c r="EV46" s="219"/>
      <c r="EW46" s="220"/>
      <c r="EX46" s="31"/>
      <c r="EY46" s="30"/>
      <c r="EZ46" s="18"/>
      <c r="FA46" s="18"/>
      <c r="FB46" s="18"/>
      <c r="FC46" s="18"/>
      <c r="FD46" s="18"/>
      <c r="FE46" s="18"/>
      <c r="FF46" s="18"/>
      <c r="FG46" s="18"/>
      <c r="FH46" s="18"/>
      <c r="FI46" s="31"/>
      <c r="FJ46" s="30"/>
      <c r="FK46" s="18"/>
      <c r="FL46" s="18"/>
      <c r="FM46" s="18"/>
      <c r="FN46" s="18"/>
      <c r="FO46" s="18"/>
      <c r="FP46" s="18"/>
      <c r="FQ46" s="18"/>
      <c r="FR46" s="18"/>
      <c r="FS46" s="18"/>
      <c r="FT46" s="31"/>
      <c r="FU46" s="30"/>
      <c r="GB46" s="219"/>
      <c r="GC46" s="219"/>
      <c r="GD46" s="220"/>
      <c r="GE46" s="31"/>
      <c r="GF46" s="30"/>
      <c r="GG46" s="18"/>
      <c r="GH46" s="18"/>
      <c r="GI46" s="18"/>
      <c r="GJ46" s="18"/>
      <c r="GK46" s="18"/>
      <c r="GL46" s="18"/>
      <c r="GP46" s="31"/>
      <c r="GQ46" s="30"/>
      <c r="GX46" s="219"/>
      <c r="GY46" s="219"/>
      <c r="GZ46" s="220"/>
      <c r="HA46" s="31"/>
      <c r="HB46" s="30"/>
      <c r="HC46" s="18"/>
      <c r="HD46" s="18"/>
      <c r="HE46" s="18"/>
      <c r="HF46" s="18"/>
      <c r="HG46" s="18"/>
      <c r="HH46" s="18"/>
      <c r="HI46" s="18"/>
      <c r="HJ46" s="18"/>
      <c r="HK46" s="18"/>
      <c r="HL46" s="31"/>
      <c r="HM46" s="30"/>
      <c r="HN46" s="18"/>
      <c r="HO46" s="18"/>
      <c r="HP46" s="18"/>
      <c r="HQ46" s="18"/>
      <c r="HR46" s="18"/>
      <c r="HS46" s="18"/>
      <c r="HT46" s="219"/>
      <c r="HU46" s="219"/>
      <c r="HV46" s="220"/>
      <c r="HW46" s="31"/>
      <c r="HX46" s="30"/>
      <c r="HY46" s="18"/>
      <c r="HZ46" s="18"/>
      <c r="IA46" s="18"/>
      <c r="IB46" s="18"/>
      <c r="IC46" s="18"/>
      <c r="ID46" s="18"/>
      <c r="IE46" s="18"/>
      <c r="IF46" s="18"/>
      <c r="IG46" s="18"/>
      <c r="IH46" s="31"/>
      <c r="II46" s="30"/>
      <c r="IJ46" s="18"/>
      <c r="IK46" s="18"/>
      <c r="IL46" s="18"/>
      <c r="IM46" s="18"/>
      <c r="IN46" s="323" t="s">
        <v>37</v>
      </c>
      <c r="IO46" s="324"/>
      <c r="IP46" s="163">
        <f>IP25</f>
        <v>547.19999999999993</v>
      </c>
      <c r="IQ46" s="13"/>
      <c r="IR46" s="72">
        <f>IR25</f>
        <v>3611.5199999999995</v>
      </c>
      <c r="IS46" s="31"/>
      <c r="IT46" s="30"/>
      <c r="IU46" s="18"/>
      <c r="IV46" s="18"/>
      <c r="IW46" s="18"/>
      <c r="IX46" s="18"/>
      <c r="IY46" s="319" t="s">
        <v>20</v>
      </c>
      <c r="IZ46" s="319"/>
      <c r="JA46" s="182">
        <f>JA24+JA27+JA29+JA30+JA31+JA32+JA33+JA34+JA35</f>
        <v>707.29999999999984</v>
      </c>
      <c r="JB46" s="183"/>
      <c r="JC46" s="182">
        <f>JC24+JC27+JC29+JC30+JC31+JC32+JC33+JC34+JC35</f>
        <v>6278.96</v>
      </c>
      <c r="JD46" s="31"/>
      <c r="JE46" s="30"/>
      <c r="JF46" s="18"/>
      <c r="JG46" s="18"/>
      <c r="JH46" s="18"/>
      <c r="JI46" s="18"/>
      <c r="JJ46" s="329" t="s">
        <v>12</v>
      </c>
      <c r="JK46" s="329"/>
      <c r="JL46" s="71">
        <f>JL16+JL17+JL19+JL20+JL25+JL26+JL27+JL28+JL29+JL30</f>
        <v>2531.88</v>
      </c>
      <c r="JM46" s="97"/>
      <c r="JN46" s="71">
        <f>JN16+JN17+JN19+JN20+JN25+JN26+JN27+JN28+JN29+JN30</f>
        <v>25571.987999999994</v>
      </c>
      <c r="JO46" s="31"/>
      <c r="JP46" s="30"/>
      <c r="JQ46" s="18"/>
      <c r="JR46" s="18"/>
      <c r="JS46" s="18"/>
      <c r="JT46" s="18"/>
      <c r="JU46" s="18"/>
      <c r="JV46" s="18"/>
      <c r="JW46" s="219"/>
      <c r="JX46" s="219"/>
      <c r="JY46" s="222"/>
      <c r="JZ46" s="31"/>
      <c r="KA46" s="30"/>
      <c r="KB46" s="18"/>
      <c r="KC46" s="18"/>
      <c r="KD46" s="18"/>
      <c r="KE46" s="18"/>
      <c r="KF46" s="18"/>
      <c r="KG46" s="18"/>
      <c r="KH46" s="219"/>
      <c r="KI46" s="219"/>
      <c r="KJ46" s="222"/>
      <c r="KK46" s="31"/>
      <c r="KL46" s="30"/>
      <c r="KM46" s="18"/>
      <c r="KN46" s="18"/>
      <c r="KO46" s="18"/>
      <c r="KP46" s="18"/>
      <c r="KQ46" s="18"/>
      <c r="KR46" s="18"/>
      <c r="KS46" s="18"/>
      <c r="KT46" s="18"/>
      <c r="KU46" s="18"/>
      <c r="KV46" s="31"/>
      <c r="KW46" s="30"/>
      <c r="KX46" s="18"/>
      <c r="KY46" s="18"/>
      <c r="KZ46" s="18"/>
      <c r="LA46" s="18"/>
      <c r="LB46" s="18"/>
      <c r="LC46" s="18"/>
      <c r="LD46" s="8" t="s">
        <v>12</v>
      </c>
      <c r="LE46" s="8"/>
      <c r="LF46" s="9">
        <f>LF16+LF19+LF20+LF21+LF22+LF23+LF24+LF25+LF26+LF34+LF35+LF36+LF37+LF38</f>
        <v>150902.68600000002</v>
      </c>
      <c r="LG46" s="31"/>
      <c r="LH46" s="30"/>
      <c r="LI46" s="18"/>
      <c r="LO46" s="219"/>
      <c r="LP46" s="219"/>
      <c r="LQ46" s="220"/>
      <c r="LR46" s="31"/>
      <c r="LS46" s="30"/>
      <c r="LT46" s="18"/>
      <c r="LZ46" s="219"/>
      <c r="MA46" s="219"/>
      <c r="MB46" s="220"/>
      <c r="MC46" s="31"/>
      <c r="ME46" s="30"/>
      <c r="MF46" s="18"/>
      <c r="ML46" s="219"/>
      <c r="MM46" s="219"/>
      <c r="MN46" s="220"/>
      <c r="MO46" s="31"/>
      <c r="MQ46" s="30"/>
      <c r="MR46" s="18"/>
      <c r="MS46" s="266"/>
      <c r="MT46" s="266"/>
      <c r="MU46" s="18"/>
      <c r="MV46" s="304" t="s">
        <v>17</v>
      </c>
      <c r="MW46" s="305"/>
      <c r="MX46" s="305"/>
      <c r="MY46" s="306"/>
      <c r="MZ46" s="24">
        <f>SUM(MZ36:MZ44)</f>
        <v>851139.69452000014</v>
      </c>
      <c r="NA46" s="31"/>
      <c r="ND46" s="30"/>
      <c r="NE46" s="18"/>
      <c r="NF46" s="18"/>
      <c r="NG46" s="18"/>
      <c r="NH46" s="18"/>
      <c r="NI46" s="311" t="s">
        <v>33</v>
      </c>
      <c r="NJ46" s="312"/>
      <c r="NK46" s="1">
        <f>NJ37</f>
        <v>576</v>
      </c>
      <c r="NL46" s="1">
        <v>120</v>
      </c>
      <c r="NM46" s="20">
        <f t="shared" si="233"/>
        <v>69120</v>
      </c>
      <c r="NN46" s="31"/>
      <c r="NP46" s="30"/>
      <c r="NQ46" s="18"/>
      <c r="NR46" s="18"/>
      <c r="NT46" s="18"/>
      <c r="NU46" s="18"/>
      <c r="NV46" s="18"/>
      <c r="NW46" s="18"/>
      <c r="NX46" s="18"/>
      <c r="NY46" s="18"/>
      <c r="NZ46" s="31"/>
      <c r="OC46" s="30"/>
      <c r="OD46" s="18"/>
      <c r="OE46" s="18"/>
      <c r="OG46" s="18"/>
      <c r="OH46" s="18"/>
      <c r="OI46" s="18"/>
      <c r="OJ46" s="18"/>
      <c r="OK46" s="18"/>
      <c r="OL46" s="18"/>
      <c r="OM46" s="31"/>
      <c r="OP46" s="30"/>
      <c r="OQ46" s="18"/>
      <c r="OR46" s="18"/>
      <c r="OT46" s="18"/>
      <c r="OU46" s="18"/>
      <c r="OV46" s="18"/>
      <c r="OW46" s="18"/>
      <c r="OX46" s="18"/>
      <c r="OY46" s="18"/>
      <c r="OZ46" s="31"/>
      <c r="PD46" s="30"/>
      <c r="PE46" s="18"/>
      <c r="PF46" s="18"/>
      <c r="PH46" s="18"/>
      <c r="PI46" s="18"/>
      <c r="PJ46" s="18"/>
      <c r="PK46" s="18"/>
      <c r="PL46" s="18"/>
      <c r="PM46" s="18"/>
      <c r="PN46" s="31"/>
      <c r="PQ46" s="30"/>
      <c r="PR46" s="18"/>
      <c r="PS46" s="18"/>
      <c r="PU46" s="18"/>
      <c r="PV46" s="18"/>
      <c r="PW46" s="18"/>
      <c r="PX46" s="18"/>
      <c r="PY46" s="18"/>
      <c r="PZ46" s="18"/>
      <c r="QA46" s="31"/>
      <c r="QD46" s="30"/>
      <c r="QE46" s="18"/>
      <c r="QF46" s="18"/>
      <c r="QH46" s="18"/>
      <c r="QI46" s="18"/>
      <c r="QJ46" s="18"/>
      <c r="QK46" s="18"/>
      <c r="QL46" s="18"/>
      <c r="QM46" s="18"/>
      <c r="QN46" s="31"/>
      <c r="QQ46" s="30"/>
      <c r="QR46" s="18"/>
      <c r="QS46" s="18"/>
      <c r="QU46" s="18"/>
      <c r="QV46" s="18"/>
      <c r="QW46" s="18"/>
      <c r="QX46" s="18"/>
      <c r="QY46" s="18"/>
      <c r="QZ46" s="18"/>
      <c r="RA46" s="31"/>
    </row>
    <row r="47" spans="1:469" x14ac:dyDescent="0.25">
      <c r="A47" s="30"/>
      <c r="B47" s="18"/>
      <c r="C47" s="18"/>
      <c r="D47" s="18"/>
      <c r="E47" s="18"/>
      <c r="F47" s="18"/>
      <c r="G47" s="18"/>
      <c r="H47" s="219"/>
      <c r="I47" s="219"/>
      <c r="J47" s="220"/>
      <c r="K47" s="31"/>
      <c r="L47" s="30"/>
      <c r="M47" s="18"/>
      <c r="N47" s="18"/>
      <c r="O47" s="18"/>
      <c r="P47" s="18"/>
      <c r="Q47" s="18"/>
      <c r="R47" s="18"/>
      <c r="S47" s="219"/>
      <c r="T47" s="219"/>
      <c r="U47" s="220"/>
      <c r="V47" s="31"/>
      <c r="W47" s="30"/>
      <c r="X47" s="18"/>
      <c r="Y47" s="18"/>
      <c r="Z47" s="18"/>
      <c r="AA47" s="18"/>
      <c r="AB47" s="18"/>
      <c r="AC47" s="18"/>
      <c r="AD47" s="18"/>
      <c r="AE47" s="18"/>
      <c r="AF47" s="18"/>
      <c r="AG47" s="31"/>
      <c r="AH47" s="30"/>
      <c r="AR47" s="31"/>
      <c r="AS47" s="30"/>
      <c r="BC47" s="31"/>
      <c r="BD47" s="30"/>
      <c r="BN47" s="31"/>
      <c r="BO47" s="30"/>
      <c r="BP47" s="18"/>
      <c r="BQ47" s="18"/>
      <c r="BR47" s="18"/>
      <c r="BS47" s="18"/>
      <c r="BT47" s="18"/>
      <c r="BU47" s="18"/>
      <c r="BV47" s="219"/>
      <c r="BW47" s="219"/>
      <c r="BX47" s="220"/>
      <c r="BY47" s="31"/>
      <c r="BZ47" s="30"/>
      <c r="CA47" s="18"/>
      <c r="CB47" s="18"/>
      <c r="CC47" s="18"/>
      <c r="CD47" s="18"/>
      <c r="CE47" s="18"/>
      <c r="CF47" s="18"/>
      <c r="CG47" s="18"/>
      <c r="CH47" s="18"/>
      <c r="CI47" s="18"/>
      <c r="CJ47" s="31"/>
      <c r="CK47" s="30"/>
      <c r="CR47" s="219"/>
      <c r="CS47" s="219"/>
      <c r="CT47" s="220"/>
      <c r="CU47" s="31"/>
      <c r="CV47" s="30"/>
      <c r="CW47" s="18"/>
      <c r="CX47" s="18"/>
      <c r="CY47" s="18"/>
      <c r="CZ47" s="18"/>
      <c r="DA47" s="18"/>
      <c r="DB47" s="18"/>
      <c r="DC47" s="18"/>
      <c r="DD47" s="18"/>
      <c r="DE47" s="18"/>
      <c r="DF47" s="31"/>
      <c r="DG47" s="30"/>
      <c r="DH47" s="18"/>
      <c r="DN47" s="219"/>
      <c r="DO47" s="219"/>
      <c r="DP47" s="220"/>
      <c r="DQ47" s="31"/>
      <c r="DR47" s="30"/>
      <c r="DS47" s="18"/>
      <c r="DY47" s="219"/>
      <c r="DZ47" s="219"/>
      <c r="EA47" s="220"/>
      <c r="EB47" s="31"/>
      <c r="EC47" s="30"/>
      <c r="ED47" s="18"/>
      <c r="EJ47" s="219"/>
      <c r="EK47" s="219"/>
      <c r="EL47" s="220"/>
      <c r="EM47" s="31"/>
      <c r="EN47" s="30"/>
      <c r="EO47" s="18"/>
      <c r="EU47" s="219"/>
      <c r="EV47" s="219"/>
      <c r="EW47" s="220"/>
      <c r="EX47" s="31"/>
      <c r="EY47" s="30"/>
      <c r="EZ47" s="18"/>
      <c r="FA47" s="18"/>
      <c r="FB47" s="18"/>
      <c r="FC47" s="18"/>
      <c r="FD47" s="18"/>
      <c r="FE47" s="18"/>
      <c r="FF47" s="18"/>
      <c r="FG47" s="18"/>
      <c r="FH47" s="18"/>
      <c r="FI47" s="31"/>
      <c r="FJ47" s="30"/>
      <c r="FK47" s="18"/>
      <c r="FL47" s="18"/>
      <c r="FM47" s="18"/>
      <c r="FN47" s="18"/>
      <c r="FO47" s="18"/>
      <c r="FP47" s="18"/>
      <c r="FQ47" s="18"/>
      <c r="FR47" s="18"/>
      <c r="FS47" s="18"/>
      <c r="FT47" s="31"/>
      <c r="FU47" s="30"/>
      <c r="GB47" s="219"/>
      <c r="GC47" s="219"/>
      <c r="GD47" s="220"/>
      <c r="GE47" s="31"/>
      <c r="GF47" s="30"/>
      <c r="GG47" s="18"/>
      <c r="GH47" s="18"/>
      <c r="GI47" s="18"/>
      <c r="GJ47" s="18"/>
      <c r="GK47" s="18"/>
      <c r="GL47" s="18"/>
      <c r="GP47" s="31"/>
      <c r="GQ47" s="30"/>
      <c r="GX47" s="219"/>
      <c r="GY47" s="219"/>
      <c r="GZ47" s="220"/>
      <c r="HA47" s="31"/>
      <c r="HB47" s="30"/>
      <c r="HC47" s="18"/>
      <c r="HD47" s="18"/>
      <c r="HE47" s="18"/>
      <c r="HF47" s="18"/>
      <c r="HG47" s="18"/>
      <c r="HH47" s="18"/>
      <c r="HI47" s="18"/>
      <c r="HJ47" s="18"/>
      <c r="HK47" s="18"/>
      <c r="HL47" s="31"/>
      <c r="HM47" s="30"/>
      <c r="HN47" s="18"/>
      <c r="HO47" s="18"/>
      <c r="HP47" s="18"/>
      <c r="HQ47" s="18"/>
      <c r="HR47" s="18"/>
      <c r="HS47" s="18"/>
      <c r="HT47" s="219"/>
      <c r="HU47" s="219"/>
      <c r="HV47" s="220"/>
      <c r="HW47" s="31"/>
      <c r="HX47" s="30"/>
      <c r="HY47" s="18"/>
      <c r="HZ47" s="18"/>
      <c r="IA47" s="18"/>
      <c r="IB47" s="18"/>
      <c r="IC47" s="18"/>
      <c r="ID47" s="18"/>
      <c r="IE47" s="18"/>
      <c r="IF47" s="18"/>
      <c r="IG47" s="18"/>
      <c r="IH47" s="31"/>
      <c r="II47" s="30"/>
      <c r="IJ47" s="18"/>
      <c r="IK47" s="18"/>
      <c r="IL47" s="18"/>
      <c r="IM47" s="18"/>
      <c r="IN47" s="317" t="s">
        <v>136</v>
      </c>
      <c r="IO47" s="318"/>
      <c r="IP47" s="73">
        <f>IP26+IP28</f>
        <v>2188.8000000000002</v>
      </c>
      <c r="IQ47" s="66"/>
      <c r="IR47" s="73">
        <f>IR26+IR28</f>
        <v>14446.08</v>
      </c>
      <c r="IS47" s="31"/>
      <c r="IT47" s="30"/>
      <c r="IU47" s="18"/>
      <c r="IV47" s="18"/>
      <c r="IW47" s="18"/>
      <c r="IX47" s="18"/>
      <c r="IY47" s="325" t="s">
        <v>12</v>
      </c>
      <c r="IZ47" s="325"/>
      <c r="JA47" s="71">
        <f>SUM(JA16:JA23)</f>
        <v>2169.4</v>
      </c>
      <c r="JB47" s="164"/>
      <c r="JC47" s="71">
        <f>SUM(JC16:JC23)</f>
        <v>21910.939999999995</v>
      </c>
      <c r="JD47" s="31"/>
      <c r="JE47" s="30"/>
      <c r="JF47" s="18"/>
      <c r="JG47" s="18"/>
      <c r="JH47" s="18"/>
      <c r="JI47" s="18"/>
      <c r="JJ47" s="18"/>
      <c r="JK47" s="18"/>
      <c r="JL47" s="68" t="s">
        <v>9</v>
      </c>
      <c r="JM47" s="69"/>
      <c r="JN47" s="80">
        <f>JN42+JN43+JN44+JN45+JN46</f>
        <v>52817.30799999999</v>
      </c>
      <c r="JO47" s="31"/>
      <c r="JP47" s="30"/>
      <c r="JQ47" s="18"/>
      <c r="JR47" s="18"/>
      <c r="JS47" s="18"/>
      <c r="JT47" s="18"/>
      <c r="JU47" s="18"/>
      <c r="JV47" s="18"/>
      <c r="JW47" s="219"/>
      <c r="JX47" s="219"/>
      <c r="JY47" s="222"/>
      <c r="JZ47" s="31"/>
      <c r="KA47" s="30"/>
      <c r="KB47" s="18"/>
      <c r="KC47" s="18"/>
      <c r="KD47" s="18"/>
      <c r="KE47" s="18"/>
      <c r="KF47" s="18"/>
      <c r="KG47" s="18"/>
      <c r="KH47" s="219"/>
      <c r="KI47" s="219"/>
      <c r="KJ47" s="222"/>
      <c r="KK47" s="31"/>
      <c r="KL47" s="30"/>
      <c r="KM47" s="18"/>
      <c r="KN47" s="18"/>
      <c r="KO47" s="18"/>
      <c r="KP47" s="18"/>
      <c r="KQ47" s="18"/>
      <c r="KR47" s="18"/>
      <c r="KS47" s="18"/>
      <c r="KT47" s="18"/>
      <c r="KU47" s="18"/>
      <c r="KV47" s="31"/>
      <c r="KW47" s="30"/>
      <c r="KX47" s="18"/>
      <c r="KY47" s="18"/>
      <c r="KZ47" s="18"/>
      <c r="LA47" s="18"/>
      <c r="LB47" s="18"/>
      <c r="LC47" s="18"/>
      <c r="LD47" s="84" t="s">
        <v>152</v>
      </c>
      <c r="LE47" s="66"/>
      <c r="LF47" s="85">
        <f>LF31</f>
        <v>45619.199999999997</v>
      </c>
      <c r="LG47" s="31"/>
      <c r="LH47" s="30"/>
      <c r="LI47" s="18"/>
      <c r="LO47" s="219"/>
      <c r="LP47" s="219"/>
      <c r="LQ47" s="220"/>
      <c r="LR47" s="31"/>
      <c r="LS47" s="30"/>
      <c r="LT47" s="18"/>
      <c r="LZ47" s="219"/>
      <c r="MA47" s="219"/>
      <c r="MB47" s="220"/>
      <c r="MC47" s="31"/>
      <c r="ME47" s="30"/>
      <c r="MF47" s="18"/>
      <c r="ML47" s="219"/>
      <c r="MM47" s="219"/>
      <c r="MN47" s="220"/>
      <c r="MO47" s="31"/>
      <c r="MQ47" s="30"/>
      <c r="MR47" s="18"/>
      <c r="MS47" s="266"/>
      <c r="MT47" s="266"/>
      <c r="MU47" s="18"/>
      <c r="MV47" s="307" t="s">
        <v>134</v>
      </c>
      <c r="MW47" s="308"/>
      <c r="MX47" s="308"/>
      <c r="MY47" s="309"/>
      <c r="MZ47" s="35">
        <f>MZ46*1.2</f>
        <v>1021367.6334240001</v>
      </c>
      <c r="NA47" s="31"/>
      <c r="ND47" s="30"/>
      <c r="NE47" s="18"/>
      <c r="NF47" s="18"/>
      <c r="NG47" s="18"/>
      <c r="NH47" s="18"/>
      <c r="NI47" s="311" t="s">
        <v>14</v>
      </c>
      <c r="NJ47" s="312"/>
      <c r="NK47" s="19">
        <f>NK45*0.2</f>
        <v>4551.0887999999995</v>
      </c>
      <c r="NL47" s="1">
        <v>68</v>
      </c>
      <c r="NM47" s="20">
        <f t="shared" si="233"/>
        <v>309474.03839999996</v>
      </c>
      <c r="NN47" s="31"/>
      <c r="NP47" s="32"/>
      <c r="NQ47" s="33"/>
      <c r="NR47" s="33"/>
      <c r="NS47" s="33"/>
      <c r="NT47" s="33"/>
      <c r="NU47" s="33"/>
      <c r="NV47" s="33"/>
      <c r="NW47" s="33"/>
      <c r="NX47" s="33"/>
      <c r="NY47" s="33"/>
      <c r="NZ47" s="34"/>
      <c r="OC47" s="32"/>
      <c r="OD47" s="33"/>
      <c r="OE47" s="33"/>
      <c r="OF47" s="33"/>
      <c r="OG47" s="33"/>
      <c r="OH47" s="33"/>
      <c r="OI47" s="33"/>
      <c r="OJ47" s="33"/>
      <c r="OK47" s="33"/>
      <c r="OL47" s="33"/>
      <c r="OM47" s="34"/>
      <c r="OP47" s="32"/>
      <c r="OQ47" s="33"/>
      <c r="OR47" s="33"/>
      <c r="OS47" s="33"/>
      <c r="OT47" s="33"/>
      <c r="OU47" s="33"/>
      <c r="OV47" s="33"/>
      <c r="OW47" s="33"/>
      <c r="OX47" s="33"/>
      <c r="OY47" s="33"/>
      <c r="OZ47" s="34"/>
      <c r="PD47" s="32"/>
      <c r="PE47" s="33"/>
      <c r="PF47" s="33"/>
      <c r="PG47" s="33"/>
      <c r="PH47" s="33"/>
      <c r="PI47" s="33"/>
      <c r="PJ47" s="33"/>
      <c r="PK47" s="33"/>
      <c r="PL47" s="33"/>
      <c r="PM47" s="33"/>
      <c r="PN47" s="34"/>
      <c r="PQ47" s="32"/>
      <c r="PR47" s="33"/>
      <c r="PS47" s="33"/>
      <c r="PT47" s="33"/>
      <c r="PU47" s="33"/>
      <c r="PV47" s="33"/>
      <c r="PW47" s="33"/>
      <c r="PX47" s="33"/>
      <c r="PY47" s="33"/>
      <c r="PZ47" s="33"/>
      <c r="QA47" s="34"/>
      <c r="QD47" s="32"/>
      <c r="QE47" s="33"/>
      <c r="QF47" s="33"/>
      <c r="QG47" s="33"/>
      <c r="QH47" s="33"/>
      <c r="QI47" s="33"/>
      <c r="QJ47" s="33"/>
      <c r="QK47" s="33"/>
      <c r="QL47" s="33"/>
      <c r="QM47" s="33"/>
      <c r="QN47" s="34"/>
      <c r="QQ47" s="32"/>
      <c r="QR47" s="33"/>
      <c r="QS47" s="33"/>
      <c r="QT47" s="33"/>
      <c r="QU47" s="33"/>
      <c r="QV47" s="33"/>
      <c r="QW47" s="33"/>
      <c r="QX47" s="33"/>
      <c r="QY47" s="33"/>
      <c r="QZ47" s="33"/>
      <c r="RA47" s="34"/>
    </row>
    <row r="48" spans="1:469" x14ac:dyDescent="0.25">
      <c r="A48" s="30"/>
      <c r="B48" s="18"/>
      <c r="C48" s="18"/>
      <c r="D48" s="18"/>
      <c r="E48" s="18"/>
      <c r="F48" s="18"/>
      <c r="G48" s="18"/>
      <c r="H48" s="219"/>
      <c r="I48" s="219"/>
      <c r="J48" s="220"/>
      <c r="K48" s="31"/>
      <c r="L48" s="30"/>
      <c r="M48" s="18"/>
      <c r="N48" s="18"/>
      <c r="O48" s="18"/>
      <c r="P48" s="18"/>
      <c r="Q48" s="18"/>
      <c r="R48" s="18"/>
      <c r="S48" s="219"/>
      <c r="T48" s="219"/>
      <c r="U48" s="220"/>
      <c r="V48" s="31"/>
      <c r="W48" s="30"/>
      <c r="X48" s="18"/>
      <c r="Y48" s="18"/>
      <c r="Z48" s="18"/>
      <c r="AA48" s="18"/>
      <c r="AB48" s="18"/>
      <c r="AC48" s="18"/>
      <c r="AD48" s="18"/>
      <c r="AE48" s="18"/>
      <c r="AF48" s="18"/>
      <c r="AG48" s="31"/>
      <c r="AH48" s="30"/>
      <c r="AR48" s="31"/>
      <c r="AS48" s="30"/>
      <c r="BC48" s="31"/>
      <c r="BD48" s="30"/>
      <c r="BN48" s="31"/>
      <c r="BO48" s="30"/>
      <c r="BP48" s="18"/>
      <c r="BQ48" s="18"/>
      <c r="BR48" s="18"/>
      <c r="BS48" s="18"/>
      <c r="BT48" s="18"/>
      <c r="BU48" s="18"/>
      <c r="BV48" s="219"/>
      <c r="BW48" s="219"/>
      <c r="BX48" s="220"/>
      <c r="BY48" s="31"/>
      <c r="BZ48" s="30"/>
      <c r="CA48" s="18"/>
      <c r="CB48" s="18"/>
      <c r="CC48" s="18"/>
      <c r="CD48" s="18"/>
      <c r="CE48" s="18"/>
      <c r="CF48" s="18"/>
      <c r="CG48" s="18"/>
      <c r="CH48" s="18"/>
      <c r="CI48" s="18"/>
      <c r="CJ48" s="31"/>
      <c r="CK48" s="30"/>
      <c r="CR48" s="219"/>
      <c r="CS48" s="219"/>
      <c r="CT48" s="220"/>
      <c r="CU48" s="31"/>
      <c r="CV48" s="30"/>
      <c r="CW48" s="18"/>
      <c r="CX48" s="18"/>
      <c r="CY48" s="18"/>
      <c r="CZ48" s="18"/>
      <c r="DA48" s="18"/>
      <c r="DB48" s="18"/>
      <c r="DC48" s="18"/>
      <c r="DD48" s="18"/>
      <c r="DE48" s="18"/>
      <c r="DF48" s="31"/>
      <c r="DG48" s="30"/>
      <c r="DH48" s="18"/>
      <c r="DN48" s="219"/>
      <c r="DO48" s="219"/>
      <c r="DP48" s="220"/>
      <c r="DQ48" s="31"/>
      <c r="DR48" s="30"/>
      <c r="DS48" s="18"/>
      <c r="DY48" s="219"/>
      <c r="DZ48" s="219"/>
      <c r="EA48" s="220"/>
      <c r="EB48" s="31"/>
      <c r="EC48" s="30"/>
      <c r="ED48" s="18"/>
      <c r="EJ48" s="219"/>
      <c r="EK48" s="219"/>
      <c r="EL48" s="220"/>
      <c r="EM48" s="31"/>
      <c r="EN48" s="30"/>
      <c r="EO48" s="18"/>
      <c r="EU48" s="219"/>
      <c r="EV48" s="219"/>
      <c r="EW48" s="220"/>
      <c r="EX48" s="31"/>
      <c r="EY48" s="30"/>
      <c r="EZ48" s="18"/>
      <c r="FA48" s="18"/>
      <c r="FB48" s="18"/>
      <c r="FC48" s="18"/>
      <c r="FD48" s="18"/>
      <c r="FE48" s="18"/>
      <c r="FF48" s="18"/>
      <c r="FG48" s="18"/>
      <c r="FH48" s="18"/>
      <c r="FI48" s="31"/>
      <c r="FJ48" s="30"/>
      <c r="FK48" s="18"/>
      <c r="FL48" s="18"/>
      <c r="FM48" s="18"/>
      <c r="FN48" s="18"/>
      <c r="FO48" s="18"/>
      <c r="FP48" s="18"/>
      <c r="FQ48" s="18"/>
      <c r="FR48" s="18"/>
      <c r="FS48" s="18"/>
      <c r="FT48" s="31"/>
      <c r="FU48" s="30"/>
      <c r="GB48" s="219"/>
      <c r="GC48" s="219"/>
      <c r="GD48" s="220"/>
      <c r="GE48" s="31"/>
      <c r="GF48" s="30"/>
      <c r="GG48" s="18"/>
      <c r="GH48" s="18"/>
      <c r="GI48" s="18"/>
      <c r="GJ48" s="18"/>
      <c r="GK48" s="18"/>
      <c r="GL48" s="18"/>
      <c r="GP48" s="31"/>
      <c r="GQ48" s="30"/>
      <c r="GX48" s="219"/>
      <c r="GY48" s="219"/>
      <c r="GZ48" s="220"/>
      <c r="HA48" s="31"/>
      <c r="HB48" s="30"/>
      <c r="HC48" s="18"/>
      <c r="HD48" s="18"/>
      <c r="HE48" s="18"/>
      <c r="HF48" s="18"/>
      <c r="HG48" s="18"/>
      <c r="HH48" s="18"/>
      <c r="HI48" s="18"/>
      <c r="HJ48" s="18"/>
      <c r="HK48" s="18"/>
      <c r="HL48" s="31"/>
      <c r="HM48" s="30"/>
      <c r="HN48" s="18"/>
      <c r="HO48" s="18"/>
      <c r="HP48" s="18"/>
      <c r="HQ48" s="18"/>
      <c r="HR48" s="18"/>
      <c r="HS48" s="18"/>
      <c r="HT48" s="219"/>
      <c r="HU48" s="219"/>
      <c r="HV48" s="220"/>
      <c r="HW48" s="31"/>
      <c r="HX48" s="30"/>
      <c r="HY48" s="18"/>
      <c r="HZ48" s="18"/>
      <c r="IA48" s="18"/>
      <c r="IB48" s="18"/>
      <c r="IC48" s="18"/>
      <c r="ID48" s="18"/>
      <c r="IE48" s="18"/>
      <c r="IF48" s="18"/>
      <c r="IG48" s="18"/>
      <c r="IH48" s="31"/>
      <c r="II48" s="30"/>
      <c r="IJ48" s="18"/>
      <c r="IK48" s="18"/>
      <c r="IL48" s="18"/>
      <c r="IM48" s="18"/>
      <c r="IN48" s="319" t="s">
        <v>20</v>
      </c>
      <c r="IO48" s="319"/>
      <c r="IP48" s="70">
        <f>IP27</f>
        <v>182.4</v>
      </c>
      <c r="IQ48" s="143"/>
      <c r="IR48" s="70">
        <f>IR27</f>
        <v>1513.92</v>
      </c>
      <c r="IS48" s="31"/>
      <c r="IT48" s="30"/>
      <c r="IU48" s="18"/>
      <c r="IV48" s="18"/>
      <c r="IW48" s="18"/>
      <c r="IX48" s="18"/>
      <c r="IY48" s="18"/>
      <c r="IZ48" s="18"/>
      <c r="JA48" s="141" t="s">
        <v>9</v>
      </c>
      <c r="JB48" s="142"/>
      <c r="JC48" s="2">
        <f>SUM(JC43:JC47)</f>
        <v>49004.979999999996</v>
      </c>
      <c r="JD48" s="31"/>
      <c r="JE48" s="30"/>
      <c r="JF48" s="18"/>
      <c r="JG48" s="18"/>
      <c r="JH48" s="18"/>
      <c r="JI48" s="18"/>
      <c r="JJ48" s="18"/>
      <c r="JK48" s="18"/>
      <c r="JL48" s="219"/>
      <c r="JM48" s="219"/>
      <c r="JN48" s="222"/>
      <c r="JO48" s="31"/>
      <c r="JP48" s="30"/>
      <c r="JQ48" s="18"/>
      <c r="JR48" s="18"/>
      <c r="JS48" s="18"/>
      <c r="JT48" s="18"/>
      <c r="JU48" s="18"/>
      <c r="JV48" s="18"/>
      <c r="JW48" s="219"/>
      <c r="JX48" s="219"/>
      <c r="JY48" s="222"/>
      <c r="JZ48" s="31"/>
      <c r="KA48" s="30"/>
      <c r="KB48" s="18"/>
      <c r="KC48" s="18"/>
      <c r="KD48" s="18"/>
      <c r="KE48" s="18"/>
      <c r="KF48" s="18"/>
      <c r="KG48" s="18"/>
      <c r="KH48" s="219"/>
      <c r="KI48" s="219"/>
      <c r="KJ48" s="222"/>
      <c r="KK48" s="31"/>
      <c r="KL48" s="30"/>
      <c r="KM48" s="18"/>
      <c r="KN48" s="18"/>
      <c r="KO48" s="18"/>
      <c r="KP48" s="18"/>
      <c r="KQ48" s="18"/>
      <c r="KR48" s="18"/>
      <c r="KS48" s="18"/>
      <c r="KT48" s="18"/>
      <c r="KU48" s="18"/>
      <c r="KV48" s="31"/>
      <c r="KW48" s="30"/>
      <c r="KX48" s="18"/>
      <c r="LD48" s="304" t="s">
        <v>200</v>
      </c>
      <c r="LE48" s="306"/>
      <c r="LF48" s="2">
        <f>SUM(LF45:LF47)</f>
        <v>214898.08600000001</v>
      </c>
      <c r="LG48" s="31"/>
      <c r="LH48" s="30"/>
      <c r="LI48" s="18"/>
      <c r="LO48" s="219"/>
      <c r="LP48" s="219"/>
      <c r="LQ48" s="220"/>
      <c r="LR48" s="31"/>
      <c r="LS48" s="30"/>
      <c r="LT48" s="18"/>
      <c r="LZ48" s="219"/>
      <c r="MA48" s="219"/>
      <c r="MB48" s="220"/>
      <c r="MC48" s="31"/>
      <c r="ME48" s="30"/>
      <c r="MF48" s="18"/>
      <c r="ML48" s="219"/>
      <c r="MM48" s="219"/>
      <c r="MN48" s="220"/>
      <c r="MO48" s="31"/>
      <c r="MQ48" s="30"/>
      <c r="MR48" s="18"/>
      <c r="MS48" s="266"/>
      <c r="MT48" s="266"/>
      <c r="MV48" s="18"/>
      <c r="MW48" s="18"/>
      <c r="MX48" s="18"/>
      <c r="MY48" s="18"/>
      <c r="MZ48" s="18"/>
      <c r="NA48" s="31"/>
      <c r="ND48" s="30"/>
      <c r="NE48" s="18"/>
      <c r="NF48" s="18"/>
      <c r="NG48" s="18"/>
      <c r="NH48" s="18"/>
      <c r="NI48" s="311" t="s">
        <v>78</v>
      </c>
      <c r="NJ48" s="312"/>
      <c r="NK48" s="1"/>
      <c r="NL48" s="1">
        <v>150</v>
      </c>
      <c r="NM48" s="20">
        <f t="shared" si="233"/>
        <v>0</v>
      </c>
      <c r="NN48" s="31"/>
    </row>
    <row r="49" spans="1:378" x14ac:dyDescent="0.25">
      <c r="A49" s="30"/>
      <c r="B49" s="18"/>
      <c r="C49" s="18"/>
      <c r="D49" s="18"/>
      <c r="E49" s="18"/>
      <c r="F49" s="18"/>
      <c r="G49" s="18"/>
      <c r="H49" s="219"/>
      <c r="I49" s="219"/>
      <c r="J49" s="220"/>
      <c r="K49" s="31"/>
      <c r="L49" s="30"/>
      <c r="M49" s="18"/>
      <c r="N49" s="18"/>
      <c r="O49" s="18"/>
      <c r="P49" s="18"/>
      <c r="Q49" s="18"/>
      <c r="R49" s="18"/>
      <c r="S49" s="219"/>
      <c r="T49" s="219"/>
      <c r="U49" s="220"/>
      <c r="V49" s="31"/>
      <c r="W49" s="30"/>
      <c r="X49" s="18"/>
      <c r="Y49" s="18"/>
      <c r="Z49" s="18"/>
      <c r="AA49" s="18"/>
      <c r="AB49" s="18"/>
      <c r="AC49" s="18"/>
      <c r="AD49" s="18"/>
      <c r="AE49" s="18"/>
      <c r="AF49" s="18"/>
      <c r="AG49" s="31"/>
      <c r="AH49" s="30"/>
      <c r="AR49" s="31"/>
      <c r="AS49" s="30"/>
      <c r="BC49" s="31"/>
      <c r="BD49" s="30"/>
      <c r="BN49" s="31"/>
      <c r="BO49" s="30"/>
      <c r="BP49" s="18"/>
      <c r="BQ49" s="18"/>
      <c r="BR49" s="18"/>
      <c r="BS49" s="18"/>
      <c r="BT49" s="18"/>
      <c r="BU49" s="18"/>
      <c r="BV49" s="219"/>
      <c r="BW49" s="219"/>
      <c r="BX49" s="220"/>
      <c r="BY49" s="31"/>
      <c r="BZ49" s="30"/>
      <c r="CA49" s="18"/>
      <c r="CB49" s="18"/>
      <c r="CC49" s="18"/>
      <c r="CD49" s="18"/>
      <c r="CE49" s="18"/>
      <c r="CF49" s="18"/>
      <c r="CG49" s="18"/>
      <c r="CH49" s="18"/>
      <c r="CI49" s="18"/>
      <c r="CJ49" s="31"/>
      <c r="CK49" s="30"/>
      <c r="CR49" s="219"/>
      <c r="CS49" s="219"/>
      <c r="CT49" s="220"/>
      <c r="CU49" s="31"/>
      <c r="CV49" s="30"/>
      <c r="CW49" s="18"/>
      <c r="CX49" s="18"/>
      <c r="CY49" s="18"/>
      <c r="CZ49" s="18"/>
      <c r="DA49" s="18"/>
      <c r="DB49" s="18"/>
      <c r="DC49" s="18"/>
      <c r="DD49" s="18"/>
      <c r="DE49" s="18"/>
      <c r="DF49" s="31"/>
      <c r="DG49" s="30"/>
      <c r="DH49" s="18"/>
      <c r="DN49" s="219"/>
      <c r="DO49" s="219"/>
      <c r="DP49" s="220"/>
      <c r="DQ49" s="31"/>
      <c r="DR49" s="30"/>
      <c r="DS49" s="18"/>
      <c r="DY49" s="219"/>
      <c r="DZ49" s="219"/>
      <c r="EA49" s="220"/>
      <c r="EB49" s="31"/>
      <c r="EC49" s="30"/>
      <c r="ED49" s="18"/>
      <c r="EJ49" s="219"/>
      <c r="EK49" s="219"/>
      <c r="EL49" s="220"/>
      <c r="EM49" s="31"/>
      <c r="EN49" s="30"/>
      <c r="EO49" s="18"/>
      <c r="EU49" s="219"/>
      <c r="EV49" s="219"/>
      <c r="EW49" s="220"/>
      <c r="EX49" s="31"/>
      <c r="EY49" s="30"/>
      <c r="EZ49" s="18"/>
      <c r="FA49" s="18"/>
      <c r="FB49" s="18"/>
      <c r="FC49" s="18"/>
      <c r="FD49" s="18"/>
      <c r="FE49" s="18"/>
      <c r="FF49" s="18"/>
      <c r="FG49" s="18"/>
      <c r="FH49" s="18"/>
      <c r="FI49" s="31"/>
      <c r="FJ49" s="30"/>
      <c r="FK49" s="18"/>
      <c r="FL49" s="18"/>
      <c r="FM49" s="18"/>
      <c r="FN49" s="18"/>
      <c r="FO49" s="18"/>
      <c r="FP49" s="18"/>
      <c r="FQ49" s="18"/>
      <c r="FR49" s="18"/>
      <c r="FS49" s="18"/>
      <c r="FT49" s="31"/>
      <c r="FU49" s="30"/>
      <c r="GB49" s="219"/>
      <c r="GC49" s="219"/>
      <c r="GD49" s="220"/>
      <c r="GE49" s="31"/>
      <c r="GF49" s="30"/>
      <c r="GG49" s="18"/>
      <c r="GH49" s="18"/>
      <c r="GI49" s="18"/>
      <c r="GJ49" s="18"/>
      <c r="GK49" s="18"/>
      <c r="GL49" s="18"/>
      <c r="GP49" s="31"/>
      <c r="GQ49" s="30"/>
      <c r="GX49" s="219"/>
      <c r="GY49" s="219"/>
      <c r="GZ49" s="220"/>
      <c r="HA49" s="31"/>
      <c r="HB49" s="30"/>
      <c r="HC49" s="18"/>
      <c r="HD49" s="18"/>
      <c r="HE49" s="18"/>
      <c r="HF49" s="18"/>
      <c r="HG49" s="18"/>
      <c r="HH49" s="18"/>
      <c r="HI49" s="18"/>
      <c r="HJ49" s="18"/>
      <c r="HK49" s="18"/>
      <c r="HL49" s="31"/>
      <c r="HM49" s="30"/>
      <c r="HN49" s="18"/>
      <c r="HO49" s="18"/>
      <c r="HP49" s="18"/>
      <c r="HQ49" s="18"/>
      <c r="HR49" s="18"/>
      <c r="HS49" s="18"/>
      <c r="HT49" s="219"/>
      <c r="HU49" s="219"/>
      <c r="HV49" s="220"/>
      <c r="HW49" s="31"/>
      <c r="HX49" s="30"/>
      <c r="HY49" s="18"/>
      <c r="HZ49" s="18"/>
      <c r="IA49" s="18"/>
      <c r="IB49" s="18"/>
      <c r="IC49" s="18"/>
      <c r="ID49" s="18"/>
      <c r="IE49" s="18"/>
      <c r="IF49" s="18"/>
      <c r="IG49" s="18"/>
      <c r="IH49" s="31"/>
      <c r="II49" s="30"/>
      <c r="IJ49" s="18"/>
      <c r="IK49" s="18"/>
      <c r="IL49" s="18"/>
      <c r="IM49" s="18"/>
      <c r="IN49" s="325" t="s">
        <v>12</v>
      </c>
      <c r="IO49" s="325"/>
      <c r="IP49" s="154">
        <f>IP16+IP17</f>
        <v>1437.6</v>
      </c>
      <c r="IQ49" s="155"/>
      <c r="IR49" s="154">
        <f>IR16+IR17</f>
        <v>14519.759999999998</v>
      </c>
      <c r="IS49" s="31"/>
      <c r="IT49" s="30"/>
      <c r="IU49" s="18"/>
      <c r="IV49" s="18"/>
      <c r="IW49" s="18"/>
      <c r="IX49" s="18"/>
      <c r="IY49" s="18"/>
      <c r="IZ49" s="18"/>
      <c r="JA49" s="18"/>
      <c r="JB49" s="18"/>
      <c r="JC49" s="18"/>
      <c r="JD49" s="31"/>
      <c r="JE49" s="30"/>
      <c r="JF49" s="18"/>
      <c r="JG49" s="18"/>
      <c r="JH49" s="18"/>
      <c r="JI49" s="18"/>
      <c r="JJ49" s="18"/>
      <c r="JK49" s="18"/>
      <c r="JL49" s="18"/>
      <c r="JM49" s="18"/>
      <c r="JN49" s="18"/>
      <c r="JO49" s="31"/>
      <c r="JP49" s="30"/>
      <c r="JQ49" s="18"/>
      <c r="JR49" s="18"/>
      <c r="JS49" s="18"/>
      <c r="JT49" s="18"/>
      <c r="JU49" s="18"/>
      <c r="JV49" s="18"/>
      <c r="JW49" s="219"/>
      <c r="JX49" s="219"/>
      <c r="JY49" s="222"/>
      <c r="JZ49" s="31"/>
      <c r="KA49" s="30"/>
      <c r="KB49" s="18"/>
      <c r="KC49" s="18"/>
      <c r="KD49" s="18"/>
      <c r="KE49" s="18"/>
      <c r="KF49" s="18"/>
      <c r="KG49" s="18"/>
      <c r="KH49" s="219"/>
      <c r="KI49" s="219"/>
      <c r="KJ49" s="222"/>
      <c r="KK49" s="31"/>
      <c r="KL49" s="30"/>
      <c r="KM49" s="18"/>
      <c r="KN49" s="18"/>
      <c r="KO49" s="18"/>
      <c r="KP49" s="18"/>
      <c r="KQ49" s="18"/>
      <c r="KR49" s="18"/>
      <c r="KS49" s="18"/>
      <c r="KT49" s="18"/>
      <c r="KU49" s="18"/>
      <c r="KV49" s="31"/>
      <c r="KW49" s="30"/>
      <c r="KX49" s="18"/>
      <c r="LD49" s="304" t="s">
        <v>201</v>
      </c>
      <c r="LE49" s="306"/>
      <c r="LF49" s="2">
        <f>LF43+LF44</f>
        <v>52269.999999999993</v>
      </c>
      <c r="LG49" s="31"/>
      <c r="LH49" s="30"/>
      <c r="LI49" s="18"/>
      <c r="LO49" s="219"/>
      <c r="LP49" s="219"/>
      <c r="LQ49" s="220"/>
      <c r="LR49" s="31"/>
      <c r="LS49" s="30"/>
      <c r="LT49" s="18"/>
      <c r="LZ49" s="219"/>
      <c r="MA49" s="219"/>
      <c r="MB49" s="220"/>
      <c r="MC49" s="31"/>
      <c r="ME49" s="30"/>
      <c r="MF49" s="18"/>
      <c r="ML49" s="219"/>
      <c r="MM49" s="219"/>
      <c r="MN49" s="220"/>
      <c r="MO49" s="31"/>
      <c r="MQ49" s="30"/>
      <c r="MR49" s="18"/>
      <c r="MS49" s="266"/>
      <c r="MT49" s="266"/>
      <c r="MU49" s="266"/>
      <c r="MV49" s="266"/>
      <c r="MW49" s="266"/>
      <c r="MX49" s="266"/>
      <c r="MY49" s="266"/>
      <c r="MZ49" s="266"/>
      <c r="NA49" s="31"/>
      <c r="ND49" s="30"/>
      <c r="NE49" s="18"/>
      <c r="NF49" s="1" t="s">
        <v>28</v>
      </c>
      <c r="NG49" s="1">
        <f>NG11</f>
        <v>810</v>
      </c>
      <c r="NH49" s="18"/>
      <c r="NI49" s="311" t="s">
        <v>81</v>
      </c>
      <c r="NJ49" s="312"/>
      <c r="NK49" s="1">
        <f>(5.76*2+20.84*2+10*2)*2*NG7*1.5</f>
        <v>439.20000000000005</v>
      </c>
      <c r="NL49" s="1">
        <v>140</v>
      </c>
      <c r="NM49" s="20">
        <f t="shared" si="233"/>
        <v>61488.000000000007</v>
      </c>
      <c r="NN49" s="31"/>
    </row>
    <row r="50" spans="1:378" x14ac:dyDescent="0.25">
      <c r="A50" s="30"/>
      <c r="B50" s="18"/>
      <c r="C50" s="18"/>
      <c r="D50" s="18"/>
      <c r="E50" s="18"/>
      <c r="F50" s="18"/>
      <c r="G50" s="18"/>
      <c r="H50" s="219"/>
      <c r="I50" s="219"/>
      <c r="J50" s="220"/>
      <c r="K50" s="31"/>
      <c r="L50" s="30"/>
      <c r="M50" s="18"/>
      <c r="N50" s="18"/>
      <c r="O50" s="18"/>
      <c r="P50" s="18"/>
      <c r="Q50" s="18"/>
      <c r="R50" s="18"/>
      <c r="S50" s="219"/>
      <c r="T50" s="219"/>
      <c r="U50" s="220"/>
      <c r="V50" s="31"/>
      <c r="W50" s="30"/>
      <c r="X50" s="18"/>
      <c r="Y50" s="18"/>
      <c r="Z50" s="18"/>
      <c r="AA50" s="18"/>
      <c r="AB50" s="18"/>
      <c r="AC50" s="18"/>
      <c r="AD50" s="18"/>
      <c r="AE50" s="18"/>
      <c r="AF50" s="18"/>
      <c r="AG50" s="31"/>
      <c r="AH50" s="30"/>
      <c r="AR50" s="31"/>
      <c r="AS50" s="30"/>
      <c r="BC50" s="31"/>
      <c r="BD50" s="30"/>
      <c r="BN50" s="31"/>
      <c r="BO50" s="30"/>
      <c r="BP50" s="18"/>
      <c r="BQ50" s="18"/>
      <c r="BR50" s="18"/>
      <c r="BS50" s="18"/>
      <c r="BT50" s="18"/>
      <c r="BU50" s="18"/>
      <c r="BV50" s="219"/>
      <c r="BW50" s="219"/>
      <c r="BX50" s="220"/>
      <c r="BY50" s="31"/>
      <c r="BZ50" s="30"/>
      <c r="CA50" s="18"/>
      <c r="CB50" s="18"/>
      <c r="CC50" s="18"/>
      <c r="CD50" s="18"/>
      <c r="CE50" s="18"/>
      <c r="CF50" s="18"/>
      <c r="CG50" s="18"/>
      <c r="CH50" s="18"/>
      <c r="CI50" s="18"/>
      <c r="CJ50" s="31"/>
      <c r="CK50" s="30"/>
      <c r="CR50" s="219"/>
      <c r="CS50" s="219"/>
      <c r="CT50" s="220"/>
      <c r="CU50" s="31"/>
      <c r="CV50" s="30"/>
      <c r="CW50" s="18"/>
      <c r="CX50" s="18"/>
      <c r="CY50" s="18"/>
      <c r="CZ50" s="18"/>
      <c r="DA50" s="18"/>
      <c r="DB50" s="18"/>
      <c r="DC50" s="18"/>
      <c r="DD50" s="18"/>
      <c r="DE50" s="18"/>
      <c r="DF50" s="31"/>
      <c r="DG50" s="30"/>
      <c r="DH50" s="18"/>
      <c r="DN50" s="219"/>
      <c r="DO50" s="219"/>
      <c r="DP50" s="220"/>
      <c r="DQ50" s="31"/>
      <c r="DR50" s="30"/>
      <c r="DS50" s="18"/>
      <c r="DY50" s="219"/>
      <c r="DZ50" s="219"/>
      <c r="EA50" s="220"/>
      <c r="EB50" s="31"/>
      <c r="EC50" s="30"/>
      <c r="ED50" s="18"/>
      <c r="EJ50" s="219"/>
      <c r="EK50" s="219"/>
      <c r="EL50" s="220"/>
      <c r="EM50" s="31"/>
      <c r="EN50" s="30"/>
      <c r="EO50" s="18"/>
      <c r="EU50" s="219"/>
      <c r="EV50" s="219"/>
      <c r="EW50" s="220"/>
      <c r="EX50" s="31"/>
      <c r="EY50" s="30"/>
      <c r="EZ50" s="18"/>
      <c r="FA50" s="18"/>
      <c r="FB50" s="18"/>
      <c r="FC50" s="18"/>
      <c r="FD50" s="18"/>
      <c r="FE50" s="18"/>
      <c r="FF50" s="18"/>
      <c r="FG50" s="18"/>
      <c r="FH50" s="18"/>
      <c r="FI50" s="31"/>
      <c r="FJ50" s="30"/>
      <c r="FK50" s="18"/>
      <c r="FL50" s="18"/>
      <c r="FM50" s="18"/>
      <c r="FN50" s="18"/>
      <c r="FO50" s="18"/>
      <c r="FP50" s="18"/>
      <c r="FQ50" s="18"/>
      <c r="FR50" s="18"/>
      <c r="FS50" s="18"/>
      <c r="FT50" s="31"/>
      <c r="FU50" s="30"/>
      <c r="GB50" s="219"/>
      <c r="GC50" s="219"/>
      <c r="GD50" s="220"/>
      <c r="GE50" s="31"/>
      <c r="GF50" s="30"/>
      <c r="GG50" s="18"/>
      <c r="GH50" s="18"/>
      <c r="GI50" s="18"/>
      <c r="GJ50" s="18"/>
      <c r="GK50" s="18"/>
      <c r="GL50" s="18"/>
      <c r="GP50" s="31"/>
      <c r="GQ50" s="30"/>
      <c r="GX50" s="219"/>
      <c r="GY50" s="219"/>
      <c r="GZ50" s="220"/>
      <c r="HA50" s="31"/>
      <c r="HB50" s="30"/>
      <c r="HC50" s="18"/>
      <c r="HD50" s="18"/>
      <c r="HE50" s="18"/>
      <c r="HF50" s="18"/>
      <c r="HG50" s="18"/>
      <c r="HH50" s="18"/>
      <c r="HI50" s="18"/>
      <c r="HJ50" s="18"/>
      <c r="HK50" s="18"/>
      <c r="HL50" s="31"/>
      <c r="HM50" s="30"/>
      <c r="HN50" s="18"/>
      <c r="HO50" s="18"/>
      <c r="HP50" s="18"/>
      <c r="HQ50" s="18"/>
      <c r="HR50" s="18"/>
      <c r="HS50" s="18"/>
      <c r="HT50" s="219"/>
      <c r="HU50" s="219"/>
      <c r="HV50" s="220"/>
      <c r="HW50" s="31"/>
      <c r="HX50" s="30"/>
      <c r="HY50" s="18"/>
      <c r="HZ50" s="18"/>
      <c r="IA50" s="18"/>
      <c r="IB50" s="18"/>
      <c r="IC50" s="18"/>
      <c r="ID50" s="18"/>
      <c r="IE50" s="18"/>
      <c r="IF50" s="18"/>
      <c r="IG50" s="18"/>
      <c r="IH50" s="31"/>
      <c r="II50" s="30"/>
      <c r="IJ50" s="18"/>
      <c r="IK50" s="18"/>
      <c r="IL50" s="18"/>
      <c r="IM50" s="18"/>
      <c r="IN50" s="18"/>
      <c r="IO50" s="18"/>
      <c r="IP50" s="141" t="s">
        <v>9</v>
      </c>
      <c r="IQ50" s="142"/>
      <c r="IR50" s="2">
        <f>SUM(IR45:IR49)</f>
        <v>36848.759999999995</v>
      </c>
      <c r="IS50" s="31"/>
      <c r="IT50" s="30"/>
      <c r="JD50" s="31"/>
      <c r="JE50" s="30"/>
      <c r="JO50" s="31"/>
      <c r="JP50" s="30"/>
      <c r="JZ50" s="31"/>
      <c r="KA50" s="30"/>
      <c r="KK50" s="31"/>
      <c r="KL50" s="30"/>
      <c r="KM50" s="18"/>
      <c r="KN50" s="18"/>
      <c r="KO50" s="18"/>
      <c r="KP50" s="18"/>
      <c r="KQ50" s="18"/>
      <c r="KR50" s="18"/>
      <c r="KS50" s="18"/>
      <c r="KT50" s="18"/>
      <c r="KU50" s="18"/>
      <c r="KV50" s="31"/>
      <c r="KW50" s="30"/>
      <c r="KX50" s="18"/>
      <c r="LD50" s="219"/>
      <c r="LE50" s="219"/>
      <c r="LF50" s="220"/>
      <c r="LG50" s="31"/>
      <c r="LH50" s="30"/>
      <c r="LI50" s="18"/>
      <c r="LO50" s="219"/>
      <c r="LP50" s="219"/>
      <c r="LQ50" s="220"/>
      <c r="LR50" s="31"/>
      <c r="LS50" s="30"/>
      <c r="LT50" s="18"/>
      <c r="LZ50" s="219"/>
      <c r="MA50" s="219"/>
      <c r="MB50" s="220"/>
      <c r="MC50" s="31"/>
      <c r="ME50" s="30"/>
      <c r="MF50" s="18"/>
      <c r="ML50" s="219"/>
      <c r="MM50" s="219"/>
      <c r="MN50" s="220"/>
      <c r="MO50" s="31"/>
      <c r="MQ50" s="32"/>
      <c r="MR50" s="33"/>
      <c r="MS50" s="33"/>
      <c r="MT50" s="33"/>
      <c r="MU50" s="33"/>
      <c r="MV50" s="33"/>
      <c r="MW50" s="33"/>
      <c r="MX50" s="33"/>
      <c r="MY50" s="33"/>
      <c r="MZ50" s="33"/>
      <c r="NA50" s="34"/>
      <c r="ND50" s="30"/>
      <c r="NE50" s="18"/>
      <c r="NF50" s="1" t="s">
        <v>29</v>
      </c>
      <c r="NG50" s="19">
        <f>NM56/NG49/NG52</f>
        <v>38.42654938271604</v>
      </c>
      <c r="NH50" s="18"/>
      <c r="NI50" s="311" t="s">
        <v>15</v>
      </c>
      <c r="NJ50" s="312"/>
      <c r="NK50" s="1">
        <f>(NG6+1)*2*35+(NJ25+NJ26+NJ27+NJ28+NJ29+NJ30+NJ31+NJ32)*20</f>
        <v>1090</v>
      </c>
      <c r="NL50" s="1">
        <v>68</v>
      </c>
      <c r="NM50" s="20">
        <f t="shared" si="233"/>
        <v>74120</v>
      </c>
      <c r="NN50" s="31"/>
    </row>
    <row r="51" spans="1:378" x14ac:dyDescent="0.25">
      <c r="A51" s="30"/>
      <c r="B51" s="18"/>
      <c r="C51" s="18"/>
      <c r="D51" s="18"/>
      <c r="E51" s="18"/>
      <c r="F51" s="18"/>
      <c r="G51" s="18"/>
      <c r="H51" s="219"/>
      <c r="I51" s="219"/>
      <c r="J51" s="220"/>
      <c r="K51" s="31"/>
      <c r="L51" s="30"/>
      <c r="M51" s="18"/>
      <c r="N51" s="18"/>
      <c r="O51" s="18"/>
      <c r="P51" s="18"/>
      <c r="Q51" s="18"/>
      <c r="R51" s="18"/>
      <c r="S51" s="219"/>
      <c r="T51" s="219"/>
      <c r="U51" s="220"/>
      <c r="V51" s="31"/>
      <c r="W51" s="30"/>
      <c r="X51" s="18"/>
      <c r="Y51" s="18"/>
      <c r="Z51" s="18"/>
      <c r="AA51" s="18"/>
      <c r="AB51" s="18"/>
      <c r="AC51" s="18"/>
      <c r="AD51" s="18"/>
      <c r="AE51" s="18"/>
      <c r="AF51" s="18"/>
      <c r="AG51" s="31"/>
      <c r="AH51" s="30"/>
      <c r="AR51" s="31"/>
      <c r="AS51" s="30"/>
      <c r="BC51" s="31"/>
      <c r="BD51" s="30"/>
      <c r="BN51" s="31"/>
      <c r="BO51" s="30"/>
      <c r="BP51" s="18"/>
      <c r="BQ51" s="18"/>
      <c r="BR51" s="18"/>
      <c r="BS51" s="18"/>
      <c r="BT51" s="18"/>
      <c r="BU51" s="18"/>
      <c r="BV51" s="219"/>
      <c r="BW51" s="219"/>
      <c r="BX51" s="220"/>
      <c r="BY51" s="31"/>
      <c r="BZ51" s="30"/>
      <c r="CA51" s="18"/>
      <c r="CB51" s="18"/>
      <c r="CC51" s="18"/>
      <c r="CD51" s="18"/>
      <c r="CE51" s="18"/>
      <c r="CF51" s="18"/>
      <c r="CG51" s="18"/>
      <c r="CH51" s="18"/>
      <c r="CI51" s="18"/>
      <c r="CJ51" s="31"/>
      <c r="CK51" s="30"/>
      <c r="CR51" s="219"/>
      <c r="CS51" s="219"/>
      <c r="CT51" s="220"/>
      <c r="CU51" s="31"/>
      <c r="CV51" s="30"/>
      <c r="CW51" s="18"/>
      <c r="CX51" s="18"/>
      <c r="CY51" s="18"/>
      <c r="CZ51" s="18"/>
      <c r="DA51" s="18"/>
      <c r="DB51" s="18"/>
      <c r="DC51" s="18"/>
      <c r="DD51" s="18"/>
      <c r="DE51" s="18"/>
      <c r="DF51" s="31"/>
      <c r="DG51" s="30"/>
      <c r="DH51" s="18"/>
      <c r="DN51" s="219"/>
      <c r="DO51" s="219"/>
      <c r="DP51" s="220"/>
      <c r="DQ51" s="31"/>
      <c r="DR51" s="30"/>
      <c r="DS51" s="18"/>
      <c r="DY51" s="219"/>
      <c r="DZ51" s="219"/>
      <c r="EA51" s="220"/>
      <c r="EB51" s="31"/>
      <c r="EC51" s="30"/>
      <c r="ED51" s="18"/>
      <c r="EJ51" s="219"/>
      <c r="EK51" s="219"/>
      <c r="EL51" s="220"/>
      <c r="EM51" s="31"/>
      <c r="EN51" s="30"/>
      <c r="EO51" s="18"/>
      <c r="EU51" s="219"/>
      <c r="EV51" s="219"/>
      <c r="EW51" s="220"/>
      <c r="EX51" s="31"/>
      <c r="EY51" s="30"/>
      <c r="EZ51" s="18"/>
      <c r="FA51" s="18"/>
      <c r="FB51" s="18"/>
      <c r="FC51" s="18"/>
      <c r="FD51" s="18"/>
      <c r="FE51" s="18"/>
      <c r="FF51" s="18"/>
      <c r="FG51" s="18"/>
      <c r="FH51" s="18"/>
      <c r="FI51" s="31"/>
      <c r="FJ51" s="30"/>
      <c r="FK51" s="18"/>
      <c r="FL51" s="18"/>
      <c r="FM51" s="18"/>
      <c r="FN51" s="18"/>
      <c r="FO51" s="18"/>
      <c r="FP51" s="18"/>
      <c r="FQ51" s="18"/>
      <c r="FR51" s="18"/>
      <c r="FS51" s="18"/>
      <c r="FT51" s="31"/>
      <c r="FU51" s="30"/>
      <c r="GB51" s="219"/>
      <c r="GC51" s="219"/>
      <c r="GD51" s="220"/>
      <c r="GE51" s="31"/>
      <c r="GF51" s="30"/>
      <c r="GG51" s="18"/>
      <c r="GH51" s="18"/>
      <c r="GI51" s="18"/>
      <c r="GJ51" s="18"/>
      <c r="GK51" s="18"/>
      <c r="GL51" s="18"/>
      <c r="GP51" s="31"/>
      <c r="GQ51" s="30"/>
      <c r="GX51" s="219"/>
      <c r="GY51" s="219"/>
      <c r="GZ51" s="220"/>
      <c r="HA51" s="31"/>
      <c r="HB51" s="30"/>
      <c r="HC51" s="18"/>
      <c r="HD51" s="18"/>
      <c r="HE51" s="18"/>
      <c r="HF51" s="18"/>
      <c r="HG51" s="18"/>
      <c r="HH51" s="18"/>
      <c r="HI51" s="18"/>
      <c r="HJ51" s="18"/>
      <c r="HK51" s="18"/>
      <c r="HL51" s="31"/>
      <c r="HM51" s="30"/>
      <c r="HN51" s="18"/>
      <c r="HO51" s="18"/>
      <c r="HP51" s="18"/>
      <c r="HQ51" s="18"/>
      <c r="HR51" s="18"/>
      <c r="HS51" s="18"/>
      <c r="HT51" s="219"/>
      <c r="HU51" s="219"/>
      <c r="HV51" s="220"/>
      <c r="HW51" s="31"/>
      <c r="HX51" s="30"/>
      <c r="HY51" s="18"/>
      <c r="HZ51" s="18"/>
      <c r="IA51" s="18"/>
      <c r="IB51" s="18"/>
      <c r="IC51" s="18"/>
      <c r="ID51" s="18"/>
      <c r="IE51" s="18"/>
      <c r="IF51" s="18"/>
      <c r="IG51" s="18"/>
      <c r="IH51" s="31"/>
      <c r="II51" s="30"/>
      <c r="IJ51" s="18"/>
      <c r="IK51" s="18"/>
      <c r="IL51" s="18"/>
      <c r="IM51" s="18"/>
      <c r="IN51" s="18"/>
      <c r="IO51" s="18"/>
      <c r="IP51" s="18"/>
      <c r="IQ51" s="18"/>
      <c r="IR51" s="18"/>
      <c r="IS51" s="31"/>
      <c r="IT51" s="30"/>
      <c r="IU51" s="18"/>
      <c r="IV51" s="18"/>
      <c r="IW51" s="18"/>
      <c r="IX51" s="18"/>
      <c r="IY51" s="18"/>
      <c r="IZ51" s="18"/>
      <c r="JA51" s="18"/>
      <c r="JB51" s="18"/>
      <c r="JC51" s="18"/>
      <c r="JD51" s="31"/>
      <c r="JE51" s="30"/>
      <c r="JF51" s="18"/>
      <c r="JG51" s="18"/>
      <c r="JH51" s="18"/>
      <c r="JI51" s="18"/>
      <c r="JJ51" s="18"/>
      <c r="JK51" s="18"/>
      <c r="JL51" s="18"/>
      <c r="JM51" s="18"/>
      <c r="JN51" s="18"/>
      <c r="JO51" s="31"/>
      <c r="JP51" s="30"/>
      <c r="JQ51" s="18"/>
      <c r="JR51" s="18"/>
      <c r="JS51" s="18"/>
      <c r="JT51" s="18"/>
      <c r="JU51" s="18"/>
      <c r="JV51" s="18"/>
      <c r="JW51" s="18"/>
      <c r="JX51" s="18"/>
      <c r="JY51" s="18"/>
      <c r="JZ51" s="31"/>
      <c r="KA51" s="30"/>
      <c r="KB51" s="18"/>
      <c r="KC51" s="18"/>
      <c r="KD51" s="18"/>
      <c r="KE51" s="18"/>
      <c r="KF51" s="18"/>
      <c r="KG51" s="18"/>
      <c r="KH51" s="18"/>
      <c r="KI51" s="18"/>
      <c r="KJ51" s="18"/>
      <c r="KK51" s="31"/>
      <c r="KL51" s="30"/>
      <c r="KM51" s="18"/>
      <c r="KN51" s="18"/>
      <c r="KO51" s="18"/>
      <c r="KP51" s="18"/>
      <c r="KQ51" s="18"/>
      <c r="KR51" s="18"/>
      <c r="KS51" s="18"/>
      <c r="KT51" s="18"/>
      <c r="KU51" s="18"/>
      <c r="KV51" s="31"/>
      <c r="KW51" s="30"/>
      <c r="KX51" s="18"/>
      <c r="LD51" s="219"/>
      <c r="LE51" s="219"/>
      <c r="LF51" s="220"/>
      <c r="LG51" s="31"/>
      <c r="LH51" s="30"/>
      <c r="LI51" s="18"/>
      <c r="LO51" s="219"/>
      <c r="LP51" s="219"/>
      <c r="LQ51" s="220"/>
      <c r="LR51" s="31"/>
      <c r="LS51" s="30"/>
      <c r="LT51" s="18"/>
      <c r="LZ51" s="219"/>
      <c r="MA51" s="219"/>
      <c r="MB51" s="220"/>
      <c r="MC51" s="31"/>
      <c r="ME51" s="30"/>
      <c r="MF51" s="18"/>
      <c r="ML51" s="219"/>
      <c r="MM51" s="219"/>
      <c r="MN51" s="220"/>
      <c r="MO51" s="31"/>
      <c r="MT51" s="76"/>
      <c r="ND51" s="30"/>
      <c r="NE51" s="18"/>
      <c r="NF51" s="1" t="s">
        <v>30</v>
      </c>
      <c r="NG51" s="19">
        <f>NK54</f>
        <v>31125.504999999994</v>
      </c>
      <c r="NH51" s="18"/>
      <c r="NI51" s="311" t="s">
        <v>16</v>
      </c>
      <c r="NJ51" s="312"/>
      <c r="NK51" s="19">
        <f>NK45*0.05</f>
        <v>1137.7721999999999</v>
      </c>
      <c r="NL51" s="1">
        <v>110</v>
      </c>
      <c r="NM51" s="20">
        <f t="shared" si="233"/>
        <v>125154.94199999998</v>
      </c>
      <c r="NN51" s="31"/>
    </row>
    <row r="52" spans="1:378" x14ac:dyDescent="0.25">
      <c r="A52" s="30"/>
      <c r="B52" s="18"/>
      <c r="C52" s="18"/>
      <c r="D52" s="18"/>
      <c r="E52" s="18"/>
      <c r="F52" s="18"/>
      <c r="G52" s="18"/>
      <c r="H52" s="219"/>
      <c r="I52" s="219"/>
      <c r="J52" s="220"/>
      <c r="K52" s="31"/>
      <c r="L52" s="30"/>
      <c r="M52" s="18"/>
      <c r="N52" s="18"/>
      <c r="O52" s="18"/>
      <c r="P52" s="18"/>
      <c r="Q52" s="18"/>
      <c r="R52" s="18"/>
      <c r="S52" s="219"/>
      <c r="T52" s="219"/>
      <c r="U52" s="220"/>
      <c r="V52" s="31"/>
      <c r="W52" s="30"/>
      <c r="X52" s="18"/>
      <c r="Y52" s="18"/>
      <c r="Z52" s="18"/>
      <c r="AA52" s="18"/>
      <c r="AB52" s="18"/>
      <c r="AC52" s="18"/>
      <c r="AD52" s="18"/>
      <c r="AE52" s="18"/>
      <c r="AF52" s="18"/>
      <c r="AG52" s="31"/>
      <c r="AH52" s="30"/>
      <c r="AR52" s="31"/>
      <c r="AS52" s="30"/>
      <c r="BC52" s="31"/>
      <c r="BD52" s="30"/>
      <c r="BN52" s="31"/>
      <c r="BO52" s="30"/>
      <c r="BP52" s="18"/>
      <c r="BQ52" s="18"/>
      <c r="BR52" s="18"/>
      <c r="BS52" s="18"/>
      <c r="BT52" s="18"/>
      <c r="BU52" s="18"/>
      <c r="BV52" s="219"/>
      <c r="BW52" s="219"/>
      <c r="BX52" s="220"/>
      <c r="BY52" s="31"/>
      <c r="BZ52" s="30"/>
      <c r="CA52" s="18"/>
      <c r="CB52" s="18"/>
      <c r="CC52" s="18"/>
      <c r="CD52" s="18"/>
      <c r="CE52" s="18"/>
      <c r="CF52" s="18"/>
      <c r="CG52" s="18"/>
      <c r="CH52" s="18"/>
      <c r="CI52" s="18"/>
      <c r="CJ52" s="31"/>
      <c r="CK52" s="30"/>
      <c r="CR52" s="219"/>
      <c r="CS52" s="219"/>
      <c r="CT52" s="220"/>
      <c r="CU52" s="31"/>
      <c r="CV52" s="30"/>
      <c r="CW52" s="18"/>
      <c r="CX52" s="18"/>
      <c r="CY52" s="18"/>
      <c r="CZ52" s="18"/>
      <c r="DA52" s="18"/>
      <c r="DB52" s="18"/>
      <c r="DC52" s="18"/>
      <c r="DD52" s="18"/>
      <c r="DE52" s="18"/>
      <c r="DF52" s="31"/>
      <c r="DG52" s="30"/>
      <c r="DH52" s="18"/>
      <c r="DN52" s="219"/>
      <c r="DO52" s="219"/>
      <c r="DP52" s="220"/>
      <c r="DQ52" s="31"/>
      <c r="DR52" s="30"/>
      <c r="DS52" s="18"/>
      <c r="DY52" s="219"/>
      <c r="DZ52" s="219"/>
      <c r="EA52" s="220"/>
      <c r="EB52" s="31"/>
      <c r="EC52" s="30"/>
      <c r="ED52" s="18"/>
      <c r="EJ52" s="219"/>
      <c r="EK52" s="219"/>
      <c r="EL52" s="220"/>
      <c r="EM52" s="31"/>
      <c r="EN52" s="30"/>
      <c r="EO52" s="18"/>
      <c r="EU52" s="219"/>
      <c r="EV52" s="219"/>
      <c r="EW52" s="220"/>
      <c r="EX52" s="31"/>
      <c r="EY52" s="30"/>
      <c r="EZ52" s="18"/>
      <c r="FA52" s="18"/>
      <c r="FB52" s="18"/>
      <c r="FC52" s="18"/>
      <c r="FD52" s="18"/>
      <c r="FE52" s="18"/>
      <c r="FF52" s="18"/>
      <c r="FG52" s="18"/>
      <c r="FH52" s="18"/>
      <c r="FI52" s="31"/>
      <c r="FJ52" s="30"/>
      <c r="FK52" s="18"/>
      <c r="FL52" s="18"/>
      <c r="FM52" s="18"/>
      <c r="FN52" s="18"/>
      <c r="FO52" s="18"/>
      <c r="FP52" s="18"/>
      <c r="FQ52" s="18"/>
      <c r="FR52" s="18"/>
      <c r="FS52" s="18"/>
      <c r="FT52" s="31"/>
      <c r="FU52" s="30"/>
      <c r="GB52" s="219"/>
      <c r="GC52" s="219"/>
      <c r="GD52" s="220"/>
      <c r="GE52" s="31"/>
      <c r="GF52" s="30"/>
      <c r="GG52" s="18"/>
      <c r="GH52" s="18"/>
      <c r="GI52" s="18"/>
      <c r="GJ52" s="18"/>
      <c r="GK52" s="18"/>
      <c r="GL52" s="18"/>
      <c r="GP52" s="31"/>
      <c r="GQ52" s="30"/>
      <c r="GX52" s="219"/>
      <c r="GY52" s="219"/>
      <c r="GZ52" s="220"/>
      <c r="HA52" s="31"/>
      <c r="HB52" s="30"/>
      <c r="HC52" s="18"/>
      <c r="HD52" s="18"/>
      <c r="HE52" s="18"/>
      <c r="HF52" s="18"/>
      <c r="HG52" s="18"/>
      <c r="HH52" s="18"/>
      <c r="HI52" s="18"/>
      <c r="HJ52" s="18"/>
      <c r="HK52" s="18"/>
      <c r="HL52" s="31"/>
      <c r="HM52" s="30"/>
      <c r="HN52" s="18"/>
      <c r="HO52" s="18"/>
      <c r="HP52" s="18"/>
      <c r="HQ52" s="18"/>
      <c r="HR52" s="18"/>
      <c r="HS52" s="18"/>
      <c r="HT52" s="219"/>
      <c r="HU52" s="219"/>
      <c r="HV52" s="220"/>
      <c r="HW52" s="31"/>
      <c r="HX52" s="30"/>
      <c r="HY52" s="18"/>
      <c r="HZ52" s="18"/>
      <c r="IA52" s="18"/>
      <c r="IB52" s="18"/>
      <c r="IC52" s="18"/>
      <c r="ID52" s="18"/>
      <c r="IE52" s="18"/>
      <c r="IF52" s="18"/>
      <c r="IG52" s="18"/>
      <c r="IH52" s="31"/>
      <c r="II52" s="30"/>
      <c r="IJ52" s="1"/>
      <c r="IK52" s="1" t="s">
        <v>272</v>
      </c>
      <c r="IL52" s="1"/>
      <c r="IM52" s="1"/>
      <c r="IN52" s="1">
        <v>8000</v>
      </c>
      <c r="IO52" s="1">
        <f>(IL6-1)*2</f>
        <v>36</v>
      </c>
      <c r="IP52" s="1">
        <f>IN52/1000*IO52</f>
        <v>288</v>
      </c>
      <c r="IQ52" s="1"/>
      <c r="IR52" s="1">
        <f>IP52*3.5</f>
        <v>1008</v>
      </c>
      <c r="IS52" s="31"/>
      <c r="IT52" s="30"/>
      <c r="IU52" s="1"/>
      <c r="IV52" s="1" t="s">
        <v>272</v>
      </c>
      <c r="IW52" s="1"/>
      <c r="IX52" s="1"/>
      <c r="IY52" s="1">
        <v>8000</v>
      </c>
      <c r="IZ52" s="1">
        <f>(IW6-1)*2</f>
        <v>36</v>
      </c>
      <c r="JA52" s="1">
        <f>IY52/1000*IZ52</f>
        <v>288</v>
      </c>
      <c r="JB52" s="1"/>
      <c r="JC52" s="1">
        <f>JA52*3</f>
        <v>864</v>
      </c>
      <c r="JD52" s="31"/>
      <c r="JE52" s="30"/>
      <c r="JF52" s="1"/>
      <c r="JG52" s="1" t="s">
        <v>78</v>
      </c>
      <c r="JH52" s="1"/>
      <c r="JI52" s="1"/>
      <c r="JJ52" s="1">
        <v>5500</v>
      </c>
      <c r="JK52" s="1">
        <f>(JH6-1)*2</f>
        <v>36</v>
      </c>
      <c r="JL52" s="1">
        <f>JJ52/1000*JK52</f>
        <v>198</v>
      </c>
      <c r="JM52" s="1"/>
      <c r="JN52" s="1">
        <f>JL52*3.5</f>
        <v>693</v>
      </c>
      <c r="JO52" s="31"/>
      <c r="JP52" s="30"/>
      <c r="JQ52" s="18"/>
      <c r="JR52" s="18"/>
      <c r="JS52" s="18"/>
      <c r="JT52" s="18"/>
      <c r="JU52" s="18"/>
      <c r="JV52" s="18"/>
      <c r="JW52" s="18"/>
      <c r="JX52" s="18"/>
      <c r="JY52" s="18"/>
      <c r="JZ52" s="31"/>
      <c r="KA52" s="30"/>
      <c r="KB52" s="18"/>
      <c r="KC52" s="18"/>
      <c r="KD52" s="18"/>
      <c r="KE52" s="18"/>
      <c r="KF52" s="18"/>
      <c r="KG52" s="18"/>
      <c r="KH52" s="18"/>
      <c r="KI52" s="18"/>
      <c r="KJ52" s="18"/>
      <c r="KK52" s="31"/>
      <c r="KL52" s="30"/>
      <c r="KM52" s="18"/>
      <c r="KN52" s="18"/>
      <c r="KO52" s="18"/>
      <c r="KP52" s="18"/>
      <c r="KQ52" s="18"/>
      <c r="KR52" s="18"/>
      <c r="KS52" s="18"/>
      <c r="KT52" s="18"/>
      <c r="KU52" s="18"/>
      <c r="KV52" s="31"/>
      <c r="KW52" s="30"/>
      <c r="KX52" s="18"/>
      <c r="LD52" s="219"/>
      <c r="LE52" s="219"/>
      <c r="LF52" s="220"/>
      <c r="LG52" s="31"/>
      <c r="LH52" s="30"/>
      <c r="LI52" s="18"/>
      <c r="LO52" s="219"/>
      <c r="LP52" s="219"/>
      <c r="LQ52" s="220"/>
      <c r="LR52" s="31"/>
      <c r="LS52" s="30"/>
      <c r="LT52" s="18"/>
      <c r="LZ52" s="219"/>
      <c r="MA52" s="219"/>
      <c r="MB52" s="220"/>
      <c r="MC52" s="31"/>
      <c r="ME52" s="30"/>
      <c r="MF52" s="18"/>
      <c r="ML52" s="219"/>
      <c r="MM52" s="219"/>
      <c r="MN52" s="220"/>
      <c r="MO52" s="31"/>
      <c r="ND52" s="30"/>
      <c r="NE52" s="18"/>
      <c r="NF52" s="1" t="s">
        <v>32</v>
      </c>
      <c r="NG52" s="21">
        <f>NM56/NK54</f>
        <v>87.988473519706744</v>
      </c>
      <c r="NH52" s="18"/>
      <c r="NI52" s="311" t="s">
        <v>140</v>
      </c>
      <c r="NJ52" s="312"/>
      <c r="NK52" s="19"/>
      <c r="NL52" s="1"/>
      <c r="NM52" s="20"/>
      <c r="NN52" s="31"/>
    </row>
    <row r="53" spans="1:378" x14ac:dyDescent="0.25">
      <c r="A53" s="30"/>
      <c r="B53" s="18"/>
      <c r="C53" s="18"/>
      <c r="D53" s="18"/>
      <c r="E53" s="18"/>
      <c r="F53" s="18"/>
      <c r="G53" s="18"/>
      <c r="H53" s="219"/>
      <c r="I53" s="219"/>
      <c r="J53" s="220"/>
      <c r="K53" s="31"/>
      <c r="L53" s="30"/>
      <c r="M53" s="18"/>
      <c r="N53" s="18"/>
      <c r="O53" s="18"/>
      <c r="P53" s="18"/>
      <c r="Q53" s="18"/>
      <c r="R53" s="18"/>
      <c r="S53" s="219"/>
      <c r="T53" s="219"/>
      <c r="U53" s="220"/>
      <c r="V53" s="31"/>
      <c r="W53" s="30"/>
      <c r="X53" s="18"/>
      <c r="Y53" s="18"/>
      <c r="Z53" s="18"/>
      <c r="AA53" s="18"/>
      <c r="AB53" s="18"/>
      <c r="AC53" s="18"/>
      <c r="AD53" s="18"/>
      <c r="AE53" s="18"/>
      <c r="AF53" s="18"/>
      <c r="AG53" s="31"/>
      <c r="AH53" s="30"/>
      <c r="AR53" s="31"/>
      <c r="AS53" s="30"/>
      <c r="BC53" s="31"/>
      <c r="BD53" s="30"/>
      <c r="BN53" s="31"/>
      <c r="BO53" s="30"/>
      <c r="BP53" s="18"/>
      <c r="BQ53" s="18"/>
      <c r="BR53" s="18"/>
      <c r="BS53" s="18"/>
      <c r="BT53" s="18"/>
      <c r="BU53" s="18"/>
      <c r="BV53" s="219"/>
      <c r="BW53" s="219"/>
      <c r="BX53" s="220"/>
      <c r="BY53" s="31"/>
      <c r="BZ53" s="30"/>
      <c r="CA53" s="18"/>
      <c r="CB53" s="18"/>
      <c r="CC53" s="18"/>
      <c r="CD53" s="18"/>
      <c r="CE53" s="18"/>
      <c r="CF53" s="18"/>
      <c r="CG53" s="18"/>
      <c r="CH53" s="18"/>
      <c r="CI53" s="18"/>
      <c r="CJ53" s="31"/>
      <c r="CK53" s="30"/>
      <c r="CR53" s="219"/>
      <c r="CS53" s="219"/>
      <c r="CT53" s="220"/>
      <c r="CU53" s="31"/>
      <c r="CV53" s="30"/>
      <c r="CW53" s="18"/>
      <c r="CX53" s="18"/>
      <c r="CY53" s="18"/>
      <c r="CZ53" s="18"/>
      <c r="DA53" s="18"/>
      <c r="DB53" s="18"/>
      <c r="DC53" s="18"/>
      <c r="DD53" s="18"/>
      <c r="DE53" s="18"/>
      <c r="DF53" s="31"/>
      <c r="DG53" s="30"/>
      <c r="DH53" s="18"/>
      <c r="DN53" s="219"/>
      <c r="DO53" s="219"/>
      <c r="DP53" s="220"/>
      <c r="DQ53" s="31"/>
      <c r="DR53" s="30"/>
      <c r="DS53" s="18"/>
      <c r="DY53" s="219"/>
      <c r="DZ53" s="219"/>
      <c r="EA53" s="220"/>
      <c r="EB53" s="31"/>
      <c r="EC53" s="30"/>
      <c r="ED53" s="18"/>
      <c r="EJ53" s="219"/>
      <c r="EK53" s="219"/>
      <c r="EL53" s="220"/>
      <c r="EM53" s="31"/>
      <c r="EN53" s="30"/>
      <c r="EO53" s="18"/>
      <c r="EU53" s="219"/>
      <c r="EV53" s="219"/>
      <c r="EW53" s="220"/>
      <c r="EX53" s="31"/>
      <c r="EY53" s="30"/>
      <c r="EZ53" s="18"/>
      <c r="FA53" s="18"/>
      <c r="FB53" s="18"/>
      <c r="FC53" s="18"/>
      <c r="FD53" s="18"/>
      <c r="FE53" s="18"/>
      <c r="FF53" s="18"/>
      <c r="FG53" s="18"/>
      <c r="FH53" s="18"/>
      <c r="FI53" s="31"/>
      <c r="FJ53" s="30"/>
      <c r="FK53" s="18"/>
      <c r="FL53" s="18"/>
      <c r="FM53" s="18"/>
      <c r="FN53" s="18"/>
      <c r="FO53" s="18"/>
      <c r="FP53" s="18"/>
      <c r="FQ53" s="18"/>
      <c r="FR53" s="18"/>
      <c r="FS53" s="18"/>
      <c r="FT53" s="31"/>
      <c r="FU53" s="30"/>
      <c r="GB53" s="219"/>
      <c r="GC53" s="219"/>
      <c r="GD53" s="220"/>
      <c r="GE53" s="31"/>
      <c r="GF53" s="30"/>
      <c r="GG53" s="18"/>
      <c r="GH53" s="18"/>
      <c r="GI53" s="18"/>
      <c r="GJ53" s="18"/>
      <c r="GK53" s="18"/>
      <c r="GL53" s="18"/>
      <c r="GP53" s="31"/>
      <c r="GQ53" s="30"/>
      <c r="GX53" s="219"/>
      <c r="GY53" s="219"/>
      <c r="GZ53" s="220"/>
      <c r="HA53" s="31"/>
      <c r="HB53" s="30"/>
      <c r="HC53" s="18"/>
      <c r="HD53" s="18"/>
      <c r="HE53" s="18"/>
      <c r="HF53" s="18"/>
      <c r="HG53" s="18"/>
      <c r="HH53" s="18"/>
      <c r="HI53" s="18"/>
      <c r="HJ53" s="18"/>
      <c r="HK53" s="18"/>
      <c r="HL53" s="31"/>
      <c r="HM53" s="30"/>
      <c r="HN53" s="18"/>
      <c r="HO53" s="18"/>
      <c r="HP53" s="18"/>
      <c r="HQ53" s="18"/>
      <c r="HR53" s="18"/>
      <c r="HS53" s="18"/>
      <c r="HT53" s="219"/>
      <c r="HU53" s="219"/>
      <c r="HV53" s="220"/>
      <c r="HW53" s="31"/>
      <c r="HX53" s="30"/>
      <c r="HY53" s="18"/>
      <c r="HZ53" s="18"/>
      <c r="IA53" s="18"/>
      <c r="IB53" s="18"/>
      <c r="IC53" s="18"/>
      <c r="ID53" s="18"/>
      <c r="IE53" s="18"/>
      <c r="IF53" s="18"/>
      <c r="IG53" s="18"/>
      <c r="IH53" s="31"/>
      <c r="II53" s="30"/>
      <c r="IJ53" s="18"/>
      <c r="IK53" s="18"/>
      <c r="IL53" s="18"/>
      <c r="IM53" s="18"/>
      <c r="IN53" s="18"/>
      <c r="IO53" s="18"/>
      <c r="IP53" s="18"/>
      <c r="IQ53" s="18"/>
      <c r="IR53" s="18"/>
      <c r="IS53" s="31"/>
      <c r="IT53" s="30"/>
      <c r="IU53" s="18"/>
      <c r="IV53" s="18"/>
      <c r="IW53" s="18"/>
      <c r="IX53" s="18"/>
      <c r="IY53" s="18"/>
      <c r="IZ53" s="18"/>
      <c r="JA53" s="18"/>
      <c r="JB53" s="18"/>
      <c r="JC53" s="18"/>
      <c r="JD53" s="31"/>
      <c r="JE53" s="30"/>
      <c r="JF53" s="18"/>
      <c r="JG53" s="18"/>
      <c r="JH53" s="18"/>
      <c r="JI53" s="18"/>
      <c r="JJ53" s="18"/>
      <c r="JK53" s="18"/>
      <c r="JL53" s="18"/>
      <c r="JM53" s="18"/>
      <c r="JN53" s="18"/>
      <c r="JO53" s="31"/>
      <c r="JP53" s="30"/>
      <c r="JQ53" s="18"/>
      <c r="JR53" s="18"/>
      <c r="JS53" s="18"/>
      <c r="JT53" s="18"/>
      <c r="JU53" s="18"/>
      <c r="JV53" s="18"/>
      <c r="JW53" s="18"/>
      <c r="JX53" s="18"/>
      <c r="JY53" s="18"/>
      <c r="JZ53" s="31"/>
      <c r="KA53" s="30"/>
      <c r="KB53" s="18"/>
      <c r="KC53" s="18"/>
      <c r="KD53" s="18"/>
      <c r="KE53" s="18"/>
      <c r="KF53" s="18"/>
      <c r="KG53" s="18"/>
      <c r="KH53" s="18"/>
      <c r="KI53" s="18"/>
      <c r="KJ53" s="18"/>
      <c r="KK53" s="31"/>
      <c r="KL53" s="30"/>
      <c r="KM53" s="18"/>
      <c r="KN53" s="18"/>
      <c r="KO53" s="18"/>
      <c r="KP53" s="18"/>
      <c r="KQ53" s="18"/>
      <c r="KR53" s="18"/>
      <c r="KS53" s="18"/>
      <c r="KT53" s="18"/>
      <c r="KU53" s="18"/>
      <c r="KV53" s="31"/>
      <c r="KW53" s="30"/>
      <c r="KX53" s="18"/>
      <c r="LD53" s="219"/>
      <c r="LE53" s="219"/>
      <c r="LF53" s="220"/>
      <c r="LG53" s="31"/>
      <c r="LH53" s="30"/>
      <c r="LI53" s="18"/>
      <c r="LO53" s="219"/>
      <c r="LP53" s="219"/>
      <c r="LQ53" s="220"/>
      <c r="LR53" s="31"/>
      <c r="LS53" s="30"/>
      <c r="LT53" s="18"/>
      <c r="LZ53" s="219"/>
      <c r="MA53" s="219"/>
      <c r="MB53" s="220"/>
      <c r="MC53" s="31"/>
      <c r="ME53" s="30"/>
      <c r="MF53" s="18"/>
      <c r="ML53" s="219"/>
      <c r="MM53" s="219"/>
      <c r="MN53" s="220"/>
      <c r="MO53" s="31"/>
      <c r="ND53" s="30"/>
      <c r="NE53" s="18"/>
      <c r="NF53" s="1" t="s">
        <v>35</v>
      </c>
      <c r="NG53" s="21">
        <f>NG54/NG49</f>
        <v>3381.0934228148139</v>
      </c>
      <c r="NH53" s="18"/>
      <c r="NI53" s="311" t="s">
        <v>18</v>
      </c>
      <c r="NJ53" s="312"/>
      <c r="NK53" s="1"/>
      <c r="NL53" s="1"/>
      <c r="NM53" s="20">
        <v>50000</v>
      </c>
      <c r="NN53" s="31"/>
    </row>
    <row r="54" spans="1:378" x14ac:dyDescent="0.25">
      <c r="A54" s="30"/>
      <c r="B54" s="18"/>
      <c r="C54" s="18"/>
      <c r="D54" s="18"/>
      <c r="E54" s="18"/>
      <c r="F54" s="18"/>
      <c r="G54" s="18"/>
      <c r="H54" s="219"/>
      <c r="I54" s="219"/>
      <c r="J54" s="220"/>
      <c r="K54" s="31"/>
      <c r="L54" s="30"/>
      <c r="M54" s="18"/>
      <c r="N54" s="18"/>
      <c r="O54" s="18"/>
      <c r="P54" s="18"/>
      <c r="Q54" s="18"/>
      <c r="R54" s="18"/>
      <c r="S54" s="219"/>
      <c r="T54" s="219"/>
      <c r="U54" s="220"/>
      <c r="V54" s="31"/>
      <c r="W54" s="30"/>
      <c r="X54" s="18"/>
      <c r="Y54" s="18"/>
      <c r="Z54" s="18"/>
      <c r="AA54" s="18"/>
      <c r="AB54" s="18"/>
      <c r="AC54" s="18"/>
      <c r="AD54" s="18"/>
      <c r="AE54" s="18"/>
      <c r="AF54" s="18"/>
      <c r="AG54" s="31"/>
      <c r="AH54" s="30"/>
      <c r="AR54" s="31"/>
      <c r="AS54" s="30"/>
      <c r="BC54" s="31"/>
      <c r="BD54" s="30"/>
      <c r="BN54" s="31"/>
      <c r="BO54" s="30"/>
      <c r="BP54" s="18"/>
      <c r="BQ54" s="18"/>
      <c r="BR54" s="18"/>
      <c r="BS54" s="18"/>
      <c r="BT54" s="18"/>
      <c r="BU54" s="18"/>
      <c r="BV54" s="219"/>
      <c r="BW54" s="219"/>
      <c r="BX54" s="220"/>
      <c r="BY54" s="31"/>
      <c r="BZ54" s="30"/>
      <c r="CA54" s="18"/>
      <c r="CB54" s="18"/>
      <c r="CC54" s="18"/>
      <c r="CD54" s="18"/>
      <c r="CE54" s="18"/>
      <c r="CF54" s="18"/>
      <c r="CG54" s="18"/>
      <c r="CH54" s="18"/>
      <c r="CI54" s="18"/>
      <c r="CJ54" s="31"/>
      <c r="CK54" s="30"/>
      <c r="CR54" s="219"/>
      <c r="CS54" s="219"/>
      <c r="CT54" s="220"/>
      <c r="CU54" s="31"/>
      <c r="CV54" s="30"/>
      <c r="CW54" s="18"/>
      <c r="CX54" s="18"/>
      <c r="CY54" s="18"/>
      <c r="CZ54" s="18"/>
      <c r="DA54" s="18"/>
      <c r="DB54" s="18"/>
      <c r="DC54" s="18"/>
      <c r="DD54" s="18"/>
      <c r="DE54" s="18"/>
      <c r="DF54" s="31"/>
      <c r="DG54" s="30"/>
      <c r="DH54" s="18"/>
      <c r="DN54" s="219"/>
      <c r="DO54" s="219"/>
      <c r="DP54" s="220"/>
      <c r="DQ54" s="31"/>
      <c r="DR54" s="30"/>
      <c r="DS54" s="18"/>
      <c r="DY54" s="219"/>
      <c r="DZ54" s="219"/>
      <c r="EA54" s="220"/>
      <c r="EB54" s="31"/>
      <c r="EC54" s="30"/>
      <c r="ED54" s="18"/>
      <c r="EJ54" s="219"/>
      <c r="EK54" s="219"/>
      <c r="EL54" s="220"/>
      <c r="EM54" s="31"/>
      <c r="EN54" s="30"/>
      <c r="EO54" s="18"/>
      <c r="EU54" s="219"/>
      <c r="EV54" s="219"/>
      <c r="EW54" s="220"/>
      <c r="EX54" s="31"/>
      <c r="EY54" s="30"/>
      <c r="EZ54" s="18"/>
      <c r="FA54" s="18"/>
      <c r="FB54" s="18"/>
      <c r="FC54" s="18"/>
      <c r="FD54" s="18"/>
      <c r="FE54" s="18"/>
      <c r="FF54" s="18"/>
      <c r="FG54" s="18"/>
      <c r="FH54" s="18"/>
      <c r="FI54" s="31"/>
      <c r="FJ54" s="30"/>
      <c r="FK54" s="18"/>
      <c r="FL54" s="18"/>
      <c r="FM54" s="18"/>
      <c r="FN54" s="18"/>
      <c r="FO54" s="18"/>
      <c r="FP54" s="18"/>
      <c r="FQ54" s="18"/>
      <c r="FR54" s="18"/>
      <c r="FS54" s="18"/>
      <c r="FT54" s="31"/>
      <c r="FU54" s="30"/>
      <c r="GB54" s="219"/>
      <c r="GC54" s="219"/>
      <c r="GD54" s="220"/>
      <c r="GE54" s="31"/>
      <c r="GF54" s="30"/>
      <c r="GG54" s="18"/>
      <c r="GH54" s="18"/>
      <c r="GI54" s="18"/>
      <c r="GJ54" s="18"/>
      <c r="GK54" s="18"/>
      <c r="GL54" s="18"/>
      <c r="GP54" s="31"/>
      <c r="GQ54" s="30"/>
      <c r="GX54" s="219"/>
      <c r="GY54" s="219"/>
      <c r="GZ54" s="220"/>
      <c r="HA54" s="31"/>
      <c r="HB54" s="30"/>
      <c r="HC54" s="18"/>
      <c r="HD54" s="18"/>
      <c r="HE54" s="18"/>
      <c r="HF54" s="18"/>
      <c r="HG54" s="18"/>
      <c r="HH54" s="18"/>
      <c r="HI54" s="18"/>
      <c r="HJ54" s="18"/>
      <c r="HK54" s="18"/>
      <c r="HL54" s="31"/>
      <c r="HM54" s="30"/>
      <c r="HN54" s="18"/>
      <c r="HO54" s="18"/>
      <c r="HP54" s="18"/>
      <c r="HQ54" s="18"/>
      <c r="HR54" s="18"/>
      <c r="HS54" s="18"/>
      <c r="HT54" s="219"/>
      <c r="HU54" s="219"/>
      <c r="HV54" s="220"/>
      <c r="HW54" s="31"/>
      <c r="HX54" s="30"/>
      <c r="HY54" s="18"/>
      <c r="HZ54" s="18"/>
      <c r="IA54" s="18"/>
      <c r="IB54" s="18"/>
      <c r="IC54" s="18"/>
      <c r="ID54" s="18"/>
      <c r="IE54" s="18"/>
      <c r="IF54" s="18"/>
      <c r="IG54" s="18"/>
      <c r="IH54" s="31"/>
      <c r="II54" s="30"/>
      <c r="IJ54" s="18"/>
      <c r="IK54" s="18"/>
      <c r="IL54" s="18"/>
      <c r="IM54" s="18"/>
      <c r="IN54" s="311" t="s">
        <v>13</v>
      </c>
      <c r="IO54" s="312"/>
      <c r="IP54" s="19">
        <f>IR50</f>
        <v>36848.759999999995</v>
      </c>
      <c r="IQ54" s="1">
        <f>IF59</f>
        <v>70</v>
      </c>
      <c r="IR54" s="20">
        <f t="shared" ref="IR54:IR60" si="234">IP54*IQ54</f>
        <v>2579413.1999999997</v>
      </c>
      <c r="IS54" s="31"/>
      <c r="IT54" s="30"/>
      <c r="IU54" s="18"/>
      <c r="IV54" s="18"/>
      <c r="IW54" s="18"/>
      <c r="IX54" s="18"/>
      <c r="IY54" s="18"/>
      <c r="IZ54" s="18"/>
      <c r="JA54" s="18"/>
      <c r="JB54" s="18"/>
      <c r="JC54" s="18"/>
      <c r="JD54" s="31"/>
      <c r="JE54" s="30"/>
      <c r="JF54" s="18"/>
      <c r="JG54" s="18"/>
      <c r="JH54" s="18"/>
      <c r="JI54" s="18"/>
      <c r="JJ54" s="18"/>
      <c r="JK54" s="18"/>
      <c r="JL54" s="18"/>
      <c r="JM54" s="18"/>
      <c r="JN54" s="18"/>
      <c r="JO54" s="31"/>
      <c r="JP54" s="30"/>
      <c r="JQ54" s="18"/>
      <c r="JR54" s="18"/>
      <c r="JS54" s="18"/>
      <c r="JT54" s="18"/>
      <c r="JU54" s="311" t="s">
        <v>13</v>
      </c>
      <c r="JV54" s="312"/>
      <c r="JW54" s="19">
        <f>JY43</f>
        <v>32301.52</v>
      </c>
      <c r="JX54" s="1">
        <f>JM55</f>
        <v>70</v>
      </c>
      <c r="JY54" s="20">
        <f>JW54*JX54</f>
        <v>2261106.4</v>
      </c>
      <c r="JZ54" s="31"/>
      <c r="KA54" s="30"/>
      <c r="KB54" s="18"/>
      <c r="KC54" s="18"/>
      <c r="KD54" s="18"/>
      <c r="KE54" s="18"/>
      <c r="KF54" s="311" t="s">
        <v>13</v>
      </c>
      <c r="KG54" s="312"/>
      <c r="KH54" s="19">
        <f>KJ43</f>
        <v>31050.16</v>
      </c>
      <c r="KI54" s="1">
        <f>JX54</f>
        <v>70</v>
      </c>
      <c r="KJ54" s="20">
        <f>KH54*KI54</f>
        <v>2173511.2000000002</v>
      </c>
      <c r="KK54" s="31"/>
      <c r="KL54" s="30"/>
      <c r="KM54" s="18"/>
      <c r="KN54" s="18"/>
      <c r="KO54" s="18"/>
      <c r="KP54" s="18"/>
      <c r="KQ54" s="18"/>
      <c r="KR54" s="18"/>
      <c r="KS54" s="18"/>
      <c r="KT54" s="18"/>
      <c r="KU54" s="18"/>
      <c r="KV54" s="31"/>
      <c r="KW54" s="30"/>
      <c r="KX54" s="18"/>
      <c r="LD54" s="219"/>
      <c r="LE54" s="219"/>
      <c r="LF54" s="220"/>
      <c r="LG54" s="31"/>
      <c r="LH54" s="30"/>
      <c r="LI54" s="18"/>
      <c r="LO54" s="219"/>
      <c r="LP54" s="219"/>
      <c r="LQ54" s="220"/>
      <c r="LR54" s="31"/>
      <c r="LS54" s="30"/>
      <c r="LT54" s="18"/>
      <c r="LZ54" s="219"/>
      <c r="MA54" s="219"/>
      <c r="MB54" s="220"/>
      <c r="MC54" s="31"/>
      <c r="ME54" s="30"/>
      <c r="MF54" s="18"/>
      <c r="ML54" s="219"/>
      <c r="MM54" s="219"/>
      <c r="MN54" s="220"/>
      <c r="MO54" s="31"/>
      <c r="ND54" s="30"/>
      <c r="NE54" s="18"/>
      <c r="NF54" s="22" t="s">
        <v>31</v>
      </c>
      <c r="NG54" s="23">
        <f>NG52*NG51</f>
        <v>2738685.6724799993</v>
      </c>
      <c r="NH54" s="18"/>
      <c r="NI54" s="303" t="s">
        <v>36</v>
      </c>
      <c r="NJ54" s="303"/>
      <c r="NK54" s="10">
        <f>NK45+NK47+NK48+NK49+NK50+NK51+NM37</f>
        <v>31125.504999999994</v>
      </c>
      <c r="NL54" s="1"/>
      <c r="NM54" s="1"/>
      <c r="NN54" s="31"/>
    </row>
    <row r="55" spans="1:378" x14ac:dyDescent="0.25">
      <c r="A55" s="30"/>
      <c r="B55" s="18"/>
      <c r="C55" s="18"/>
      <c r="D55" s="18"/>
      <c r="E55" s="18"/>
      <c r="F55" s="18"/>
      <c r="G55" s="18"/>
      <c r="H55" s="219"/>
      <c r="I55" s="219"/>
      <c r="J55" s="220"/>
      <c r="K55" s="31"/>
      <c r="L55" s="30"/>
      <c r="M55" s="18"/>
      <c r="N55" s="18"/>
      <c r="O55" s="18"/>
      <c r="P55" s="18"/>
      <c r="Q55" s="18"/>
      <c r="R55" s="18"/>
      <c r="S55" s="219"/>
      <c r="T55" s="219"/>
      <c r="U55" s="220"/>
      <c r="V55" s="31"/>
      <c r="W55" s="30"/>
      <c r="X55" s="18"/>
      <c r="Y55" s="18"/>
      <c r="Z55" s="18"/>
      <c r="AA55" s="18"/>
      <c r="AB55" s="18"/>
      <c r="AC55" s="18"/>
      <c r="AD55" s="18"/>
      <c r="AE55" s="18"/>
      <c r="AF55" s="18"/>
      <c r="AG55" s="31"/>
      <c r="AH55" s="30"/>
      <c r="AR55" s="31"/>
      <c r="AS55" s="30"/>
      <c r="BC55" s="31"/>
      <c r="BD55" s="30"/>
      <c r="BN55" s="31"/>
      <c r="BO55" s="30"/>
      <c r="BP55" s="18"/>
      <c r="BQ55" s="18"/>
      <c r="BR55" s="18"/>
      <c r="BS55" s="18"/>
      <c r="BT55" s="18"/>
      <c r="BU55" s="18"/>
      <c r="BV55" s="219"/>
      <c r="BW55" s="219"/>
      <c r="BX55" s="220"/>
      <c r="BY55" s="31"/>
      <c r="BZ55" s="30"/>
      <c r="CA55" s="18"/>
      <c r="CB55" s="18"/>
      <c r="CC55" s="18"/>
      <c r="CD55" s="18"/>
      <c r="CE55" s="18"/>
      <c r="CF55" s="18"/>
      <c r="CG55" s="18"/>
      <c r="CH55" s="18"/>
      <c r="CI55" s="18"/>
      <c r="CJ55" s="31"/>
      <c r="CK55" s="30"/>
      <c r="CR55" s="219"/>
      <c r="CS55" s="219"/>
      <c r="CT55" s="220"/>
      <c r="CU55" s="31"/>
      <c r="CV55" s="30"/>
      <c r="CW55" s="18"/>
      <c r="CX55" s="18"/>
      <c r="CY55" s="18"/>
      <c r="CZ55" s="18"/>
      <c r="DA55" s="18"/>
      <c r="DB55" s="18"/>
      <c r="DC55" s="18"/>
      <c r="DD55" s="18"/>
      <c r="DE55" s="18"/>
      <c r="DF55" s="31"/>
      <c r="DG55" s="30"/>
      <c r="DH55" s="18"/>
      <c r="DN55" s="219"/>
      <c r="DO55" s="219"/>
      <c r="DP55" s="220"/>
      <c r="DQ55" s="31"/>
      <c r="DR55" s="30"/>
      <c r="DS55" s="18"/>
      <c r="DY55" s="219"/>
      <c r="DZ55" s="219"/>
      <c r="EA55" s="220"/>
      <c r="EB55" s="31"/>
      <c r="EC55" s="30"/>
      <c r="ED55" s="18"/>
      <c r="EE55" s="18"/>
      <c r="EF55" s="18"/>
      <c r="EG55" s="18"/>
      <c r="EH55" s="18"/>
      <c r="EI55" s="18"/>
      <c r="EJ55" s="18"/>
      <c r="EK55" s="18"/>
      <c r="EL55" s="18"/>
      <c r="EM55" s="31"/>
      <c r="EN55" s="30"/>
      <c r="EO55" s="18"/>
      <c r="EU55" s="219"/>
      <c r="EV55" s="219"/>
      <c r="EW55" s="220"/>
      <c r="EX55" s="31"/>
      <c r="EY55" s="30"/>
      <c r="EZ55" s="18"/>
      <c r="FA55" s="18"/>
      <c r="FB55" s="18"/>
      <c r="FC55" s="18"/>
      <c r="FD55" s="18"/>
      <c r="FE55" s="18"/>
      <c r="FF55" s="18"/>
      <c r="FG55" s="18"/>
      <c r="FH55" s="18"/>
      <c r="FI55" s="31"/>
      <c r="FJ55" s="30"/>
      <c r="FK55" s="18"/>
      <c r="FL55" s="18"/>
      <c r="FM55" s="18"/>
      <c r="FN55" s="18"/>
      <c r="FO55" s="18"/>
      <c r="FP55" s="18"/>
      <c r="FQ55" s="18"/>
      <c r="FR55" s="18"/>
      <c r="FS55" s="18"/>
      <c r="FT55" s="31"/>
      <c r="FU55" s="30"/>
      <c r="GB55" s="219"/>
      <c r="GC55" s="219"/>
      <c r="GD55" s="220"/>
      <c r="GE55" s="31"/>
      <c r="GF55" s="30"/>
      <c r="GG55" s="18"/>
      <c r="GH55" s="18"/>
      <c r="GI55" s="18"/>
      <c r="GJ55" s="18"/>
      <c r="GK55" s="18"/>
      <c r="GL55" s="18"/>
      <c r="GP55" s="31"/>
      <c r="GQ55" s="30"/>
      <c r="GX55" s="219"/>
      <c r="GY55" s="219"/>
      <c r="GZ55" s="220"/>
      <c r="HA55" s="31"/>
      <c r="HB55" s="30"/>
      <c r="HC55" s="18"/>
      <c r="HD55" s="18"/>
      <c r="HE55" s="18"/>
      <c r="HF55" s="18"/>
      <c r="HG55" s="18"/>
      <c r="HH55" s="18"/>
      <c r="HI55" s="18"/>
      <c r="HJ55" s="18"/>
      <c r="HK55" s="18"/>
      <c r="HL55" s="31"/>
      <c r="HM55" s="30"/>
      <c r="HN55" s="18"/>
      <c r="HO55" s="18"/>
      <c r="HP55" s="18"/>
      <c r="HQ55" s="18"/>
      <c r="HR55" s="18"/>
      <c r="HS55" s="18"/>
      <c r="HT55" s="219"/>
      <c r="HU55" s="219"/>
      <c r="HV55" s="220"/>
      <c r="HW55" s="31"/>
      <c r="HX55" s="30"/>
      <c r="HY55" s="18"/>
      <c r="HZ55" s="18"/>
      <c r="IA55" s="18"/>
      <c r="IB55" s="18"/>
      <c r="IC55" s="18"/>
      <c r="ID55" s="18"/>
      <c r="IE55" s="18"/>
      <c r="IF55" s="18"/>
      <c r="IG55" s="18"/>
      <c r="IH55" s="31"/>
      <c r="II55" s="30"/>
      <c r="IJ55" s="18"/>
      <c r="IK55" s="18"/>
      <c r="IL55" s="18"/>
      <c r="IM55" s="18"/>
      <c r="IN55" s="311" t="s">
        <v>252</v>
      </c>
      <c r="IO55" s="312"/>
      <c r="IP55" s="19">
        <f>IR43+IR44</f>
        <v>20069.699999999997</v>
      </c>
      <c r="IQ55" s="1">
        <f>GN58</f>
        <v>65</v>
      </c>
      <c r="IR55" s="20">
        <f t="shared" si="234"/>
        <v>1304530.4999999998</v>
      </c>
      <c r="IS55" s="31"/>
      <c r="IT55" s="30"/>
      <c r="IU55" s="18"/>
      <c r="IV55" s="18"/>
      <c r="IW55" s="18"/>
      <c r="IX55" s="18"/>
      <c r="IY55" s="311" t="s">
        <v>13</v>
      </c>
      <c r="IZ55" s="312"/>
      <c r="JA55" s="19">
        <f>JC48</f>
        <v>49004.979999999996</v>
      </c>
      <c r="JB55" s="1">
        <f>IF59</f>
        <v>70</v>
      </c>
      <c r="JC55" s="20">
        <f t="shared" ref="JC55:JC60" si="235">JA55*JB55</f>
        <v>3430348.5999999996</v>
      </c>
      <c r="JD55" s="31"/>
      <c r="JE55" s="30"/>
      <c r="JF55" s="18"/>
      <c r="JG55" s="18"/>
      <c r="JH55" s="18"/>
      <c r="JI55" s="18"/>
      <c r="JJ55" s="311" t="s">
        <v>13</v>
      </c>
      <c r="JK55" s="312"/>
      <c r="JL55" s="19">
        <f>JN47</f>
        <v>52817.30799999999</v>
      </c>
      <c r="JM55" s="1">
        <f t="shared" ref="JM55:JM65" si="236">JB55</f>
        <v>70</v>
      </c>
      <c r="JN55" s="20">
        <f t="shared" ref="JN55:JN65" si="237">JL55*JM55</f>
        <v>3697211.5599999991</v>
      </c>
      <c r="JO55" s="31"/>
      <c r="JP55" s="30"/>
      <c r="JQ55" s="18"/>
      <c r="JR55" s="18"/>
      <c r="JS55" s="18"/>
      <c r="JT55" s="18"/>
      <c r="JU55" s="311" t="s">
        <v>252</v>
      </c>
      <c r="JV55" s="312"/>
      <c r="JW55" s="19">
        <f>JY37+JY38</f>
        <v>16006.88</v>
      </c>
      <c r="JX55" s="1">
        <f>IQ55</f>
        <v>65</v>
      </c>
      <c r="JY55" s="20">
        <f t="shared" ref="JY55:JY65" si="238">JW55*JX55</f>
        <v>1040447.2</v>
      </c>
      <c r="JZ55" s="31"/>
      <c r="KA55" s="30"/>
      <c r="KB55" s="18"/>
      <c r="KC55" s="18"/>
      <c r="KD55" s="18"/>
      <c r="KE55" s="18"/>
      <c r="KF55" s="311" t="s">
        <v>252</v>
      </c>
      <c r="KG55" s="312"/>
      <c r="KH55" s="19">
        <f>KJ37+KJ38</f>
        <v>12708.279999999999</v>
      </c>
      <c r="KI55" s="1">
        <f t="shared" ref="KI55:KI65" si="239">JX55</f>
        <v>65</v>
      </c>
      <c r="KJ55" s="20">
        <f t="shared" ref="KJ55:KJ65" si="240">KH55*KI55</f>
        <v>826038.2</v>
      </c>
      <c r="KK55" s="31"/>
      <c r="KL55" s="30"/>
      <c r="KM55" s="18"/>
      <c r="KN55" s="18"/>
      <c r="KO55" s="18"/>
      <c r="KP55" s="18"/>
      <c r="KQ55" s="18"/>
      <c r="KR55" s="18"/>
      <c r="KS55" s="18"/>
      <c r="KT55" s="18"/>
      <c r="KU55" s="18"/>
      <c r="KV55" s="31"/>
      <c r="KW55" s="30"/>
      <c r="KX55" s="18"/>
      <c r="LD55" s="219"/>
      <c r="LE55" s="219"/>
      <c r="LF55" s="220"/>
      <c r="LG55" s="31"/>
      <c r="LH55" s="30"/>
      <c r="LI55" s="18"/>
      <c r="LO55" s="219"/>
      <c r="LP55" s="219"/>
      <c r="LQ55" s="220"/>
      <c r="LR55" s="31"/>
      <c r="LS55" s="30"/>
      <c r="LT55" s="18"/>
      <c r="LZ55" s="219"/>
      <c r="MA55" s="219"/>
      <c r="MB55" s="220"/>
      <c r="MC55" s="31"/>
      <c r="ME55" s="30"/>
      <c r="MF55" s="18"/>
      <c r="ML55" s="219"/>
      <c r="MM55" s="219"/>
      <c r="MN55" s="220"/>
      <c r="MO55" s="31"/>
      <c r="ND55" s="30"/>
      <c r="NE55" s="18"/>
      <c r="NF55" s="18"/>
      <c r="NG55" s="18"/>
      <c r="NH55" s="18"/>
      <c r="NI55" s="304" t="s">
        <v>17</v>
      </c>
      <c r="NJ55" s="305"/>
      <c r="NK55" s="305"/>
      <c r="NL55" s="306"/>
      <c r="NM55" s="24">
        <f>SUM(NM45:NM53)</f>
        <v>2282238.0603999994</v>
      </c>
      <c r="NN55" s="31"/>
    </row>
    <row r="56" spans="1:378" x14ac:dyDescent="0.25">
      <c r="A56" s="30"/>
      <c r="B56" s="18"/>
      <c r="C56" s="18"/>
      <c r="D56" s="18"/>
      <c r="E56" s="18"/>
      <c r="F56" s="18"/>
      <c r="G56" s="18"/>
      <c r="H56" s="219"/>
      <c r="I56" s="219"/>
      <c r="J56" s="220"/>
      <c r="K56" s="31"/>
      <c r="L56" s="30"/>
      <c r="M56" s="18"/>
      <c r="N56" s="18"/>
      <c r="O56" s="18"/>
      <c r="P56" s="18"/>
      <c r="Q56" s="18"/>
      <c r="R56" s="18"/>
      <c r="S56" s="219"/>
      <c r="T56" s="219"/>
      <c r="U56" s="220"/>
      <c r="V56" s="31"/>
      <c r="W56" s="30"/>
      <c r="X56" s="18"/>
      <c r="Y56" s="18"/>
      <c r="Z56" s="18"/>
      <c r="AA56" s="18"/>
      <c r="AB56" s="18"/>
      <c r="AC56" s="18"/>
      <c r="AD56" s="18"/>
      <c r="AE56" s="18"/>
      <c r="AF56" s="18"/>
      <c r="AG56" s="31"/>
      <c r="AH56" s="30"/>
      <c r="AR56" s="31"/>
      <c r="AS56" s="30"/>
      <c r="BC56" s="31"/>
      <c r="BD56" s="30"/>
      <c r="BN56" s="31"/>
      <c r="BO56" s="30"/>
      <c r="BY56" s="31"/>
      <c r="BZ56" s="30"/>
      <c r="CA56" s="18"/>
      <c r="CB56" s="18"/>
      <c r="CC56" s="18"/>
      <c r="CD56" s="18"/>
      <c r="CE56" s="18"/>
      <c r="CF56" s="18"/>
      <c r="CG56" s="18"/>
      <c r="CH56" s="18"/>
      <c r="CI56" s="18"/>
      <c r="CJ56" s="31"/>
      <c r="CK56" s="30"/>
      <c r="CR56" s="219"/>
      <c r="CS56" s="219"/>
      <c r="CT56" s="220"/>
      <c r="CU56" s="31"/>
      <c r="CV56" s="30"/>
      <c r="CW56" s="18"/>
      <c r="CX56" s="18"/>
      <c r="CY56" s="18"/>
      <c r="CZ56" s="18"/>
      <c r="DA56" s="18"/>
      <c r="DB56" s="18"/>
      <c r="DC56" s="18"/>
      <c r="DD56" s="18"/>
      <c r="DE56" s="18"/>
      <c r="DF56" s="31"/>
      <c r="DG56" s="30"/>
      <c r="DH56" s="18"/>
      <c r="DN56" s="219"/>
      <c r="DO56" s="219"/>
      <c r="DP56" s="220"/>
      <c r="DQ56" s="31"/>
      <c r="DR56" s="30"/>
      <c r="DS56" s="18"/>
      <c r="DY56" s="219"/>
      <c r="DZ56" s="219"/>
      <c r="EA56" s="220"/>
      <c r="EB56" s="31"/>
      <c r="EC56" s="30"/>
      <c r="ED56" s="18"/>
      <c r="EE56" s="18"/>
      <c r="EF56" s="18"/>
      <c r="EG56" s="18"/>
      <c r="EH56" s="310" t="s">
        <v>13</v>
      </c>
      <c r="EI56" s="310"/>
      <c r="EJ56" s="19">
        <f>EL44</f>
        <v>24051.827999999998</v>
      </c>
      <c r="EK56" s="1">
        <f>JM55</f>
        <v>70</v>
      </c>
      <c r="EL56" s="20">
        <f t="shared" ref="EL56:EL65" si="241">EJ56*EK56</f>
        <v>1683627.9599999997</v>
      </c>
      <c r="EM56" s="31"/>
      <c r="EN56" s="30"/>
      <c r="EO56" s="18"/>
      <c r="EU56" s="219"/>
      <c r="EV56" s="219"/>
      <c r="EW56" s="220"/>
      <c r="EX56" s="31"/>
      <c r="EY56" s="30"/>
      <c r="EZ56" s="18"/>
      <c r="FA56" s="18"/>
      <c r="FB56" s="18"/>
      <c r="FC56" s="18"/>
      <c r="FD56" s="18"/>
      <c r="FE56" s="18"/>
      <c r="FF56" s="18"/>
      <c r="FG56" s="18"/>
      <c r="FH56" s="18"/>
      <c r="FI56" s="31"/>
      <c r="FJ56" s="30"/>
      <c r="FK56" s="18"/>
      <c r="FL56" s="18"/>
      <c r="FM56" s="18"/>
      <c r="FN56" s="18"/>
      <c r="FO56" s="18"/>
      <c r="FP56" s="18"/>
      <c r="FQ56" s="18"/>
      <c r="FR56" s="18"/>
      <c r="FS56" s="18"/>
      <c r="FT56" s="31"/>
      <c r="FU56" s="30"/>
      <c r="FV56" s="18"/>
      <c r="FW56" s="18"/>
      <c r="FX56" s="18"/>
      <c r="FY56" s="18"/>
      <c r="FZ56" s="18"/>
      <c r="GA56" s="18"/>
      <c r="GE56" s="31"/>
      <c r="GF56" s="30"/>
      <c r="GP56" s="31"/>
      <c r="GQ56" s="30"/>
      <c r="GX56" s="219"/>
      <c r="GY56" s="219"/>
      <c r="GZ56" s="220"/>
      <c r="HA56" s="31"/>
      <c r="HB56" s="30"/>
      <c r="HC56" s="18"/>
      <c r="HD56" s="18"/>
      <c r="HE56" s="18"/>
      <c r="HF56" s="18"/>
      <c r="HG56" s="18"/>
      <c r="HH56" s="18"/>
      <c r="HI56" s="18"/>
      <c r="HJ56" s="18"/>
      <c r="HK56" s="18"/>
      <c r="HL56" s="31"/>
      <c r="HM56" s="30"/>
      <c r="HN56" s="18"/>
      <c r="HO56" s="18"/>
      <c r="HP56" s="18"/>
      <c r="HQ56" s="18"/>
      <c r="HR56" s="18"/>
      <c r="HS56" s="18"/>
      <c r="HT56" s="219"/>
      <c r="HU56" s="219"/>
      <c r="HV56" s="220"/>
      <c r="HW56" s="31"/>
      <c r="HX56" s="30"/>
      <c r="HY56" s="18"/>
      <c r="HZ56" s="18"/>
      <c r="IA56" s="18"/>
      <c r="IB56" s="18"/>
      <c r="IC56" s="18"/>
      <c r="ID56" s="18"/>
      <c r="IE56" s="18"/>
      <c r="IF56" s="18"/>
      <c r="IG56" s="18"/>
      <c r="IH56" s="31"/>
      <c r="II56" s="30"/>
      <c r="IJ56" s="18"/>
      <c r="IK56" s="18"/>
      <c r="IL56" s="18"/>
      <c r="IM56" s="18"/>
      <c r="IN56" s="311" t="s">
        <v>33</v>
      </c>
      <c r="IO56" s="312"/>
      <c r="IP56" s="1">
        <f>IO36</f>
        <v>988</v>
      </c>
      <c r="IQ56" s="1">
        <f>IF60</f>
        <v>120</v>
      </c>
      <c r="IR56" s="20">
        <f t="shared" si="234"/>
        <v>118560</v>
      </c>
      <c r="IS56" s="31"/>
      <c r="IT56" s="30"/>
      <c r="IU56" s="18"/>
      <c r="IV56" s="18"/>
      <c r="IW56" s="18"/>
      <c r="IX56" s="18"/>
      <c r="IY56" s="311" t="s">
        <v>33</v>
      </c>
      <c r="IZ56" s="312"/>
      <c r="JA56" s="1">
        <f>IZ36</f>
        <v>1234</v>
      </c>
      <c r="JB56" s="1">
        <f>IF60</f>
        <v>120</v>
      </c>
      <c r="JC56" s="20">
        <f t="shared" si="235"/>
        <v>148080</v>
      </c>
      <c r="JD56" s="31"/>
      <c r="JE56" s="30"/>
      <c r="JF56" s="18"/>
      <c r="JG56" s="18"/>
      <c r="JH56" s="18"/>
      <c r="JI56" s="18"/>
      <c r="JJ56" s="311" t="s">
        <v>33</v>
      </c>
      <c r="JK56" s="312"/>
      <c r="JL56" s="1">
        <f>JK24</f>
        <v>1250</v>
      </c>
      <c r="JM56" s="1">
        <f t="shared" si="236"/>
        <v>120</v>
      </c>
      <c r="JN56" s="20">
        <f t="shared" si="237"/>
        <v>150000</v>
      </c>
      <c r="JO56" s="31"/>
      <c r="JP56" s="30"/>
      <c r="JQ56" s="18"/>
      <c r="JR56" s="18"/>
      <c r="JS56" s="18"/>
      <c r="JT56" s="18"/>
      <c r="JU56" s="311" t="s">
        <v>33</v>
      </c>
      <c r="JV56" s="312"/>
      <c r="JW56" s="1">
        <f>JV24</f>
        <v>760</v>
      </c>
      <c r="JX56" s="1">
        <f>JM56</f>
        <v>120</v>
      </c>
      <c r="JY56" s="20">
        <f t="shared" si="238"/>
        <v>91200</v>
      </c>
      <c r="JZ56" s="31"/>
      <c r="KA56" s="30"/>
      <c r="KB56" s="18"/>
      <c r="KC56" s="18"/>
      <c r="KD56" s="18"/>
      <c r="KE56" s="18"/>
      <c r="KF56" s="311" t="s">
        <v>33</v>
      </c>
      <c r="KG56" s="312"/>
      <c r="KH56" s="1">
        <f>KG24</f>
        <v>684</v>
      </c>
      <c r="KI56" s="1">
        <f t="shared" si="239"/>
        <v>120</v>
      </c>
      <c r="KJ56" s="20">
        <f t="shared" si="240"/>
        <v>82080</v>
      </c>
      <c r="KK56" s="31"/>
      <c r="KL56" s="30"/>
      <c r="KM56" s="18"/>
      <c r="KN56" s="18"/>
      <c r="KO56" s="18"/>
      <c r="KP56" s="18"/>
      <c r="KQ56" s="18"/>
      <c r="KR56" s="18"/>
      <c r="KS56" s="18"/>
      <c r="KT56" s="18"/>
      <c r="KU56" s="18"/>
      <c r="KV56" s="31"/>
      <c r="KW56" s="30"/>
      <c r="KX56" s="18"/>
      <c r="LD56" s="219"/>
      <c r="LE56" s="219"/>
      <c r="LF56" s="220"/>
      <c r="LG56" s="31"/>
      <c r="LH56" s="30"/>
      <c r="LI56" s="18"/>
      <c r="LO56" s="219"/>
      <c r="LP56" s="219"/>
      <c r="LQ56" s="220"/>
      <c r="LR56" s="31"/>
      <c r="LS56" s="30"/>
      <c r="LT56" s="18"/>
      <c r="LZ56" s="219"/>
      <c r="MA56" s="219"/>
      <c r="MB56" s="220"/>
      <c r="MC56" s="31"/>
      <c r="ME56" s="30"/>
      <c r="MF56" s="18"/>
      <c r="ML56" s="219"/>
      <c r="MM56" s="219"/>
      <c r="MN56" s="220"/>
      <c r="MO56" s="31"/>
      <c r="ND56" s="30"/>
      <c r="NE56" s="18"/>
      <c r="NF56" s="18"/>
      <c r="NG56" s="18"/>
      <c r="NH56" s="18"/>
      <c r="NI56" s="307" t="s">
        <v>134</v>
      </c>
      <c r="NJ56" s="308"/>
      <c r="NK56" s="308"/>
      <c r="NL56" s="309"/>
      <c r="NM56" s="35">
        <f>NM55*1.2</f>
        <v>2738685.6724799993</v>
      </c>
      <c r="NN56" s="31"/>
    </row>
    <row r="57" spans="1:378" x14ac:dyDescent="0.25">
      <c r="A57" s="30"/>
      <c r="B57" s="18"/>
      <c r="C57" s="18"/>
      <c r="D57" s="18"/>
      <c r="E57" s="18"/>
      <c r="F57" s="18"/>
      <c r="G57" s="18"/>
      <c r="H57" s="219"/>
      <c r="I57" s="219"/>
      <c r="J57" s="220"/>
      <c r="K57" s="31"/>
      <c r="L57" s="30"/>
      <c r="M57" s="18"/>
      <c r="N57" s="18"/>
      <c r="O57" s="18"/>
      <c r="P57" s="18"/>
      <c r="Q57" s="18"/>
      <c r="R57" s="18"/>
      <c r="S57" s="219"/>
      <c r="T57" s="219"/>
      <c r="U57" s="220"/>
      <c r="V57" s="31"/>
      <c r="W57" s="30"/>
      <c r="X57" s="18"/>
      <c r="Y57" s="18"/>
      <c r="Z57" s="18"/>
      <c r="AA57" s="18"/>
      <c r="AB57" s="310" t="s">
        <v>13</v>
      </c>
      <c r="AC57" s="310"/>
      <c r="AD57" s="19">
        <f>AF26</f>
        <v>4349.0320000000002</v>
      </c>
      <c r="AE57" s="1">
        <v>68</v>
      </c>
      <c r="AF57" s="20">
        <f t="shared" ref="AF57:AF65" si="242">AD57*AE57</f>
        <v>295734.17600000004</v>
      </c>
      <c r="AG57" s="31"/>
      <c r="AH57" s="30"/>
      <c r="AI57" s="18"/>
      <c r="AJ57" s="18"/>
      <c r="AK57" s="18"/>
      <c r="AL57" s="18"/>
      <c r="AM57" s="18"/>
      <c r="AN57" s="18"/>
      <c r="AO57" s="18"/>
      <c r="AP57" s="18"/>
      <c r="AQ57" s="18"/>
      <c r="AR57" s="31"/>
      <c r="AS57" s="30"/>
      <c r="AT57" s="18"/>
      <c r="AU57" s="18"/>
      <c r="AV57" s="18"/>
      <c r="AW57" s="18"/>
      <c r="AX57" s="18"/>
      <c r="AY57" s="18"/>
      <c r="AZ57" s="18"/>
      <c r="BA57" s="18"/>
      <c r="BB57" s="18"/>
      <c r="BC57" s="31"/>
      <c r="BD57" s="30"/>
      <c r="BE57" s="18"/>
      <c r="BF57" s="18"/>
      <c r="BG57" s="18"/>
      <c r="BH57" s="18"/>
      <c r="BI57" s="18"/>
      <c r="BJ57" s="18"/>
      <c r="BK57" s="18"/>
      <c r="BL57" s="18"/>
      <c r="BM57" s="18"/>
      <c r="BN57" s="31"/>
      <c r="BO57" s="30"/>
      <c r="BP57" s="18"/>
      <c r="BQ57" s="18"/>
      <c r="BR57" s="18"/>
      <c r="BS57" s="18"/>
      <c r="BT57" s="18"/>
      <c r="BU57" s="18"/>
      <c r="BV57" s="18"/>
      <c r="BW57" s="18"/>
      <c r="BX57" s="18"/>
      <c r="BY57" s="31"/>
      <c r="BZ57" s="30"/>
      <c r="CA57" s="18"/>
      <c r="CB57" s="18"/>
      <c r="CC57" s="18"/>
      <c r="CD57" s="18"/>
      <c r="CE57" s="18"/>
      <c r="CF57" s="18"/>
      <c r="CG57" s="18"/>
      <c r="CH57" s="18"/>
      <c r="CI57" s="18"/>
      <c r="CJ57" s="31"/>
      <c r="CK57" s="30"/>
      <c r="CU57" s="31"/>
      <c r="CV57" s="30"/>
      <c r="CW57" s="18"/>
      <c r="CX57" s="18"/>
      <c r="CY57" s="18"/>
      <c r="CZ57" s="18"/>
      <c r="DA57" s="18"/>
      <c r="DB57" s="18"/>
      <c r="DC57" s="18"/>
      <c r="DD57" s="18"/>
      <c r="DE57" s="18"/>
      <c r="DF57" s="31"/>
      <c r="DG57" s="30"/>
      <c r="DH57" s="18"/>
      <c r="DN57" s="219"/>
      <c r="DO57" s="219"/>
      <c r="DP57" s="220"/>
      <c r="DQ57" s="31"/>
      <c r="DR57" s="30"/>
      <c r="DS57" s="18"/>
      <c r="DY57" s="219"/>
      <c r="DZ57" s="219"/>
      <c r="EA57" s="220"/>
      <c r="EB57" s="31"/>
      <c r="EC57" s="30"/>
      <c r="ED57" s="18"/>
      <c r="EE57" s="18"/>
      <c r="EF57" s="18"/>
      <c r="EG57" s="18"/>
      <c r="EH57" s="310" t="s">
        <v>33</v>
      </c>
      <c r="EI57" s="310"/>
      <c r="EJ57" s="1">
        <f>EI32</f>
        <v>560</v>
      </c>
      <c r="EK57" s="1">
        <f>JM56</f>
        <v>120</v>
      </c>
      <c r="EL57" s="20">
        <f t="shared" si="241"/>
        <v>67200</v>
      </c>
      <c r="EM57" s="31"/>
      <c r="EN57" s="30"/>
      <c r="EO57" s="18"/>
      <c r="EU57" s="219"/>
      <c r="EV57" s="219"/>
      <c r="EW57" s="220"/>
      <c r="EX57" s="31"/>
      <c r="EY57" s="30"/>
      <c r="EZ57" s="18"/>
      <c r="FA57" s="18"/>
      <c r="FB57" s="18"/>
      <c r="FC57" s="18"/>
      <c r="FD57" s="18"/>
      <c r="FE57" s="18"/>
      <c r="FF57" s="18"/>
      <c r="FG57" s="18"/>
      <c r="FH57" s="18"/>
      <c r="FI57" s="31"/>
      <c r="FJ57" s="30"/>
      <c r="FK57" s="18"/>
      <c r="FL57" s="18"/>
      <c r="FM57" s="18"/>
      <c r="FN57" s="18"/>
      <c r="FO57" s="18"/>
      <c r="FP57" s="18"/>
      <c r="FQ57" s="18"/>
      <c r="FR57" s="18"/>
      <c r="FS57" s="18"/>
      <c r="FT57" s="31"/>
      <c r="FU57" s="30"/>
      <c r="FV57" s="18"/>
      <c r="FW57" s="18"/>
      <c r="FX57" s="18"/>
      <c r="FY57" s="18"/>
      <c r="FZ57" s="18"/>
      <c r="GA57" s="18"/>
      <c r="GE57" s="31"/>
      <c r="GF57" s="30"/>
      <c r="GH57" s="1" t="s">
        <v>28</v>
      </c>
      <c r="GI57" s="1">
        <f>GI11</f>
        <v>1800</v>
      </c>
      <c r="GK57" s="310" t="s">
        <v>13</v>
      </c>
      <c r="GL57" s="310"/>
      <c r="GM57" s="19">
        <f>GO43</f>
        <v>34969.508000000002</v>
      </c>
      <c r="GN57" s="1">
        <f>GC59</f>
        <v>70</v>
      </c>
      <c r="GO57" s="20">
        <f t="shared" ref="GO57:GO65" si="243">GM57*GN57</f>
        <v>2447865.56</v>
      </c>
      <c r="GP57" s="31"/>
      <c r="GQ57" s="30"/>
      <c r="GX57" s="219"/>
      <c r="GY57" s="219"/>
      <c r="GZ57" s="220"/>
      <c r="HA57" s="31"/>
      <c r="HB57" s="30"/>
      <c r="HC57" s="18"/>
      <c r="HD57" s="18"/>
      <c r="HE57" s="18"/>
      <c r="HF57" s="18"/>
      <c r="HG57" s="18"/>
      <c r="HH57" s="18"/>
      <c r="HI57" s="18"/>
      <c r="HJ57" s="18"/>
      <c r="HK57" s="18"/>
      <c r="HL57" s="31"/>
      <c r="HM57" s="30"/>
      <c r="HN57" s="18"/>
      <c r="HO57" s="18"/>
      <c r="HP57" s="18"/>
      <c r="HQ57" s="18"/>
      <c r="HR57" s="18"/>
      <c r="HS57" s="18"/>
      <c r="HT57" s="219"/>
      <c r="HU57" s="219"/>
      <c r="HV57" s="220"/>
      <c r="HW57" s="31"/>
      <c r="HX57" s="30"/>
      <c r="HY57" s="18"/>
      <c r="HZ57" s="18"/>
      <c r="IA57" s="18"/>
      <c r="IB57" s="18"/>
      <c r="IC57" s="18"/>
      <c r="ID57" s="18"/>
      <c r="IE57" s="18"/>
      <c r="IF57" s="18"/>
      <c r="IG57" s="18"/>
      <c r="IH57" s="31"/>
      <c r="II57" s="30"/>
      <c r="IJ57" s="18"/>
      <c r="IK57" s="18"/>
      <c r="IL57" s="18"/>
      <c r="IM57" s="18"/>
      <c r="IN57" s="311" t="s">
        <v>116</v>
      </c>
      <c r="IO57" s="312"/>
      <c r="IP57" s="1">
        <f>IO40</f>
        <v>308</v>
      </c>
      <c r="IQ57" s="1">
        <f>JB57</f>
        <v>90</v>
      </c>
      <c r="IR57" s="20">
        <f t="shared" si="234"/>
        <v>27720</v>
      </c>
      <c r="IS57" s="31"/>
      <c r="IT57" s="30"/>
      <c r="IU57" s="18"/>
      <c r="IV57" s="18"/>
      <c r="IW57" s="18"/>
      <c r="IX57" s="18"/>
      <c r="IY57" s="311" t="s">
        <v>116</v>
      </c>
      <c r="IZ57" s="312"/>
      <c r="JA57" s="1">
        <f>IZ40</f>
        <v>308</v>
      </c>
      <c r="JB57" s="1">
        <v>90</v>
      </c>
      <c r="JC57" s="20">
        <f t="shared" si="235"/>
        <v>27720</v>
      </c>
      <c r="JD57" s="31"/>
      <c r="JE57" s="30"/>
      <c r="JF57" s="18"/>
      <c r="JG57" s="18"/>
      <c r="JH57" s="18"/>
      <c r="JI57" s="18"/>
      <c r="JJ57" s="311" t="s">
        <v>116</v>
      </c>
      <c r="JK57" s="312"/>
      <c r="JL57" s="1">
        <f>JK39</f>
        <v>308</v>
      </c>
      <c r="JM57" s="1">
        <f t="shared" si="236"/>
        <v>90</v>
      </c>
      <c r="JN57" s="20">
        <f t="shared" si="237"/>
        <v>27720</v>
      </c>
      <c r="JO57" s="31"/>
      <c r="JP57" s="30"/>
      <c r="JQ57" s="18"/>
      <c r="JR57" s="18"/>
      <c r="JS57" s="18"/>
      <c r="JT57" s="18"/>
      <c r="JU57" s="311" t="s">
        <v>116</v>
      </c>
      <c r="JV57" s="312"/>
      <c r="JW57" s="1">
        <f>JV34</f>
        <v>308</v>
      </c>
      <c r="JX57" s="1">
        <f>JM57</f>
        <v>90</v>
      </c>
      <c r="JY57" s="20">
        <f t="shared" si="238"/>
        <v>27720</v>
      </c>
      <c r="JZ57" s="31"/>
      <c r="KA57" s="30"/>
      <c r="KB57" s="18"/>
      <c r="KC57" s="18"/>
      <c r="KD57" s="18"/>
      <c r="KE57" s="18"/>
      <c r="KF57" s="311" t="s">
        <v>116</v>
      </c>
      <c r="KG57" s="312"/>
      <c r="KH57" s="1">
        <f>KG34+KG35</f>
        <v>464</v>
      </c>
      <c r="KI57" s="1">
        <f t="shared" si="239"/>
        <v>90</v>
      </c>
      <c r="KJ57" s="20">
        <f t="shared" si="240"/>
        <v>41760</v>
      </c>
      <c r="KK57" s="31"/>
      <c r="KL57" s="30"/>
      <c r="KM57" s="18"/>
      <c r="KN57" s="18"/>
      <c r="KO57" s="18"/>
      <c r="KP57" s="18"/>
      <c r="KQ57" s="18"/>
      <c r="KR57" s="18"/>
      <c r="KS57" s="18"/>
      <c r="KT57" s="18"/>
      <c r="KU57" s="18"/>
      <c r="KV57" s="31"/>
      <c r="KW57" s="30"/>
      <c r="KX57" s="18"/>
      <c r="LD57" s="219"/>
      <c r="LE57" s="219"/>
      <c r="LF57" s="220"/>
      <c r="LG57" s="31"/>
      <c r="LH57" s="30"/>
      <c r="LI57" s="18"/>
      <c r="LO57" s="219"/>
      <c r="LP57" s="219"/>
      <c r="LQ57" s="220"/>
      <c r="LR57" s="31"/>
      <c r="LS57" s="30"/>
      <c r="LT57" s="18"/>
      <c r="LZ57" s="219"/>
      <c r="MA57" s="219"/>
      <c r="MB57" s="220"/>
      <c r="MC57" s="31"/>
      <c r="ME57" s="30"/>
      <c r="MF57" s="18"/>
      <c r="ML57" s="219"/>
      <c r="MM57" s="219"/>
      <c r="MN57" s="220"/>
      <c r="MO57" s="31"/>
      <c r="ND57" s="30"/>
      <c r="NE57" s="18"/>
      <c r="NF57" s="18"/>
      <c r="NG57" s="18"/>
      <c r="NH57" s="18"/>
      <c r="NI57" s="18"/>
      <c r="NJ57" s="18"/>
      <c r="NK57" s="18"/>
      <c r="NL57" s="18"/>
      <c r="NM57" s="18"/>
      <c r="NN57" s="31"/>
    </row>
    <row r="58" spans="1:378" x14ac:dyDescent="0.25">
      <c r="A58" s="30"/>
      <c r="B58" s="18"/>
      <c r="C58" s="18"/>
      <c r="D58" s="18"/>
      <c r="E58" s="18"/>
      <c r="F58" s="18"/>
      <c r="G58" s="18"/>
      <c r="H58" s="219"/>
      <c r="I58" s="219"/>
      <c r="J58" s="220"/>
      <c r="K58" s="31"/>
      <c r="L58" s="30"/>
      <c r="M58" s="18"/>
      <c r="N58" s="18"/>
      <c r="O58" s="18"/>
      <c r="P58" s="18"/>
      <c r="Q58" s="18"/>
      <c r="R58" s="18"/>
      <c r="S58" s="219"/>
      <c r="T58" s="219"/>
      <c r="U58" s="220"/>
      <c r="V58" s="31"/>
      <c r="W58" s="30"/>
      <c r="X58" s="18"/>
      <c r="Y58" s="18"/>
      <c r="Z58" s="18"/>
      <c r="AA58" s="18"/>
      <c r="AB58" s="310" t="s">
        <v>311</v>
      </c>
      <c r="AC58" s="310"/>
      <c r="AD58" s="19">
        <f>AF20+AF21</f>
        <v>525</v>
      </c>
      <c r="AE58" s="1">
        <v>65</v>
      </c>
      <c r="AF58" s="20">
        <f t="shared" si="242"/>
        <v>34125</v>
      </c>
      <c r="AG58" s="31"/>
      <c r="AH58" s="30"/>
      <c r="AI58" s="18"/>
      <c r="AJ58" s="18"/>
      <c r="AK58" s="18"/>
      <c r="AL58" s="18"/>
      <c r="AM58" s="18"/>
      <c r="AN58" s="18"/>
      <c r="AO58" s="18"/>
      <c r="AP58" s="18"/>
      <c r="AQ58" s="18"/>
      <c r="AR58" s="31"/>
      <c r="AS58" s="30"/>
      <c r="AT58" s="18"/>
      <c r="AU58" s="18"/>
      <c r="AV58" s="18"/>
      <c r="AW58" s="18"/>
      <c r="AX58" s="18"/>
      <c r="AY58" s="18"/>
      <c r="AZ58" s="18"/>
      <c r="BA58" s="18"/>
      <c r="BB58" s="18"/>
      <c r="BC58" s="31"/>
      <c r="BD58" s="30"/>
      <c r="BE58" s="18"/>
      <c r="BF58" s="18"/>
      <c r="BG58" s="18"/>
      <c r="BH58" s="18"/>
      <c r="BI58" s="18"/>
      <c r="BJ58" s="18"/>
      <c r="BK58" s="18"/>
      <c r="BL58" s="18"/>
      <c r="BM58" s="18"/>
      <c r="BN58" s="31"/>
      <c r="BO58" s="30"/>
      <c r="BP58" s="18"/>
      <c r="BQ58" s="18"/>
      <c r="BR58" s="18"/>
      <c r="BS58" s="18"/>
      <c r="BT58" s="310" t="s">
        <v>13</v>
      </c>
      <c r="BU58" s="310"/>
      <c r="BV58" s="19">
        <f>BX28</f>
        <v>5484.9888000000001</v>
      </c>
      <c r="BW58" s="1">
        <f>BA59</f>
        <v>68</v>
      </c>
      <c r="BX58" s="20">
        <f t="shared" ref="BX58:BX65" si="244">BV58*BW58</f>
        <v>372979.23840000003</v>
      </c>
      <c r="BY58" s="31"/>
      <c r="BZ58" s="30"/>
      <c r="CA58" s="18"/>
      <c r="CB58" s="18"/>
      <c r="CC58" s="18"/>
      <c r="CD58" s="18"/>
      <c r="CE58" s="18"/>
      <c r="CF58" s="18"/>
      <c r="CG58" s="18"/>
      <c r="CH58" s="18"/>
      <c r="CI58" s="18"/>
      <c r="CJ58" s="31"/>
      <c r="CK58" s="30"/>
      <c r="CL58" s="18"/>
      <c r="CM58" s="18"/>
      <c r="CN58" s="18"/>
      <c r="CO58" s="18"/>
      <c r="CP58" s="18"/>
      <c r="CQ58" s="18"/>
      <c r="CR58" s="18"/>
      <c r="CS58" s="18"/>
      <c r="CT58" s="18"/>
      <c r="CU58" s="31"/>
      <c r="CV58" s="30"/>
      <c r="CW58" s="18"/>
      <c r="CX58" s="18"/>
      <c r="CY58" s="18"/>
      <c r="CZ58" s="18"/>
      <c r="DA58" s="18"/>
      <c r="DB58" s="18"/>
      <c r="DC58" s="18"/>
      <c r="DD58" s="18"/>
      <c r="DE58" s="18"/>
      <c r="DF58" s="31"/>
      <c r="DG58" s="30"/>
      <c r="DH58" s="18"/>
      <c r="DI58" s="18"/>
      <c r="DJ58" s="18"/>
      <c r="DK58" s="18"/>
      <c r="DL58" s="18"/>
      <c r="DM58" s="18"/>
      <c r="DN58" s="18"/>
      <c r="DO58" s="18"/>
      <c r="DP58" s="18"/>
      <c r="DQ58" s="31"/>
      <c r="DR58" s="30"/>
      <c r="DS58" s="18"/>
      <c r="DY58" s="219"/>
      <c r="DZ58" s="219"/>
      <c r="EA58" s="220"/>
      <c r="EB58" s="31"/>
      <c r="EC58" s="30"/>
      <c r="ED58" s="18"/>
      <c r="EE58" s="18"/>
      <c r="EF58" s="18"/>
      <c r="EG58" s="18"/>
      <c r="EH58" s="311" t="s">
        <v>116</v>
      </c>
      <c r="EI58" s="312"/>
      <c r="EJ58" s="1">
        <f>EI36</f>
        <v>108</v>
      </c>
      <c r="EK58" s="1">
        <f>JM57</f>
        <v>90</v>
      </c>
      <c r="EL58" s="20">
        <f t="shared" si="241"/>
        <v>9720</v>
      </c>
      <c r="EM58" s="31"/>
      <c r="EN58" s="30"/>
      <c r="EO58" s="18"/>
      <c r="EU58" s="219"/>
      <c r="EV58" s="219"/>
      <c r="EW58" s="220"/>
      <c r="EX58" s="31"/>
      <c r="EY58" s="30"/>
      <c r="EZ58" s="18"/>
      <c r="FA58" s="18"/>
      <c r="FB58" s="18"/>
      <c r="FC58" s="18"/>
      <c r="FD58" s="310" t="s">
        <v>13</v>
      </c>
      <c r="FE58" s="310"/>
      <c r="FF58" s="19">
        <f>FH30</f>
        <v>10806.8624</v>
      </c>
      <c r="FG58" s="1">
        <f>DD59</f>
        <v>70</v>
      </c>
      <c r="FH58" s="20">
        <f t="shared" ref="FH58:FH59" si="245">FF58*FG58</f>
        <v>756480.36800000002</v>
      </c>
      <c r="FI58" s="31"/>
      <c r="FJ58" s="30"/>
      <c r="FK58" s="18"/>
      <c r="FL58" s="18"/>
      <c r="FM58" s="18"/>
      <c r="FN58" s="18"/>
      <c r="FO58" s="18"/>
      <c r="FP58" s="18"/>
      <c r="FQ58" s="18"/>
      <c r="FR58" s="18"/>
      <c r="FS58" s="18"/>
      <c r="FT58" s="31"/>
      <c r="FU58" s="30"/>
      <c r="GE58" s="31"/>
      <c r="GF58" s="30"/>
      <c r="GH58" s="1" t="s">
        <v>29</v>
      </c>
      <c r="GI58" s="19">
        <f>GO70/GI57/GI60</f>
        <v>30.627120888888893</v>
      </c>
      <c r="GK58" s="310" t="s">
        <v>260</v>
      </c>
      <c r="GL58" s="310"/>
      <c r="GM58" s="19">
        <f>GO37</f>
        <v>10234</v>
      </c>
      <c r="GN58" s="1">
        <v>65</v>
      </c>
      <c r="GO58" s="20">
        <f t="shared" si="243"/>
        <v>665210</v>
      </c>
      <c r="GP58" s="31"/>
      <c r="GQ58" s="30"/>
      <c r="GR58" s="18"/>
      <c r="GS58" s="18"/>
      <c r="GT58" s="18"/>
      <c r="GU58" s="18"/>
      <c r="GV58" s="18"/>
      <c r="GW58" s="18"/>
      <c r="HA58" s="31"/>
      <c r="HB58" s="30"/>
      <c r="HC58" s="18"/>
      <c r="HD58" s="18"/>
      <c r="HE58" s="18"/>
      <c r="HF58" s="18"/>
      <c r="HG58" s="18"/>
      <c r="HH58" s="18"/>
      <c r="HI58" s="18"/>
      <c r="HJ58" s="18"/>
      <c r="HK58" s="18"/>
      <c r="HL58" s="31"/>
      <c r="HM58" s="30"/>
      <c r="HN58" s="18"/>
      <c r="HO58" s="18"/>
      <c r="HP58" s="18"/>
      <c r="HQ58" s="18"/>
      <c r="HR58" s="18"/>
      <c r="HS58" s="18"/>
      <c r="HT58" s="18"/>
      <c r="HU58" s="18"/>
      <c r="HV58" s="18"/>
      <c r="HW58" s="31"/>
      <c r="HX58" s="30"/>
      <c r="HY58" s="18"/>
      <c r="HZ58" s="18"/>
      <c r="IA58" s="18"/>
      <c r="IB58" s="18"/>
      <c r="IC58" s="18"/>
      <c r="ID58" s="18"/>
      <c r="IE58" s="18"/>
      <c r="IF58" s="18"/>
      <c r="IG58" s="18"/>
      <c r="IH58" s="31"/>
      <c r="II58" s="30"/>
      <c r="IN58" s="311" t="s">
        <v>113</v>
      </c>
      <c r="IO58" s="312"/>
      <c r="IP58" s="1">
        <f>IO41</f>
        <v>156</v>
      </c>
      <c r="IQ58" s="1">
        <f>JB58</f>
        <v>90</v>
      </c>
      <c r="IR58" s="20">
        <f t="shared" si="234"/>
        <v>14040</v>
      </c>
      <c r="IS58" s="31"/>
      <c r="IT58" s="30"/>
      <c r="IY58" s="311" t="s">
        <v>113</v>
      </c>
      <c r="IZ58" s="312"/>
      <c r="JA58" s="1">
        <f>IZ41</f>
        <v>156</v>
      </c>
      <c r="JB58" s="1">
        <v>90</v>
      </c>
      <c r="JC58" s="20">
        <f t="shared" si="235"/>
        <v>14040</v>
      </c>
      <c r="JD58" s="31"/>
      <c r="JE58" s="30"/>
      <c r="JF58" s="18"/>
      <c r="JG58" s="18"/>
      <c r="JH58" s="18"/>
      <c r="JI58" s="18"/>
      <c r="JJ58" s="311" t="s">
        <v>113</v>
      </c>
      <c r="JK58" s="312"/>
      <c r="JL58" s="1">
        <f>JK40</f>
        <v>156</v>
      </c>
      <c r="JM58" s="1">
        <f t="shared" si="236"/>
        <v>90</v>
      </c>
      <c r="JN58" s="20">
        <f t="shared" si="237"/>
        <v>14040</v>
      </c>
      <c r="JO58" s="31"/>
      <c r="JP58" s="30"/>
      <c r="JQ58" s="18"/>
      <c r="JR58" s="18"/>
      <c r="JS58" s="18"/>
      <c r="JT58" s="18"/>
      <c r="JU58" s="311" t="s">
        <v>113</v>
      </c>
      <c r="JV58" s="312"/>
      <c r="JW58" s="1">
        <f>JV35</f>
        <v>156</v>
      </c>
      <c r="JX58" s="1">
        <f>JM55</f>
        <v>70</v>
      </c>
      <c r="JY58" s="20">
        <f t="shared" si="238"/>
        <v>10920</v>
      </c>
      <c r="JZ58" s="31"/>
      <c r="KA58" s="30"/>
      <c r="KB58" s="18"/>
      <c r="KC58" s="18"/>
      <c r="KD58" s="18"/>
      <c r="KE58" s="18"/>
      <c r="KF58" s="311" t="s">
        <v>113</v>
      </c>
      <c r="KG58" s="312"/>
      <c r="KH58" s="1">
        <f>KG35</f>
        <v>156</v>
      </c>
      <c r="KI58" s="1">
        <f t="shared" si="239"/>
        <v>70</v>
      </c>
      <c r="KJ58" s="20">
        <f t="shared" si="240"/>
        <v>10920</v>
      </c>
      <c r="KK58" s="31"/>
      <c r="KL58" s="30"/>
      <c r="KM58" s="18"/>
      <c r="KN58" s="18"/>
      <c r="KO58" s="18"/>
      <c r="KP58" s="18"/>
      <c r="KQ58" s="311" t="s">
        <v>13</v>
      </c>
      <c r="KR58" s="312"/>
      <c r="KS58" s="19">
        <f>KU39</f>
        <v>38667.839999999997</v>
      </c>
      <c r="KT58" s="1">
        <f>JM55</f>
        <v>70</v>
      </c>
      <c r="KU58" s="20">
        <f t="shared" ref="KU58:KU65" si="246">KS58*KT58</f>
        <v>2706748.8</v>
      </c>
      <c r="KV58" s="31"/>
      <c r="KW58" s="30"/>
      <c r="KX58" s="18"/>
      <c r="KY58" s="18"/>
      <c r="KZ58" s="18"/>
      <c r="LA58" s="18"/>
      <c r="LB58" s="18"/>
      <c r="LC58" s="18"/>
      <c r="LD58" s="18"/>
      <c r="LE58" s="18"/>
      <c r="LF58" s="18"/>
      <c r="LG58" s="31"/>
      <c r="LH58" s="30"/>
      <c r="LI58" s="18"/>
      <c r="LO58" s="219"/>
      <c r="LP58" s="219"/>
      <c r="LQ58" s="220"/>
      <c r="LR58" s="31"/>
      <c r="LS58" s="30"/>
      <c r="LT58" s="18"/>
      <c r="LZ58" s="219"/>
      <c r="MA58" s="219"/>
      <c r="MB58" s="220"/>
      <c r="MC58" s="31"/>
      <c r="ME58" s="30"/>
      <c r="MF58" s="18"/>
      <c r="ML58" s="219"/>
      <c r="MM58" s="219"/>
      <c r="MN58" s="220"/>
      <c r="MO58" s="31"/>
      <c r="ND58" s="30"/>
      <c r="NE58" s="18"/>
      <c r="NF58" s="18"/>
      <c r="NG58" s="18"/>
      <c r="NH58" s="18"/>
      <c r="NI58" s="18"/>
      <c r="NJ58" s="18"/>
      <c r="NK58" s="18"/>
      <c r="NL58" s="18"/>
      <c r="NM58" s="18"/>
      <c r="NN58" s="31"/>
    </row>
    <row r="59" spans="1:378" x14ac:dyDescent="0.25">
      <c r="A59" s="30"/>
      <c r="B59" s="18"/>
      <c r="C59" s="18"/>
      <c r="D59" s="18"/>
      <c r="E59" s="18"/>
      <c r="F59" s="18"/>
      <c r="G59" s="18"/>
      <c r="H59" s="219"/>
      <c r="I59" s="219"/>
      <c r="J59" s="220"/>
      <c r="K59" s="31"/>
      <c r="L59" s="30"/>
      <c r="M59" s="18"/>
      <c r="N59" s="18"/>
      <c r="O59" s="18"/>
      <c r="P59" s="18"/>
      <c r="Q59" s="18"/>
      <c r="R59" s="18"/>
      <c r="S59" s="219"/>
      <c r="T59" s="219"/>
      <c r="U59" s="220"/>
      <c r="V59" s="31"/>
      <c r="W59" s="30"/>
      <c r="X59" s="18"/>
      <c r="Y59" s="18"/>
      <c r="Z59" s="18"/>
      <c r="AA59" s="18"/>
      <c r="AB59" s="310" t="s">
        <v>44</v>
      </c>
      <c r="AC59" s="310"/>
      <c r="AD59" s="1">
        <f>AC22</f>
        <v>72</v>
      </c>
      <c r="AE59" s="1">
        <v>100</v>
      </c>
      <c r="AF59" s="20">
        <f t="shared" si="242"/>
        <v>7200</v>
      </c>
      <c r="AG59" s="31"/>
      <c r="AH59" s="30"/>
      <c r="AI59" s="18"/>
      <c r="AJ59" s="18"/>
      <c r="AK59" s="18"/>
      <c r="AL59" s="18"/>
      <c r="AM59" s="310" t="s">
        <v>13</v>
      </c>
      <c r="AN59" s="310"/>
      <c r="AO59" s="19">
        <f>AQ25</f>
        <v>3838.1376000000005</v>
      </c>
      <c r="AP59" s="1">
        <v>68</v>
      </c>
      <c r="AQ59" s="20">
        <f t="shared" ref="AQ59:AQ65" si="247">AO59*AP59</f>
        <v>260993.35680000004</v>
      </c>
      <c r="AR59" s="31"/>
      <c r="AS59" s="30"/>
      <c r="AT59" s="18"/>
      <c r="AU59" s="18"/>
      <c r="AV59" s="18"/>
      <c r="AW59" s="18"/>
      <c r="AX59" s="310" t="s">
        <v>13</v>
      </c>
      <c r="AY59" s="310"/>
      <c r="AZ59" s="19">
        <f>BB25</f>
        <v>4629.5568000000003</v>
      </c>
      <c r="BA59" s="1">
        <f t="shared" ref="BA59:BA65" si="248">AP59</f>
        <v>68</v>
      </c>
      <c r="BB59" s="20">
        <f t="shared" ref="BB59:BB65" si="249">AZ59*BA59</f>
        <v>314809.86240000004</v>
      </c>
      <c r="BC59" s="31"/>
      <c r="BD59" s="30"/>
      <c r="BE59" s="18"/>
      <c r="BF59" s="18"/>
      <c r="BG59" s="18"/>
      <c r="BH59" s="18"/>
      <c r="BI59" s="310" t="s">
        <v>13</v>
      </c>
      <c r="BJ59" s="310"/>
      <c r="BK59" s="19">
        <f>BM25</f>
        <v>5205.9772799999992</v>
      </c>
      <c r="BL59" s="1">
        <f t="shared" ref="BL59:BL65" si="250">BA59</f>
        <v>68</v>
      </c>
      <c r="BM59" s="20">
        <f t="shared" ref="BM59:BM65" si="251">BK59*BL59</f>
        <v>354006.45503999991</v>
      </c>
      <c r="BN59" s="31"/>
      <c r="BO59" s="30"/>
      <c r="BP59" s="18"/>
      <c r="BQ59" s="18"/>
      <c r="BR59" s="18"/>
      <c r="BS59" s="18"/>
      <c r="BT59" s="310" t="s">
        <v>311</v>
      </c>
      <c r="BU59" s="310"/>
      <c r="BV59" s="19">
        <f>BX23</f>
        <v>200</v>
      </c>
      <c r="BW59" s="1">
        <f>BA61</f>
        <v>65</v>
      </c>
      <c r="BX59" s="20">
        <f t="shared" si="244"/>
        <v>13000</v>
      </c>
      <c r="BY59" s="31"/>
      <c r="BZ59" s="30"/>
      <c r="CA59" s="18"/>
      <c r="CB59" s="18"/>
      <c r="CC59" s="18"/>
      <c r="CD59" s="18"/>
      <c r="CE59" s="310" t="s">
        <v>13</v>
      </c>
      <c r="CF59" s="310"/>
      <c r="CG59" s="19">
        <f>CI26</f>
        <v>7410.6360000000004</v>
      </c>
      <c r="CH59" s="1">
        <f>BA59</f>
        <v>68</v>
      </c>
      <c r="CI59" s="20">
        <f t="shared" ref="CI59:CI65" si="252">CG59*CH59</f>
        <v>503923.24800000002</v>
      </c>
      <c r="CJ59" s="31"/>
      <c r="CK59" s="30"/>
      <c r="CL59" s="18"/>
      <c r="CM59" s="18"/>
      <c r="CN59" s="18"/>
      <c r="CO59" s="18"/>
      <c r="CP59" s="310" t="s">
        <v>13</v>
      </c>
      <c r="CQ59" s="310"/>
      <c r="CR59" s="19">
        <f>CT34</f>
        <v>10817.824000000001</v>
      </c>
      <c r="CS59" s="1">
        <f>CH59</f>
        <v>68</v>
      </c>
      <c r="CT59" s="20">
        <f t="shared" ref="CT59:CT65" si="253">CR59*CS59</f>
        <v>735612.03200000001</v>
      </c>
      <c r="CU59" s="31"/>
      <c r="CV59" s="30"/>
      <c r="CW59" s="18"/>
      <c r="CX59" s="18"/>
      <c r="CY59" s="18"/>
      <c r="CZ59" s="18"/>
      <c r="DA59" s="310" t="s">
        <v>13</v>
      </c>
      <c r="DB59" s="310"/>
      <c r="DC59" s="19">
        <f>DE27</f>
        <v>4047.44</v>
      </c>
      <c r="DD59" s="1">
        <v>70</v>
      </c>
      <c r="DE59" s="20">
        <f t="shared" ref="DE59:DE65" si="254">DC59*DD59</f>
        <v>283320.8</v>
      </c>
      <c r="DF59" s="31"/>
      <c r="DG59" s="30"/>
      <c r="DH59" s="18"/>
      <c r="DI59" s="18"/>
      <c r="DJ59" s="18"/>
      <c r="DK59" s="18"/>
      <c r="DL59" s="310" t="s">
        <v>13</v>
      </c>
      <c r="DM59" s="310"/>
      <c r="DN59" s="19">
        <f>DP34</f>
        <v>11003.203999999998</v>
      </c>
      <c r="DO59" s="1">
        <f>DD59</f>
        <v>70</v>
      </c>
      <c r="DP59" s="20">
        <f t="shared" ref="DP59:DP61" si="255">DN59*DO59</f>
        <v>770224.2799999998</v>
      </c>
      <c r="DQ59" s="31"/>
      <c r="DR59" s="30"/>
      <c r="DS59" s="18"/>
      <c r="DY59" s="219"/>
      <c r="DZ59" s="219"/>
      <c r="EA59" s="220"/>
      <c r="EB59" s="31"/>
      <c r="EC59" s="30"/>
      <c r="ED59" s="18"/>
      <c r="EE59" s="18"/>
      <c r="EF59" s="18"/>
      <c r="EG59" s="18"/>
      <c r="EH59" s="311" t="s">
        <v>113</v>
      </c>
      <c r="EI59" s="312"/>
      <c r="EJ59" s="1">
        <f>EI37</f>
        <v>84</v>
      </c>
      <c r="EK59" s="1">
        <f>JM58</f>
        <v>90</v>
      </c>
      <c r="EL59" s="20">
        <f t="shared" si="241"/>
        <v>7560</v>
      </c>
      <c r="EM59" s="31"/>
      <c r="EN59" s="30"/>
      <c r="EO59" s="18"/>
      <c r="EP59" s="18"/>
      <c r="EQ59" s="18"/>
      <c r="ER59" s="18"/>
      <c r="ES59" s="18"/>
      <c r="ET59" s="18"/>
      <c r="EU59" s="18"/>
      <c r="EV59" s="18"/>
      <c r="EW59" s="18"/>
      <c r="EX59" s="31"/>
      <c r="EY59" s="30"/>
      <c r="EZ59" s="18"/>
      <c r="FA59" s="18"/>
      <c r="FB59" s="18"/>
      <c r="FC59" s="18"/>
      <c r="FD59" s="310" t="s">
        <v>33</v>
      </c>
      <c r="FE59" s="310"/>
      <c r="FF59" s="1">
        <f>FE24</f>
        <v>24</v>
      </c>
      <c r="FG59" s="1">
        <f>DD60</f>
        <v>120</v>
      </c>
      <c r="FH59" s="20">
        <f t="shared" si="245"/>
        <v>2880</v>
      </c>
      <c r="FI59" s="31"/>
      <c r="FJ59" s="30"/>
      <c r="FK59" s="18"/>
      <c r="FL59" s="18"/>
      <c r="FM59" s="18"/>
      <c r="FN59" s="18"/>
      <c r="FO59" s="310" t="s">
        <v>13</v>
      </c>
      <c r="FP59" s="310"/>
      <c r="FQ59" s="19">
        <f>FS30</f>
        <v>16711.32</v>
      </c>
      <c r="FR59" s="1">
        <f>FG58</f>
        <v>70</v>
      </c>
      <c r="FS59" s="20">
        <f t="shared" ref="FS59:FS60" si="256">FQ59*FR59</f>
        <v>1169792.3999999999</v>
      </c>
      <c r="FT59" s="31"/>
      <c r="FU59" s="30"/>
      <c r="FZ59" s="310" t="s">
        <v>13</v>
      </c>
      <c r="GA59" s="310"/>
      <c r="GB59" s="19">
        <f>GD44</f>
        <v>16733.137999999999</v>
      </c>
      <c r="GC59" s="1">
        <f>FG58</f>
        <v>70</v>
      </c>
      <c r="GD59" s="20">
        <f t="shared" ref="GD59:GD65" si="257">GB59*GC59</f>
        <v>1171319.6599999999</v>
      </c>
      <c r="GE59" s="31"/>
      <c r="GF59" s="30"/>
      <c r="GG59" s="18"/>
      <c r="GH59" s="1" t="s">
        <v>30</v>
      </c>
      <c r="GI59" s="19">
        <f>GM68</f>
        <v>55128.817600000009</v>
      </c>
      <c r="GJ59" s="18"/>
      <c r="GK59" s="310" t="s">
        <v>44</v>
      </c>
      <c r="GL59" s="310"/>
      <c r="GM59" s="1">
        <f>GL35</f>
        <v>112</v>
      </c>
      <c r="GN59" s="1">
        <f>GC63</f>
        <v>140</v>
      </c>
      <c r="GO59" s="20">
        <f t="shared" si="243"/>
        <v>15680</v>
      </c>
      <c r="GP59" s="31"/>
      <c r="GQ59" s="30"/>
      <c r="HA59" s="31"/>
      <c r="HB59" s="30"/>
      <c r="HC59" s="18"/>
      <c r="HD59" s="18"/>
      <c r="HE59" s="18"/>
      <c r="HF59" s="18"/>
      <c r="HG59" s="311" t="s">
        <v>13</v>
      </c>
      <c r="HH59" s="312"/>
      <c r="HI59" s="19">
        <f>HK28</f>
        <v>18310.099999999999</v>
      </c>
      <c r="HJ59" s="1">
        <f>GY60</f>
        <v>70</v>
      </c>
      <c r="HK59" s="20">
        <f t="shared" ref="HK59:HK65" si="258">HI59*HJ59</f>
        <v>1281707</v>
      </c>
      <c r="HL59" s="31"/>
      <c r="HM59" s="30"/>
      <c r="HN59" s="18"/>
      <c r="HO59" s="18"/>
      <c r="HP59" s="18"/>
      <c r="HQ59" s="18"/>
      <c r="HR59" s="18"/>
      <c r="HS59" s="18"/>
      <c r="HT59" s="18"/>
      <c r="HU59" s="18"/>
      <c r="HV59" s="18"/>
      <c r="HW59" s="31"/>
      <c r="HX59" s="30"/>
      <c r="HY59" s="18"/>
      <c r="HZ59" s="18"/>
      <c r="IA59" s="18"/>
      <c r="IB59" s="18"/>
      <c r="IC59" s="311" t="s">
        <v>13</v>
      </c>
      <c r="ID59" s="312"/>
      <c r="IE59" s="19">
        <f>IG30</f>
        <v>18625.194</v>
      </c>
      <c r="IF59" s="1">
        <f>HU60</f>
        <v>70</v>
      </c>
      <c r="IG59" s="20">
        <f t="shared" ref="IG59" si="259">IE59*IF59</f>
        <v>1303763.58</v>
      </c>
      <c r="IH59" s="31"/>
      <c r="II59" s="30"/>
      <c r="IN59" s="311" t="s">
        <v>115</v>
      </c>
      <c r="IO59" s="312"/>
      <c r="IP59" s="1">
        <f>IO42</f>
        <v>20</v>
      </c>
      <c r="IQ59" s="1">
        <f>JB59</f>
        <v>200</v>
      </c>
      <c r="IR59" s="20">
        <f t="shared" si="234"/>
        <v>4000</v>
      </c>
      <c r="IS59" s="31"/>
      <c r="IT59" s="30"/>
      <c r="IY59" s="311" t="s">
        <v>115</v>
      </c>
      <c r="IZ59" s="312"/>
      <c r="JA59" s="1">
        <f>IZ42</f>
        <v>20</v>
      </c>
      <c r="JB59" s="1">
        <v>200</v>
      </c>
      <c r="JC59" s="20">
        <f t="shared" si="235"/>
        <v>4000</v>
      </c>
      <c r="JD59" s="31"/>
      <c r="JE59" s="30"/>
      <c r="JF59" s="18"/>
      <c r="JG59" s="18"/>
      <c r="JH59" s="18"/>
      <c r="JI59" s="18"/>
      <c r="JJ59" s="311" t="s">
        <v>115</v>
      </c>
      <c r="JK59" s="312"/>
      <c r="JL59" s="1">
        <f>JK41</f>
        <v>20</v>
      </c>
      <c r="JM59" s="1">
        <f t="shared" si="236"/>
        <v>200</v>
      </c>
      <c r="JN59" s="20">
        <f t="shared" si="237"/>
        <v>4000</v>
      </c>
      <c r="JO59" s="31"/>
      <c r="JP59" s="30"/>
      <c r="JQ59" s="18"/>
      <c r="JR59" s="18"/>
      <c r="JS59" s="18"/>
      <c r="JT59" s="18"/>
      <c r="JU59" s="311" t="s">
        <v>115</v>
      </c>
      <c r="JV59" s="312"/>
      <c r="JW59" s="1">
        <f>JV36</f>
        <v>20</v>
      </c>
      <c r="JX59" s="1">
        <f>JM59</f>
        <v>200</v>
      </c>
      <c r="JY59" s="20">
        <f t="shared" si="238"/>
        <v>4000</v>
      </c>
      <c r="JZ59" s="31"/>
      <c r="KA59" s="30"/>
      <c r="KB59" s="18"/>
      <c r="KC59" s="18"/>
      <c r="KD59" s="18"/>
      <c r="KE59" s="18"/>
      <c r="KF59" s="311" t="s">
        <v>115</v>
      </c>
      <c r="KG59" s="312"/>
      <c r="KH59" s="1">
        <f>KG36</f>
        <v>20</v>
      </c>
      <c r="KI59" s="1">
        <f t="shared" si="239"/>
        <v>200</v>
      </c>
      <c r="KJ59" s="20">
        <f t="shared" si="240"/>
        <v>4000</v>
      </c>
      <c r="KK59" s="31"/>
      <c r="KL59" s="30"/>
      <c r="KM59" s="18"/>
      <c r="KN59" s="18"/>
      <c r="KO59" s="18"/>
      <c r="KP59" s="18"/>
      <c r="KQ59" s="311" t="s">
        <v>33</v>
      </c>
      <c r="KR59" s="312"/>
      <c r="KS59" s="1">
        <f>KR24</f>
        <v>904</v>
      </c>
      <c r="KT59" s="1">
        <f>JM56</f>
        <v>120</v>
      </c>
      <c r="KU59" s="20">
        <f t="shared" si="246"/>
        <v>108480</v>
      </c>
      <c r="KV59" s="31"/>
      <c r="KW59" s="30"/>
      <c r="KX59" s="18"/>
      <c r="KY59" s="18"/>
      <c r="KZ59" s="18"/>
      <c r="LA59" s="18"/>
      <c r="LB59" s="310" t="s">
        <v>13</v>
      </c>
      <c r="LC59" s="310"/>
      <c r="LD59" s="19">
        <f>LF48</f>
        <v>214898.08600000001</v>
      </c>
      <c r="LE59" s="1">
        <f>EV60</f>
        <v>70</v>
      </c>
      <c r="LF59" s="20">
        <f t="shared" ref="LF59:LF61" si="260">LD59*LE59</f>
        <v>15042866.020000001</v>
      </c>
      <c r="LG59" s="31"/>
      <c r="LH59" s="30"/>
      <c r="LI59" s="18"/>
      <c r="LJ59" s="18"/>
      <c r="LK59" s="18"/>
      <c r="LL59" s="18"/>
      <c r="LM59" s="18"/>
      <c r="LN59" s="18"/>
      <c r="LO59" s="18"/>
      <c r="LP59" s="18"/>
      <c r="LQ59" s="18"/>
      <c r="LR59" s="31"/>
      <c r="LS59" s="30"/>
      <c r="LT59" s="18"/>
      <c r="LZ59" s="219"/>
      <c r="MA59" s="219"/>
      <c r="MB59" s="220"/>
      <c r="MC59" s="31"/>
      <c r="ME59" s="30"/>
      <c r="MF59" s="18"/>
      <c r="ML59" s="219"/>
      <c r="MM59" s="219"/>
      <c r="MN59" s="220"/>
      <c r="MO59" s="31"/>
      <c r="ND59" s="32"/>
      <c r="NE59" s="33"/>
      <c r="NF59" s="33"/>
      <c r="NG59" s="33"/>
      <c r="NH59" s="33"/>
      <c r="NI59" s="33"/>
      <c r="NJ59" s="33"/>
      <c r="NK59" s="33"/>
      <c r="NL59" s="33"/>
      <c r="NM59" s="33"/>
      <c r="NN59" s="34"/>
    </row>
    <row r="60" spans="1:378" x14ac:dyDescent="0.25">
      <c r="A60" s="30"/>
      <c r="K60" s="31"/>
      <c r="L60" s="30"/>
      <c r="V60" s="31"/>
      <c r="W60" s="30"/>
      <c r="X60" s="18"/>
      <c r="Y60" s="18"/>
      <c r="Z60" s="18"/>
      <c r="AA60" s="18"/>
      <c r="AB60" s="310" t="s">
        <v>33</v>
      </c>
      <c r="AC60" s="310"/>
      <c r="AD60" s="1">
        <f>AC23</f>
        <v>100</v>
      </c>
      <c r="AE60" s="1">
        <v>120</v>
      </c>
      <c r="AF60" s="20">
        <f t="shared" si="242"/>
        <v>12000</v>
      </c>
      <c r="AG60" s="31"/>
      <c r="AH60" s="30"/>
      <c r="AI60" s="18"/>
      <c r="AJ60" s="18"/>
      <c r="AK60" s="18"/>
      <c r="AL60" s="18"/>
      <c r="AM60" s="310" t="s">
        <v>44</v>
      </c>
      <c r="AN60" s="310"/>
      <c r="AO60" s="1">
        <f>AN22</f>
        <v>152</v>
      </c>
      <c r="AP60" s="1">
        <v>100</v>
      </c>
      <c r="AQ60" s="20">
        <f t="shared" si="247"/>
        <v>15200</v>
      </c>
      <c r="AR60" s="31"/>
      <c r="AS60" s="30"/>
      <c r="AT60" s="18"/>
      <c r="AU60" s="18"/>
      <c r="AV60" s="18"/>
      <c r="AW60" s="18"/>
      <c r="AX60" s="310" t="s">
        <v>44</v>
      </c>
      <c r="AY60" s="310"/>
      <c r="AZ60" s="1">
        <f>AY23</f>
        <v>184</v>
      </c>
      <c r="BA60" s="1">
        <f t="shared" si="248"/>
        <v>100</v>
      </c>
      <c r="BB60" s="20">
        <f t="shared" si="249"/>
        <v>18400</v>
      </c>
      <c r="BC60" s="31"/>
      <c r="BD60" s="30"/>
      <c r="BE60" s="18"/>
      <c r="BF60" s="18"/>
      <c r="BG60" s="18"/>
      <c r="BH60" s="18"/>
      <c r="BI60" s="310" t="s">
        <v>44</v>
      </c>
      <c r="BJ60" s="310"/>
      <c r="BK60" s="1">
        <f>BJ23</f>
        <v>208</v>
      </c>
      <c r="BL60" s="1">
        <f t="shared" si="250"/>
        <v>100</v>
      </c>
      <c r="BM60" s="20">
        <f t="shared" si="251"/>
        <v>20800</v>
      </c>
      <c r="BN60" s="31"/>
      <c r="BO60" s="30"/>
      <c r="BP60" s="18"/>
      <c r="BQ60" s="18"/>
      <c r="BR60" s="18"/>
      <c r="BS60" s="18"/>
      <c r="BT60" s="310" t="s">
        <v>33</v>
      </c>
      <c r="BU60" s="310"/>
      <c r="BV60" s="1">
        <f>BU24</f>
        <v>164</v>
      </c>
      <c r="BW60" s="1">
        <v>120</v>
      </c>
      <c r="BX60" s="20">
        <f t="shared" si="244"/>
        <v>19680</v>
      </c>
      <c r="BY60" s="31"/>
      <c r="BZ60" s="30"/>
      <c r="CA60" s="18"/>
      <c r="CB60" s="18"/>
      <c r="CC60" s="18"/>
      <c r="CD60" s="18"/>
      <c r="CE60" s="310" t="s">
        <v>33</v>
      </c>
      <c r="CF60" s="310"/>
      <c r="CG60" s="1">
        <f>CF23</f>
        <v>220</v>
      </c>
      <c r="CH60" s="1">
        <v>120</v>
      </c>
      <c r="CI60" s="20">
        <f t="shared" si="252"/>
        <v>26400</v>
      </c>
      <c r="CJ60" s="31"/>
      <c r="CK60" s="30"/>
      <c r="CL60" s="18"/>
      <c r="CM60" s="18"/>
      <c r="CN60" s="18"/>
      <c r="CO60" s="18"/>
      <c r="CP60" s="310" t="s">
        <v>44</v>
      </c>
      <c r="CQ60" s="310"/>
      <c r="CR60" s="1">
        <f>CQ27</f>
        <v>54</v>
      </c>
      <c r="CS60" s="1">
        <f>BA60</f>
        <v>100</v>
      </c>
      <c r="CT60" s="20">
        <f t="shared" si="253"/>
        <v>5400</v>
      </c>
      <c r="CU60" s="31"/>
      <c r="CV60" s="30"/>
      <c r="CW60" s="18"/>
      <c r="CX60" s="18"/>
      <c r="CY60" s="18"/>
      <c r="CZ60" s="18"/>
      <c r="DA60" s="310" t="s">
        <v>33</v>
      </c>
      <c r="DB60" s="310"/>
      <c r="DC60" s="1">
        <f>DB24</f>
        <v>124</v>
      </c>
      <c r="DD60" s="1">
        <f t="shared" ref="DD60:DD66" si="261">CH60</f>
        <v>120</v>
      </c>
      <c r="DE60" s="20">
        <f t="shared" si="254"/>
        <v>14880</v>
      </c>
      <c r="DF60" s="31"/>
      <c r="DG60" s="30"/>
      <c r="DH60" s="18"/>
      <c r="DI60" s="18"/>
      <c r="DJ60" s="18"/>
      <c r="DK60" s="18"/>
      <c r="DL60" s="310" t="s">
        <v>44</v>
      </c>
      <c r="DM60" s="310"/>
      <c r="DN60" s="1">
        <f>DM29</f>
        <v>12</v>
      </c>
      <c r="DO60" s="1">
        <f>BA60</f>
        <v>100</v>
      </c>
      <c r="DP60" s="20">
        <f t="shared" si="255"/>
        <v>1200</v>
      </c>
      <c r="DQ60" s="31"/>
      <c r="DR60" s="30"/>
      <c r="DS60" s="18"/>
      <c r="DT60" s="18"/>
      <c r="DU60" s="18"/>
      <c r="DV60" s="18"/>
      <c r="DW60" s="18"/>
      <c r="DX60" s="18"/>
      <c r="DY60" s="18"/>
      <c r="DZ60" s="18"/>
      <c r="EA60" s="18"/>
      <c r="EB60" s="31"/>
      <c r="EC60" s="30"/>
      <c r="ED60" s="18"/>
      <c r="EE60" s="18"/>
      <c r="EF60" s="18"/>
      <c r="EG60" s="18"/>
      <c r="EH60" s="311" t="s">
        <v>115</v>
      </c>
      <c r="EI60" s="312"/>
      <c r="EJ60" s="1">
        <f>EI38</f>
        <v>10</v>
      </c>
      <c r="EK60" s="1">
        <f t="shared" ref="EK60" si="262">JM59</f>
        <v>200</v>
      </c>
      <c r="EL60" s="20">
        <f t="shared" si="241"/>
        <v>2000</v>
      </c>
      <c r="EM60" s="31"/>
      <c r="EN60" s="30"/>
      <c r="EO60" s="18"/>
      <c r="EP60" s="18"/>
      <c r="EQ60" s="18"/>
      <c r="ER60" s="18"/>
      <c r="ES60" s="310" t="s">
        <v>13</v>
      </c>
      <c r="ET60" s="310"/>
      <c r="EU60" s="19">
        <f>EW44</f>
        <v>20220.91</v>
      </c>
      <c r="EV60" s="1">
        <f>EK56</f>
        <v>70</v>
      </c>
      <c r="EW60" s="20">
        <f t="shared" ref="EW60:EW61" si="263">EU60*EV60</f>
        <v>1415463.7</v>
      </c>
      <c r="EX60" s="31"/>
      <c r="EY60" s="30"/>
      <c r="EZ60" s="18"/>
      <c r="FA60" s="18"/>
      <c r="FB60" s="18"/>
      <c r="FC60" s="18"/>
      <c r="FD60" s="310" t="s">
        <v>34</v>
      </c>
      <c r="FE60" s="310"/>
      <c r="FF60" s="1">
        <f>FE25</f>
        <v>224</v>
      </c>
      <c r="FG60" s="1">
        <v>140</v>
      </c>
      <c r="FH60" s="20">
        <f t="shared" ref="FH60" si="264">FF60*FG60</f>
        <v>31360</v>
      </c>
      <c r="FI60" s="31"/>
      <c r="FJ60" s="30"/>
      <c r="FK60" s="18"/>
      <c r="FL60" s="18"/>
      <c r="FM60" s="18"/>
      <c r="FN60" s="18"/>
      <c r="FO60" s="310" t="s">
        <v>33</v>
      </c>
      <c r="FP60" s="310"/>
      <c r="FQ60" s="1">
        <f>FP25</f>
        <v>560</v>
      </c>
      <c r="FR60" s="1">
        <f>FG59</f>
        <v>120</v>
      </c>
      <c r="FS60" s="20">
        <f t="shared" si="256"/>
        <v>67200</v>
      </c>
      <c r="FT60" s="31"/>
      <c r="FU60" s="30"/>
      <c r="FV60" s="18"/>
      <c r="FW60" s="18"/>
      <c r="FX60" s="18"/>
      <c r="FY60" s="18"/>
      <c r="FZ60" s="310" t="s">
        <v>44</v>
      </c>
      <c r="GA60" s="310"/>
      <c r="GB60" s="1">
        <f>GA38</f>
        <v>14</v>
      </c>
      <c r="GC60" s="1">
        <f>DO60</f>
        <v>100</v>
      </c>
      <c r="GD60" s="20">
        <f t="shared" si="257"/>
        <v>1400</v>
      </c>
      <c r="GE60" s="31"/>
      <c r="GF60" s="30"/>
      <c r="GG60" s="18"/>
      <c r="GH60" s="1" t="s">
        <v>32</v>
      </c>
      <c r="GI60" s="21">
        <f>GO70/GM68</f>
        <v>91.58905286298031</v>
      </c>
      <c r="GJ60" s="18"/>
      <c r="GK60" s="310" t="s">
        <v>33</v>
      </c>
      <c r="GL60" s="310"/>
      <c r="GM60" s="1">
        <f>GL36</f>
        <v>788</v>
      </c>
      <c r="GN60" s="1">
        <f>GC64</f>
        <v>65</v>
      </c>
      <c r="GO60" s="20">
        <f t="shared" si="243"/>
        <v>51220</v>
      </c>
      <c r="GP60" s="31"/>
      <c r="GQ60" s="30"/>
      <c r="GV60" s="310" t="s">
        <v>13</v>
      </c>
      <c r="GW60" s="310"/>
      <c r="GX60" s="19">
        <f>GZ32</f>
        <v>20061.830000000002</v>
      </c>
      <c r="GY60" s="1">
        <f>GC59</f>
        <v>70</v>
      </c>
      <c r="GZ60" s="20">
        <f t="shared" ref="GZ60:GZ65" si="265">GX60*GY60</f>
        <v>1404328.1</v>
      </c>
      <c r="HA60" s="31"/>
      <c r="HB60" s="30"/>
      <c r="HC60" s="18"/>
      <c r="HD60" s="18"/>
      <c r="HE60" s="18"/>
      <c r="HF60" s="18"/>
      <c r="HG60" s="311" t="s">
        <v>33</v>
      </c>
      <c r="HH60" s="312"/>
      <c r="HI60" s="1">
        <f>HH25</f>
        <v>552</v>
      </c>
      <c r="HJ60" s="1">
        <f>GY61</f>
        <v>120</v>
      </c>
      <c r="HK60" s="20">
        <f t="shared" si="258"/>
        <v>66240</v>
      </c>
      <c r="HL60" s="31"/>
      <c r="HM60" s="30"/>
      <c r="HN60" s="18"/>
      <c r="HO60" s="18"/>
      <c r="HP60" s="18"/>
      <c r="HQ60" s="18"/>
      <c r="HR60" s="311" t="s">
        <v>13</v>
      </c>
      <c r="HS60" s="312"/>
      <c r="HT60" s="19">
        <f>HV37</f>
        <v>17027.29</v>
      </c>
      <c r="HU60" s="1">
        <f>HJ59</f>
        <v>70</v>
      </c>
      <c r="HV60" s="20">
        <f t="shared" ref="HV60:HV65" si="266">HT60*HU60</f>
        <v>1191910.3</v>
      </c>
      <c r="HW60" s="31"/>
      <c r="HX60" s="30"/>
      <c r="HY60" s="18"/>
      <c r="HZ60" s="18"/>
      <c r="IA60" s="18"/>
      <c r="IB60" s="18"/>
      <c r="IC60" s="311" t="s">
        <v>33</v>
      </c>
      <c r="ID60" s="312"/>
      <c r="IE60" s="1">
        <f>ID27</f>
        <v>398</v>
      </c>
      <c r="IF60" s="1">
        <f>HU61</f>
        <v>120</v>
      </c>
      <c r="IG60" s="20">
        <f t="shared" ref="IG60:IG65" si="267">IE60*IF60</f>
        <v>47760</v>
      </c>
      <c r="IH60" s="31"/>
      <c r="II60" s="30"/>
      <c r="IN60" s="311" t="s">
        <v>127</v>
      </c>
      <c r="IO60" s="312"/>
      <c r="IP60" s="19">
        <f>IO41*2.5</f>
        <v>390</v>
      </c>
      <c r="IQ60" s="1">
        <f>IQ61</f>
        <v>65</v>
      </c>
      <c r="IR60" s="20">
        <f t="shared" si="234"/>
        <v>25350</v>
      </c>
      <c r="IS60" s="31"/>
      <c r="IT60" s="30"/>
      <c r="IY60" s="311" t="s">
        <v>127</v>
      </c>
      <c r="IZ60" s="312"/>
      <c r="JA60" s="19">
        <f>IZ41*2.5</f>
        <v>390</v>
      </c>
      <c r="JB60" s="1">
        <f>JB61</f>
        <v>65</v>
      </c>
      <c r="JC60" s="20">
        <f t="shared" si="235"/>
        <v>25350</v>
      </c>
      <c r="JD60" s="31"/>
      <c r="JE60" s="30"/>
      <c r="JF60" s="18"/>
      <c r="JG60" s="18"/>
      <c r="JH60" s="18"/>
      <c r="JI60" s="18"/>
      <c r="JJ60" s="311" t="s">
        <v>127</v>
      </c>
      <c r="JK60" s="312"/>
      <c r="JL60" s="19">
        <f>JK40*2.5</f>
        <v>390</v>
      </c>
      <c r="JM60" s="1">
        <f t="shared" si="236"/>
        <v>65</v>
      </c>
      <c r="JN60" s="20">
        <f t="shared" si="237"/>
        <v>25350</v>
      </c>
      <c r="JO60" s="31"/>
      <c r="JP60" s="30"/>
      <c r="JQ60" s="18"/>
      <c r="JR60" s="18"/>
      <c r="JS60" s="18"/>
      <c r="JT60" s="18"/>
      <c r="JU60" s="311" t="s">
        <v>127</v>
      </c>
      <c r="JV60" s="312"/>
      <c r="JW60" s="19">
        <f>JV35*2.5</f>
        <v>390</v>
      </c>
      <c r="JX60" s="1">
        <f>JX55</f>
        <v>65</v>
      </c>
      <c r="JY60" s="20">
        <f t="shared" si="238"/>
        <v>25350</v>
      </c>
      <c r="JZ60" s="31"/>
      <c r="KA60" s="30"/>
      <c r="KB60" s="18"/>
      <c r="KC60" s="18"/>
      <c r="KD60" s="18"/>
      <c r="KE60" s="18"/>
      <c r="KF60" s="311" t="s">
        <v>127</v>
      </c>
      <c r="KG60" s="312"/>
      <c r="KH60" s="19">
        <f>KG35*2.5</f>
        <v>390</v>
      </c>
      <c r="KI60" s="1">
        <f t="shared" si="239"/>
        <v>65</v>
      </c>
      <c r="KJ60" s="20">
        <f t="shared" si="240"/>
        <v>25350</v>
      </c>
      <c r="KK60" s="31"/>
      <c r="KL60" s="30"/>
      <c r="KM60" s="18"/>
      <c r="KN60" s="18"/>
      <c r="KO60" s="18"/>
      <c r="KP60" s="18"/>
      <c r="KQ60" s="311" t="s">
        <v>116</v>
      </c>
      <c r="KR60" s="312"/>
      <c r="KS60" s="1">
        <f>KR33</f>
        <v>152</v>
      </c>
      <c r="KT60" s="1">
        <f>JM57</f>
        <v>90</v>
      </c>
      <c r="KU60" s="20">
        <f t="shared" si="246"/>
        <v>13680</v>
      </c>
      <c r="KV60" s="31"/>
      <c r="KW60" s="30"/>
      <c r="KX60" s="18"/>
      <c r="KY60" s="18"/>
      <c r="KZ60" s="18"/>
      <c r="LA60" s="18"/>
      <c r="LB60" s="310" t="s">
        <v>202</v>
      </c>
      <c r="LC60" s="310"/>
      <c r="LD60" s="19">
        <f>LF49</f>
        <v>52269.999999999993</v>
      </c>
      <c r="LE60" s="1">
        <f>LE62</f>
        <v>65</v>
      </c>
      <c r="LF60" s="20">
        <f t="shared" si="260"/>
        <v>3397549.9999999995</v>
      </c>
      <c r="LG60" s="31"/>
      <c r="LH60" s="30"/>
      <c r="LI60" s="18"/>
      <c r="LJ60" s="18"/>
      <c r="LK60" s="18"/>
      <c r="LL60" s="18"/>
      <c r="LM60" s="310" t="s">
        <v>13</v>
      </c>
      <c r="LN60" s="310"/>
      <c r="LO60" s="19">
        <f>LQ44</f>
        <v>47228.479999999996</v>
      </c>
      <c r="LP60" s="1">
        <f>LE59</f>
        <v>70</v>
      </c>
      <c r="LQ60" s="20">
        <f t="shared" ref="LQ60:LQ62" si="268">LO60*LP60</f>
        <v>3305993.5999999996</v>
      </c>
      <c r="LR60" s="31"/>
      <c r="LS60" s="30"/>
      <c r="LT60" s="18"/>
      <c r="LU60" s="18"/>
      <c r="LV60" s="18"/>
      <c r="LW60" s="18"/>
      <c r="LX60" s="18"/>
      <c r="LY60" s="18"/>
      <c r="LZ60" s="18"/>
      <c r="MA60" s="18"/>
      <c r="MB60" s="18"/>
      <c r="MC60" s="31"/>
      <c r="ME60" s="30"/>
      <c r="MF60" s="18"/>
      <c r="MG60" s="18"/>
      <c r="MH60" s="18"/>
      <c r="MI60" s="18"/>
      <c r="MJ60" s="18"/>
      <c r="MK60" s="18"/>
      <c r="ML60" s="18"/>
      <c r="MM60" s="18"/>
      <c r="MN60" s="18"/>
      <c r="MO60" s="31"/>
      <c r="NE60" s="18"/>
      <c r="NI60" s="47"/>
      <c r="NJ60" s="18"/>
      <c r="NK60" s="48"/>
    </row>
    <row r="61" spans="1:378" x14ac:dyDescent="0.25">
      <c r="A61" s="30"/>
      <c r="C61" s="18"/>
      <c r="D61" s="18"/>
      <c r="E61" s="18"/>
      <c r="F61" s="311" t="s">
        <v>13</v>
      </c>
      <c r="G61" s="312"/>
      <c r="H61" s="19">
        <f>J27</f>
        <v>427.68</v>
      </c>
      <c r="I61" s="1">
        <f>AE57</f>
        <v>68</v>
      </c>
      <c r="J61" s="20">
        <f>H61*I61</f>
        <v>29082.240000000002</v>
      </c>
      <c r="K61" s="31"/>
      <c r="L61" s="30"/>
      <c r="N61" s="18"/>
      <c r="O61" s="18"/>
      <c r="P61" s="18"/>
      <c r="Q61" s="311" t="s">
        <v>13</v>
      </c>
      <c r="R61" s="312"/>
      <c r="S61" s="19">
        <f>U27</f>
        <v>920.37000000000012</v>
      </c>
      <c r="T61" s="1">
        <f>I61</f>
        <v>68</v>
      </c>
      <c r="U61" s="20">
        <f>S61*T61</f>
        <v>62585.160000000011</v>
      </c>
      <c r="V61" s="31"/>
      <c r="W61" s="30"/>
      <c r="X61" s="18"/>
      <c r="Y61" s="18"/>
      <c r="Z61" s="18"/>
      <c r="AA61" s="18"/>
      <c r="AB61" s="310" t="s">
        <v>14</v>
      </c>
      <c r="AC61" s="310"/>
      <c r="AD61" s="19">
        <f>AD57*0.3</f>
        <v>1304.7095999999999</v>
      </c>
      <c r="AE61" s="1">
        <v>65</v>
      </c>
      <c r="AF61" s="20">
        <f t="shared" si="242"/>
        <v>84806.123999999996</v>
      </c>
      <c r="AG61" s="31"/>
      <c r="AH61" s="30"/>
      <c r="AI61" s="18"/>
      <c r="AJ61" s="18"/>
      <c r="AK61" s="18"/>
      <c r="AL61" s="18"/>
      <c r="AM61" s="310" t="s">
        <v>14</v>
      </c>
      <c r="AN61" s="310"/>
      <c r="AO61" s="19">
        <f>AO59*0.2</f>
        <v>767.62752000000012</v>
      </c>
      <c r="AP61" s="1">
        <v>65</v>
      </c>
      <c r="AQ61" s="20">
        <f t="shared" si="247"/>
        <v>49895.788800000009</v>
      </c>
      <c r="AR61" s="31"/>
      <c r="AS61" s="30"/>
      <c r="AT61" s="18"/>
      <c r="AU61" s="18"/>
      <c r="AV61" s="18"/>
      <c r="AW61" s="18"/>
      <c r="AX61" s="310" t="s">
        <v>14</v>
      </c>
      <c r="AY61" s="310"/>
      <c r="AZ61" s="19">
        <f>AZ59*0.2</f>
        <v>925.91136000000006</v>
      </c>
      <c r="BA61" s="1">
        <f t="shared" si="248"/>
        <v>65</v>
      </c>
      <c r="BB61" s="20">
        <f t="shared" si="249"/>
        <v>60184.238400000002</v>
      </c>
      <c r="BC61" s="31"/>
      <c r="BD61" s="30"/>
      <c r="BE61" s="18"/>
      <c r="BF61" s="18"/>
      <c r="BG61" s="18"/>
      <c r="BH61" s="18"/>
      <c r="BI61" s="310" t="s">
        <v>14</v>
      </c>
      <c r="BJ61" s="310"/>
      <c r="BK61" s="19">
        <f>BK59*0.2</f>
        <v>1041.1954559999999</v>
      </c>
      <c r="BL61" s="1">
        <f t="shared" si="250"/>
        <v>65</v>
      </c>
      <c r="BM61" s="20">
        <f t="shared" si="251"/>
        <v>67677.704639999996</v>
      </c>
      <c r="BN61" s="31"/>
      <c r="BO61" s="30"/>
      <c r="BP61" s="18"/>
      <c r="BQ61" s="18"/>
      <c r="BR61" s="18"/>
      <c r="BS61" s="18"/>
      <c r="BT61" s="310" t="s">
        <v>14</v>
      </c>
      <c r="BU61" s="310"/>
      <c r="BV61" s="19">
        <f>BV58*0.2</f>
        <v>1096.99776</v>
      </c>
      <c r="BW61" s="1">
        <f>BA61</f>
        <v>65</v>
      </c>
      <c r="BX61" s="20">
        <f t="shared" si="244"/>
        <v>71304.854399999997</v>
      </c>
      <c r="BY61" s="31"/>
      <c r="BZ61" s="30"/>
      <c r="CA61" s="18"/>
      <c r="CB61" s="18"/>
      <c r="CC61" s="18"/>
      <c r="CD61" s="18"/>
      <c r="CE61" s="310" t="s">
        <v>14</v>
      </c>
      <c r="CF61" s="310"/>
      <c r="CG61" s="19">
        <f>CG59*0.2</f>
        <v>1482.1272000000001</v>
      </c>
      <c r="CH61" s="1">
        <f>BA61</f>
        <v>65</v>
      </c>
      <c r="CI61" s="20">
        <f t="shared" si="252"/>
        <v>96338.268000000011</v>
      </c>
      <c r="CJ61" s="31"/>
      <c r="CK61" s="30"/>
      <c r="CL61" s="18"/>
      <c r="CM61" s="18"/>
      <c r="CN61" s="18"/>
      <c r="CO61" s="18"/>
      <c r="CP61" s="310" t="s">
        <v>33</v>
      </c>
      <c r="CQ61" s="310"/>
      <c r="CR61" s="1">
        <f>CQ28</f>
        <v>180</v>
      </c>
      <c r="CS61" s="1">
        <f>CH60</f>
        <v>120</v>
      </c>
      <c r="CT61" s="20">
        <f t="shared" si="253"/>
        <v>21600</v>
      </c>
      <c r="CU61" s="31"/>
      <c r="CV61" s="30"/>
      <c r="CW61" s="18"/>
      <c r="CX61" s="18"/>
      <c r="CY61" s="18"/>
      <c r="CZ61" s="18"/>
      <c r="DA61" s="310" t="s">
        <v>14</v>
      </c>
      <c r="DB61" s="310"/>
      <c r="DC61" s="19">
        <f>DC59*0.2</f>
        <v>809.48800000000006</v>
      </c>
      <c r="DD61" s="1">
        <f t="shared" si="261"/>
        <v>65</v>
      </c>
      <c r="DE61" s="20">
        <f t="shared" si="254"/>
        <v>52616.72</v>
      </c>
      <c r="DF61" s="31"/>
      <c r="DG61" s="30"/>
      <c r="DH61" s="18"/>
      <c r="DI61" s="18"/>
      <c r="DJ61" s="18"/>
      <c r="DK61" s="18"/>
      <c r="DL61" s="310" t="s">
        <v>33</v>
      </c>
      <c r="DM61" s="310"/>
      <c r="DN61" s="1">
        <f>DM30</f>
        <v>292</v>
      </c>
      <c r="DO61" s="1">
        <f>DD60</f>
        <v>120</v>
      </c>
      <c r="DP61" s="20">
        <f t="shared" si="255"/>
        <v>35040</v>
      </c>
      <c r="DQ61" s="31"/>
      <c r="DR61" s="30"/>
      <c r="DS61" s="18"/>
      <c r="DT61" s="18"/>
      <c r="DU61" s="18"/>
      <c r="DV61" s="18"/>
      <c r="DW61" s="310" t="s">
        <v>13</v>
      </c>
      <c r="DX61" s="310"/>
      <c r="DY61" s="19">
        <f>EA38</f>
        <v>11519.660000000002</v>
      </c>
      <c r="DZ61" s="1">
        <v>70</v>
      </c>
      <c r="EA61" s="20">
        <f t="shared" ref="EA61:EA62" si="269">DY61*DZ61</f>
        <v>806376.20000000007</v>
      </c>
      <c r="EB61" s="31"/>
      <c r="EC61" s="30"/>
      <c r="ED61" s="18"/>
      <c r="EE61" s="18"/>
      <c r="EF61" s="18"/>
      <c r="EG61" s="18"/>
      <c r="EH61" s="311" t="s">
        <v>127</v>
      </c>
      <c r="EI61" s="312"/>
      <c r="EJ61" s="19">
        <f>EJ62*0.13</f>
        <v>625.34752800000001</v>
      </c>
      <c r="EK61" s="1">
        <f>JM60</f>
        <v>65</v>
      </c>
      <c r="EL61" s="20">
        <f t="shared" si="241"/>
        <v>40647.589319999999</v>
      </c>
      <c r="EM61" s="31"/>
      <c r="EN61" s="30"/>
      <c r="EO61" s="18"/>
      <c r="EP61" s="18"/>
      <c r="EQ61" s="18"/>
      <c r="ER61" s="18"/>
      <c r="ES61" s="310" t="s">
        <v>33</v>
      </c>
      <c r="ET61" s="310"/>
      <c r="EU61" s="1">
        <f>ET39</f>
        <v>502</v>
      </c>
      <c r="EV61" s="1">
        <f>EK57</f>
        <v>120</v>
      </c>
      <c r="EW61" s="20">
        <f t="shared" si="263"/>
        <v>60240</v>
      </c>
      <c r="EX61" s="31"/>
      <c r="EY61" s="30"/>
      <c r="EZ61" s="18"/>
      <c r="FA61" s="1" t="s">
        <v>28</v>
      </c>
      <c r="FB61" s="1">
        <f>FB11</f>
        <v>514.5</v>
      </c>
      <c r="FC61" s="18"/>
      <c r="FD61" s="310" t="s">
        <v>14</v>
      </c>
      <c r="FE61" s="310"/>
      <c r="FF61" s="19">
        <f>FF58*0.2</f>
        <v>2161.37248</v>
      </c>
      <c r="FG61" s="1">
        <f>DD61</f>
        <v>65</v>
      </c>
      <c r="FH61" s="20">
        <f>FF61*FG61</f>
        <v>140489.21119999999</v>
      </c>
      <c r="FI61" s="31"/>
      <c r="FJ61" s="30"/>
      <c r="FK61" s="18"/>
      <c r="FL61" s="1" t="s">
        <v>28</v>
      </c>
      <c r="FM61" s="1">
        <f>FM11</f>
        <v>661.5</v>
      </c>
      <c r="FN61" s="18"/>
      <c r="FO61" s="310" t="s">
        <v>14</v>
      </c>
      <c r="FP61" s="310"/>
      <c r="FQ61" s="19">
        <f>FQ59*0.2</f>
        <v>3342.2640000000001</v>
      </c>
      <c r="FR61" s="1">
        <f>FG61</f>
        <v>65</v>
      </c>
      <c r="FS61" s="20">
        <f>FQ61*FR61</f>
        <v>217247.16</v>
      </c>
      <c r="FT61" s="31"/>
      <c r="FU61" s="30"/>
      <c r="FV61" s="18"/>
      <c r="FW61" s="18"/>
      <c r="FX61" s="18"/>
      <c r="FY61" s="18"/>
      <c r="FZ61" s="310" t="s">
        <v>33</v>
      </c>
      <c r="GA61" s="310"/>
      <c r="GB61" s="1">
        <f>GA39</f>
        <v>406</v>
      </c>
      <c r="GC61" s="1">
        <f>FG59</f>
        <v>120</v>
      </c>
      <c r="GD61" s="20">
        <f t="shared" si="257"/>
        <v>48720</v>
      </c>
      <c r="GE61" s="31"/>
      <c r="GF61" s="30"/>
      <c r="GG61" s="18"/>
      <c r="GH61" s="1" t="s">
        <v>35</v>
      </c>
      <c r="GI61" s="21">
        <f>GI62/GI57</f>
        <v>2805.1089941333335</v>
      </c>
      <c r="GJ61" s="18"/>
      <c r="GK61" s="310" t="s">
        <v>14</v>
      </c>
      <c r="GL61" s="310"/>
      <c r="GM61" s="19">
        <f>(GM57)*0.15</f>
        <v>5245.4261999999999</v>
      </c>
      <c r="GN61" s="1">
        <f>GC65</f>
        <v>110</v>
      </c>
      <c r="GO61" s="20">
        <f t="shared" si="243"/>
        <v>576996.88199999998</v>
      </c>
      <c r="GP61" s="31"/>
      <c r="GQ61" s="30"/>
      <c r="GR61" s="18"/>
      <c r="GS61" s="18"/>
      <c r="GT61" s="18"/>
      <c r="GU61" s="18"/>
      <c r="GV61" s="310" t="s">
        <v>33</v>
      </c>
      <c r="GW61" s="310"/>
      <c r="GX61" s="1">
        <f>GW28</f>
        <v>420</v>
      </c>
      <c r="GY61" s="1">
        <f>GC61</f>
        <v>120</v>
      </c>
      <c r="GZ61" s="20">
        <f t="shared" si="265"/>
        <v>50400</v>
      </c>
      <c r="HA61" s="31"/>
      <c r="HB61" s="30"/>
      <c r="HC61" s="18"/>
      <c r="HD61" s="18"/>
      <c r="HE61" s="18"/>
      <c r="HF61" s="18"/>
      <c r="HG61" s="311" t="s">
        <v>14</v>
      </c>
      <c r="HH61" s="312"/>
      <c r="HI61" s="19">
        <f>HI59*0.25</f>
        <v>4577.5249999999996</v>
      </c>
      <c r="HJ61" s="1">
        <f>GY62</f>
        <v>65</v>
      </c>
      <c r="HK61" s="20">
        <f t="shared" si="258"/>
        <v>297539.125</v>
      </c>
      <c r="HL61" s="31"/>
      <c r="HM61" s="30"/>
      <c r="HN61" s="18"/>
      <c r="HO61" s="18"/>
      <c r="HP61" s="18"/>
      <c r="HQ61" s="18"/>
      <c r="HR61" s="311" t="s">
        <v>33</v>
      </c>
      <c r="HS61" s="312"/>
      <c r="HT61" s="1">
        <f>HS31</f>
        <v>340</v>
      </c>
      <c r="HU61" s="1">
        <f>HJ60</f>
        <v>120</v>
      </c>
      <c r="HV61" s="20">
        <f t="shared" si="266"/>
        <v>40800</v>
      </c>
      <c r="HW61" s="31"/>
      <c r="HX61" s="30"/>
      <c r="HY61" s="18"/>
      <c r="HZ61" s="18"/>
      <c r="IA61" s="18"/>
      <c r="IB61" s="18"/>
      <c r="IC61" s="311" t="s">
        <v>14</v>
      </c>
      <c r="ID61" s="312"/>
      <c r="IE61" s="19">
        <f>IE59*0.2</f>
        <v>3725.0388000000003</v>
      </c>
      <c r="IF61" s="1">
        <f>HU62</f>
        <v>65</v>
      </c>
      <c r="IG61" s="20">
        <f t="shared" si="267"/>
        <v>242127.52200000003</v>
      </c>
      <c r="IH61" s="31"/>
      <c r="II61" s="30"/>
      <c r="IJ61" s="18"/>
      <c r="IK61" s="18"/>
      <c r="IL61" s="18"/>
      <c r="IM61" s="18"/>
      <c r="IN61" s="311" t="s">
        <v>14</v>
      </c>
      <c r="IO61" s="312"/>
      <c r="IP61" s="19">
        <f>IP54*0.15</f>
        <v>5527.3139999999994</v>
      </c>
      <c r="IQ61" s="1">
        <f>IF61</f>
        <v>65</v>
      </c>
      <c r="IR61" s="20">
        <f>IP61*IQ61</f>
        <v>359275.41</v>
      </c>
      <c r="IS61" s="31"/>
      <c r="IT61" s="30"/>
      <c r="IU61" s="18"/>
      <c r="IV61" s="18"/>
      <c r="IW61" s="18"/>
      <c r="IX61" s="18"/>
      <c r="IY61" s="311" t="s">
        <v>14</v>
      </c>
      <c r="IZ61" s="312"/>
      <c r="JA61" s="19">
        <f>JA55*0.2</f>
        <v>9800.9959999999992</v>
      </c>
      <c r="JB61" s="1">
        <f>IF61</f>
        <v>65</v>
      </c>
      <c r="JC61" s="20">
        <f>JA61*JB61</f>
        <v>637064.74</v>
      </c>
      <c r="JD61" s="31"/>
      <c r="JE61" s="30"/>
      <c r="JF61" s="18"/>
      <c r="JG61" s="18"/>
      <c r="JH61" s="18"/>
      <c r="JI61" s="18"/>
      <c r="JJ61" s="311" t="s">
        <v>14</v>
      </c>
      <c r="JK61" s="312"/>
      <c r="JL61" s="19">
        <f>JL55*0.2</f>
        <v>10563.461599999999</v>
      </c>
      <c r="JM61" s="1">
        <f t="shared" si="236"/>
        <v>65</v>
      </c>
      <c r="JN61" s="20">
        <f t="shared" si="237"/>
        <v>686625.00399999996</v>
      </c>
      <c r="JO61" s="31"/>
      <c r="JP61" s="30"/>
      <c r="JQ61" s="18"/>
      <c r="JR61" s="18"/>
      <c r="JS61" s="18"/>
      <c r="JT61" s="18"/>
      <c r="JU61" s="311" t="s">
        <v>14</v>
      </c>
      <c r="JV61" s="312"/>
      <c r="JW61" s="19">
        <f>JW54*0.15</f>
        <v>4845.2280000000001</v>
      </c>
      <c r="JX61" s="1">
        <f>JX55</f>
        <v>65</v>
      </c>
      <c r="JY61" s="20">
        <f t="shared" si="238"/>
        <v>314939.82</v>
      </c>
      <c r="JZ61" s="31"/>
      <c r="KA61" s="30"/>
      <c r="KB61" s="18"/>
      <c r="KC61" s="18"/>
      <c r="KD61" s="18"/>
      <c r="KE61" s="18"/>
      <c r="KF61" s="311" t="s">
        <v>14</v>
      </c>
      <c r="KG61" s="312"/>
      <c r="KH61" s="19">
        <f>KH54*0.15</f>
        <v>4657.5239999999994</v>
      </c>
      <c r="KI61" s="1">
        <f t="shared" si="239"/>
        <v>65</v>
      </c>
      <c r="KJ61" s="20">
        <f t="shared" si="240"/>
        <v>302739.05999999994</v>
      </c>
      <c r="KK61" s="31"/>
      <c r="KL61" s="30"/>
      <c r="KM61" s="18"/>
      <c r="KN61" s="18"/>
      <c r="KO61" s="18"/>
      <c r="KP61" s="18"/>
      <c r="KQ61" s="311" t="s">
        <v>14</v>
      </c>
      <c r="KR61" s="312"/>
      <c r="KS61" s="19">
        <f>KS58*0.2</f>
        <v>7733.5679999999993</v>
      </c>
      <c r="KT61" s="1">
        <f>JM61</f>
        <v>65</v>
      </c>
      <c r="KU61" s="20">
        <f t="shared" si="246"/>
        <v>502681.91999999993</v>
      </c>
      <c r="KV61" s="31"/>
      <c r="KW61" s="30"/>
      <c r="KX61" s="18"/>
      <c r="KY61" s="18"/>
      <c r="KZ61" s="18"/>
      <c r="LA61" s="18"/>
      <c r="LB61" s="310" t="s">
        <v>33</v>
      </c>
      <c r="LC61" s="310"/>
      <c r="LD61" s="1">
        <f>LC42</f>
        <v>4064</v>
      </c>
      <c r="LE61" s="1">
        <f>EV61</f>
        <v>120</v>
      </c>
      <c r="LF61" s="20">
        <f t="shared" si="260"/>
        <v>487680</v>
      </c>
      <c r="LG61" s="31"/>
      <c r="LH61" s="30"/>
      <c r="LI61" s="18"/>
      <c r="LJ61" s="18"/>
      <c r="LK61" s="18"/>
      <c r="LL61" s="18"/>
      <c r="LM61" s="310" t="s">
        <v>202</v>
      </c>
      <c r="LN61" s="310"/>
      <c r="LO61" s="19">
        <f>LQ45</f>
        <v>76013.36</v>
      </c>
      <c r="LP61" s="1">
        <f>LE60</f>
        <v>65</v>
      </c>
      <c r="LQ61" s="20">
        <f t="shared" si="268"/>
        <v>4940868.4000000004</v>
      </c>
      <c r="LR61" s="31"/>
      <c r="LS61" s="30"/>
      <c r="LT61" s="18"/>
      <c r="LU61" s="18"/>
      <c r="LV61" s="18"/>
      <c r="LW61" s="18"/>
      <c r="LX61" s="310" t="s">
        <v>13</v>
      </c>
      <c r="LY61" s="310"/>
      <c r="LZ61" s="19">
        <f>MB38</f>
        <v>7569.9400000000005</v>
      </c>
      <c r="MA61" s="1">
        <v>70</v>
      </c>
      <c r="MB61" s="20">
        <f t="shared" ref="MB61:MB62" si="270">LZ61*MA61</f>
        <v>529895.80000000005</v>
      </c>
      <c r="MC61" s="31"/>
      <c r="ME61" s="30"/>
      <c r="MF61" s="18"/>
      <c r="MG61" s="18"/>
      <c r="MH61" s="18"/>
      <c r="MI61" s="18"/>
      <c r="MJ61" s="310" t="s">
        <v>13</v>
      </c>
      <c r="MK61" s="310"/>
      <c r="ML61" s="19">
        <f>MN38</f>
        <v>6734.9459999999999</v>
      </c>
      <c r="MM61" s="1">
        <v>70</v>
      </c>
      <c r="MN61" s="20">
        <f t="shared" ref="MN61:MN62" si="271">ML61*MM61</f>
        <v>471446.22</v>
      </c>
      <c r="MO61" s="31"/>
      <c r="NE61" s="18"/>
      <c r="NI61" s="47"/>
      <c r="NJ61" s="18"/>
      <c r="NK61" s="48"/>
    </row>
    <row r="62" spans="1:378" x14ac:dyDescent="0.25">
      <c r="A62" s="30"/>
      <c r="C62" s="18"/>
      <c r="D62" s="18"/>
      <c r="E62" s="18"/>
      <c r="F62" s="311" t="s">
        <v>44</v>
      </c>
      <c r="G62" s="312"/>
      <c r="H62" s="1">
        <f>G25</f>
        <v>24</v>
      </c>
      <c r="I62" s="1">
        <f>AE59</f>
        <v>100</v>
      </c>
      <c r="J62" s="20">
        <f>H62*I62</f>
        <v>2400</v>
      </c>
      <c r="K62" s="31"/>
      <c r="L62" s="30"/>
      <c r="N62" s="18"/>
      <c r="O62" s="18"/>
      <c r="P62" s="18"/>
      <c r="Q62" s="311" t="s">
        <v>44</v>
      </c>
      <c r="R62" s="312"/>
      <c r="S62" s="1">
        <f>R25</f>
        <v>52</v>
      </c>
      <c r="T62" s="1">
        <f>I62</f>
        <v>100</v>
      </c>
      <c r="U62" s="20">
        <f>S62*T62</f>
        <v>5200</v>
      </c>
      <c r="V62" s="31"/>
      <c r="W62" s="30"/>
      <c r="X62" s="18"/>
      <c r="Y62" s="1" t="s">
        <v>28</v>
      </c>
      <c r="Z62" s="1">
        <f>Z11</f>
        <v>162</v>
      </c>
      <c r="AA62" s="18"/>
      <c r="AB62" s="310" t="s">
        <v>139</v>
      </c>
      <c r="AC62" s="310"/>
      <c r="AD62" s="1">
        <f>AF30</f>
        <v>66</v>
      </c>
      <c r="AE62" s="1">
        <v>160</v>
      </c>
      <c r="AF62" s="20">
        <f t="shared" si="242"/>
        <v>10560</v>
      </c>
      <c r="AG62" s="31"/>
      <c r="AH62" s="30"/>
      <c r="AI62" s="18"/>
      <c r="AJ62" s="1" t="s">
        <v>28</v>
      </c>
      <c r="AK62" s="1">
        <f>AK11</f>
        <v>252</v>
      </c>
      <c r="AL62" s="18"/>
      <c r="AM62" s="310" t="s">
        <v>49</v>
      </c>
      <c r="AN62" s="310"/>
      <c r="AO62" s="1">
        <f>AQ30</f>
        <v>67.08</v>
      </c>
      <c r="AP62" s="1">
        <v>160</v>
      </c>
      <c r="AQ62" s="20">
        <f t="shared" si="247"/>
        <v>10732.8</v>
      </c>
      <c r="AR62" s="31"/>
      <c r="AS62" s="30"/>
      <c r="AT62" s="18"/>
      <c r="AU62" s="1" t="s">
        <v>28</v>
      </c>
      <c r="AV62" s="1">
        <f>AV11</f>
        <v>336</v>
      </c>
      <c r="AW62" s="18"/>
      <c r="AX62" s="310" t="s">
        <v>49</v>
      </c>
      <c r="AY62" s="310"/>
      <c r="AZ62" s="1">
        <f>BB30</f>
        <v>90.47999999999999</v>
      </c>
      <c r="BA62" s="1">
        <f t="shared" si="248"/>
        <v>160</v>
      </c>
      <c r="BB62" s="20">
        <f t="shared" si="249"/>
        <v>14476.8</v>
      </c>
      <c r="BC62" s="31"/>
      <c r="BD62" s="30"/>
      <c r="BE62" s="18"/>
      <c r="BF62" s="1" t="s">
        <v>28</v>
      </c>
      <c r="BG62" s="1">
        <f>BG11</f>
        <v>396.8</v>
      </c>
      <c r="BH62" s="18"/>
      <c r="BI62" s="310" t="s">
        <v>49</v>
      </c>
      <c r="BJ62" s="310"/>
      <c r="BK62" s="1">
        <f>BM30</f>
        <v>109.2</v>
      </c>
      <c r="BL62" s="1">
        <f t="shared" si="250"/>
        <v>160</v>
      </c>
      <c r="BM62" s="20">
        <f t="shared" si="251"/>
        <v>17472</v>
      </c>
      <c r="BN62" s="31"/>
      <c r="BO62" s="30"/>
      <c r="BP62" s="18"/>
      <c r="BQ62" s="1" t="s">
        <v>28</v>
      </c>
      <c r="BR62" s="1">
        <f>BR11</f>
        <v>300</v>
      </c>
      <c r="BS62" s="18"/>
      <c r="BT62" s="310" t="s">
        <v>72</v>
      </c>
      <c r="BU62" s="310"/>
      <c r="BV62" s="1">
        <f>BX30</f>
        <v>139.19999999999999</v>
      </c>
      <c r="BW62" s="1">
        <v>180</v>
      </c>
      <c r="BX62" s="20">
        <f t="shared" si="244"/>
        <v>25055.999999999996</v>
      </c>
      <c r="BY62" s="31"/>
      <c r="BZ62" s="30"/>
      <c r="CA62" s="18"/>
      <c r="CB62" s="1" t="s">
        <v>28</v>
      </c>
      <c r="CC62" s="1">
        <f>CC11</f>
        <v>472.5</v>
      </c>
      <c r="CD62" s="18"/>
      <c r="CE62" s="310" t="s">
        <v>72</v>
      </c>
      <c r="CF62" s="310"/>
      <c r="CG62" s="1">
        <f>CI30</f>
        <v>219</v>
      </c>
      <c r="CH62" s="1">
        <v>180</v>
      </c>
      <c r="CI62" s="20">
        <f t="shared" si="252"/>
        <v>39420</v>
      </c>
      <c r="CJ62" s="31"/>
      <c r="CK62" s="30"/>
      <c r="CL62" s="18"/>
      <c r="CM62" s="18"/>
      <c r="CN62" s="18"/>
      <c r="CO62" s="18"/>
      <c r="CP62" s="310" t="s">
        <v>14</v>
      </c>
      <c r="CQ62" s="310"/>
      <c r="CR62" s="19">
        <f>CR59*0.2</f>
        <v>2163.5648000000001</v>
      </c>
      <c r="CS62" s="1">
        <f>CH61</f>
        <v>65</v>
      </c>
      <c r="CT62" s="20">
        <f t="shared" si="253"/>
        <v>140631.712</v>
      </c>
      <c r="CU62" s="31"/>
      <c r="CV62" s="30"/>
      <c r="CW62" s="18"/>
      <c r="CX62" s="1" t="s">
        <v>28</v>
      </c>
      <c r="CY62" s="1">
        <f>CY11</f>
        <v>240</v>
      </c>
      <c r="CZ62" s="18"/>
      <c r="DA62" s="310" t="s">
        <v>72</v>
      </c>
      <c r="DB62" s="310"/>
      <c r="DC62" s="1">
        <f>DE30</f>
        <v>99</v>
      </c>
      <c r="DD62" s="1">
        <f t="shared" si="261"/>
        <v>180</v>
      </c>
      <c r="DE62" s="20">
        <f t="shared" si="254"/>
        <v>17820</v>
      </c>
      <c r="DF62" s="31"/>
      <c r="DG62" s="30"/>
      <c r="DH62" s="18"/>
      <c r="DI62" s="1" t="s">
        <v>28</v>
      </c>
      <c r="DJ62" s="1">
        <f>DJ11</f>
        <v>504</v>
      </c>
      <c r="DK62" s="18"/>
      <c r="DL62" s="310" t="s">
        <v>14</v>
      </c>
      <c r="DM62" s="310"/>
      <c r="DN62" s="19">
        <f>DN59*0.2</f>
        <v>2200.6407999999997</v>
      </c>
      <c r="DO62" s="1">
        <f>DD61</f>
        <v>65</v>
      </c>
      <c r="DP62" s="20">
        <f>DN62*DO62</f>
        <v>143041.65199999997</v>
      </c>
      <c r="DQ62" s="31"/>
      <c r="DR62" s="30"/>
      <c r="DS62" s="18"/>
      <c r="DT62" s="18"/>
      <c r="DU62" s="18"/>
      <c r="DV62" s="18"/>
      <c r="DW62" s="310" t="s">
        <v>33</v>
      </c>
      <c r="DX62" s="310"/>
      <c r="DY62" s="1">
        <f>DX33</f>
        <v>360</v>
      </c>
      <c r="DZ62" s="1">
        <f>DO61</f>
        <v>120</v>
      </c>
      <c r="EA62" s="20">
        <f t="shared" si="269"/>
        <v>43200</v>
      </c>
      <c r="EB62" s="31"/>
      <c r="EC62" s="30"/>
      <c r="ED62" s="18"/>
      <c r="EE62" s="1" t="s">
        <v>28</v>
      </c>
      <c r="EF62" s="1">
        <f>EF11</f>
        <v>979.19999999999993</v>
      </c>
      <c r="EG62" s="18"/>
      <c r="EH62" s="310" t="s">
        <v>14</v>
      </c>
      <c r="EI62" s="310"/>
      <c r="EJ62" s="19">
        <f>EJ56*0.2</f>
        <v>4810.3656000000001</v>
      </c>
      <c r="EK62" s="1">
        <f>JM61</f>
        <v>65</v>
      </c>
      <c r="EL62" s="20">
        <f t="shared" si="241"/>
        <v>312673.76400000002</v>
      </c>
      <c r="EM62" s="31"/>
      <c r="EN62" s="30"/>
      <c r="EO62" s="18"/>
      <c r="EP62" s="1" t="s">
        <v>28</v>
      </c>
      <c r="EQ62" s="1">
        <f>EQ11</f>
        <v>979.19999999999993</v>
      </c>
      <c r="ER62" s="18"/>
      <c r="ES62" s="310" t="s">
        <v>14</v>
      </c>
      <c r="ET62" s="310"/>
      <c r="EU62" s="19">
        <f>EU60*0.2</f>
        <v>4044.1820000000002</v>
      </c>
      <c r="EV62" s="1">
        <f>EK62</f>
        <v>65</v>
      </c>
      <c r="EW62" s="20">
        <f>EU62*EV62</f>
        <v>262871.83</v>
      </c>
      <c r="EX62" s="31"/>
      <c r="EY62" s="30"/>
      <c r="EZ62" s="18"/>
      <c r="FA62" s="1" t="s">
        <v>29</v>
      </c>
      <c r="FB62" s="19">
        <f>FH70/FB61/FB64</f>
        <v>29.581531584062191</v>
      </c>
      <c r="FC62" s="18"/>
      <c r="FD62" s="311" t="s">
        <v>72</v>
      </c>
      <c r="FE62" s="312"/>
      <c r="FF62" s="1">
        <f>FH32</f>
        <v>370.8</v>
      </c>
      <c r="FG62" s="1">
        <f>DD62</f>
        <v>180</v>
      </c>
      <c r="FH62" s="20">
        <f>FF62*FG62</f>
        <v>66744</v>
      </c>
      <c r="FI62" s="31"/>
      <c r="FJ62" s="30"/>
      <c r="FK62" s="18"/>
      <c r="FL62" s="1" t="s">
        <v>29</v>
      </c>
      <c r="FM62" s="19">
        <f>FS70/FM61/FM64</f>
        <v>35.0945880574452</v>
      </c>
      <c r="FN62" s="18"/>
      <c r="FO62" s="311" t="s">
        <v>72</v>
      </c>
      <c r="FP62" s="312"/>
      <c r="FQ62" s="1">
        <f>FS32</f>
        <v>494.40000000000003</v>
      </c>
      <c r="FR62" s="1">
        <f>FG62</f>
        <v>180</v>
      </c>
      <c r="FS62" s="20">
        <f>FQ62*FR62</f>
        <v>88992</v>
      </c>
      <c r="FT62" s="31"/>
      <c r="FU62" s="30"/>
      <c r="FV62" s="18"/>
      <c r="FW62" s="1" t="s">
        <v>28</v>
      </c>
      <c r="FX62" s="1">
        <f>FX11</f>
        <v>672</v>
      </c>
      <c r="FY62" s="18"/>
      <c r="FZ62" s="310" t="s">
        <v>14</v>
      </c>
      <c r="GA62" s="310"/>
      <c r="GB62" s="19">
        <f>GB59*0.2</f>
        <v>3346.6275999999998</v>
      </c>
      <c r="GC62" s="1">
        <f>FG61</f>
        <v>65</v>
      </c>
      <c r="GD62" s="20">
        <f t="shared" si="257"/>
        <v>217530.79399999999</v>
      </c>
      <c r="GE62" s="31"/>
      <c r="GF62" s="30"/>
      <c r="GG62" s="18"/>
      <c r="GH62" s="22" t="s">
        <v>31</v>
      </c>
      <c r="GI62" s="23">
        <f>GI60*GI59</f>
        <v>5049196.1894399999</v>
      </c>
      <c r="GJ62" s="18"/>
      <c r="GK62" s="310" t="s">
        <v>293</v>
      </c>
      <c r="GL62" s="310"/>
      <c r="GM62" s="1">
        <f>(5.1+5.4+5.4+9.1)*2*4*1.49</f>
        <v>298</v>
      </c>
      <c r="GN62" s="1">
        <f>GC63</f>
        <v>140</v>
      </c>
      <c r="GO62" s="20">
        <f t="shared" si="243"/>
        <v>41720</v>
      </c>
      <c r="GP62" s="31"/>
      <c r="GQ62" s="30"/>
      <c r="GR62" s="18"/>
      <c r="GS62" s="1" t="s">
        <v>28</v>
      </c>
      <c r="GT62" s="1">
        <f>GT11</f>
        <v>800</v>
      </c>
      <c r="GU62" s="18"/>
      <c r="GV62" s="310" t="s">
        <v>14</v>
      </c>
      <c r="GW62" s="310"/>
      <c r="GX62" s="19">
        <f>GX60*0.2</f>
        <v>4012.3660000000004</v>
      </c>
      <c r="GY62" s="1">
        <f>GC62</f>
        <v>65</v>
      </c>
      <c r="GZ62" s="20">
        <f t="shared" si="265"/>
        <v>260803.79000000004</v>
      </c>
      <c r="HA62" s="31"/>
      <c r="HB62" s="30"/>
      <c r="HC62" s="18"/>
      <c r="HD62" s="18"/>
      <c r="HE62" s="18"/>
      <c r="HF62" s="18"/>
      <c r="HG62" s="311" t="s">
        <v>78</v>
      </c>
      <c r="HH62" s="312"/>
      <c r="HI62" s="1">
        <f>HK30</f>
        <v>825</v>
      </c>
      <c r="HJ62" s="1">
        <f>FG62</f>
        <v>180</v>
      </c>
      <c r="HK62" s="20">
        <f t="shared" si="258"/>
        <v>148500</v>
      </c>
      <c r="HL62" s="31"/>
      <c r="HM62" s="30"/>
      <c r="HN62" s="18"/>
      <c r="HO62" s="18"/>
      <c r="HP62" s="18"/>
      <c r="HQ62" s="18"/>
      <c r="HR62" s="311" t="s">
        <v>14</v>
      </c>
      <c r="HS62" s="312"/>
      <c r="HT62" s="19">
        <f>HT60*0.2</f>
        <v>3405.4580000000005</v>
      </c>
      <c r="HU62" s="1">
        <f>HJ61</f>
        <v>65</v>
      </c>
      <c r="HV62" s="20">
        <f t="shared" si="266"/>
        <v>221354.77000000005</v>
      </c>
      <c r="HW62" s="31"/>
      <c r="HX62" s="30"/>
      <c r="HY62" s="18"/>
      <c r="HZ62" s="18"/>
      <c r="IA62" s="18"/>
      <c r="IB62" s="18"/>
      <c r="IC62" s="311" t="s">
        <v>78</v>
      </c>
      <c r="ID62" s="312"/>
      <c r="IE62" s="1">
        <f>IG32</f>
        <v>612</v>
      </c>
      <c r="IF62" s="1">
        <f>FG62</f>
        <v>180</v>
      </c>
      <c r="IG62" s="20">
        <f t="shared" si="267"/>
        <v>110160</v>
      </c>
      <c r="IH62" s="31"/>
      <c r="II62" s="30"/>
      <c r="IJ62" s="18"/>
      <c r="IK62" s="1" t="s">
        <v>28</v>
      </c>
      <c r="IL62" s="1">
        <f>IL11</f>
        <v>2973.1200000000003</v>
      </c>
      <c r="IM62" s="18"/>
      <c r="IN62" s="311" t="s">
        <v>272</v>
      </c>
      <c r="IO62" s="312"/>
      <c r="IP62" s="1">
        <f>IR52+IO52/2*10</f>
        <v>1188</v>
      </c>
      <c r="IQ62" s="1">
        <f>IF62</f>
        <v>180</v>
      </c>
      <c r="IR62" s="20">
        <f>IP62*IQ62</f>
        <v>213840</v>
      </c>
      <c r="IS62" s="31"/>
      <c r="IT62" s="30"/>
      <c r="IU62" s="18"/>
      <c r="IV62" s="1" t="s">
        <v>28</v>
      </c>
      <c r="IW62" s="1">
        <f>IW11</f>
        <v>2973.1200000000003</v>
      </c>
      <c r="IX62" s="18"/>
      <c r="IY62" s="311" t="s">
        <v>272</v>
      </c>
      <c r="IZ62" s="312"/>
      <c r="JA62" s="1">
        <f>JC52+IZ52/2*10</f>
        <v>1044</v>
      </c>
      <c r="JB62" s="1">
        <f>IF62</f>
        <v>180</v>
      </c>
      <c r="JC62" s="20">
        <f>JA62*JB62</f>
        <v>187920</v>
      </c>
      <c r="JD62" s="31"/>
      <c r="JE62" s="30"/>
      <c r="JF62" s="18"/>
      <c r="JG62" s="1" t="s">
        <v>28</v>
      </c>
      <c r="JH62" s="1">
        <f>JH11</f>
        <v>2918.4</v>
      </c>
      <c r="JI62" s="18"/>
      <c r="JJ62" s="311" t="s">
        <v>78</v>
      </c>
      <c r="JK62" s="312"/>
      <c r="JL62" s="1">
        <f>JN52+JK52/2*10</f>
        <v>873</v>
      </c>
      <c r="JM62" s="1">
        <f t="shared" si="236"/>
        <v>180</v>
      </c>
      <c r="JN62" s="20">
        <f t="shared" si="237"/>
        <v>157140</v>
      </c>
      <c r="JO62" s="31"/>
      <c r="JP62" s="30"/>
      <c r="JQ62" s="18"/>
      <c r="JR62" s="1" t="s">
        <v>28</v>
      </c>
      <c r="JS62" s="1">
        <f>JS11</f>
        <v>2660</v>
      </c>
      <c r="JT62" s="18"/>
      <c r="JU62" s="311" t="s">
        <v>304</v>
      </c>
      <c r="JV62" s="312"/>
      <c r="JW62" s="1">
        <f>JY45+JV45/2*10</f>
        <v>873</v>
      </c>
      <c r="JX62" s="1">
        <v>180</v>
      </c>
      <c r="JY62" s="20">
        <f t="shared" si="238"/>
        <v>157140</v>
      </c>
      <c r="JZ62" s="31"/>
      <c r="KA62" s="30"/>
      <c r="KB62" s="18"/>
      <c r="KC62" s="1" t="s">
        <v>28</v>
      </c>
      <c r="KD62" s="1">
        <f>KD11</f>
        <v>2660</v>
      </c>
      <c r="KE62" s="18"/>
      <c r="KF62" s="311" t="s">
        <v>304</v>
      </c>
      <c r="KG62" s="312"/>
      <c r="KH62" s="1">
        <f>KJ45+KG45/2*10</f>
        <v>873</v>
      </c>
      <c r="KI62" s="1">
        <f t="shared" si="239"/>
        <v>180</v>
      </c>
      <c r="KJ62" s="20">
        <f t="shared" si="240"/>
        <v>157140</v>
      </c>
      <c r="KK62" s="31"/>
      <c r="KL62" s="30"/>
      <c r="KM62" s="18"/>
      <c r="KN62" s="1" t="s">
        <v>28</v>
      </c>
      <c r="KO62" s="1">
        <f>KO11</f>
        <v>2553.6</v>
      </c>
      <c r="KP62" s="18"/>
      <c r="KQ62" s="311" t="s">
        <v>139</v>
      </c>
      <c r="KR62" s="312"/>
      <c r="KS62" s="1">
        <f>KU41</f>
        <v>693</v>
      </c>
      <c r="KT62" s="1">
        <f>JM62</f>
        <v>180</v>
      </c>
      <c r="KU62" s="20">
        <f t="shared" si="246"/>
        <v>124740</v>
      </c>
      <c r="KV62" s="31"/>
      <c r="KW62" s="30"/>
      <c r="KX62" s="18"/>
      <c r="KY62" s="1" t="s">
        <v>28</v>
      </c>
      <c r="KZ62" s="1">
        <f>KZ13</f>
        <v>9720</v>
      </c>
      <c r="LA62" s="18"/>
      <c r="LB62" s="310" t="s">
        <v>14</v>
      </c>
      <c r="LC62" s="310"/>
      <c r="LD62" s="19">
        <f>LD59*0.1</f>
        <v>21489.808600000004</v>
      </c>
      <c r="LE62" s="1">
        <f>EV62</f>
        <v>65</v>
      </c>
      <c r="LF62" s="20">
        <f>LD62*LE62</f>
        <v>1396837.5590000004</v>
      </c>
      <c r="LG62" s="31"/>
      <c r="LH62" s="30"/>
      <c r="LI62" s="18"/>
      <c r="LJ62" s="18"/>
      <c r="LK62" s="18"/>
      <c r="LL62" s="18"/>
      <c r="LM62" s="310" t="s">
        <v>44</v>
      </c>
      <c r="LN62" s="310"/>
      <c r="LO62" s="1">
        <f>LN36</f>
        <v>912</v>
      </c>
      <c r="LP62" s="1">
        <f>GC60</f>
        <v>100</v>
      </c>
      <c r="LQ62" s="20">
        <f t="shared" si="268"/>
        <v>91200</v>
      </c>
      <c r="LR62" s="31"/>
      <c r="LS62" s="30"/>
      <c r="LT62" s="18"/>
      <c r="LU62" s="18"/>
      <c r="LV62" s="18"/>
      <c r="LW62" s="18"/>
      <c r="LX62" s="310" t="s">
        <v>33</v>
      </c>
      <c r="LY62" s="310"/>
      <c r="LZ62" s="1">
        <f>LY33</f>
        <v>240</v>
      </c>
      <c r="MA62" s="1">
        <v>120</v>
      </c>
      <c r="MB62" s="20">
        <f t="shared" si="270"/>
        <v>28800</v>
      </c>
      <c r="MC62" s="31"/>
      <c r="ME62" s="30"/>
      <c r="MF62" s="18"/>
      <c r="MG62" s="18"/>
      <c r="MH62" s="18"/>
      <c r="MI62" s="18"/>
      <c r="MJ62" s="310" t="s">
        <v>33</v>
      </c>
      <c r="MK62" s="310"/>
      <c r="ML62" s="1">
        <f>MK33</f>
        <v>182</v>
      </c>
      <c r="MM62" s="1">
        <v>120</v>
      </c>
      <c r="MN62" s="20">
        <f t="shared" si="271"/>
        <v>21840</v>
      </c>
      <c r="MO62" s="31"/>
      <c r="NE62" s="18"/>
    </row>
    <row r="63" spans="1:378" x14ac:dyDescent="0.25">
      <c r="A63" s="30"/>
      <c r="C63" s="18"/>
      <c r="D63" s="18"/>
      <c r="E63" s="18"/>
      <c r="F63" s="311" t="s">
        <v>14</v>
      </c>
      <c r="G63" s="312"/>
      <c r="H63" s="19">
        <f>H61*0.1</f>
        <v>42.768000000000001</v>
      </c>
      <c r="I63" s="1">
        <f>AE61</f>
        <v>65</v>
      </c>
      <c r="J63" s="20">
        <f>H63*I63</f>
        <v>2779.92</v>
      </c>
      <c r="K63" s="31"/>
      <c r="L63" s="30"/>
      <c r="N63" s="18"/>
      <c r="O63" s="18"/>
      <c r="P63" s="18"/>
      <c r="Q63" s="311" t="s">
        <v>14</v>
      </c>
      <c r="R63" s="312"/>
      <c r="S63" s="19">
        <f>S61*0.1</f>
        <v>92.03700000000002</v>
      </c>
      <c r="T63" s="1">
        <f>I63</f>
        <v>65</v>
      </c>
      <c r="U63" s="20">
        <f>S63*T63</f>
        <v>5982.4050000000016</v>
      </c>
      <c r="V63" s="31"/>
      <c r="W63" s="30"/>
      <c r="X63" s="18"/>
      <c r="Y63" s="1" t="s">
        <v>29</v>
      </c>
      <c r="Z63" s="19">
        <f>AF70/Z62/Z65</f>
        <v>44.611130864197534</v>
      </c>
      <c r="AA63" s="18"/>
      <c r="AB63" s="310" t="s">
        <v>50</v>
      </c>
      <c r="AC63" s="310"/>
      <c r="AD63" s="1">
        <f>(6.88*2+5.44*2)*4*Z7</f>
        <v>98.56</v>
      </c>
      <c r="AE63" s="1">
        <v>140</v>
      </c>
      <c r="AF63" s="20">
        <f t="shared" si="242"/>
        <v>13798.4</v>
      </c>
      <c r="AG63" s="31"/>
      <c r="AH63" s="30"/>
      <c r="AI63" s="18"/>
      <c r="AJ63" s="1" t="s">
        <v>29</v>
      </c>
      <c r="AK63" s="19">
        <f>AQ70/AK62/AK65</f>
        <v>23.200126984126989</v>
      </c>
      <c r="AL63" s="18"/>
      <c r="AM63" s="310" t="s">
        <v>50</v>
      </c>
      <c r="AN63" s="310"/>
      <c r="AO63" s="1">
        <f>(5.3*2+6.1*2)*2*AK7*1.3</f>
        <v>59.279999999999994</v>
      </c>
      <c r="AP63" s="1">
        <v>140</v>
      </c>
      <c r="AQ63" s="20">
        <f t="shared" si="247"/>
        <v>8299.1999999999989</v>
      </c>
      <c r="AR63" s="31"/>
      <c r="AS63" s="30"/>
      <c r="AT63" s="18"/>
      <c r="AU63" s="1" t="s">
        <v>29</v>
      </c>
      <c r="AV63" s="19">
        <f>BB70/AV62/AV65</f>
        <v>20.214363095238095</v>
      </c>
      <c r="AW63" s="18"/>
      <c r="AX63" s="310" t="s">
        <v>50</v>
      </c>
      <c r="AY63" s="310"/>
      <c r="AZ63" s="1">
        <f>(5.75*2+7.7*2)*2*AV7</f>
        <v>53.8</v>
      </c>
      <c r="BA63" s="1">
        <f t="shared" si="248"/>
        <v>140</v>
      </c>
      <c r="BB63" s="20">
        <f t="shared" si="249"/>
        <v>7532</v>
      </c>
      <c r="BC63" s="31"/>
      <c r="BD63" s="30"/>
      <c r="BE63" s="18"/>
      <c r="BF63" s="1" t="s">
        <v>29</v>
      </c>
      <c r="BG63" s="19">
        <f>BM70/BG62/BG65</f>
        <v>19.133395596774189</v>
      </c>
      <c r="BH63" s="18"/>
      <c r="BI63" s="310" t="s">
        <v>50</v>
      </c>
      <c r="BJ63" s="310"/>
      <c r="BK63" s="1">
        <f>(5.75*2+7.7*2)*2*BG7</f>
        <v>53.8</v>
      </c>
      <c r="BL63" s="1">
        <f t="shared" si="250"/>
        <v>140</v>
      </c>
      <c r="BM63" s="20">
        <f t="shared" si="251"/>
        <v>7532</v>
      </c>
      <c r="BN63" s="31"/>
      <c r="BO63" s="30"/>
      <c r="BP63" s="18"/>
      <c r="BQ63" s="1" t="s">
        <v>29</v>
      </c>
      <c r="BR63" s="19">
        <f>BX70/BR62/BR65</f>
        <v>26.742719999999998</v>
      </c>
      <c r="BS63" s="18"/>
      <c r="BT63" s="310" t="s">
        <v>81</v>
      </c>
      <c r="BU63" s="310"/>
      <c r="BV63" s="1">
        <f>(6.15*2+9.5*2)*2*BR7*1.3</f>
        <v>81.38000000000001</v>
      </c>
      <c r="BW63" s="1">
        <f>BA63</f>
        <v>140</v>
      </c>
      <c r="BX63" s="20">
        <f t="shared" si="244"/>
        <v>11393.2</v>
      </c>
      <c r="BY63" s="31"/>
      <c r="BZ63" s="30"/>
      <c r="CA63" s="18"/>
      <c r="CB63" s="1" t="s">
        <v>29</v>
      </c>
      <c r="CC63" s="19">
        <f>CI70/CC62/CC65</f>
        <v>22.462804232804235</v>
      </c>
      <c r="CD63" s="18"/>
      <c r="CE63" s="310" t="s">
        <v>81</v>
      </c>
      <c r="CF63" s="310"/>
      <c r="CG63" s="1">
        <f>(6.15*2+9.5*2)*2*CC7*1.3</f>
        <v>81.38000000000001</v>
      </c>
      <c r="CH63" s="1">
        <f>BA63</f>
        <v>140</v>
      </c>
      <c r="CI63" s="20">
        <f t="shared" si="252"/>
        <v>11393.2</v>
      </c>
      <c r="CJ63" s="31"/>
      <c r="CK63" s="30"/>
      <c r="CL63" s="18"/>
      <c r="CM63" s="1" t="s">
        <v>28</v>
      </c>
      <c r="CN63" s="1">
        <f>CN11</f>
        <v>341</v>
      </c>
      <c r="CO63" s="18"/>
      <c r="CP63" s="310" t="s">
        <v>81</v>
      </c>
      <c r="CQ63" s="310"/>
      <c r="CR63" s="1">
        <f>(5.75*2+10.4*2)*2*CN7*1.3*4</f>
        <v>335.91999999999996</v>
      </c>
      <c r="CS63" s="1">
        <f>CH63</f>
        <v>140</v>
      </c>
      <c r="CT63" s="20">
        <f t="shared" si="253"/>
        <v>47028.799999999996</v>
      </c>
      <c r="CU63" s="31"/>
      <c r="CV63" s="30"/>
      <c r="CW63" s="18"/>
      <c r="CX63" s="1" t="s">
        <v>29</v>
      </c>
      <c r="CY63" s="19">
        <f>DE70/CY62/CY65</f>
        <v>26.75941666666667</v>
      </c>
      <c r="CZ63" s="18"/>
      <c r="DA63" s="310" t="s">
        <v>81</v>
      </c>
      <c r="DB63" s="310"/>
      <c r="DC63" s="1">
        <f>(5.75*2+10.4*2)*2*CY7*1.3</f>
        <v>167.95999999999998</v>
      </c>
      <c r="DD63" s="1">
        <f t="shared" si="261"/>
        <v>140</v>
      </c>
      <c r="DE63" s="20">
        <f t="shared" si="254"/>
        <v>23514.399999999998</v>
      </c>
      <c r="DF63" s="31"/>
      <c r="DG63" s="30"/>
      <c r="DH63" s="18"/>
      <c r="DI63" s="1" t="s">
        <v>29</v>
      </c>
      <c r="DJ63" s="19">
        <f>DP70/DJ62/DJ65</f>
        <v>29.68723214285713</v>
      </c>
      <c r="DK63" s="18"/>
      <c r="DL63" s="310" t="s">
        <v>81</v>
      </c>
      <c r="DM63" s="310"/>
      <c r="DN63" s="1">
        <f>(5.4*2+4.7*2+6.1*4)*2*DJ7*1.3</f>
        <v>115.96000000000001</v>
      </c>
      <c r="DO63" s="1">
        <f>DD63</f>
        <v>140</v>
      </c>
      <c r="DP63" s="20">
        <f>DN63*DO63</f>
        <v>16234.400000000001</v>
      </c>
      <c r="DQ63" s="31"/>
      <c r="DR63" s="30"/>
      <c r="DS63" s="18"/>
      <c r="DT63" s="1" t="s">
        <v>28</v>
      </c>
      <c r="DU63" s="1">
        <f>DU11</f>
        <v>450</v>
      </c>
      <c r="DV63" s="18"/>
      <c r="DW63" s="310" t="s">
        <v>14</v>
      </c>
      <c r="DX63" s="310"/>
      <c r="DY63" s="19">
        <f>DY61*0.2</f>
        <v>2303.9320000000002</v>
      </c>
      <c r="DZ63" s="1">
        <v>68</v>
      </c>
      <c r="EA63" s="20">
        <f>DY63*DZ63</f>
        <v>156667.37600000002</v>
      </c>
      <c r="EB63" s="31"/>
      <c r="EC63" s="30"/>
      <c r="ED63" s="18"/>
      <c r="EE63" s="1" t="s">
        <v>29</v>
      </c>
      <c r="EF63" s="19">
        <f>EL70/EF62/EF65</f>
        <v>33.152231413398695</v>
      </c>
      <c r="EG63" s="18"/>
      <c r="EH63" s="310" t="s">
        <v>81</v>
      </c>
      <c r="EI63" s="310"/>
      <c r="EJ63" s="1">
        <f>(5.4*2+4.7*2+6.1*4)*3*EF7*1.3</f>
        <v>347.88000000000005</v>
      </c>
      <c r="EK63" s="1">
        <f>JM63</f>
        <v>140</v>
      </c>
      <c r="EL63" s="20">
        <f t="shared" si="241"/>
        <v>48703.200000000004</v>
      </c>
      <c r="EM63" s="31"/>
      <c r="EN63" s="30"/>
      <c r="EO63" s="18"/>
      <c r="EP63" s="1" t="s">
        <v>29</v>
      </c>
      <c r="EQ63" s="19">
        <f>EW70/EQ62/EQ65</f>
        <v>27.8870685253268</v>
      </c>
      <c r="ER63" s="18"/>
      <c r="ES63" s="310" t="s">
        <v>81</v>
      </c>
      <c r="ET63" s="310"/>
      <c r="EU63" s="1">
        <f>(5.4*2+4.7*2+6.1*4)*3*EQ7*1.3</f>
        <v>347.88000000000005</v>
      </c>
      <c r="EV63" s="1">
        <f>EK63</f>
        <v>140</v>
      </c>
      <c r="EW63" s="20">
        <f>EU63*EV63</f>
        <v>48703.200000000004</v>
      </c>
      <c r="EX63" s="31"/>
      <c r="EY63" s="30"/>
      <c r="EZ63" s="18"/>
      <c r="FA63" s="1" t="s">
        <v>30</v>
      </c>
      <c r="FB63" s="19">
        <f>FF68</f>
        <v>15219.697999999999</v>
      </c>
      <c r="FC63" s="18"/>
      <c r="FD63" s="310" t="s">
        <v>81</v>
      </c>
      <c r="FE63" s="310"/>
      <c r="FF63" s="1">
        <f>(5.75*2+11.85*2)*2*FB7*1.3</f>
        <v>91.52000000000001</v>
      </c>
      <c r="FG63" s="1">
        <f>DD63</f>
        <v>140</v>
      </c>
      <c r="FH63" s="20">
        <f>FF63*FG63</f>
        <v>12812.800000000001</v>
      </c>
      <c r="FI63" s="31"/>
      <c r="FJ63" s="30"/>
      <c r="FK63" s="18"/>
      <c r="FL63" s="1" t="s">
        <v>30</v>
      </c>
      <c r="FM63" s="19">
        <f>FQ68</f>
        <v>23215.07</v>
      </c>
      <c r="FN63" s="18"/>
      <c r="FO63" s="310" t="s">
        <v>81</v>
      </c>
      <c r="FP63" s="310"/>
      <c r="FQ63" s="1">
        <f>(5.75*2+11.85*2)*2*FM7*1.3</f>
        <v>91.52000000000001</v>
      </c>
      <c r="FR63" s="1">
        <f>FG63</f>
        <v>140</v>
      </c>
      <c r="FS63" s="20">
        <f>FQ63*FR63</f>
        <v>12812.800000000001</v>
      </c>
      <c r="FT63" s="31"/>
      <c r="FU63" s="30"/>
      <c r="FV63" s="18"/>
      <c r="FW63" s="1" t="s">
        <v>29</v>
      </c>
      <c r="FX63" s="19">
        <f>GD70/FX62/FX65</f>
        <v>33.247354910714286</v>
      </c>
      <c r="FY63" s="18"/>
      <c r="FZ63" s="310" t="s">
        <v>81</v>
      </c>
      <c r="GA63" s="310"/>
      <c r="GB63" s="1">
        <f>(14.81*2+18.89*2)*2*FX7</f>
        <v>134.80000000000001</v>
      </c>
      <c r="GC63" s="1">
        <f>FG63</f>
        <v>140</v>
      </c>
      <c r="GD63" s="20">
        <f t="shared" si="257"/>
        <v>18872</v>
      </c>
      <c r="GE63" s="31"/>
      <c r="GF63" s="30"/>
      <c r="GG63" s="18"/>
      <c r="GJ63" s="18"/>
      <c r="GK63" s="310" t="s">
        <v>261</v>
      </c>
      <c r="GL63" s="310"/>
      <c r="GM63" s="19">
        <f>5.8*6*2*GI7*1.99</f>
        <v>277.00799999999998</v>
      </c>
      <c r="GN63" s="1">
        <f>GC63</f>
        <v>140</v>
      </c>
      <c r="GO63" s="20">
        <f t="shared" si="243"/>
        <v>38781.119999999995</v>
      </c>
      <c r="GP63" s="31"/>
      <c r="GQ63" s="30"/>
      <c r="GR63" s="18"/>
      <c r="GS63" s="1" t="s">
        <v>29</v>
      </c>
      <c r="GT63" s="19">
        <f>GZ70/GT62/GT65</f>
        <v>33.321609375000001</v>
      </c>
      <c r="GU63" s="18"/>
      <c r="GV63" s="310" t="s">
        <v>81</v>
      </c>
      <c r="GW63" s="310"/>
      <c r="GX63" s="1">
        <f>(14.81*2+18.89*2)*2*GT7</f>
        <v>134.80000000000001</v>
      </c>
      <c r="GY63" s="1">
        <f>GC63</f>
        <v>140</v>
      </c>
      <c r="GZ63" s="20">
        <f t="shared" si="265"/>
        <v>18872</v>
      </c>
      <c r="HA63" s="31"/>
      <c r="HB63" s="30"/>
      <c r="HC63" s="18"/>
      <c r="HD63" s="1" t="s">
        <v>28</v>
      </c>
      <c r="HE63" s="1">
        <f>HE11</f>
        <v>1200</v>
      </c>
      <c r="HF63" s="18"/>
      <c r="HG63" s="311" t="s">
        <v>81</v>
      </c>
      <c r="HH63" s="312"/>
      <c r="HI63" s="1">
        <f>(5.76*2+20.84*2+10*2)*2*HE7*1.3</f>
        <v>190.32000000000002</v>
      </c>
      <c r="HJ63" s="1">
        <f>GY63</f>
        <v>140</v>
      </c>
      <c r="HK63" s="20">
        <f t="shared" si="258"/>
        <v>26644.800000000003</v>
      </c>
      <c r="HL63" s="31"/>
      <c r="HM63" s="30"/>
      <c r="HN63" s="18"/>
      <c r="HO63" s="1" t="s">
        <v>28</v>
      </c>
      <c r="HP63" s="1">
        <f>HP11</f>
        <v>1200</v>
      </c>
      <c r="HQ63" s="18"/>
      <c r="HR63" s="311" t="s">
        <v>81</v>
      </c>
      <c r="HS63" s="312"/>
      <c r="HT63" s="1">
        <f>(5.76*2+20.84*2+10*2)*2*HP7*1.3</f>
        <v>190.32000000000002</v>
      </c>
      <c r="HU63" s="1">
        <f>HJ63</f>
        <v>140</v>
      </c>
      <c r="HV63" s="20">
        <f t="shared" si="266"/>
        <v>26644.800000000003</v>
      </c>
      <c r="HW63" s="31"/>
      <c r="HX63" s="30"/>
      <c r="HY63" s="18"/>
      <c r="HZ63" s="1" t="s">
        <v>28</v>
      </c>
      <c r="IA63" s="1">
        <f>IA11</f>
        <v>1134</v>
      </c>
      <c r="IB63" s="18"/>
      <c r="IC63" s="311" t="s">
        <v>81</v>
      </c>
      <c r="ID63" s="312"/>
      <c r="IE63" s="1">
        <f>(5.76*2+20.84*2+10*2)*2*IA7*1.3</f>
        <v>190.32000000000002</v>
      </c>
      <c r="IF63" s="1">
        <f>HU63</f>
        <v>140</v>
      </c>
      <c r="IG63" s="20">
        <f t="shared" si="267"/>
        <v>26644.800000000003</v>
      </c>
      <c r="IH63" s="31"/>
      <c r="II63" s="30"/>
      <c r="IJ63" s="18"/>
      <c r="IK63" s="1" t="s">
        <v>29</v>
      </c>
      <c r="IL63" s="19">
        <f>IR70/IL62/IL65</f>
        <v>24.25536036217844</v>
      </c>
      <c r="IM63" s="18"/>
      <c r="IN63" s="311" t="s">
        <v>81</v>
      </c>
      <c r="IO63" s="312"/>
      <c r="IP63" s="1">
        <f>(5.2*4+5.7*8+12*5+5.8*12+5.4*4+5.7*4+5.75*4)*IL7*2</f>
        <v>1580.3999999999999</v>
      </c>
      <c r="IQ63" s="1">
        <f>IF63</f>
        <v>140</v>
      </c>
      <c r="IR63" s="20">
        <f>IP63*IQ63</f>
        <v>221255.99999999997</v>
      </c>
      <c r="IS63" s="31"/>
      <c r="IT63" s="30"/>
      <c r="IU63" s="18"/>
      <c r="IV63" s="1" t="s">
        <v>29</v>
      </c>
      <c r="IW63" s="19">
        <f>JC70/IW62/IW65</f>
        <v>23.387614694327841</v>
      </c>
      <c r="IX63" s="18"/>
      <c r="IY63" s="311" t="s">
        <v>81</v>
      </c>
      <c r="IZ63" s="312"/>
      <c r="JA63" s="1">
        <f>(5.46*4+5.58*8+5.88*16+6.15*4)*IW7*2</f>
        <v>1110.96</v>
      </c>
      <c r="JB63" s="1">
        <f>IF63</f>
        <v>140</v>
      </c>
      <c r="JC63" s="20">
        <f>JA63*JB63</f>
        <v>155534.39999999999</v>
      </c>
      <c r="JD63" s="31"/>
      <c r="JE63" s="30"/>
      <c r="JF63" s="18"/>
      <c r="JG63" s="1" t="s">
        <v>29</v>
      </c>
      <c r="JH63" s="19">
        <f>JN70/JH62/JH65</f>
        <v>25.105069558662272</v>
      </c>
      <c r="JI63" s="18"/>
      <c r="JJ63" s="311" t="s">
        <v>81</v>
      </c>
      <c r="JK63" s="312"/>
      <c r="JL63" s="1">
        <f>(6.5*4+6.2*20)*JH7*1.3</f>
        <v>585</v>
      </c>
      <c r="JM63" s="1">
        <f t="shared" si="236"/>
        <v>140</v>
      </c>
      <c r="JN63" s="20">
        <f t="shared" si="237"/>
        <v>81900</v>
      </c>
      <c r="JO63" s="31"/>
      <c r="JP63" s="30"/>
      <c r="JQ63" s="18"/>
      <c r="JR63" s="1" t="s">
        <v>29</v>
      </c>
      <c r="JS63" s="19">
        <f>JY70/JS62/JS65</f>
        <v>23.163326315789472</v>
      </c>
      <c r="JT63" s="18"/>
      <c r="JU63" s="311" t="s">
        <v>81</v>
      </c>
      <c r="JV63" s="312"/>
      <c r="JW63" s="1">
        <f>(5.2*4+5.7*8+12*5+5.8*12+5.4*4+5.7*4+5.75*4)*JS7*2</f>
        <v>1580.3999999999999</v>
      </c>
      <c r="JX63" s="1">
        <v>120</v>
      </c>
      <c r="JY63" s="20">
        <f t="shared" si="238"/>
        <v>189647.99999999997</v>
      </c>
      <c r="JZ63" s="31"/>
      <c r="KA63" s="30"/>
      <c r="KB63" s="18"/>
      <c r="KC63" s="1" t="s">
        <v>29</v>
      </c>
      <c r="KD63" s="19">
        <f>KJ70/KD62/KD65</f>
        <v>21.253866917293237</v>
      </c>
      <c r="KE63" s="18"/>
      <c r="KF63" s="311" t="s">
        <v>81</v>
      </c>
      <c r="KG63" s="312"/>
      <c r="KH63" s="1">
        <f>(5.2*4+5.7*8+12*5+5.8*12+5.4*4+5.7*4+5.75*4)*KD7*2</f>
        <v>1580.3999999999999</v>
      </c>
      <c r="KI63" s="1">
        <f t="shared" si="239"/>
        <v>120</v>
      </c>
      <c r="KJ63" s="20">
        <f t="shared" si="240"/>
        <v>189647.99999999997</v>
      </c>
      <c r="KK63" s="31"/>
      <c r="KL63" s="30"/>
      <c r="KM63" s="18"/>
      <c r="KN63" s="1" t="s">
        <v>29</v>
      </c>
      <c r="KO63" s="19">
        <f>KU70/KO62/KO65</f>
        <v>21.252662907268167</v>
      </c>
      <c r="KP63" s="18"/>
      <c r="KQ63" s="311" t="s">
        <v>81</v>
      </c>
      <c r="KR63" s="312"/>
      <c r="KS63" s="1">
        <f>(6.5*4+6.2*20)*KO7*1.5</f>
        <v>675</v>
      </c>
      <c r="KT63" s="1">
        <f>JM63</f>
        <v>140</v>
      </c>
      <c r="KU63" s="20">
        <f t="shared" si="246"/>
        <v>94500</v>
      </c>
      <c r="KV63" s="31"/>
      <c r="KW63" s="30"/>
      <c r="KX63" s="18"/>
      <c r="KY63" s="1" t="s">
        <v>29</v>
      </c>
      <c r="KZ63" s="19">
        <f>LF70/KZ62/KZ65</f>
        <v>32.14872613580247</v>
      </c>
      <c r="LA63" s="18"/>
      <c r="LB63" s="310" t="s">
        <v>81</v>
      </c>
      <c r="LC63" s="310"/>
      <c r="LD63" s="1">
        <v>2500</v>
      </c>
      <c r="LE63" s="1">
        <f>EV63</f>
        <v>140</v>
      </c>
      <c r="LF63" s="20">
        <f>LD63*LE63</f>
        <v>350000</v>
      </c>
      <c r="LG63" s="31"/>
      <c r="LH63" s="30"/>
      <c r="LI63" s="18"/>
      <c r="LJ63" s="1" t="s">
        <v>28</v>
      </c>
      <c r="LK63" s="1">
        <f>LK11</f>
        <v>4104</v>
      </c>
      <c r="LL63" s="18"/>
      <c r="LM63" s="310" t="s">
        <v>14</v>
      </c>
      <c r="LN63" s="310"/>
      <c r="LO63" s="19">
        <f>LO60*0.15</f>
        <v>7084.271999999999</v>
      </c>
      <c r="LP63" s="1">
        <f>LE62</f>
        <v>65</v>
      </c>
      <c r="LQ63" s="20">
        <f>LO63*LP63</f>
        <v>460477.67999999993</v>
      </c>
      <c r="LR63" s="31"/>
      <c r="LS63" s="30"/>
      <c r="LT63" s="18"/>
      <c r="LU63" s="1" t="s">
        <v>28</v>
      </c>
      <c r="LV63" s="1">
        <f>LV11</f>
        <v>270</v>
      </c>
      <c r="LW63" s="18"/>
      <c r="LX63" s="310" t="s">
        <v>14</v>
      </c>
      <c r="LY63" s="310"/>
      <c r="LZ63" s="19">
        <f>LZ61*0.2</f>
        <v>1513.9880000000003</v>
      </c>
      <c r="MA63" s="1">
        <v>68</v>
      </c>
      <c r="MB63" s="20">
        <f>LZ63*MA63</f>
        <v>102951.18400000002</v>
      </c>
      <c r="MC63" s="31"/>
      <c r="ME63" s="30"/>
      <c r="MF63" s="18"/>
      <c r="MG63" s="1" t="s">
        <v>28</v>
      </c>
      <c r="MH63" s="1">
        <f>MH11</f>
        <v>270</v>
      </c>
      <c r="MI63" s="18"/>
      <c r="MJ63" s="310" t="s">
        <v>14</v>
      </c>
      <c r="MK63" s="310"/>
      <c r="ML63" s="19">
        <f>ML61*0.2</f>
        <v>1346.9892</v>
      </c>
      <c r="MM63" s="1">
        <v>68</v>
      </c>
      <c r="MN63" s="20">
        <f>ML63*MM63</f>
        <v>91595.265599999999</v>
      </c>
      <c r="MO63" s="31"/>
      <c r="NE63" s="18"/>
    </row>
    <row r="64" spans="1:378" x14ac:dyDescent="0.25">
      <c r="A64" s="30"/>
      <c r="C64" s="1" t="s">
        <v>28</v>
      </c>
      <c r="D64" s="1">
        <f>D11</f>
        <v>9</v>
      </c>
      <c r="E64" s="18"/>
      <c r="F64" s="311" t="s">
        <v>15</v>
      </c>
      <c r="G64" s="312"/>
      <c r="H64" s="1">
        <f>(2+2*D6)*30+G23*25</f>
        <v>170</v>
      </c>
      <c r="I64" s="1">
        <f>AE64</f>
        <v>65</v>
      </c>
      <c r="J64" s="20">
        <f>H64*I64</f>
        <v>11050</v>
      </c>
      <c r="K64" s="31"/>
      <c r="L64" s="30"/>
      <c r="N64" s="1" t="s">
        <v>28</v>
      </c>
      <c r="O64" s="1">
        <f>O11</f>
        <v>27.5</v>
      </c>
      <c r="P64" s="18"/>
      <c r="Q64" s="311" t="s">
        <v>15</v>
      </c>
      <c r="R64" s="312"/>
      <c r="S64" s="1">
        <f>(2+2*O6)*30+R23*25</f>
        <v>220</v>
      </c>
      <c r="T64" s="1">
        <f>I64</f>
        <v>65</v>
      </c>
      <c r="U64" s="20">
        <f>S64*T64</f>
        <v>14300</v>
      </c>
      <c r="V64" s="31"/>
      <c r="W64" s="30"/>
      <c r="X64" s="18"/>
      <c r="Y64" s="1" t="s">
        <v>30</v>
      </c>
      <c r="Z64" s="19">
        <f>AD68</f>
        <v>7227.003200000001</v>
      </c>
      <c r="AA64" s="18"/>
      <c r="AB64" s="310" t="s">
        <v>15</v>
      </c>
      <c r="AC64" s="310"/>
      <c r="AD64" s="1">
        <f>(2+2*Z6)*35</f>
        <v>490</v>
      </c>
      <c r="AE64" s="1">
        <v>65</v>
      </c>
      <c r="AF64" s="20">
        <f t="shared" si="242"/>
        <v>31850</v>
      </c>
      <c r="AG64" s="31"/>
      <c r="AH64" s="30"/>
      <c r="AI64" s="18"/>
      <c r="AJ64" s="1" t="s">
        <v>30</v>
      </c>
      <c r="AK64" s="19">
        <f>AO68</f>
        <v>5846.4320000000007</v>
      </c>
      <c r="AL64" s="18"/>
      <c r="AM64" s="310" t="s">
        <v>15</v>
      </c>
      <c r="AN64" s="310"/>
      <c r="AO64" s="1">
        <f>(2+2*AK6)*40+AN20*25</f>
        <v>740</v>
      </c>
      <c r="AP64" s="1">
        <f>AP61</f>
        <v>65</v>
      </c>
      <c r="AQ64" s="20">
        <f t="shared" si="247"/>
        <v>48100</v>
      </c>
      <c r="AR64" s="31"/>
      <c r="AS64" s="30"/>
      <c r="AT64" s="18"/>
      <c r="AU64" s="1" t="s">
        <v>30</v>
      </c>
      <c r="AV64" s="19">
        <f>AZ68</f>
        <v>6792.0260000000007</v>
      </c>
      <c r="AW64" s="18"/>
      <c r="AX64" s="310" t="s">
        <v>15</v>
      </c>
      <c r="AY64" s="310"/>
      <c r="AZ64" s="1">
        <f>(2+2*AV6)*35+AY20*20</f>
        <v>640</v>
      </c>
      <c r="BA64" s="1">
        <f t="shared" si="248"/>
        <v>65</v>
      </c>
      <c r="BB64" s="20">
        <f t="shared" si="249"/>
        <v>41600</v>
      </c>
      <c r="BC64" s="31"/>
      <c r="BD64" s="30"/>
      <c r="BE64" s="18"/>
      <c r="BF64" s="1" t="s">
        <v>30</v>
      </c>
      <c r="BG64" s="19">
        <f>BK68</f>
        <v>7592.1313727999986</v>
      </c>
      <c r="BH64" s="18"/>
      <c r="BI64" s="310" t="s">
        <v>15</v>
      </c>
      <c r="BJ64" s="310"/>
      <c r="BK64" s="1">
        <f>(2+2*BG6)*30+BJ20*20</f>
        <v>620</v>
      </c>
      <c r="BL64" s="1">
        <f t="shared" si="250"/>
        <v>65</v>
      </c>
      <c r="BM64" s="20">
        <f t="shared" si="251"/>
        <v>40300</v>
      </c>
      <c r="BN64" s="31"/>
      <c r="BO64" s="30"/>
      <c r="BP64" s="18"/>
      <c r="BQ64" s="1" t="s">
        <v>30</v>
      </c>
      <c r="BR64" s="19">
        <f>BV68</f>
        <v>8022.8159999999998</v>
      </c>
      <c r="BS64" s="18"/>
      <c r="BT64" s="310" t="s">
        <v>15</v>
      </c>
      <c r="BU64" s="310"/>
      <c r="BV64" s="1">
        <f>(2+2*BR6)*35+(BU20)*20</f>
        <v>500</v>
      </c>
      <c r="BW64" s="1">
        <f>BA64</f>
        <v>65</v>
      </c>
      <c r="BX64" s="20">
        <f t="shared" si="244"/>
        <v>32500</v>
      </c>
      <c r="BY64" s="31"/>
      <c r="BZ64" s="30"/>
      <c r="CA64" s="18"/>
      <c r="CB64" s="1" t="s">
        <v>30</v>
      </c>
      <c r="CC64" s="19">
        <f>CG68</f>
        <v>10613.675000000001</v>
      </c>
      <c r="CD64" s="18"/>
      <c r="CE64" s="310" t="s">
        <v>15</v>
      </c>
      <c r="CF64" s="310"/>
      <c r="CG64" s="1">
        <f>(2+2*CC6)*35+(CF20+CF21)*20</f>
        <v>720</v>
      </c>
      <c r="CH64" s="1">
        <f>BA64</f>
        <v>65</v>
      </c>
      <c r="CI64" s="20">
        <f t="shared" si="252"/>
        <v>46800</v>
      </c>
      <c r="CJ64" s="31"/>
      <c r="CK64" s="30"/>
      <c r="CL64" s="18"/>
      <c r="CM64" s="1" t="s">
        <v>29</v>
      </c>
      <c r="CN64" s="19">
        <f>CT70/CN63/CN66</f>
        <v>43.733137829912025</v>
      </c>
      <c r="CO64" s="18"/>
      <c r="CP64" s="310" t="s">
        <v>15</v>
      </c>
      <c r="CQ64" s="310"/>
      <c r="CR64" s="1">
        <f>(2+2*CN6+2)*40+(CQ23+CQ24)/2*20</f>
        <v>720</v>
      </c>
      <c r="CS64" s="1">
        <f>CH64</f>
        <v>65</v>
      </c>
      <c r="CT64" s="20">
        <f t="shared" si="253"/>
        <v>46800</v>
      </c>
      <c r="CU64" s="31"/>
      <c r="CV64" s="30"/>
      <c r="CW64" s="18"/>
      <c r="CX64" s="1" t="s">
        <v>30</v>
      </c>
      <c r="CY64" s="19">
        <f>DC68</f>
        <v>6422.26</v>
      </c>
      <c r="CZ64" s="18"/>
      <c r="DA64" s="310" t="s">
        <v>15</v>
      </c>
      <c r="DB64" s="310"/>
      <c r="DC64" s="1">
        <f>(2+2*CY6)*35+(DB20+DB21)*20</f>
        <v>910</v>
      </c>
      <c r="DD64" s="1">
        <f t="shared" si="261"/>
        <v>65</v>
      </c>
      <c r="DE64" s="20">
        <f t="shared" si="254"/>
        <v>59150</v>
      </c>
      <c r="DF64" s="31"/>
      <c r="DG64" s="30"/>
      <c r="DH64" s="18"/>
      <c r="DI64" s="1" t="s">
        <v>30</v>
      </c>
      <c r="DJ64" s="19">
        <f>DN68</f>
        <v>14962.364999999996</v>
      </c>
      <c r="DK64" s="18"/>
      <c r="DL64" s="310" t="s">
        <v>15</v>
      </c>
      <c r="DM64" s="310"/>
      <c r="DN64" s="1">
        <f>(DM22/2)*30+(DM24+DM25)*20</f>
        <v>640</v>
      </c>
      <c r="DO64" s="1">
        <f>DD64</f>
        <v>65</v>
      </c>
      <c r="DP64" s="20">
        <f>DN64*DO64</f>
        <v>41600</v>
      </c>
      <c r="DQ64" s="31"/>
      <c r="DR64" s="30"/>
      <c r="DS64" s="18"/>
      <c r="DT64" s="1" t="s">
        <v>29</v>
      </c>
      <c r="DU64" s="19">
        <f>EA71/DU63/DU66</f>
        <v>35.305455555555554</v>
      </c>
      <c r="DV64" s="18"/>
      <c r="DW64" s="310" t="s">
        <v>81</v>
      </c>
      <c r="DX64" s="310"/>
      <c r="DY64" s="1">
        <f>(5.4*2+4.7*2+6.1*4)*3*DU7*1.3</f>
        <v>347.88000000000005</v>
      </c>
      <c r="DZ64" s="1">
        <f>DO63</f>
        <v>140</v>
      </c>
      <c r="EA64" s="20">
        <f>DY64*DZ64</f>
        <v>48703.200000000004</v>
      </c>
      <c r="EB64" s="31"/>
      <c r="EC64" s="30"/>
      <c r="ED64" s="18"/>
      <c r="EE64" s="1" t="s">
        <v>30</v>
      </c>
      <c r="EF64" s="19">
        <f>EJ68</f>
        <v>32462.665000000001</v>
      </c>
      <c r="EG64" s="18"/>
      <c r="EH64" s="310" t="s">
        <v>15</v>
      </c>
      <c r="EI64" s="310"/>
      <c r="EJ64" s="1">
        <f>(EI25/2)*35+(EI27+EI28)*20+EI29*15</f>
        <v>1210</v>
      </c>
      <c r="EK64" s="1">
        <f>JM64</f>
        <v>65</v>
      </c>
      <c r="EL64" s="20">
        <f t="shared" si="241"/>
        <v>78650</v>
      </c>
      <c r="EM64" s="31"/>
      <c r="EN64" s="30"/>
      <c r="EO64" s="18"/>
      <c r="EP64" s="1" t="s">
        <v>30</v>
      </c>
      <c r="EQ64" s="19">
        <f>EU68</f>
        <v>27307.017500000002</v>
      </c>
      <c r="ER64" s="18"/>
      <c r="ES64" s="310" t="s">
        <v>15</v>
      </c>
      <c r="ET64" s="310"/>
      <c r="EU64" s="1">
        <f>(ET25/2)*35+(ET27+ET28)*20</f>
        <v>930</v>
      </c>
      <c r="EV64" s="1">
        <f>EK64</f>
        <v>65</v>
      </c>
      <c r="EW64" s="20">
        <f>EU64*EV64</f>
        <v>60450</v>
      </c>
      <c r="EX64" s="31"/>
      <c r="EY64" s="30"/>
      <c r="EZ64" s="18"/>
      <c r="FA64" s="1" t="s">
        <v>32</v>
      </c>
      <c r="FB64" s="21">
        <f>FH70/FF68</f>
        <v>90.470403688693438</v>
      </c>
      <c r="FC64" s="18"/>
      <c r="FD64" s="310" t="s">
        <v>15</v>
      </c>
      <c r="FE64" s="310"/>
      <c r="FF64" s="1">
        <f>(2+2*FB6)*35+(FE20+FE21)*20</f>
        <v>720</v>
      </c>
      <c r="FG64" s="1">
        <f>DD64</f>
        <v>65</v>
      </c>
      <c r="FH64" s="20">
        <f>FF64*FG64</f>
        <v>46800</v>
      </c>
      <c r="FI64" s="31"/>
      <c r="FJ64" s="30"/>
      <c r="FK64" s="18"/>
      <c r="FL64" s="1" t="s">
        <v>32</v>
      </c>
      <c r="FM64" s="21">
        <f>FS70/FQ68</f>
        <v>90.607700601376592</v>
      </c>
      <c r="FN64" s="18"/>
      <c r="FO64" s="310" t="s">
        <v>15</v>
      </c>
      <c r="FP64" s="310"/>
      <c r="FQ64" s="1">
        <f>(2+2*FM6)*35+(FP21/2+FP22/2)*20</f>
        <v>900</v>
      </c>
      <c r="FR64" s="1">
        <f>FG64</f>
        <v>65</v>
      </c>
      <c r="FS64" s="20">
        <f>FQ64*FR64</f>
        <v>58500</v>
      </c>
      <c r="FT64" s="31"/>
      <c r="FU64" s="30"/>
      <c r="FV64" s="18"/>
      <c r="FW64" s="1" t="s">
        <v>30</v>
      </c>
      <c r="FX64" s="19">
        <f>GB68</f>
        <v>22342.2225</v>
      </c>
      <c r="FY64" s="18"/>
      <c r="FZ64" s="310" t="s">
        <v>15</v>
      </c>
      <c r="GA64" s="310"/>
      <c r="GB64" s="1">
        <f>(2+2*FX6)*35+(GA29+GA30+GA31+GA32+GA33)*20</f>
        <v>800</v>
      </c>
      <c r="GC64" s="1">
        <f>FG64</f>
        <v>65</v>
      </c>
      <c r="GD64" s="20">
        <f t="shared" si="257"/>
        <v>52000</v>
      </c>
      <c r="GE64" s="31"/>
      <c r="GF64" s="30"/>
      <c r="GG64" s="18"/>
      <c r="GJ64" s="18"/>
      <c r="GK64" s="310" t="s">
        <v>15</v>
      </c>
      <c r="GL64" s="310"/>
      <c r="GM64" s="1">
        <f>(2+2*GI6)*25+(GL31/2+GL32/2+GL33/2)*20</f>
        <v>1040</v>
      </c>
      <c r="GN64" s="1">
        <f>GC64</f>
        <v>65</v>
      </c>
      <c r="GO64" s="20">
        <f t="shared" si="243"/>
        <v>67600</v>
      </c>
      <c r="GP64" s="31"/>
      <c r="GQ64" s="30"/>
      <c r="GR64" s="18"/>
      <c r="GS64" s="1" t="s">
        <v>30</v>
      </c>
      <c r="GT64" s="19">
        <f>GX68</f>
        <v>26657.287500000002</v>
      </c>
      <c r="GU64" s="18"/>
      <c r="GV64" s="310" t="s">
        <v>15</v>
      </c>
      <c r="GW64" s="310"/>
      <c r="GX64" s="1">
        <f>(2+2*GT6)*35+(GW25+GW26)*20</f>
        <v>950</v>
      </c>
      <c r="GY64" s="1">
        <f>GC64</f>
        <v>65</v>
      </c>
      <c r="GZ64" s="20">
        <f t="shared" si="265"/>
        <v>61750</v>
      </c>
      <c r="HA64" s="31"/>
      <c r="HB64" s="30"/>
      <c r="HC64" s="18"/>
      <c r="HD64" s="1" t="s">
        <v>29</v>
      </c>
      <c r="HE64" s="19">
        <f>HK70/HE63/HE66</f>
        <v>22.642875</v>
      </c>
      <c r="HF64" s="18"/>
      <c r="HG64" s="311" t="s">
        <v>15</v>
      </c>
      <c r="HH64" s="312"/>
      <c r="HI64" s="1">
        <f>(3+3*HE6)*35+(HH22+HH23)*20</f>
        <v>1525</v>
      </c>
      <c r="HJ64" s="1">
        <f>GY64</f>
        <v>65</v>
      </c>
      <c r="HK64" s="20">
        <f t="shared" si="258"/>
        <v>99125</v>
      </c>
      <c r="HL64" s="31"/>
      <c r="HM64" s="30"/>
      <c r="HN64" s="18"/>
      <c r="HO64" s="1" t="s">
        <v>29</v>
      </c>
      <c r="HP64" s="19">
        <f>HV70/HP63/HP66</f>
        <v>19.241193750000001</v>
      </c>
      <c r="HQ64" s="18"/>
      <c r="HR64" s="311" t="s">
        <v>15</v>
      </c>
      <c r="HS64" s="312"/>
      <c r="HT64" s="1">
        <f>(3+3*HP6)*35+(HS26+HS27)*20</f>
        <v>1105</v>
      </c>
      <c r="HU64" s="1">
        <f>HJ64</f>
        <v>65</v>
      </c>
      <c r="HV64" s="20">
        <f t="shared" si="266"/>
        <v>71825</v>
      </c>
      <c r="HW64" s="31"/>
      <c r="HX64" s="30"/>
      <c r="HY64" s="18"/>
      <c r="HZ64" s="1" t="s">
        <v>29</v>
      </c>
      <c r="IA64" s="19">
        <f>IG70/IA63/IA66</f>
        <v>22.71676587301587</v>
      </c>
      <c r="IB64" s="18"/>
      <c r="IC64" s="311" t="s">
        <v>15</v>
      </c>
      <c r="ID64" s="312"/>
      <c r="IE64" s="1">
        <f>(3+3*IA6)*35+(ID23+ID24+ID25)*20</f>
        <v>1080</v>
      </c>
      <c r="IF64" s="1">
        <f>HU64</f>
        <v>65</v>
      </c>
      <c r="IG64" s="20">
        <f t="shared" si="267"/>
        <v>70200</v>
      </c>
      <c r="IH64" s="31"/>
      <c r="II64" s="30"/>
      <c r="IJ64" s="18"/>
      <c r="IK64" s="1" t="s">
        <v>30</v>
      </c>
      <c r="IL64" s="19">
        <f>IP68</f>
        <v>72114.09699999998</v>
      </c>
      <c r="IM64" s="18"/>
      <c r="IN64" s="311" t="s">
        <v>15</v>
      </c>
      <c r="IO64" s="312"/>
      <c r="IP64" s="1">
        <f>(IL6+1)*4*20+(IO24+IO23+IO22+IO21+IO20)*15</f>
        <v>1900</v>
      </c>
      <c r="IQ64" s="1">
        <f>IF64</f>
        <v>65</v>
      </c>
      <c r="IR64" s="20">
        <f>IP64*IQ64</f>
        <v>123500</v>
      </c>
      <c r="IS64" s="31"/>
      <c r="IT64" s="30"/>
      <c r="IU64" s="18"/>
      <c r="IV64" s="1" t="s">
        <v>30</v>
      </c>
      <c r="IW64" s="19">
        <f>JA68</f>
        <v>69534.184999999998</v>
      </c>
      <c r="IX64" s="18"/>
      <c r="IY64" s="311" t="s">
        <v>15</v>
      </c>
      <c r="IZ64" s="312"/>
      <c r="JA64" s="1">
        <f>(IW6+1)*4*40+(IZ18+IZ19/2+IZ20+IZ21+IZ22)*20</f>
        <v>3600</v>
      </c>
      <c r="JB64" s="1">
        <f>IF64</f>
        <v>65</v>
      </c>
      <c r="JC64" s="20">
        <f>JA64*JB64</f>
        <v>234000</v>
      </c>
      <c r="JD64" s="31"/>
      <c r="JE64" s="30"/>
      <c r="JF64" s="18"/>
      <c r="JG64" s="1" t="s">
        <v>30</v>
      </c>
      <c r="JH64" s="19">
        <f>JL68</f>
        <v>73266.63499999998</v>
      </c>
      <c r="JI64" s="18"/>
      <c r="JJ64" s="311" t="s">
        <v>15</v>
      </c>
      <c r="JK64" s="312"/>
      <c r="JL64" s="1">
        <f>(JH6+1)*4*35+(JK25+JK26+JK27+JK28/2+JK29+JK30)*20</f>
        <v>3240</v>
      </c>
      <c r="JM64" s="1">
        <f t="shared" si="236"/>
        <v>65</v>
      </c>
      <c r="JN64" s="20">
        <f t="shared" si="237"/>
        <v>210600</v>
      </c>
      <c r="JO64" s="31"/>
      <c r="JP64" s="30"/>
      <c r="JQ64" s="18"/>
      <c r="JR64" s="1" t="s">
        <v>30</v>
      </c>
      <c r="JS64" s="19">
        <f>JW68</f>
        <v>61614.447999999997</v>
      </c>
      <c r="JT64" s="18"/>
      <c r="JU64" s="311" t="s">
        <v>15</v>
      </c>
      <c r="JV64" s="312"/>
      <c r="JW64" s="1">
        <f>(JS6+1)*4*20+(JV25+JV26+JV30)*15</f>
        <v>1780</v>
      </c>
      <c r="JX64" s="1">
        <f>JX55</f>
        <v>65</v>
      </c>
      <c r="JY64" s="20">
        <f t="shared" si="238"/>
        <v>115700</v>
      </c>
      <c r="JZ64" s="31"/>
      <c r="KA64" s="30"/>
      <c r="KB64" s="18"/>
      <c r="KC64" s="1" t="s">
        <v>30</v>
      </c>
      <c r="KD64" s="19">
        <f>KH68</f>
        <v>56535.286</v>
      </c>
      <c r="KE64" s="18"/>
      <c r="KF64" s="311" t="s">
        <v>15</v>
      </c>
      <c r="KG64" s="312"/>
      <c r="KH64" s="1">
        <f>(KD6+1)*4*20+(KG25+KG26+KG30)*15</f>
        <v>1780</v>
      </c>
      <c r="KI64" s="1">
        <f t="shared" si="239"/>
        <v>65</v>
      </c>
      <c r="KJ64" s="20">
        <f t="shared" si="240"/>
        <v>115700</v>
      </c>
      <c r="KK64" s="31"/>
      <c r="KL64" s="30"/>
      <c r="KM64" s="18"/>
      <c r="KN64" s="1" t="s">
        <v>30</v>
      </c>
      <c r="KO64" s="19">
        <f>KS68</f>
        <v>54270.799999999996</v>
      </c>
      <c r="KP64" s="18"/>
      <c r="KQ64" s="311" t="s">
        <v>15</v>
      </c>
      <c r="KR64" s="312"/>
      <c r="KS64" s="1">
        <f>(KO6+1)*4*37+(KR25/2+KR26)*22</f>
        <v>3136</v>
      </c>
      <c r="KT64" s="1">
        <f>JM64</f>
        <v>65</v>
      </c>
      <c r="KU64" s="20">
        <f t="shared" si="246"/>
        <v>203840</v>
      </c>
      <c r="KV64" s="31"/>
      <c r="KW64" s="30"/>
      <c r="KX64" s="18"/>
      <c r="KY64" s="1" t="s">
        <v>30</v>
      </c>
      <c r="KZ64" s="19">
        <f>LD68</f>
        <v>312485.61803999997</v>
      </c>
      <c r="LA64" s="18"/>
      <c r="LB64" s="310" t="s">
        <v>15</v>
      </c>
      <c r="LC64" s="310"/>
      <c r="LD64" s="1">
        <f>(LC16/2+LC17)*35+(LC34+LC35+LC37+LC38)*15</f>
        <v>4545</v>
      </c>
      <c r="LE64" s="1">
        <f>EV64</f>
        <v>65</v>
      </c>
      <c r="LF64" s="20">
        <f>LD64*LE64</f>
        <v>295425</v>
      </c>
      <c r="LG64" s="31"/>
      <c r="LH64" s="30"/>
      <c r="LI64" s="18"/>
      <c r="LJ64" s="1" t="s">
        <v>29</v>
      </c>
      <c r="LK64" s="19">
        <f>LQ70/LK63/LK66</f>
        <v>34.094201754385963</v>
      </c>
      <c r="LL64" s="18"/>
      <c r="LM64" s="310" t="s">
        <v>15</v>
      </c>
      <c r="LN64" s="310"/>
      <c r="LO64" s="1">
        <f>(LN16+LN17)*45</f>
        <v>2340</v>
      </c>
      <c r="LP64" s="1">
        <f>LE64</f>
        <v>65</v>
      </c>
      <c r="LQ64" s="20">
        <f>LO64*LP64</f>
        <v>152100</v>
      </c>
      <c r="LR64" s="31"/>
      <c r="LS64" s="30"/>
      <c r="LT64" s="18"/>
      <c r="LU64" s="1" t="s">
        <v>29</v>
      </c>
      <c r="LV64" s="19">
        <f>MB71/LV63/LV66</f>
        <v>38.727277777777772</v>
      </c>
      <c r="LW64" s="18"/>
      <c r="LX64" s="310" t="s">
        <v>81</v>
      </c>
      <c r="LY64" s="310"/>
      <c r="LZ64" s="1">
        <f>(5.4*2+4.7*2+6.1*4)*3*LV7*1.3</f>
        <v>173.94000000000003</v>
      </c>
      <c r="MA64" s="1">
        <v>140</v>
      </c>
      <c r="MB64" s="20">
        <f>LZ64*MA64</f>
        <v>24351.600000000002</v>
      </c>
      <c r="MC64" s="31"/>
      <c r="ME64" s="30"/>
      <c r="MF64" s="18"/>
      <c r="MG64" s="1" t="s">
        <v>29</v>
      </c>
      <c r="MH64" s="19">
        <f>MN71/MH63/MH66</f>
        <v>34.020824074074085</v>
      </c>
      <c r="MI64" s="18"/>
      <c r="MJ64" s="310" t="s">
        <v>81</v>
      </c>
      <c r="MK64" s="310"/>
      <c r="ML64" s="1">
        <f>(5.4*2+4.7*2+6.1*4)*3*MH7*1.3</f>
        <v>173.94000000000003</v>
      </c>
      <c r="MM64" s="1">
        <v>140</v>
      </c>
      <c r="MN64" s="20">
        <f>ML64*MM64</f>
        <v>24351.600000000002</v>
      </c>
      <c r="MO64" s="31"/>
      <c r="NE64" s="18"/>
    </row>
    <row r="65" spans="1:469" x14ac:dyDescent="0.25">
      <c r="A65" s="30"/>
      <c r="B65" s="18"/>
      <c r="C65" s="1" t="s">
        <v>29</v>
      </c>
      <c r="D65" s="19">
        <f>J70/D64/D67</f>
        <v>76.67875555555554</v>
      </c>
      <c r="E65" s="18"/>
      <c r="F65" s="311" t="s">
        <v>16</v>
      </c>
      <c r="G65" s="312"/>
      <c r="H65" s="19">
        <f>H61*0.06</f>
        <v>25.660799999999998</v>
      </c>
      <c r="I65" s="1">
        <f>AE65</f>
        <v>110</v>
      </c>
      <c r="J65" s="20">
        <f>H65*I65</f>
        <v>2822.6879999999996</v>
      </c>
      <c r="K65" s="31"/>
      <c r="L65" s="30"/>
      <c r="M65" s="18"/>
      <c r="N65" s="1" t="s">
        <v>29</v>
      </c>
      <c r="O65" s="19">
        <f>U70/O64/O67</f>
        <v>48.713789090909088</v>
      </c>
      <c r="P65" s="18"/>
      <c r="Q65" s="311" t="s">
        <v>16</v>
      </c>
      <c r="R65" s="312"/>
      <c r="S65" s="19">
        <f>S61*0.06</f>
        <v>55.222200000000008</v>
      </c>
      <c r="T65" s="1">
        <f>I65</f>
        <v>110</v>
      </c>
      <c r="U65" s="20">
        <f>S65*T65</f>
        <v>6074.4420000000009</v>
      </c>
      <c r="V65" s="31"/>
      <c r="W65" s="30"/>
      <c r="X65" s="18"/>
      <c r="Y65" s="1" t="s">
        <v>32</v>
      </c>
      <c r="Z65" s="21">
        <f>AF70/AD68</f>
        <v>89.424931030887038</v>
      </c>
      <c r="AA65" s="18"/>
      <c r="AB65" s="310" t="s">
        <v>16</v>
      </c>
      <c r="AC65" s="310"/>
      <c r="AD65" s="19">
        <f>(AD57+AD58)*0.05</f>
        <v>243.70160000000001</v>
      </c>
      <c r="AE65" s="1">
        <v>110</v>
      </c>
      <c r="AF65" s="20">
        <f t="shared" si="242"/>
        <v>26807.176000000003</v>
      </c>
      <c r="AG65" s="31"/>
      <c r="AH65" s="30"/>
      <c r="AI65" s="18"/>
      <c r="AJ65" s="1" t="s">
        <v>32</v>
      </c>
      <c r="AK65" s="21">
        <f>AQ70/AO68</f>
        <v>88.642823191991269</v>
      </c>
      <c r="AL65" s="18"/>
      <c r="AM65" s="310" t="s">
        <v>16</v>
      </c>
      <c r="AN65" s="310"/>
      <c r="AO65" s="19">
        <f>AO59*0.05</f>
        <v>191.90688000000003</v>
      </c>
      <c r="AP65" s="1">
        <v>110</v>
      </c>
      <c r="AQ65" s="20">
        <f t="shared" si="247"/>
        <v>21109.756800000003</v>
      </c>
      <c r="AR65" s="31"/>
      <c r="AS65" s="30"/>
      <c r="AT65" s="18"/>
      <c r="AU65" s="1" t="s">
        <v>32</v>
      </c>
      <c r="AV65" s="21">
        <f>BB70/AZ68</f>
        <v>88.840921610135155</v>
      </c>
      <c r="AW65" s="18"/>
      <c r="AX65" s="310" t="s">
        <v>16</v>
      </c>
      <c r="AY65" s="310"/>
      <c r="AZ65" s="19">
        <f>AZ59*0.05</f>
        <v>231.47784000000001</v>
      </c>
      <c r="BA65" s="1">
        <f t="shared" si="248"/>
        <v>110</v>
      </c>
      <c r="BB65" s="20">
        <f t="shared" si="249"/>
        <v>25462.562400000003</v>
      </c>
      <c r="BC65" s="31"/>
      <c r="BD65" s="30"/>
      <c r="BE65" s="18"/>
      <c r="BF65" s="1" t="s">
        <v>32</v>
      </c>
      <c r="BG65" s="21">
        <f>BM70/BK68</f>
        <v>89.290973947631414</v>
      </c>
      <c r="BH65" s="18"/>
      <c r="BI65" s="310" t="s">
        <v>16</v>
      </c>
      <c r="BJ65" s="310"/>
      <c r="BK65" s="19">
        <f>BK59*0.06</f>
        <v>312.35863679999994</v>
      </c>
      <c r="BL65" s="1">
        <f t="shared" si="250"/>
        <v>110</v>
      </c>
      <c r="BM65" s="20">
        <f t="shared" si="251"/>
        <v>34359.450047999992</v>
      </c>
      <c r="BN65" s="31"/>
      <c r="BO65" s="30"/>
      <c r="BP65" s="18"/>
      <c r="BQ65" s="1" t="s">
        <v>32</v>
      </c>
      <c r="BR65" s="21">
        <f>BX70/BV68</f>
        <v>89.766363212119032</v>
      </c>
      <c r="BS65" s="18"/>
      <c r="BT65" s="310" t="s">
        <v>16</v>
      </c>
      <c r="BU65" s="310"/>
      <c r="BV65" s="19">
        <f>BV58*0.05</f>
        <v>274.24943999999999</v>
      </c>
      <c r="BW65" s="1">
        <f>BA65</f>
        <v>110</v>
      </c>
      <c r="BX65" s="20">
        <f t="shared" si="244"/>
        <v>30167.438399999999</v>
      </c>
      <c r="BY65" s="31"/>
      <c r="BZ65" s="30"/>
      <c r="CA65" s="18"/>
      <c r="CB65" s="1" t="s">
        <v>32</v>
      </c>
      <c r="CC65" s="21">
        <f>CI70/CG68</f>
        <v>90.09594573039027</v>
      </c>
      <c r="CD65" s="18"/>
      <c r="CE65" s="310" t="s">
        <v>16</v>
      </c>
      <c r="CF65" s="310"/>
      <c r="CG65" s="19">
        <f>CG59*0.05</f>
        <v>370.53180000000003</v>
      </c>
      <c r="CH65" s="1">
        <f>BA65</f>
        <v>110</v>
      </c>
      <c r="CI65" s="20">
        <f t="shared" si="252"/>
        <v>40758.498000000007</v>
      </c>
      <c r="CJ65" s="31"/>
      <c r="CK65" s="30"/>
      <c r="CL65" s="18"/>
      <c r="CM65" s="1" t="s">
        <v>30</v>
      </c>
      <c r="CN65" s="19">
        <f>CR68</f>
        <v>14913</v>
      </c>
      <c r="CO65" s="18"/>
      <c r="CP65" s="310" t="s">
        <v>16</v>
      </c>
      <c r="CQ65" s="310"/>
      <c r="CR65" s="19">
        <f>CR59*0.05</f>
        <v>540.89120000000003</v>
      </c>
      <c r="CS65" s="1">
        <f>CH65</f>
        <v>110</v>
      </c>
      <c r="CT65" s="20">
        <f t="shared" si="253"/>
        <v>59498.032000000007</v>
      </c>
      <c r="CU65" s="31"/>
      <c r="CV65" s="30"/>
      <c r="CW65" s="18"/>
      <c r="CX65" s="1" t="s">
        <v>32</v>
      </c>
      <c r="CY65" s="21">
        <f>DE70/DC68</f>
        <v>90.885269671424084</v>
      </c>
      <c r="CZ65" s="18"/>
      <c r="DA65" s="310" t="s">
        <v>16</v>
      </c>
      <c r="DB65" s="310"/>
      <c r="DC65" s="19">
        <f>DC59*0.05</f>
        <v>202.37200000000001</v>
      </c>
      <c r="DD65" s="1">
        <f t="shared" si="261"/>
        <v>110</v>
      </c>
      <c r="DE65" s="20">
        <f t="shared" si="254"/>
        <v>22260.920000000002</v>
      </c>
      <c r="DF65" s="31"/>
      <c r="DG65" s="30"/>
      <c r="DH65" s="18"/>
      <c r="DI65" s="1" t="s">
        <v>32</v>
      </c>
      <c r="DJ65" s="21">
        <f>DP70/DN68</f>
        <v>88.043515901396617</v>
      </c>
      <c r="DK65" s="18"/>
      <c r="DL65" s="310" t="s">
        <v>16</v>
      </c>
      <c r="DM65" s="310"/>
      <c r="DN65" s="19">
        <f>DN59*0.05</f>
        <v>550.16019999999992</v>
      </c>
      <c r="DO65" s="1">
        <f>DD65</f>
        <v>110</v>
      </c>
      <c r="DP65" s="20">
        <f>DN65*DO65</f>
        <v>60517.621999999988</v>
      </c>
      <c r="DQ65" s="31"/>
      <c r="DR65" s="30"/>
      <c r="DS65" s="18"/>
      <c r="DT65" s="1" t="s">
        <v>30</v>
      </c>
      <c r="DU65" s="19">
        <f>DY69</f>
        <v>15887.455000000002</v>
      </c>
      <c r="DV65" s="18"/>
      <c r="DW65" s="310" t="s">
        <v>15</v>
      </c>
      <c r="DX65" s="310"/>
      <c r="DY65" s="1">
        <f>(DX25/2)*35+(DX28/2+DX29/2)*20+(DX30/2)*15</f>
        <v>600</v>
      </c>
      <c r="DZ65" s="1">
        <v>68</v>
      </c>
      <c r="EA65" s="20">
        <f>DY65*DZ65</f>
        <v>40800</v>
      </c>
      <c r="EB65" s="31"/>
      <c r="EC65" s="30"/>
      <c r="ED65" s="18"/>
      <c r="EE65" s="1" t="s">
        <v>32</v>
      </c>
      <c r="EF65" s="21">
        <f>EL70/EJ68</f>
        <v>90.49138377221955</v>
      </c>
      <c r="EG65" s="18"/>
      <c r="EH65" s="310" t="s">
        <v>16</v>
      </c>
      <c r="EI65" s="310"/>
      <c r="EJ65" s="19">
        <f>EJ56*0.05</f>
        <v>1202.5914</v>
      </c>
      <c r="EK65" s="1">
        <f>JM65</f>
        <v>110</v>
      </c>
      <c r="EL65" s="20">
        <f t="shared" si="241"/>
        <v>132285.054</v>
      </c>
      <c r="EM65" s="31"/>
      <c r="EN65" s="30"/>
      <c r="EO65" s="18"/>
      <c r="EP65" s="1" t="s">
        <v>32</v>
      </c>
      <c r="EQ65" s="21">
        <f>EW70/EU68</f>
        <v>88.485288589279278</v>
      </c>
      <c r="ER65" s="18"/>
      <c r="ES65" s="310" t="s">
        <v>16</v>
      </c>
      <c r="ET65" s="310"/>
      <c r="EU65" s="19">
        <f>EU60*0.05</f>
        <v>1011.0455000000001</v>
      </c>
      <c r="EV65" s="1">
        <f>EK65</f>
        <v>110</v>
      </c>
      <c r="EW65" s="20">
        <f>EU65*EV65</f>
        <v>111215.005</v>
      </c>
      <c r="EX65" s="31"/>
      <c r="EY65" s="30"/>
      <c r="EZ65" s="18"/>
      <c r="FA65" s="1" t="s">
        <v>35</v>
      </c>
      <c r="FB65" s="21">
        <f>FB66/FB61</f>
        <v>2676.2531041399416</v>
      </c>
      <c r="FC65" s="18"/>
      <c r="FD65" s="310" t="s">
        <v>16</v>
      </c>
      <c r="FE65" s="310"/>
      <c r="FF65" s="19">
        <f>FF58*0.05</f>
        <v>540.34312</v>
      </c>
      <c r="FG65" s="1">
        <f>DD65</f>
        <v>110</v>
      </c>
      <c r="FH65" s="20">
        <f>FF65*FG65</f>
        <v>59437.743199999997</v>
      </c>
      <c r="FI65" s="31"/>
      <c r="FJ65" s="30"/>
      <c r="FK65" s="18"/>
      <c r="FL65" s="1" t="s">
        <v>35</v>
      </c>
      <c r="FM65" s="21">
        <f>FM66/FM61</f>
        <v>3179.8399274376411</v>
      </c>
      <c r="FN65" s="18"/>
      <c r="FO65" s="310" t="s">
        <v>16</v>
      </c>
      <c r="FP65" s="310"/>
      <c r="FQ65" s="19">
        <f>FQ59*0.05</f>
        <v>835.56600000000003</v>
      </c>
      <c r="FR65" s="1">
        <f>FG65</f>
        <v>110</v>
      </c>
      <c r="FS65" s="20">
        <f>FQ65*FR65</f>
        <v>91912.260000000009</v>
      </c>
      <c r="FT65" s="31"/>
      <c r="FU65" s="30"/>
      <c r="FV65" s="18"/>
      <c r="FW65" s="1" t="s">
        <v>32</v>
      </c>
      <c r="FX65" s="21">
        <f>GD70/GB68</f>
        <v>88.436635594332657</v>
      </c>
      <c r="FY65" s="18"/>
      <c r="FZ65" s="310" t="s">
        <v>16</v>
      </c>
      <c r="GA65" s="310"/>
      <c r="GB65" s="19">
        <f>GB59*0.05</f>
        <v>836.65689999999995</v>
      </c>
      <c r="GC65" s="1">
        <f>FG65</f>
        <v>110</v>
      </c>
      <c r="GD65" s="20">
        <f t="shared" si="257"/>
        <v>92032.258999999991</v>
      </c>
      <c r="GE65" s="31"/>
      <c r="GF65" s="30"/>
      <c r="GG65" s="18"/>
      <c r="GJ65" s="18"/>
      <c r="GK65" s="310" t="s">
        <v>16</v>
      </c>
      <c r="GL65" s="310"/>
      <c r="GM65" s="19">
        <f>GM57*0.05</f>
        <v>1748.4754000000003</v>
      </c>
      <c r="GN65" s="1">
        <f>GC65</f>
        <v>110</v>
      </c>
      <c r="GO65" s="20">
        <f t="shared" si="243"/>
        <v>192332.29400000002</v>
      </c>
      <c r="GP65" s="31"/>
      <c r="GQ65" s="30"/>
      <c r="GR65" s="18"/>
      <c r="GS65" s="1" t="s">
        <v>32</v>
      </c>
      <c r="GT65" s="21">
        <f>GZ70/GX68</f>
        <v>88.222413326937328</v>
      </c>
      <c r="GU65" s="18"/>
      <c r="GV65" s="310" t="s">
        <v>16</v>
      </c>
      <c r="GW65" s="310"/>
      <c r="GX65" s="19">
        <f>GX60*0.05</f>
        <v>1003.0915000000001</v>
      </c>
      <c r="GY65" s="1">
        <f>GC65</f>
        <v>110</v>
      </c>
      <c r="GZ65" s="20">
        <f t="shared" si="265"/>
        <v>110340.06500000002</v>
      </c>
      <c r="HA65" s="31"/>
      <c r="HB65" s="30"/>
      <c r="HC65" s="18"/>
      <c r="HD65" s="1" t="s">
        <v>30</v>
      </c>
      <c r="HE65" s="19">
        <f>HI68</f>
        <v>27171.45</v>
      </c>
      <c r="HF65" s="18"/>
      <c r="HG65" s="311" t="s">
        <v>16</v>
      </c>
      <c r="HH65" s="312"/>
      <c r="HI65" s="19">
        <f>HI59*0.05</f>
        <v>915.505</v>
      </c>
      <c r="HJ65" s="1">
        <f>GY65</f>
        <v>110</v>
      </c>
      <c r="HK65" s="20">
        <f t="shared" si="258"/>
        <v>100705.55</v>
      </c>
      <c r="HL65" s="31"/>
      <c r="HM65" s="30"/>
      <c r="HN65" s="18"/>
      <c r="HO65" s="1" t="s">
        <v>30</v>
      </c>
      <c r="HP65" s="19">
        <f>HT68</f>
        <v>23089.432499999999</v>
      </c>
      <c r="HQ65" s="18"/>
      <c r="HR65" s="311" t="s">
        <v>16</v>
      </c>
      <c r="HS65" s="312"/>
      <c r="HT65" s="19">
        <f>HT60*0.05</f>
        <v>851.36450000000013</v>
      </c>
      <c r="HU65" s="1">
        <f>HJ65</f>
        <v>110</v>
      </c>
      <c r="HV65" s="20">
        <f t="shared" si="266"/>
        <v>93650.095000000016</v>
      </c>
      <c r="HW65" s="31"/>
      <c r="HX65" s="30"/>
      <c r="HY65" s="18"/>
      <c r="HZ65" s="1" t="s">
        <v>30</v>
      </c>
      <c r="IA65" s="19">
        <f>IE68</f>
        <v>25760.812499999996</v>
      </c>
      <c r="IB65" s="18"/>
      <c r="IC65" s="311" t="s">
        <v>16</v>
      </c>
      <c r="ID65" s="312"/>
      <c r="IE65" s="19">
        <f>IE59*0.05</f>
        <v>931.25970000000007</v>
      </c>
      <c r="IF65" s="1">
        <f>HU65</f>
        <v>110</v>
      </c>
      <c r="IG65" s="20">
        <f t="shared" si="267"/>
        <v>102438.56700000001</v>
      </c>
      <c r="IH65" s="31"/>
      <c r="II65" s="30"/>
      <c r="IJ65" s="18"/>
      <c r="IK65" s="1" t="s">
        <v>32</v>
      </c>
      <c r="IL65" s="21">
        <f>IR70/IP68</f>
        <v>90.669065727883989</v>
      </c>
      <c r="IM65" s="18"/>
      <c r="IN65" s="311" t="s">
        <v>16</v>
      </c>
      <c r="IO65" s="312"/>
      <c r="IP65" s="19">
        <f>(IP54+IP55)*0.05</f>
        <v>2845.9229999999998</v>
      </c>
      <c r="IQ65" s="1">
        <f>IF65</f>
        <v>110</v>
      </c>
      <c r="IR65" s="20">
        <f>IP65*IQ65</f>
        <v>313051.52999999997</v>
      </c>
      <c r="IS65" s="31"/>
      <c r="IT65" s="30"/>
      <c r="IU65" s="18"/>
      <c r="IV65" s="1" t="s">
        <v>32</v>
      </c>
      <c r="IW65" s="21">
        <f>JC70/JA68</f>
        <v>90.993864384834609</v>
      </c>
      <c r="IX65" s="18"/>
      <c r="IY65" s="311" t="s">
        <v>16</v>
      </c>
      <c r="IZ65" s="312"/>
      <c r="JA65" s="19">
        <f>JA55*0.05</f>
        <v>2450.2489999999998</v>
      </c>
      <c r="JB65" s="1">
        <f>IF65</f>
        <v>110</v>
      </c>
      <c r="JC65" s="20">
        <f>JA65*JB65</f>
        <v>269527.38999999996</v>
      </c>
      <c r="JD65" s="31"/>
      <c r="JE65" s="30"/>
      <c r="JF65" s="18"/>
      <c r="JG65" s="1" t="s">
        <v>32</v>
      </c>
      <c r="JH65" s="21">
        <f>JN70/JL68</f>
        <v>89.944598023370403</v>
      </c>
      <c r="JI65" s="18"/>
      <c r="JJ65" s="311" t="s">
        <v>16</v>
      </c>
      <c r="JK65" s="312"/>
      <c r="JL65" s="19">
        <f>JL55*0.05</f>
        <v>2640.8653999999997</v>
      </c>
      <c r="JM65" s="1">
        <f t="shared" si="236"/>
        <v>110</v>
      </c>
      <c r="JN65" s="20">
        <f t="shared" si="237"/>
        <v>290495.19399999996</v>
      </c>
      <c r="JO65" s="31"/>
      <c r="JP65" s="30"/>
      <c r="JQ65" s="18"/>
      <c r="JR65" s="1" t="s">
        <v>32</v>
      </c>
      <c r="JS65" s="21">
        <f>JY70/JW68</f>
        <v>90.117107260297132</v>
      </c>
      <c r="JT65" s="18"/>
      <c r="JU65" s="311" t="s">
        <v>16</v>
      </c>
      <c r="JV65" s="312"/>
      <c r="JW65" s="1">
        <f>(JW54+JW55)*0.05</f>
        <v>2415.42</v>
      </c>
      <c r="JX65" s="1">
        <f>JM65</f>
        <v>110</v>
      </c>
      <c r="JY65" s="20">
        <f t="shared" si="238"/>
        <v>265696.2</v>
      </c>
      <c r="JZ65" s="31"/>
      <c r="KA65" s="30"/>
      <c r="KB65" s="18"/>
      <c r="KC65" s="1" t="s">
        <v>32</v>
      </c>
      <c r="KD65" s="21">
        <f>KJ70/KH68</f>
        <v>90.901709463360632</v>
      </c>
      <c r="KE65" s="18"/>
      <c r="KF65" s="311" t="s">
        <v>16</v>
      </c>
      <c r="KG65" s="312"/>
      <c r="KH65" s="1">
        <f>(KH54+KH55)*0.05</f>
        <v>2187.922</v>
      </c>
      <c r="KI65" s="1">
        <f t="shared" si="239"/>
        <v>110</v>
      </c>
      <c r="KJ65" s="20">
        <f t="shared" si="240"/>
        <v>240671.42</v>
      </c>
      <c r="KK65" s="31"/>
      <c r="KL65" s="30"/>
      <c r="KM65" s="18"/>
      <c r="KN65" s="1" t="s">
        <v>32</v>
      </c>
      <c r="KO65" s="21">
        <f>KU70/KS68</f>
        <v>90.123280438099314</v>
      </c>
      <c r="KP65" s="18"/>
      <c r="KQ65" s="311" t="s">
        <v>16</v>
      </c>
      <c r="KR65" s="312"/>
      <c r="KS65" s="19">
        <f>KS58*0.05</f>
        <v>1933.3919999999998</v>
      </c>
      <c r="KT65" s="1">
        <f>JM65</f>
        <v>110</v>
      </c>
      <c r="KU65" s="20">
        <f t="shared" si="246"/>
        <v>212673.12</v>
      </c>
      <c r="KV65" s="31"/>
      <c r="KW65" s="30"/>
      <c r="KX65" s="18"/>
      <c r="KY65" s="1" t="s">
        <v>32</v>
      </c>
      <c r="KZ65" s="21">
        <f>LF70/LD68</f>
        <v>86.244162850010696</v>
      </c>
      <c r="LA65" s="18"/>
      <c r="LB65" s="310" t="s">
        <v>16</v>
      </c>
      <c r="LC65" s="310"/>
      <c r="LD65" s="19">
        <f>(LD59+LD60)*0.04</f>
        <v>10686.72344</v>
      </c>
      <c r="LE65" s="1">
        <f>EV65</f>
        <v>110</v>
      </c>
      <c r="LF65" s="20">
        <f>LD65*LE65</f>
        <v>1175539.5784</v>
      </c>
      <c r="LG65" s="31"/>
      <c r="LH65" s="30"/>
      <c r="LI65" s="18"/>
      <c r="LJ65" s="1" t="s">
        <v>30</v>
      </c>
      <c r="LK65" s="19">
        <f>LO68</f>
        <v>139922.60399999999</v>
      </c>
      <c r="LL65" s="18"/>
      <c r="LM65" s="310" t="s">
        <v>16</v>
      </c>
      <c r="LN65" s="310"/>
      <c r="LO65" s="19">
        <f>(LO60+LO61)*0.05</f>
        <v>6162.0920000000006</v>
      </c>
      <c r="LP65" s="1">
        <f>LE65</f>
        <v>110</v>
      </c>
      <c r="LQ65" s="20">
        <f>LO65*LP65</f>
        <v>677830.12000000011</v>
      </c>
      <c r="LR65" s="31"/>
      <c r="LS65" s="30"/>
      <c r="LT65" s="18"/>
      <c r="LU65" s="1" t="s">
        <v>30</v>
      </c>
      <c r="LV65" s="19">
        <f>LZ69</f>
        <v>10456.365</v>
      </c>
      <c r="LW65" s="18"/>
      <c r="LX65" s="310" t="s">
        <v>15</v>
      </c>
      <c r="LY65" s="310"/>
      <c r="LZ65" s="1">
        <f>(LY25/2)*35+(LY28/2+LY29/2)*20+(LY30/2)*15</f>
        <v>460</v>
      </c>
      <c r="MA65" s="1">
        <v>68</v>
      </c>
      <c r="MB65" s="20">
        <f>LZ65*MA65</f>
        <v>31280</v>
      </c>
      <c r="MC65" s="31"/>
      <c r="ME65" s="30"/>
      <c r="MF65" s="18"/>
      <c r="MG65" s="1" t="s">
        <v>30</v>
      </c>
      <c r="MH65" s="19">
        <f>ML69</f>
        <v>9185.6225000000013</v>
      </c>
      <c r="MI65" s="18"/>
      <c r="MJ65" s="310" t="s">
        <v>15</v>
      </c>
      <c r="MK65" s="310"/>
      <c r="ML65" s="1">
        <f>(MK25/2)*35+(MK28/2+MK29/2)*20+(MK30/2)*15</f>
        <v>320</v>
      </c>
      <c r="MM65" s="1">
        <v>68</v>
      </c>
      <c r="MN65" s="20">
        <f>ML65*MM65</f>
        <v>21760</v>
      </c>
      <c r="MO65" s="31"/>
      <c r="NE65" s="18"/>
    </row>
    <row r="66" spans="1:469" x14ac:dyDescent="0.25">
      <c r="A66" s="30"/>
      <c r="B66" s="18"/>
      <c r="C66" s="1" t="s">
        <v>30</v>
      </c>
      <c r="D66" s="19">
        <f>H68</f>
        <v>690.10879999999997</v>
      </c>
      <c r="E66" s="18"/>
      <c r="F66" s="311" t="s">
        <v>175</v>
      </c>
      <c r="G66" s="312"/>
      <c r="H66" s="1"/>
      <c r="I66" s="1"/>
      <c r="J66" s="20">
        <v>3000</v>
      </c>
      <c r="K66" s="31"/>
      <c r="L66" s="30"/>
      <c r="M66" s="18"/>
      <c r="N66" s="1" t="s">
        <v>30</v>
      </c>
      <c r="O66" s="19">
        <f>S68</f>
        <v>1339.6292000000001</v>
      </c>
      <c r="P66" s="18"/>
      <c r="Q66" s="311" t="s">
        <v>175</v>
      </c>
      <c r="R66" s="312"/>
      <c r="S66" s="1"/>
      <c r="T66" s="1"/>
      <c r="U66" s="20"/>
      <c r="V66" s="31"/>
      <c r="W66" s="30"/>
      <c r="X66" s="18"/>
      <c r="Y66" s="1" t="s">
        <v>35</v>
      </c>
      <c r="Z66" s="21">
        <f>Z67/Z62</f>
        <v>3989.3473007407406</v>
      </c>
      <c r="AA66" s="18"/>
      <c r="AB66" s="310" t="s">
        <v>175</v>
      </c>
      <c r="AC66" s="310"/>
      <c r="AD66" s="1"/>
      <c r="AE66" s="1"/>
      <c r="AF66" s="20"/>
      <c r="AG66" s="31"/>
      <c r="AH66" s="30"/>
      <c r="AI66" s="18"/>
      <c r="AJ66" s="1" t="s">
        <v>35</v>
      </c>
      <c r="AK66" s="21">
        <f>AK67/AK62</f>
        <v>2056.5247542857142</v>
      </c>
      <c r="AL66" s="18"/>
      <c r="AM66" s="311" t="s">
        <v>140</v>
      </c>
      <c r="AN66" s="312"/>
      <c r="AO66" s="19"/>
      <c r="AP66" s="1"/>
      <c r="AQ66" s="20"/>
      <c r="AR66" s="31"/>
      <c r="AS66" s="30"/>
      <c r="AT66" s="18"/>
      <c r="AU66" s="1" t="s">
        <v>35</v>
      </c>
      <c r="AV66" s="21">
        <f>AV67/AV62</f>
        <v>1795.8626471428568</v>
      </c>
      <c r="AW66" s="18"/>
      <c r="AX66" s="311" t="s">
        <v>140</v>
      </c>
      <c r="AY66" s="312"/>
      <c r="AZ66" s="19"/>
      <c r="BA66" s="1"/>
      <c r="BB66" s="20"/>
      <c r="BC66" s="31"/>
      <c r="BD66" s="30"/>
      <c r="BE66" s="18"/>
      <c r="BF66" s="1" t="s">
        <v>35</v>
      </c>
      <c r="BG66" s="21">
        <f>BG67/BG62</f>
        <v>1708.4395277612898</v>
      </c>
      <c r="BH66" s="18"/>
      <c r="BI66" s="311" t="s">
        <v>140</v>
      </c>
      <c r="BJ66" s="312"/>
      <c r="BK66" s="19"/>
      <c r="BL66" s="1"/>
      <c r="BM66" s="20"/>
      <c r="BN66" s="31"/>
      <c r="BO66" s="30"/>
      <c r="BP66" s="18"/>
      <c r="BQ66" s="1" t="s">
        <v>35</v>
      </c>
      <c r="BR66" s="21">
        <f>BR67/BR62</f>
        <v>2400.5967167999997</v>
      </c>
      <c r="BS66" s="18"/>
      <c r="BT66" s="311" t="s">
        <v>140</v>
      </c>
      <c r="BU66" s="312"/>
      <c r="BV66" s="19"/>
      <c r="BW66" s="1"/>
      <c r="BX66" s="20"/>
      <c r="BY66" s="31"/>
      <c r="BZ66" s="30"/>
      <c r="CA66" s="18"/>
      <c r="CB66" s="1" t="s">
        <v>35</v>
      </c>
      <c r="CC66" s="21">
        <f>CC67/CC62</f>
        <v>2023.8075911111112</v>
      </c>
      <c r="CD66" s="18"/>
      <c r="CE66" s="311" t="s">
        <v>140</v>
      </c>
      <c r="CF66" s="312"/>
      <c r="CG66" s="19"/>
      <c r="CH66" s="1"/>
      <c r="CI66" s="20"/>
      <c r="CJ66" s="31"/>
      <c r="CK66" s="30"/>
      <c r="CL66" s="18"/>
      <c r="CM66" s="1" t="s">
        <v>32</v>
      </c>
      <c r="CN66" s="21">
        <f>CT70/CR68</f>
        <v>87.418754858177408</v>
      </c>
      <c r="CO66" s="18"/>
      <c r="CP66" s="311" t="s">
        <v>140</v>
      </c>
      <c r="CQ66" s="312"/>
      <c r="CR66" s="19"/>
      <c r="CS66" s="1"/>
      <c r="CT66" s="20"/>
      <c r="CU66" s="31"/>
      <c r="CV66" s="30"/>
      <c r="CW66" s="18"/>
      <c r="CX66" s="1" t="s">
        <v>35</v>
      </c>
      <c r="CY66" s="21">
        <f>CY67/CY62</f>
        <v>2432.0368000000003</v>
      </c>
      <c r="CZ66" s="18"/>
      <c r="DA66" s="311" t="s">
        <v>140</v>
      </c>
      <c r="DB66" s="312"/>
      <c r="DC66" s="19"/>
      <c r="DD66" s="1">
        <f t="shared" si="261"/>
        <v>0</v>
      </c>
      <c r="DE66" s="20"/>
      <c r="DF66" s="31"/>
      <c r="DG66" s="30"/>
      <c r="DH66" s="18"/>
      <c r="DI66" s="1" t="s">
        <v>35</v>
      </c>
      <c r="DJ66" s="21">
        <f>DJ67/DJ62</f>
        <v>2613.7682952380947</v>
      </c>
      <c r="DK66" s="18"/>
      <c r="DL66" s="311" t="s">
        <v>140</v>
      </c>
      <c r="DM66" s="312"/>
      <c r="DN66" s="19"/>
      <c r="DO66" s="1"/>
      <c r="DP66" s="20"/>
      <c r="DQ66" s="31"/>
      <c r="DR66" s="30"/>
      <c r="DS66" s="18"/>
      <c r="DT66" s="1" t="s">
        <v>32</v>
      </c>
      <c r="DU66" s="21">
        <f>EA71/DY69</f>
        <v>89.948690913679982</v>
      </c>
      <c r="DV66" s="18"/>
      <c r="DW66" s="310" t="s">
        <v>16</v>
      </c>
      <c r="DX66" s="310"/>
      <c r="DY66" s="19">
        <f>DY61*0.05</f>
        <v>575.98300000000006</v>
      </c>
      <c r="DZ66" s="1">
        <f>DO65</f>
        <v>110</v>
      </c>
      <c r="EA66" s="20">
        <f>DY66*DZ66</f>
        <v>63358.130000000005</v>
      </c>
      <c r="EB66" s="31"/>
      <c r="EC66" s="30"/>
      <c r="ED66" s="18"/>
      <c r="EE66" s="1" t="s">
        <v>35</v>
      </c>
      <c r="EF66" s="21">
        <f>EF67/EF62</f>
        <v>2999.991295735294</v>
      </c>
      <c r="EG66" s="18"/>
      <c r="EH66" s="311" t="s">
        <v>140</v>
      </c>
      <c r="EI66" s="312"/>
      <c r="EJ66" s="19"/>
      <c r="EK66" s="1"/>
      <c r="EL66" s="20"/>
      <c r="EM66" s="31"/>
      <c r="EN66" s="30"/>
      <c r="EO66" s="18"/>
      <c r="EP66" s="1" t="s">
        <v>35</v>
      </c>
      <c r="EQ66" s="21">
        <f>EQ67/EQ62</f>
        <v>2467.5953063725487</v>
      </c>
      <c r="ER66" s="18"/>
      <c r="ES66" s="311" t="s">
        <v>140</v>
      </c>
      <c r="ET66" s="312"/>
      <c r="EU66" s="19"/>
      <c r="EV66" s="1"/>
      <c r="EW66" s="20"/>
      <c r="EX66" s="31"/>
      <c r="EY66" s="30"/>
      <c r="EZ66" s="18"/>
      <c r="FA66" s="22" t="s">
        <v>31</v>
      </c>
      <c r="FB66" s="23">
        <f>FB64*FB63</f>
        <v>1376932.22208</v>
      </c>
      <c r="FC66" s="18"/>
      <c r="FD66" s="311" t="s">
        <v>140</v>
      </c>
      <c r="FE66" s="312"/>
      <c r="FF66" s="19"/>
      <c r="FG66" s="1"/>
      <c r="FH66" s="20"/>
      <c r="FI66" s="31"/>
      <c r="FJ66" s="30"/>
      <c r="FK66" s="18"/>
      <c r="FL66" s="22" t="s">
        <v>31</v>
      </c>
      <c r="FM66" s="23">
        <f>FM64*FM63</f>
        <v>2103464.1119999997</v>
      </c>
      <c r="FN66" s="18"/>
      <c r="FO66" s="311" t="s">
        <v>140</v>
      </c>
      <c r="FP66" s="312"/>
      <c r="FQ66" s="19"/>
      <c r="FR66" s="1"/>
      <c r="FS66" s="20"/>
      <c r="FT66" s="31"/>
      <c r="FU66" s="30"/>
      <c r="FV66" s="18"/>
      <c r="FW66" s="1" t="s">
        <v>35</v>
      </c>
      <c r="FX66" s="21">
        <f>FX67/FX62</f>
        <v>2940.2842107142856</v>
      </c>
      <c r="FY66" s="18"/>
      <c r="FZ66" s="310" t="s">
        <v>175</v>
      </c>
      <c r="GA66" s="310"/>
      <c r="GB66" s="1"/>
      <c r="GC66" s="1"/>
      <c r="GD66" s="20"/>
      <c r="GE66" s="31"/>
      <c r="GF66" s="30"/>
      <c r="GG66" s="18"/>
      <c r="GJ66" s="18"/>
      <c r="GK66" s="310" t="s">
        <v>175</v>
      </c>
      <c r="GL66" s="310"/>
      <c r="GM66" s="1"/>
      <c r="GN66" s="1"/>
      <c r="GO66" s="20"/>
      <c r="GP66" s="31"/>
      <c r="GQ66" s="30"/>
      <c r="GR66" s="18"/>
      <c r="GS66" s="1" t="s">
        <v>35</v>
      </c>
      <c r="GT66" s="21">
        <f>GT67/GT62</f>
        <v>2939.7127949999999</v>
      </c>
      <c r="GU66" s="18"/>
      <c r="GV66" s="310" t="s">
        <v>175</v>
      </c>
      <c r="GW66" s="310"/>
      <c r="GX66" s="1"/>
      <c r="GY66" s="1"/>
      <c r="GZ66" s="20"/>
      <c r="HA66" s="31"/>
      <c r="HB66" s="30"/>
      <c r="HC66" s="18"/>
      <c r="HD66" s="1" t="s">
        <v>32</v>
      </c>
      <c r="HE66" s="21">
        <f>HK70/HI68</f>
        <v>91.631666694269171</v>
      </c>
      <c r="HF66" s="18"/>
      <c r="HG66" s="311" t="s">
        <v>140</v>
      </c>
      <c r="HH66" s="312"/>
      <c r="HI66" s="19"/>
      <c r="HJ66" s="1"/>
      <c r="HK66" s="20"/>
      <c r="HL66" s="31"/>
      <c r="HM66" s="30"/>
      <c r="HN66" s="18"/>
      <c r="HO66" s="1" t="s">
        <v>32</v>
      </c>
      <c r="HP66" s="21">
        <f>HV70/HT68</f>
        <v>87.955240822830959</v>
      </c>
      <c r="HQ66" s="18"/>
      <c r="HR66" s="311" t="s">
        <v>140</v>
      </c>
      <c r="HS66" s="312"/>
      <c r="HT66" s="19"/>
      <c r="HU66" s="1"/>
      <c r="HV66" s="20"/>
      <c r="HW66" s="31"/>
      <c r="HX66" s="30"/>
      <c r="HY66" s="18"/>
      <c r="HZ66" s="1" t="s">
        <v>32</v>
      </c>
      <c r="IA66" s="21">
        <f>IG70/IE68</f>
        <v>91.050672908705835</v>
      </c>
      <c r="IB66" s="18"/>
      <c r="IC66" s="311" t="s">
        <v>140</v>
      </c>
      <c r="ID66" s="312"/>
      <c r="IE66" s="19"/>
      <c r="IF66" s="1"/>
      <c r="IG66" s="20"/>
      <c r="IH66" s="31"/>
      <c r="II66" s="30"/>
      <c r="IJ66" s="18"/>
      <c r="IK66" s="1" t="s">
        <v>35</v>
      </c>
      <c r="IL66" s="21">
        <f>IL67/IL62</f>
        <v>2199.2108629318691</v>
      </c>
      <c r="IM66" s="18"/>
      <c r="IN66" s="311" t="s">
        <v>140</v>
      </c>
      <c r="IO66" s="312"/>
      <c r="IP66" s="19"/>
      <c r="IQ66" s="1"/>
      <c r="IR66" s="20"/>
      <c r="IS66" s="31"/>
      <c r="IT66" s="30"/>
      <c r="IU66" s="18"/>
      <c r="IV66" s="1" t="s">
        <v>35</v>
      </c>
      <c r="IW66" s="21">
        <f>IW67/IW62</f>
        <v>2128.1294397804327</v>
      </c>
      <c r="IX66" s="18"/>
      <c r="IY66" s="311" t="s">
        <v>140</v>
      </c>
      <c r="IZ66" s="312"/>
      <c r="JA66" s="19"/>
      <c r="JB66" s="1"/>
      <c r="JC66" s="20"/>
      <c r="JD66" s="31"/>
      <c r="JE66" s="30"/>
      <c r="JF66" s="18"/>
      <c r="JG66" s="1" t="s">
        <v>35</v>
      </c>
      <c r="JH66" s="21">
        <f>JH67/JH62</f>
        <v>2258.0653898026312</v>
      </c>
      <c r="JI66" s="18"/>
      <c r="JJ66" s="311"/>
      <c r="JK66" s="312"/>
      <c r="JL66" s="19"/>
      <c r="JM66" s="1"/>
      <c r="JN66" s="20"/>
      <c r="JO66" s="31"/>
      <c r="JP66" s="30"/>
      <c r="JQ66" s="18"/>
      <c r="JR66" s="1" t="s">
        <v>35</v>
      </c>
      <c r="JS66" s="21">
        <f>JS67/JS62</f>
        <v>2087.4119621052632</v>
      </c>
      <c r="JT66" s="18"/>
      <c r="JU66" s="311" t="s">
        <v>140</v>
      </c>
      <c r="JV66" s="312"/>
      <c r="JW66" s="19"/>
      <c r="JX66" s="1"/>
      <c r="JY66" s="20"/>
      <c r="JZ66" s="31"/>
      <c r="KA66" s="30"/>
      <c r="KB66" s="18"/>
      <c r="KC66" s="1" t="s">
        <v>35</v>
      </c>
      <c r="KD66" s="21">
        <f>KD67/KD62</f>
        <v>1932.012835488722</v>
      </c>
      <c r="KE66" s="18"/>
      <c r="KF66" s="311" t="s">
        <v>140</v>
      </c>
      <c r="KG66" s="312"/>
      <c r="KH66" s="19"/>
      <c r="KI66" s="1"/>
      <c r="KJ66" s="20"/>
      <c r="KK66" s="31"/>
      <c r="KL66" s="30"/>
      <c r="KM66" s="18"/>
      <c r="KN66" s="1" t="s">
        <v>35</v>
      </c>
      <c r="KO66" s="21">
        <f>KO67/KO62</f>
        <v>1915.3596992481203</v>
      </c>
      <c r="KP66" s="18"/>
      <c r="KQ66" s="311" t="s">
        <v>140</v>
      </c>
      <c r="KR66" s="312"/>
      <c r="KS66" s="19"/>
      <c r="KT66" s="1"/>
      <c r="KU66" s="20"/>
      <c r="KV66" s="31"/>
      <c r="KW66" s="30"/>
      <c r="KX66" s="18"/>
      <c r="KY66" s="1" t="s">
        <v>35</v>
      </c>
      <c r="KZ66" s="21">
        <f>KZ67/KZ62</f>
        <v>2772.6399722765432</v>
      </c>
      <c r="LA66" s="18"/>
      <c r="LB66" s="310" t="s">
        <v>175</v>
      </c>
      <c r="LC66" s="310"/>
      <c r="LD66" s="1"/>
      <c r="LE66" s="1"/>
      <c r="LF66" s="20"/>
      <c r="LG66" s="31"/>
      <c r="LH66" s="30"/>
      <c r="LI66" s="18"/>
      <c r="LJ66" s="1" t="s">
        <v>32</v>
      </c>
      <c r="LK66" s="21">
        <f>LQ70/LO68</f>
        <v>83.775391178397456</v>
      </c>
      <c r="LL66" s="18"/>
      <c r="LM66" s="310" t="s">
        <v>175</v>
      </c>
      <c r="LN66" s="310"/>
      <c r="LO66" s="1"/>
      <c r="LP66" s="1"/>
      <c r="LQ66" s="20"/>
      <c r="LR66" s="31"/>
      <c r="LS66" s="30"/>
      <c r="LT66" s="18"/>
      <c r="LU66" s="1" t="s">
        <v>32</v>
      </c>
      <c r="LV66" s="21">
        <f>MB71/LZ69</f>
        <v>89.494884771141798</v>
      </c>
      <c r="LW66" s="18"/>
      <c r="LX66" s="310" t="s">
        <v>16</v>
      </c>
      <c r="LY66" s="310"/>
      <c r="LZ66" s="19">
        <f>LZ61*0.05</f>
        <v>378.49700000000007</v>
      </c>
      <c r="MA66" s="1">
        <f>LP65</f>
        <v>110</v>
      </c>
      <c r="MB66" s="20">
        <f>LZ66*MA66</f>
        <v>41634.670000000006</v>
      </c>
      <c r="MC66" s="31"/>
      <c r="ME66" s="30"/>
      <c r="MF66" s="18"/>
      <c r="MG66" s="1" t="s">
        <v>32</v>
      </c>
      <c r="MH66" s="21">
        <f>MN71/ML69</f>
        <v>89.671422956908998</v>
      </c>
      <c r="MI66" s="18"/>
      <c r="MJ66" s="310" t="s">
        <v>16</v>
      </c>
      <c r="MK66" s="310"/>
      <c r="ML66" s="19">
        <f>ML61*0.05</f>
        <v>336.7473</v>
      </c>
      <c r="MM66" s="1">
        <v>110</v>
      </c>
      <c r="MN66" s="20">
        <f>ML66*MM66</f>
        <v>37042.203000000001</v>
      </c>
      <c r="MO66" s="31"/>
      <c r="NE66" s="18"/>
    </row>
    <row r="67" spans="1:469" x14ac:dyDescent="0.25">
      <c r="A67" s="30"/>
      <c r="B67" s="18"/>
      <c r="C67" s="1" t="s">
        <v>32</v>
      </c>
      <c r="D67" s="21">
        <f>J70/H68</f>
        <v>96.370989617868972</v>
      </c>
      <c r="E67" s="18"/>
      <c r="F67" s="311" t="s">
        <v>18</v>
      </c>
      <c r="G67" s="312"/>
      <c r="H67" s="19">
        <f>H68</f>
        <v>690.10879999999997</v>
      </c>
      <c r="I67" s="1">
        <v>3</v>
      </c>
      <c r="J67" s="20">
        <f>H67*I67</f>
        <v>2070.3263999999999</v>
      </c>
      <c r="K67" s="31"/>
      <c r="L67" s="30"/>
      <c r="M67" s="18"/>
      <c r="N67" s="1" t="s">
        <v>32</v>
      </c>
      <c r="O67" s="21">
        <f>U70/S68</f>
        <v>91.59334407610703</v>
      </c>
      <c r="P67" s="18"/>
      <c r="Q67" s="311" t="s">
        <v>18</v>
      </c>
      <c r="R67" s="312"/>
      <c r="S67" s="19">
        <f>S68</f>
        <v>1339.6292000000001</v>
      </c>
      <c r="T67" s="1">
        <v>3</v>
      </c>
      <c r="U67" s="20">
        <f>S67*T67</f>
        <v>4018.8876</v>
      </c>
      <c r="V67" s="31"/>
      <c r="W67" s="30"/>
      <c r="X67" s="18"/>
      <c r="Y67" s="22" t="s">
        <v>31</v>
      </c>
      <c r="Z67" s="23">
        <f>Z65*Z64</f>
        <v>646274.26272</v>
      </c>
      <c r="AA67" s="18"/>
      <c r="AB67" s="310" t="s">
        <v>18</v>
      </c>
      <c r="AC67" s="310"/>
      <c r="AD67" s="19">
        <f>AD68</f>
        <v>7227.003200000001</v>
      </c>
      <c r="AE67" s="1">
        <v>3</v>
      </c>
      <c r="AF67" s="20">
        <f>AD67*AE67</f>
        <v>21681.009600000005</v>
      </c>
      <c r="AG67" s="31"/>
      <c r="AH67" s="30"/>
      <c r="AI67" s="18"/>
      <c r="AJ67" s="22" t="s">
        <v>31</v>
      </c>
      <c r="AK67" s="23">
        <f>AK65*AK64</f>
        <v>518244.23807999998</v>
      </c>
      <c r="AL67" s="18"/>
      <c r="AM67" s="310" t="s">
        <v>18</v>
      </c>
      <c r="AN67" s="310"/>
      <c r="AO67" s="19">
        <f>AO68</f>
        <v>5846.4320000000007</v>
      </c>
      <c r="AP67" s="1">
        <v>3</v>
      </c>
      <c r="AQ67" s="20">
        <f>AO67*AP67</f>
        <v>17539.296000000002</v>
      </c>
      <c r="AR67" s="31"/>
      <c r="AS67" s="30"/>
      <c r="AT67" s="18"/>
      <c r="AU67" s="22" t="s">
        <v>31</v>
      </c>
      <c r="AV67" s="23">
        <f>AV65*AV64</f>
        <v>603409.8494399999</v>
      </c>
      <c r="AW67" s="18"/>
      <c r="AX67" s="310" t="s">
        <v>18</v>
      </c>
      <c r="AY67" s="310"/>
      <c r="AZ67" s="19">
        <f>AZ68</f>
        <v>6792.0260000000007</v>
      </c>
      <c r="BA67" s="1">
        <f>AP67</f>
        <v>3</v>
      </c>
      <c r="BB67" s="20">
        <f>AZ67*BA67</f>
        <v>20376.078000000001</v>
      </c>
      <c r="BC67" s="31"/>
      <c r="BD67" s="30"/>
      <c r="BE67" s="18"/>
      <c r="BF67" s="22" t="s">
        <v>31</v>
      </c>
      <c r="BG67" s="23">
        <f>BG65*BG64</f>
        <v>677908.80461567978</v>
      </c>
      <c r="BH67" s="18"/>
      <c r="BI67" s="310" t="s">
        <v>18</v>
      </c>
      <c r="BJ67" s="310"/>
      <c r="BK67" s="19">
        <f>BK68</f>
        <v>7592.1313727999986</v>
      </c>
      <c r="BL67" s="1">
        <f>BA67</f>
        <v>3</v>
      </c>
      <c r="BM67" s="20">
        <f>BK67*BL67</f>
        <v>22776.394118399996</v>
      </c>
      <c r="BN67" s="31"/>
      <c r="BO67" s="30"/>
      <c r="BP67" s="18"/>
      <c r="BQ67" s="22" t="s">
        <v>31</v>
      </c>
      <c r="BR67" s="23">
        <f>BR65*BR64</f>
        <v>720179.01503999997</v>
      </c>
      <c r="BS67" s="18"/>
      <c r="BT67" s="310" t="s">
        <v>18</v>
      </c>
      <c r="BU67" s="310"/>
      <c r="BV67" s="19">
        <f>BV68</f>
        <v>8022.8159999999998</v>
      </c>
      <c r="BW67" s="1">
        <f>BA67</f>
        <v>3</v>
      </c>
      <c r="BX67" s="20">
        <f>BV67*BW67</f>
        <v>24068.448</v>
      </c>
      <c r="BY67" s="31"/>
      <c r="BZ67" s="30"/>
      <c r="CA67" s="18"/>
      <c r="CB67" s="22" t="s">
        <v>31</v>
      </c>
      <c r="CC67" s="23">
        <f>CC65*CC64</f>
        <v>956249.08680000005</v>
      </c>
      <c r="CD67" s="18"/>
      <c r="CE67" s="310" t="s">
        <v>18</v>
      </c>
      <c r="CF67" s="310"/>
      <c r="CG67" s="19">
        <f>CG68</f>
        <v>10613.675000000001</v>
      </c>
      <c r="CH67" s="1">
        <f>BA67</f>
        <v>3</v>
      </c>
      <c r="CI67" s="20">
        <f>CG67*CH67</f>
        <v>31841.025000000001</v>
      </c>
      <c r="CJ67" s="31"/>
      <c r="CK67" s="30"/>
      <c r="CL67" s="18"/>
      <c r="CM67" s="1" t="s">
        <v>35</v>
      </c>
      <c r="CN67" s="21">
        <f>CN68/CN63</f>
        <v>3823.0964551319639</v>
      </c>
      <c r="CO67" s="18"/>
      <c r="CP67" s="310" t="s">
        <v>18</v>
      </c>
      <c r="CQ67" s="310"/>
      <c r="CR67" s="19">
        <f>CR68</f>
        <v>14913</v>
      </c>
      <c r="CS67" s="1">
        <v>2</v>
      </c>
      <c r="CT67" s="20">
        <f>CR67*CS67</f>
        <v>29826</v>
      </c>
      <c r="CU67" s="31"/>
      <c r="CV67" s="30"/>
      <c r="CW67" s="18"/>
      <c r="CX67" s="22" t="s">
        <v>31</v>
      </c>
      <c r="CY67" s="23">
        <f>CY65*CY64</f>
        <v>583688.83200000005</v>
      </c>
      <c r="CZ67" s="18"/>
      <c r="DA67" s="310" t="s">
        <v>18</v>
      </c>
      <c r="DB67" s="310"/>
      <c r="DC67" s="19">
        <f>DC68</f>
        <v>6422.26</v>
      </c>
      <c r="DD67" s="1">
        <f>CS67</f>
        <v>2</v>
      </c>
      <c r="DE67" s="20">
        <f>DC67*DD67</f>
        <v>12844.52</v>
      </c>
      <c r="DF67" s="31"/>
      <c r="DG67" s="30"/>
      <c r="DH67" s="18"/>
      <c r="DI67" s="22" t="s">
        <v>31</v>
      </c>
      <c r="DJ67" s="23">
        <f>DJ65*DJ64</f>
        <v>1317339.2207999998</v>
      </c>
      <c r="DK67" s="18"/>
      <c r="DL67" s="310" t="s">
        <v>18</v>
      </c>
      <c r="DM67" s="310"/>
      <c r="DN67" s="19">
        <f>DN68</f>
        <v>14962.364999999996</v>
      </c>
      <c r="DO67" s="1">
        <f>DD67</f>
        <v>2</v>
      </c>
      <c r="DP67" s="20">
        <f>DN67*DO67</f>
        <v>29924.729999999992</v>
      </c>
      <c r="DQ67" s="31"/>
      <c r="DR67" s="30"/>
      <c r="DS67" s="18"/>
      <c r="DT67" s="1" t="s">
        <v>35</v>
      </c>
      <c r="DU67" s="21">
        <f>DU68/DU63</f>
        <v>3175.6795093333326</v>
      </c>
      <c r="DV67" s="18"/>
      <c r="DW67" s="310" t="s">
        <v>175</v>
      </c>
      <c r="DX67" s="310"/>
      <c r="DY67" s="1"/>
      <c r="DZ67" s="1"/>
      <c r="EA67" s="20"/>
      <c r="EB67" s="31"/>
      <c r="EC67" s="30"/>
      <c r="ED67" s="18"/>
      <c r="EE67" s="22" t="s">
        <v>31</v>
      </c>
      <c r="EF67" s="23">
        <f>EF65*EF64</f>
        <v>2937591.4767839997</v>
      </c>
      <c r="EG67" s="18"/>
      <c r="EH67" s="310" t="s">
        <v>18</v>
      </c>
      <c r="EI67" s="310"/>
      <c r="EJ67" s="19">
        <f>EJ68</f>
        <v>32462.665000000001</v>
      </c>
      <c r="EK67" s="1">
        <f>KT67</f>
        <v>2</v>
      </c>
      <c r="EL67" s="20">
        <f>EJ67*EK67</f>
        <v>64925.33</v>
      </c>
      <c r="EM67" s="31"/>
      <c r="EN67" s="30"/>
      <c r="EO67" s="18"/>
      <c r="EP67" s="22" t="s">
        <v>31</v>
      </c>
      <c r="EQ67" s="23">
        <f>EQ65*EQ64</f>
        <v>2416269.3239999996</v>
      </c>
      <c r="ER67" s="18"/>
      <c r="ES67" s="310" t="s">
        <v>18</v>
      </c>
      <c r="ET67" s="310"/>
      <c r="EU67" s="19">
        <f>EU68</f>
        <v>27307.017500000002</v>
      </c>
      <c r="EV67" s="1">
        <f>EK67</f>
        <v>2</v>
      </c>
      <c r="EW67" s="20">
        <f>EU67*EV67</f>
        <v>54614.035000000003</v>
      </c>
      <c r="EX67" s="31"/>
      <c r="EY67" s="30"/>
      <c r="EZ67" s="18"/>
      <c r="FA67" s="18"/>
      <c r="FB67" s="18"/>
      <c r="FC67" s="18"/>
      <c r="FD67" s="310" t="s">
        <v>18</v>
      </c>
      <c r="FE67" s="310"/>
      <c r="FF67" s="19">
        <f>FF68</f>
        <v>15219.697999999999</v>
      </c>
      <c r="FG67" s="1">
        <f>DZ68</f>
        <v>2</v>
      </c>
      <c r="FH67" s="20">
        <f>FF67*FG67</f>
        <v>30439.395999999997</v>
      </c>
      <c r="FI67" s="31"/>
      <c r="FJ67" s="30"/>
      <c r="FK67" s="18"/>
      <c r="FL67" s="18"/>
      <c r="FM67" s="18"/>
      <c r="FN67" s="18"/>
      <c r="FO67" s="310" t="s">
        <v>18</v>
      </c>
      <c r="FP67" s="310"/>
      <c r="FQ67" s="19">
        <f>FQ68</f>
        <v>23215.07</v>
      </c>
      <c r="FR67" s="1">
        <f>FG67</f>
        <v>2</v>
      </c>
      <c r="FS67" s="20">
        <f>FQ67*FR67</f>
        <v>46430.14</v>
      </c>
      <c r="FT67" s="31"/>
      <c r="FU67" s="30"/>
      <c r="FV67" s="18"/>
      <c r="FW67" s="22" t="s">
        <v>31</v>
      </c>
      <c r="FX67" s="23">
        <f>FX65*FX64</f>
        <v>1975870.9896</v>
      </c>
      <c r="FY67" s="18"/>
      <c r="FZ67" s="310" t="s">
        <v>18</v>
      </c>
      <c r="GA67" s="310"/>
      <c r="GB67" s="19">
        <f>GB68</f>
        <v>22342.2225</v>
      </c>
      <c r="GC67" s="1">
        <f>FR67</f>
        <v>2</v>
      </c>
      <c r="GD67" s="20">
        <f>GB67*GC67</f>
        <v>44684.445</v>
      </c>
      <c r="GE67" s="31"/>
      <c r="GF67" s="30"/>
      <c r="GG67" s="18"/>
      <c r="GJ67" s="18"/>
      <c r="GK67" s="310" t="s">
        <v>18</v>
      </c>
      <c r="GL67" s="310"/>
      <c r="GM67" s="19">
        <f>GM68</f>
        <v>55128.817600000009</v>
      </c>
      <c r="GN67" s="1">
        <f>GC67</f>
        <v>2</v>
      </c>
      <c r="GO67" s="20">
        <f>GM67*GN67</f>
        <v>110257.63520000002</v>
      </c>
      <c r="GP67" s="31"/>
      <c r="GQ67" s="30"/>
      <c r="GR67" s="18"/>
      <c r="GS67" s="22" t="s">
        <v>31</v>
      </c>
      <c r="GT67" s="23">
        <f>GT65*GT64</f>
        <v>2351770.236</v>
      </c>
      <c r="GU67" s="18"/>
      <c r="GV67" s="310" t="s">
        <v>18</v>
      </c>
      <c r="GW67" s="310"/>
      <c r="GX67" s="19">
        <f>GX68</f>
        <v>26657.287500000002</v>
      </c>
      <c r="GY67" s="1">
        <f>GC67</f>
        <v>2</v>
      </c>
      <c r="GZ67" s="20">
        <f>GX67*GY67</f>
        <v>53314.575000000004</v>
      </c>
      <c r="HA67" s="31"/>
      <c r="HB67" s="30"/>
      <c r="HC67" s="18"/>
      <c r="HD67" s="1" t="s">
        <v>35</v>
      </c>
      <c r="HE67" s="21">
        <f>HE68/HE63</f>
        <v>2074.8043750000002</v>
      </c>
      <c r="HF67" s="18"/>
      <c r="HG67" s="311" t="s">
        <v>18</v>
      </c>
      <c r="HH67" s="312"/>
      <c r="HI67" s="19">
        <f>HI68</f>
        <v>27171.45</v>
      </c>
      <c r="HJ67" s="1">
        <f>GY67</f>
        <v>2</v>
      </c>
      <c r="HK67" s="20">
        <f>HI67*HJ67</f>
        <v>54342.9</v>
      </c>
      <c r="HL67" s="31"/>
      <c r="HM67" s="30"/>
      <c r="HN67" s="18"/>
      <c r="HO67" s="1" t="s">
        <v>35</v>
      </c>
      <c r="HP67" s="21">
        <f>HP68/HP63</f>
        <v>1692.36383</v>
      </c>
      <c r="HQ67" s="18"/>
      <c r="HR67" s="311" t="s">
        <v>18</v>
      </c>
      <c r="HS67" s="312"/>
      <c r="HT67" s="19">
        <f>HT68</f>
        <v>23089.432499999999</v>
      </c>
      <c r="HU67" s="1">
        <f>HJ67</f>
        <v>2</v>
      </c>
      <c r="HV67" s="20">
        <f>HT67*HU67</f>
        <v>46178.864999999998</v>
      </c>
      <c r="HW67" s="31"/>
      <c r="HX67" s="30"/>
      <c r="HY67" s="18"/>
      <c r="HZ67" s="1" t="s">
        <v>35</v>
      </c>
      <c r="IA67" s="21">
        <f>IA68/IA63</f>
        <v>2068.3768190476194</v>
      </c>
      <c r="IB67" s="18"/>
      <c r="IC67" s="311" t="s">
        <v>18</v>
      </c>
      <c r="ID67" s="312"/>
      <c r="IE67" s="19">
        <f>IE68</f>
        <v>25760.812499999996</v>
      </c>
      <c r="IF67" s="1">
        <f>HU67</f>
        <v>2</v>
      </c>
      <c r="IG67" s="20">
        <f>IE67*IF67</f>
        <v>51521.624999999993</v>
      </c>
      <c r="IH67" s="31"/>
      <c r="II67" s="30"/>
      <c r="IJ67" s="18"/>
      <c r="IK67" s="22" t="s">
        <v>31</v>
      </c>
      <c r="IL67" s="23">
        <f>IL65*IL64</f>
        <v>6538517.8007999994</v>
      </c>
      <c r="IM67" s="18"/>
      <c r="IN67" s="311" t="s">
        <v>18</v>
      </c>
      <c r="IO67" s="312"/>
      <c r="IP67" s="19">
        <f>IP68</f>
        <v>72114.09699999998</v>
      </c>
      <c r="IQ67" s="1">
        <f>IF67</f>
        <v>2</v>
      </c>
      <c r="IR67" s="20">
        <f>IP67*IQ67</f>
        <v>144228.19399999996</v>
      </c>
      <c r="IS67" s="31"/>
      <c r="IT67" s="30"/>
      <c r="IU67" s="18"/>
      <c r="IV67" s="22" t="s">
        <v>31</v>
      </c>
      <c r="IW67" s="23">
        <f>IW65*IW64</f>
        <v>6327184.2000000011</v>
      </c>
      <c r="IX67" s="18"/>
      <c r="IY67" s="311" t="s">
        <v>18</v>
      </c>
      <c r="IZ67" s="312"/>
      <c r="JA67" s="19">
        <f>JA68</f>
        <v>69534.184999999998</v>
      </c>
      <c r="JB67" s="1">
        <f>IQ67</f>
        <v>2</v>
      </c>
      <c r="JC67" s="20">
        <f>JA67*JB67</f>
        <v>139068.37</v>
      </c>
      <c r="JD67" s="31"/>
      <c r="JE67" s="30"/>
      <c r="JF67" s="18"/>
      <c r="JG67" s="22" t="s">
        <v>31</v>
      </c>
      <c r="JH67" s="23">
        <f>JH65*JH64</f>
        <v>6589938.0335999988</v>
      </c>
      <c r="JI67" s="18"/>
      <c r="JJ67" s="311" t="s">
        <v>18</v>
      </c>
      <c r="JK67" s="312"/>
      <c r="JL67" s="19">
        <f>JL68</f>
        <v>73266.63499999998</v>
      </c>
      <c r="JM67" s="1">
        <f>JB67</f>
        <v>2</v>
      </c>
      <c r="JN67" s="20">
        <f>JL67*JM67</f>
        <v>146533.26999999996</v>
      </c>
      <c r="JO67" s="31"/>
      <c r="JP67" s="30"/>
      <c r="JQ67" s="18"/>
      <c r="JR67" s="22" t="s">
        <v>31</v>
      </c>
      <c r="JS67" s="23">
        <f>JS65*JS64</f>
        <v>5552515.8191999998</v>
      </c>
      <c r="JT67" s="18"/>
      <c r="JU67" s="311" t="s">
        <v>18</v>
      </c>
      <c r="JV67" s="312"/>
      <c r="JW67" s="19">
        <f>JW68</f>
        <v>61614.447999999997</v>
      </c>
      <c r="JX67" s="1">
        <f>JM67</f>
        <v>2</v>
      </c>
      <c r="JY67" s="20">
        <f>JW67*JX67</f>
        <v>123228.89599999999</v>
      </c>
      <c r="JZ67" s="31"/>
      <c r="KA67" s="30"/>
      <c r="KB67" s="18"/>
      <c r="KC67" s="22" t="s">
        <v>31</v>
      </c>
      <c r="KD67" s="23">
        <f>KD65*KD64</f>
        <v>5139154.1424000002</v>
      </c>
      <c r="KE67" s="18"/>
      <c r="KF67" s="311" t="s">
        <v>18</v>
      </c>
      <c r="KG67" s="312"/>
      <c r="KH67" s="19">
        <f>KH68</f>
        <v>56535.286</v>
      </c>
      <c r="KI67" s="1">
        <f>JX67</f>
        <v>2</v>
      </c>
      <c r="KJ67" s="20">
        <f>KH67*KI67</f>
        <v>113070.572</v>
      </c>
      <c r="KK67" s="31"/>
      <c r="KL67" s="30"/>
      <c r="KM67" s="18"/>
      <c r="KN67" s="22" t="s">
        <v>31</v>
      </c>
      <c r="KO67" s="23">
        <f>KO65*KO64</f>
        <v>4891062.5279999999</v>
      </c>
      <c r="KP67" s="18"/>
      <c r="KQ67" s="311" t="s">
        <v>18</v>
      </c>
      <c r="KR67" s="312"/>
      <c r="KS67" s="19">
        <f>KS68</f>
        <v>54270.799999999996</v>
      </c>
      <c r="KT67" s="1">
        <f>KI67</f>
        <v>2</v>
      </c>
      <c r="KU67" s="20">
        <f>KS67*KT67</f>
        <v>108541.59999999999</v>
      </c>
      <c r="KV67" s="31"/>
      <c r="KW67" s="30"/>
      <c r="KX67" s="18"/>
      <c r="KY67" s="22" t="s">
        <v>31</v>
      </c>
      <c r="KZ67" s="23">
        <f>KZ65*KZ64</f>
        <v>26950060.530527998</v>
      </c>
      <c r="LA67" s="18"/>
      <c r="LB67" s="310" t="s">
        <v>18</v>
      </c>
      <c r="LC67" s="310"/>
      <c r="LD67" s="19">
        <f>LD68</f>
        <v>312485.61803999997</v>
      </c>
      <c r="LE67" s="1">
        <v>1</v>
      </c>
      <c r="LF67" s="20">
        <f>LD67*LE67</f>
        <v>312485.61803999997</v>
      </c>
      <c r="LG67" s="31"/>
      <c r="LH67" s="30"/>
      <c r="LI67" s="18"/>
      <c r="LJ67" s="1" t="s">
        <v>35</v>
      </c>
      <c r="LK67" s="21">
        <f>LK68/LK63</f>
        <v>2856.2550888888891</v>
      </c>
      <c r="LL67" s="18"/>
      <c r="LM67" s="310" t="s">
        <v>18</v>
      </c>
      <c r="LN67" s="310"/>
      <c r="LO67" s="1"/>
      <c r="LP67" s="1"/>
      <c r="LQ67" s="20">
        <f>LO68*1</f>
        <v>139922.60399999999</v>
      </c>
      <c r="LR67" s="31"/>
      <c r="LS67" s="30"/>
      <c r="LT67" s="18"/>
      <c r="LU67" s="1" t="s">
        <v>35</v>
      </c>
      <c r="LV67" s="21">
        <f>LV68/LV63</f>
        <v>3465.8932622222223</v>
      </c>
      <c r="LW67" s="18"/>
      <c r="LX67" s="310" t="s">
        <v>175</v>
      </c>
      <c r="LY67" s="310"/>
      <c r="LZ67" s="1"/>
      <c r="MA67" s="1"/>
      <c r="MB67" s="20"/>
      <c r="MC67" s="31"/>
      <c r="ME67" s="30"/>
      <c r="MF67" s="18"/>
      <c r="MG67" s="1" t="s">
        <v>35</v>
      </c>
      <c r="MH67" s="21">
        <f>MH68/MH63</f>
        <v>3050.6957048888889</v>
      </c>
      <c r="MI67" s="18"/>
      <c r="MJ67" s="310" t="s">
        <v>175</v>
      </c>
      <c r="MK67" s="310"/>
      <c r="ML67" s="1"/>
      <c r="MM67" s="1"/>
      <c r="MN67" s="20"/>
      <c r="MO67" s="31"/>
      <c r="NE67" s="18"/>
    </row>
    <row r="68" spans="1:469" x14ac:dyDescent="0.25">
      <c r="A68" s="30"/>
      <c r="B68" s="18"/>
      <c r="C68" s="1" t="s">
        <v>35</v>
      </c>
      <c r="D68" s="21">
        <f>D69/D64</f>
        <v>7389.6075555555562</v>
      </c>
      <c r="E68" s="18"/>
      <c r="F68" s="304" t="s">
        <v>36</v>
      </c>
      <c r="G68" s="306"/>
      <c r="H68" s="10">
        <f>SUM(H61:H66)</f>
        <v>690.10879999999997</v>
      </c>
      <c r="I68" s="1"/>
      <c r="J68" s="1"/>
      <c r="K68" s="31"/>
      <c r="L68" s="30"/>
      <c r="M68" s="18"/>
      <c r="N68" s="1" t="s">
        <v>35</v>
      </c>
      <c r="O68" s="21">
        <f>O69/O64</f>
        <v>4461.8588454545461</v>
      </c>
      <c r="P68" s="18"/>
      <c r="Q68" s="304" t="s">
        <v>36</v>
      </c>
      <c r="R68" s="306"/>
      <c r="S68" s="10">
        <f>SUM(S61:S66)</f>
        <v>1339.6292000000001</v>
      </c>
      <c r="T68" s="1"/>
      <c r="U68" s="1"/>
      <c r="V68" s="31"/>
      <c r="W68" s="30"/>
      <c r="X68" s="18"/>
      <c r="Y68" s="18"/>
      <c r="Z68" s="18"/>
      <c r="AA68" s="18"/>
      <c r="AB68" s="303" t="s">
        <v>36</v>
      </c>
      <c r="AC68" s="303"/>
      <c r="AD68" s="10">
        <f>AD57+AD58+AF23+AD61+AD62+AD63+AD64+AD65</f>
        <v>7227.003200000001</v>
      </c>
      <c r="AE68" s="1"/>
      <c r="AF68" s="1"/>
      <c r="AG68" s="31"/>
      <c r="AH68" s="30"/>
      <c r="AI68" s="18"/>
      <c r="AJ68" s="18"/>
      <c r="AK68" s="18"/>
      <c r="AL68" s="18"/>
      <c r="AM68" s="303" t="s">
        <v>36</v>
      </c>
      <c r="AN68" s="303"/>
      <c r="AO68" s="10">
        <f>AO59+AO61+AO62+AO63+AO64+AO65+AQ22</f>
        <v>5846.4320000000007</v>
      </c>
      <c r="AP68" s="1"/>
      <c r="AQ68" s="1"/>
      <c r="AR68" s="31"/>
      <c r="AS68" s="30"/>
      <c r="AT68" s="18"/>
      <c r="AU68" s="18"/>
      <c r="AV68" s="18"/>
      <c r="AW68" s="18"/>
      <c r="AX68" s="303" t="s">
        <v>36</v>
      </c>
      <c r="AY68" s="303"/>
      <c r="AZ68" s="10">
        <f>AZ59+AZ61+AZ62+AZ63+AZ64+AZ65+BB23</f>
        <v>6792.0260000000007</v>
      </c>
      <c r="BA68" s="1"/>
      <c r="BB68" s="1"/>
      <c r="BC68" s="31"/>
      <c r="BD68" s="30"/>
      <c r="BE68" s="18"/>
      <c r="BF68" s="18"/>
      <c r="BG68" s="18"/>
      <c r="BH68" s="18"/>
      <c r="BI68" s="303" t="s">
        <v>36</v>
      </c>
      <c r="BJ68" s="303"/>
      <c r="BK68" s="10">
        <f>BK59+BK61+BK62+BK63+BK64+BK65+BM23</f>
        <v>7592.1313727999986</v>
      </c>
      <c r="BL68" s="1"/>
      <c r="BM68" s="1"/>
      <c r="BN68" s="31"/>
      <c r="BO68" s="30"/>
      <c r="BP68" s="18"/>
      <c r="BQ68" s="18"/>
      <c r="BR68" s="18"/>
      <c r="BS68" s="18"/>
      <c r="BT68" s="303" t="s">
        <v>36</v>
      </c>
      <c r="BU68" s="303"/>
      <c r="BV68" s="10">
        <f>BV58+BV59+BV61+BV62+BV63+BV64+BV65+BX24</f>
        <v>8022.8159999999998</v>
      </c>
      <c r="BW68" s="1"/>
      <c r="BX68" s="1"/>
      <c r="BY68" s="31"/>
      <c r="BZ68" s="30"/>
      <c r="CA68" s="18"/>
      <c r="CB68" s="18"/>
      <c r="CC68" s="18"/>
      <c r="CD68" s="18"/>
      <c r="CE68" s="303" t="s">
        <v>36</v>
      </c>
      <c r="CF68" s="303"/>
      <c r="CG68" s="10">
        <f>CG59+CG61+CG62+CG63+CG64+CG65+CI23</f>
        <v>10613.675000000001</v>
      </c>
      <c r="CH68" s="1"/>
      <c r="CI68" s="1"/>
      <c r="CJ68" s="31"/>
      <c r="CK68" s="30"/>
      <c r="CL68" s="18"/>
      <c r="CM68" s="22" t="s">
        <v>31</v>
      </c>
      <c r="CN68" s="23">
        <f>CN66*CN65</f>
        <v>1303675.8911999997</v>
      </c>
      <c r="CO68" s="18"/>
      <c r="CP68" s="303" t="s">
        <v>36</v>
      </c>
      <c r="CQ68" s="303"/>
      <c r="CR68" s="10">
        <f>CR59+CR62+CR63+CR64+CR65+CT28+CT27</f>
        <v>14913</v>
      </c>
      <c r="CS68" s="1"/>
      <c r="CT68" s="1"/>
      <c r="CU68" s="31"/>
      <c r="CV68" s="30"/>
      <c r="CW68" s="18"/>
      <c r="CX68" s="18"/>
      <c r="CY68" s="18"/>
      <c r="CZ68" s="18"/>
      <c r="DA68" s="303" t="s">
        <v>36</v>
      </c>
      <c r="DB68" s="303"/>
      <c r="DC68" s="10">
        <f>DC59+DC61+DC62+DC63+DC64+DC65+DE24</f>
        <v>6422.26</v>
      </c>
      <c r="DD68" s="1"/>
      <c r="DE68" s="1"/>
      <c r="DF68" s="31"/>
      <c r="DG68" s="30"/>
      <c r="DH68" s="18"/>
      <c r="DI68" s="18"/>
      <c r="DJ68" s="18"/>
      <c r="DK68" s="18"/>
      <c r="DL68" s="303" t="s">
        <v>36</v>
      </c>
      <c r="DM68" s="303"/>
      <c r="DN68" s="10">
        <f>DN59+DN62+DN63+DN64+DN65+DP29+DP30</f>
        <v>14962.364999999996</v>
      </c>
      <c r="DO68" s="1"/>
      <c r="DP68" s="1"/>
      <c r="DQ68" s="31"/>
      <c r="DR68" s="30"/>
      <c r="DS68" s="18"/>
      <c r="DT68" s="22" t="s">
        <v>31</v>
      </c>
      <c r="DU68" s="23">
        <f>DU66*DU65</f>
        <v>1429055.7791999998</v>
      </c>
      <c r="DV68" s="18"/>
      <c r="DW68" s="310" t="s">
        <v>18</v>
      </c>
      <c r="DX68" s="310"/>
      <c r="DY68" s="19">
        <f>DY69</f>
        <v>15887.455000000002</v>
      </c>
      <c r="DZ68" s="1">
        <f>DO67</f>
        <v>2</v>
      </c>
      <c r="EA68" s="20">
        <f>DY68*DZ68</f>
        <v>31774.910000000003</v>
      </c>
      <c r="EB68" s="31"/>
      <c r="EC68" s="30"/>
      <c r="ED68" s="18"/>
      <c r="EE68" s="18"/>
      <c r="EF68" s="18"/>
      <c r="EG68" s="18"/>
      <c r="EH68" s="303" t="s">
        <v>36</v>
      </c>
      <c r="EI68" s="303"/>
      <c r="EJ68" s="10">
        <f>EJ56+EL32+EJ62+EJ63+EJ64+EJ65</f>
        <v>32462.665000000001</v>
      </c>
      <c r="EK68" s="1"/>
      <c r="EL68" s="1"/>
      <c r="EM68" s="31"/>
      <c r="EN68" s="30"/>
      <c r="EO68" s="18"/>
      <c r="EP68" s="18"/>
      <c r="EQ68" s="18"/>
      <c r="ER68" s="18"/>
      <c r="ES68" s="303" t="s">
        <v>36</v>
      </c>
      <c r="ET68" s="303"/>
      <c r="EU68" s="10">
        <f>EU60+EW39+EU62+EU63+EU64+EU65</f>
        <v>27307.017500000002</v>
      </c>
      <c r="EV68" s="1"/>
      <c r="EW68" s="1"/>
      <c r="EX68" s="31"/>
      <c r="EY68" s="30"/>
      <c r="EZ68" s="18"/>
      <c r="FA68" s="18"/>
      <c r="FB68" s="18"/>
      <c r="FC68" s="18"/>
      <c r="FD68" s="303" t="s">
        <v>36</v>
      </c>
      <c r="FE68" s="303"/>
      <c r="FF68" s="10">
        <f>FF58+FF61+FF62+FF63+FF64+FF65+FH24+FH25</f>
        <v>15219.697999999999</v>
      </c>
      <c r="FG68" s="1"/>
      <c r="FH68" s="1"/>
      <c r="FI68" s="31"/>
      <c r="FJ68" s="30"/>
      <c r="FK68" s="18"/>
      <c r="FL68" s="18"/>
      <c r="FM68" s="18"/>
      <c r="FN68" s="18"/>
      <c r="FO68" s="303" t="s">
        <v>36</v>
      </c>
      <c r="FP68" s="303"/>
      <c r="FQ68" s="10">
        <f>FQ59+FQ61+FQ62+FQ63+FQ64+FQ65+FS25</f>
        <v>23215.07</v>
      </c>
      <c r="FR68" s="1"/>
      <c r="FS68" s="1"/>
      <c r="FT68" s="31"/>
      <c r="FU68" s="30"/>
      <c r="FV68" s="18"/>
      <c r="FW68" s="18"/>
      <c r="FX68" s="18"/>
      <c r="FY68" s="18"/>
      <c r="FZ68" s="303" t="s">
        <v>36</v>
      </c>
      <c r="GA68" s="303"/>
      <c r="GB68" s="10">
        <f>GB59+GB62+GB64+GB65+GD39+GD38</f>
        <v>22342.2225</v>
      </c>
      <c r="GC68" s="1"/>
      <c r="GD68" s="1"/>
      <c r="GE68" s="31"/>
      <c r="GF68" s="30"/>
      <c r="GG68" s="18"/>
      <c r="GH68" s="18"/>
      <c r="GI68" s="18"/>
      <c r="GJ68" s="18"/>
      <c r="GK68" s="303" t="s">
        <v>36</v>
      </c>
      <c r="GL68" s="303"/>
      <c r="GM68" s="10">
        <f>GM57+GM58+GO35+GO36+GM61+GM62+GM63+GM64+GM65</f>
        <v>55128.817600000009</v>
      </c>
      <c r="GN68" s="1"/>
      <c r="GO68" s="1"/>
      <c r="GP68" s="31"/>
      <c r="GQ68" s="30"/>
      <c r="GR68" s="18"/>
      <c r="GS68" s="18"/>
      <c r="GT68" s="18"/>
      <c r="GU68" s="18"/>
      <c r="GV68" s="303" t="s">
        <v>36</v>
      </c>
      <c r="GW68" s="303"/>
      <c r="GX68" s="10">
        <f>GX60+GX62+GX64+GX65+GZ28</f>
        <v>26657.287500000002</v>
      </c>
      <c r="GY68" s="1"/>
      <c r="GZ68" s="1"/>
      <c r="HA68" s="31"/>
      <c r="HB68" s="30"/>
      <c r="HC68" s="18"/>
      <c r="HD68" s="22" t="s">
        <v>31</v>
      </c>
      <c r="HE68" s="23">
        <f>HE66*HE65</f>
        <v>2489765.25</v>
      </c>
      <c r="HF68" s="18"/>
      <c r="HG68" s="304" t="s">
        <v>36</v>
      </c>
      <c r="HH68" s="306"/>
      <c r="HI68" s="10">
        <f>HI59+HI61+HI62+HI63+HI64+HI65+HK25</f>
        <v>27171.45</v>
      </c>
      <c r="HJ68" s="1"/>
      <c r="HK68" s="1"/>
      <c r="HL68" s="31"/>
      <c r="HM68" s="30"/>
      <c r="HN68" s="18"/>
      <c r="HO68" s="22" t="s">
        <v>31</v>
      </c>
      <c r="HP68" s="23">
        <f>HP66*HP65</f>
        <v>2030836.5959999999</v>
      </c>
      <c r="HQ68" s="18"/>
      <c r="HR68" s="304" t="s">
        <v>36</v>
      </c>
      <c r="HS68" s="306"/>
      <c r="HT68" s="10">
        <f>HT60+HT62+HT63+HT64+HT65+HV31</f>
        <v>23089.432499999999</v>
      </c>
      <c r="HU68" s="1"/>
      <c r="HV68" s="1"/>
      <c r="HW68" s="31"/>
      <c r="HX68" s="30"/>
      <c r="HY68" s="18"/>
      <c r="HZ68" s="22" t="s">
        <v>31</v>
      </c>
      <c r="IA68" s="23">
        <f>IA66*IA65</f>
        <v>2345539.3128000004</v>
      </c>
      <c r="IB68" s="18"/>
      <c r="IC68" s="303" t="s">
        <v>36</v>
      </c>
      <c r="ID68" s="303"/>
      <c r="IE68" s="10">
        <f>IE59+IE61+IE62+IE63+IE64+IE65+IG27</f>
        <v>25760.812499999996</v>
      </c>
      <c r="IF68" s="1"/>
      <c r="IG68" s="1"/>
      <c r="IH68" s="31"/>
      <c r="II68" s="30"/>
      <c r="IJ68" s="18"/>
      <c r="IK68" s="18"/>
      <c r="IL68" s="18"/>
      <c r="IM68" s="18"/>
      <c r="IN68" s="313" t="s">
        <v>36</v>
      </c>
      <c r="IO68" s="314"/>
      <c r="IP68" s="10">
        <f>IP54+IP55+IR36+IR40+IR41+IR42+IP60+IP61+IP62+IP63+IP64+IP65</f>
        <v>72114.09699999998</v>
      </c>
      <c r="IQ68" s="1"/>
      <c r="IR68" s="1"/>
      <c r="IS68" s="31"/>
      <c r="IT68" s="30"/>
      <c r="IU68" s="18"/>
      <c r="IV68" s="18"/>
      <c r="IW68" s="18"/>
      <c r="IX68" s="18"/>
      <c r="IY68" s="313" t="s">
        <v>36</v>
      </c>
      <c r="IZ68" s="314"/>
      <c r="JA68" s="10">
        <f>JA55+JA60+JA61+JA62+JA63+JA64+JA65+JC36+JC40+JC41+JC42</f>
        <v>69534.184999999998</v>
      </c>
      <c r="JB68" s="1"/>
      <c r="JC68" s="1"/>
      <c r="JD68" s="31"/>
      <c r="JE68" s="30"/>
      <c r="JF68" s="18"/>
      <c r="JG68" s="18"/>
      <c r="JH68" s="18"/>
      <c r="JI68" s="18"/>
      <c r="JJ68" s="313" t="s">
        <v>36</v>
      </c>
      <c r="JK68" s="314"/>
      <c r="JL68" s="10">
        <f>JL55+JL61+JL62+JL63+JL64+JL65+JN24+JN39+JN40+JN41+JL60</f>
        <v>73266.63499999998</v>
      </c>
      <c r="JM68" s="1"/>
      <c r="JN68" s="1"/>
      <c r="JO68" s="31"/>
      <c r="JP68" s="30"/>
      <c r="JQ68" s="18"/>
      <c r="JR68" s="18"/>
      <c r="JS68" s="18"/>
      <c r="JT68" s="18"/>
      <c r="JU68" s="313" t="s">
        <v>36</v>
      </c>
      <c r="JV68" s="314"/>
      <c r="JW68" s="10">
        <f>JW54+JW61+JW62+JW63+JW64+JY24+JY36+JW65+JW55+JY34+JY35+JW60</f>
        <v>61614.447999999997</v>
      </c>
      <c r="JX68" s="1"/>
      <c r="JY68" s="1"/>
      <c r="JZ68" s="31"/>
      <c r="KA68" s="30"/>
      <c r="KB68" s="18"/>
      <c r="KC68" s="18"/>
      <c r="KD68" s="18"/>
      <c r="KE68" s="18"/>
      <c r="KF68" s="313" t="s">
        <v>36</v>
      </c>
      <c r="KG68" s="314"/>
      <c r="KH68" s="10">
        <f>KH54+KH61+KH62+KH63+KH64+KJ24+KJ36+KH65+KH55+KJ34+KJ35+KH60</f>
        <v>56535.286</v>
      </c>
      <c r="KI68" s="1"/>
      <c r="KJ68" s="1"/>
      <c r="KK68" s="31"/>
      <c r="KL68" s="30"/>
      <c r="KM68" s="18"/>
      <c r="KN68" s="18"/>
      <c r="KO68" s="18"/>
      <c r="KP68" s="18"/>
      <c r="KQ68" s="313" t="s">
        <v>36</v>
      </c>
      <c r="KR68" s="314"/>
      <c r="KS68" s="10">
        <f>KS58+KS61+KS62+KS63+KS64+KS65+KU24+KU33</f>
        <v>54270.799999999996</v>
      </c>
      <c r="KT68" s="1"/>
      <c r="KU68" s="1"/>
      <c r="KV68" s="31"/>
      <c r="KW68" s="30"/>
      <c r="KX68" s="18"/>
      <c r="KY68" s="18"/>
      <c r="KZ68" s="18"/>
      <c r="LA68" s="18"/>
      <c r="LB68" s="303" t="s">
        <v>36</v>
      </c>
      <c r="LC68" s="303"/>
      <c r="LD68" s="10">
        <f>LD59+LD60+LF42+LD62+LD63+LD64+LD65</f>
        <v>312485.61803999997</v>
      </c>
      <c r="LE68" s="1"/>
      <c r="LF68" s="1"/>
      <c r="LG68" s="31"/>
      <c r="LH68" s="30"/>
      <c r="LI68" s="18"/>
      <c r="LJ68" s="22" t="s">
        <v>31</v>
      </c>
      <c r="LK68" s="23">
        <f>LK66*LK65</f>
        <v>11722070.8848</v>
      </c>
      <c r="LL68" s="18"/>
      <c r="LM68" s="303" t="s">
        <v>36</v>
      </c>
      <c r="LN68" s="303"/>
      <c r="LO68" s="10">
        <f>LO60+LO61+LQ36+LO63+LO64+LO65</f>
        <v>139922.60399999999</v>
      </c>
      <c r="LP68" s="1"/>
      <c r="LQ68" s="1"/>
      <c r="LR68" s="31"/>
      <c r="LS68" s="30"/>
      <c r="LT68" s="18"/>
      <c r="LU68" s="22" t="s">
        <v>31</v>
      </c>
      <c r="LV68" s="23">
        <f>LV66*LV65</f>
        <v>935791.18080000009</v>
      </c>
      <c r="LW68" s="18"/>
      <c r="LX68" s="310" t="s">
        <v>18</v>
      </c>
      <c r="LY68" s="310"/>
      <c r="LZ68" s="19">
        <f>LZ69</f>
        <v>10456.365</v>
      </c>
      <c r="MA68" s="1">
        <v>2</v>
      </c>
      <c r="MB68" s="20">
        <f>LZ68*MA68</f>
        <v>20912.73</v>
      </c>
      <c r="MC68" s="31"/>
      <c r="ME68" s="30"/>
      <c r="MF68" s="18"/>
      <c r="MG68" s="22" t="s">
        <v>31</v>
      </c>
      <c r="MH68" s="23">
        <f>MH66*MH65</f>
        <v>823687.84031999996</v>
      </c>
      <c r="MI68" s="18"/>
      <c r="MJ68" s="310" t="s">
        <v>18</v>
      </c>
      <c r="MK68" s="310"/>
      <c r="ML68" s="19">
        <f>ML69</f>
        <v>9185.6225000000013</v>
      </c>
      <c r="MM68" s="1">
        <v>2</v>
      </c>
      <c r="MN68" s="20">
        <f>ML68*MM68</f>
        <v>18371.245000000003</v>
      </c>
      <c r="MO68" s="31"/>
    </row>
    <row r="69" spans="1:469" x14ac:dyDescent="0.25">
      <c r="A69" s="30"/>
      <c r="B69" s="18"/>
      <c r="C69" s="22" t="s">
        <v>31</v>
      </c>
      <c r="D69" s="23">
        <f>D67*D66</f>
        <v>66506.468000000008</v>
      </c>
      <c r="E69" s="18"/>
      <c r="F69" s="304" t="s">
        <v>17</v>
      </c>
      <c r="G69" s="305"/>
      <c r="H69" s="305"/>
      <c r="I69" s="306"/>
      <c r="J69" s="24">
        <f>SUM(J61:J67)</f>
        <v>53205.174400000004</v>
      </c>
      <c r="K69" s="31"/>
      <c r="L69" s="30"/>
      <c r="M69" s="18"/>
      <c r="N69" s="22" t="s">
        <v>31</v>
      </c>
      <c r="O69" s="23">
        <f>O67*O66</f>
        <v>122701.11825000001</v>
      </c>
      <c r="P69" s="18"/>
      <c r="Q69" s="304" t="s">
        <v>17</v>
      </c>
      <c r="R69" s="305"/>
      <c r="S69" s="305"/>
      <c r="T69" s="306"/>
      <c r="U69" s="24">
        <f>SUM(U61:U67)</f>
        <v>98160.8946</v>
      </c>
      <c r="V69" s="31"/>
      <c r="W69" s="30"/>
      <c r="X69" s="18"/>
      <c r="Y69" s="18"/>
      <c r="Z69" s="18"/>
      <c r="AA69" s="18"/>
      <c r="AB69" s="304" t="s">
        <v>17</v>
      </c>
      <c r="AC69" s="305"/>
      <c r="AD69" s="305"/>
      <c r="AE69" s="306"/>
      <c r="AF69" s="24">
        <f>SUM(AF57:AF67)</f>
        <v>538561.88560000004</v>
      </c>
      <c r="AG69" s="31"/>
      <c r="AH69" s="30"/>
      <c r="AI69" s="18"/>
      <c r="AJ69" s="18"/>
      <c r="AK69" s="18"/>
      <c r="AL69" s="18"/>
      <c r="AM69" s="304" t="s">
        <v>17</v>
      </c>
      <c r="AN69" s="305"/>
      <c r="AO69" s="305"/>
      <c r="AP69" s="306"/>
      <c r="AQ69" s="24">
        <f>SUM(AQ59:AQ67)</f>
        <v>431870.19839999999</v>
      </c>
      <c r="AR69" s="31"/>
      <c r="AS69" s="30"/>
      <c r="AT69" s="18"/>
      <c r="AU69" s="18"/>
      <c r="AV69" s="18"/>
      <c r="AW69" s="18"/>
      <c r="AX69" s="304" t="s">
        <v>17</v>
      </c>
      <c r="AY69" s="305"/>
      <c r="AZ69" s="305"/>
      <c r="BA69" s="306"/>
      <c r="BB69" s="24">
        <f>SUM(BB59:BB67)</f>
        <v>502841.54119999998</v>
      </c>
      <c r="BC69" s="31"/>
      <c r="BD69" s="30"/>
      <c r="BE69" s="18"/>
      <c r="BF69" s="18"/>
      <c r="BG69" s="18"/>
      <c r="BH69" s="18"/>
      <c r="BI69" s="304" t="s">
        <v>17</v>
      </c>
      <c r="BJ69" s="305"/>
      <c r="BK69" s="305"/>
      <c r="BL69" s="306"/>
      <c r="BM69" s="24">
        <f>SUM(BM59:BM67)</f>
        <v>564924.00384639984</v>
      </c>
      <c r="BN69" s="31"/>
      <c r="BO69" s="30"/>
      <c r="BP69" s="18"/>
      <c r="BQ69" s="18"/>
      <c r="BR69" s="18"/>
      <c r="BS69" s="18"/>
      <c r="BT69" s="304" t="s">
        <v>17</v>
      </c>
      <c r="BU69" s="305"/>
      <c r="BV69" s="305"/>
      <c r="BW69" s="306"/>
      <c r="BX69" s="24">
        <f>SUM(BX58:BX67)</f>
        <v>600149.17920000001</v>
      </c>
      <c r="BY69" s="31"/>
      <c r="BZ69" s="30"/>
      <c r="CA69" s="18"/>
      <c r="CB69" s="18"/>
      <c r="CC69" s="18"/>
      <c r="CD69" s="18"/>
      <c r="CE69" s="304" t="s">
        <v>17</v>
      </c>
      <c r="CF69" s="305"/>
      <c r="CG69" s="305"/>
      <c r="CH69" s="306"/>
      <c r="CI69" s="24">
        <f>SUM(CI59:CI67)</f>
        <v>796874.23900000006</v>
      </c>
      <c r="CJ69" s="31"/>
      <c r="CK69" s="30"/>
      <c r="CL69" s="18"/>
      <c r="CM69" s="18"/>
      <c r="CN69" s="18"/>
      <c r="CO69" s="18"/>
      <c r="CP69" s="304" t="s">
        <v>17</v>
      </c>
      <c r="CQ69" s="305"/>
      <c r="CR69" s="305"/>
      <c r="CS69" s="306"/>
      <c r="CT69" s="24">
        <f>SUM(CT59:CT67)</f>
        <v>1086396.5759999999</v>
      </c>
      <c r="CU69" s="31"/>
      <c r="CV69" s="30"/>
      <c r="CW69" s="18"/>
      <c r="CX69" s="18"/>
      <c r="CY69" s="18"/>
      <c r="CZ69" s="18"/>
      <c r="DA69" s="304" t="s">
        <v>17</v>
      </c>
      <c r="DB69" s="305"/>
      <c r="DC69" s="305"/>
      <c r="DD69" s="306"/>
      <c r="DE69" s="24">
        <f>SUM(DE59:DE67)</f>
        <v>486407.36000000004</v>
      </c>
      <c r="DF69" s="31"/>
      <c r="DG69" s="30"/>
      <c r="DH69" s="18"/>
      <c r="DI69" s="18"/>
      <c r="DJ69" s="18"/>
      <c r="DK69" s="18"/>
      <c r="DL69" s="304" t="s">
        <v>17</v>
      </c>
      <c r="DM69" s="305"/>
      <c r="DN69" s="305"/>
      <c r="DO69" s="306"/>
      <c r="DP69" s="24">
        <f>SUM(DP59:DP67)</f>
        <v>1097782.6839999999</v>
      </c>
      <c r="DQ69" s="31"/>
      <c r="DR69" s="30"/>
      <c r="DS69" s="18"/>
      <c r="DT69" s="18"/>
      <c r="DU69" s="18"/>
      <c r="DV69" s="18"/>
      <c r="DW69" s="303" t="s">
        <v>36</v>
      </c>
      <c r="DX69" s="303"/>
      <c r="DY69" s="10">
        <f>DY61+EA33+DY63+DY64+DY65+DY66</f>
        <v>15887.455000000002</v>
      </c>
      <c r="DZ69" s="1"/>
      <c r="EA69" s="1"/>
      <c r="EB69" s="31"/>
      <c r="EC69" s="30"/>
      <c r="ED69" s="18"/>
      <c r="EE69" s="18"/>
      <c r="EF69" s="18"/>
      <c r="EG69" s="18"/>
      <c r="EH69" s="304" t="s">
        <v>17</v>
      </c>
      <c r="EI69" s="305"/>
      <c r="EJ69" s="305"/>
      <c r="EK69" s="306"/>
      <c r="EL69" s="24">
        <f>SUM(EL56:EL67)</f>
        <v>2447992.89732</v>
      </c>
      <c r="EM69" s="31"/>
      <c r="EN69" s="30"/>
      <c r="EO69" s="18"/>
      <c r="EP69" s="18"/>
      <c r="EQ69" s="18"/>
      <c r="ER69" s="18"/>
      <c r="ES69" s="304" t="s">
        <v>17</v>
      </c>
      <c r="ET69" s="305"/>
      <c r="EU69" s="305"/>
      <c r="EV69" s="306"/>
      <c r="EW69" s="24">
        <f>SUM(EW60:EW67)</f>
        <v>2013557.7699999998</v>
      </c>
      <c r="EX69" s="31"/>
      <c r="EY69" s="30"/>
      <c r="EZ69" s="18"/>
      <c r="FA69" s="18"/>
      <c r="FB69" s="18"/>
      <c r="FC69" s="18"/>
      <c r="FD69" s="304" t="s">
        <v>17</v>
      </c>
      <c r="FE69" s="305"/>
      <c r="FF69" s="305"/>
      <c r="FG69" s="306"/>
      <c r="FH69" s="24">
        <f>SUM(FH58:FH67)</f>
        <v>1147443.5183999999</v>
      </c>
      <c r="FI69" s="31"/>
      <c r="FJ69" s="30"/>
      <c r="FK69" s="18"/>
      <c r="FL69" s="18"/>
      <c r="FM69" s="18"/>
      <c r="FN69" s="18"/>
      <c r="FO69" s="304" t="s">
        <v>17</v>
      </c>
      <c r="FP69" s="305"/>
      <c r="FQ69" s="305"/>
      <c r="FR69" s="306"/>
      <c r="FS69" s="24">
        <f>SUM(FS59:FS67)</f>
        <v>1752886.7599999998</v>
      </c>
      <c r="FT69" s="31"/>
      <c r="FU69" s="30"/>
      <c r="FV69" s="18"/>
      <c r="FW69" s="18"/>
      <c r="FX69" s="18"/>
      <c r="FY69" s="18"/>
      <c r="FZ69" s="304" t="s">
        <v>17</v>
      </c>
      <c r="GA69" s="305"/>
      <c r="GB69" s="305"/>
      <c r="GC69" s="306"/>
      <c r="GD69" s="24">
        <f>SUM(GD59:GD67)</f>
        <v>1646559.1580000001</v>
      </c>
      <c r="GE69" s="31"/>
      <c r="GF69" s="30"/>
      <c r="GG69" s="18"/>
      <c r="GH69" s="18"/>
      <c r="GI69" s="18"/>
      <c r="GJ69" s="18"/>
      <c r="GK69" s="304" t="s">
        <v>17</v>
      </c>
      <c r="GL69" s="305"/>
      <c r="GM69" s="305"/>
      <c r="GN69" s="306"/>
      <c r="GO69" s="24">
        <f>SUM(GO57:GO67)</f>
        <v>4207663.4912</v>
      </c>
      <c r="GP69" s="31"/>
      <c r="GQ69" s="30"/>
      <c r="GR69" s="18"/>
      <c r="GS69" s="18"/>
      <c r="GT69" s="18"/>
      <c r="GU69" s="18"/>
      <c r="GV69" s="304" t="s">
        <v>17</v>
      </c>
      <c r="GW69" s="305"/>
      <c r="GX69" s="305"/>
      <c r="GY69" s="306"/>
      <c r="GZ69" s="24">
        <f>SUM(GZ60:GZ67)</f>
        <v>1959808.53</v>
      </c>
      <c r="HA69" s="31"/>
      <c r="HB69" s="30"/>
      <c r="HC69" s="18"/>
      <c r="HD69" s="18"/>
      <c r="HE69" s="18"/>
      <c r="HF69" s="18"/>
      <c r="HG69" s="304" t="s">
        <v>17</v>
      </c>
      <c r="HH69" s="305"/>
      <c r="HI69" s="305"/>
      <c r="HJ69" s="306"/>
      <c r="HK69" s="24">
        <f>SUM(HK59:HK67)</f>
        <v>2074804.375</v>
      </c>
      <c r="HL69" s="31"/>
      <c r="HM69" s="30"/>
      <c r="HN69" s="18"/>
      <c r="HO69" s="18"/>
      <c r="HP69" s="18"/>
      <c r="HQ69" s="18"/>
      <c r="HR69" s="304" t="s">
        <v>17</v>
      </c>
      <c r="HS69" s="305"/>
      <c r="HT69" s="305"/>
      <c r="HU69" s="306"/>
      <c r="HV69" s="24">
        <f>SUM(HV60:HV67)</f>
        <v>1692363.83</v>
      </c>
      <c r="HW69" s="31"/>
      <c r="HX69" s="30"/>
      <c r="HY69" s="18"/>
      <c r="HZ69" s="18"/>
      <c r="IA69" s="18"/>
      <c r="IB69" s="18"/>
      <c r="IC69" s="304" t="s">
        <v>17</v>
      </c>
      <c r="ID69" s="305"/>
      <c r="IE69" s="305"/>
      <c r="IF69" s="306"/>
      <c r="IG69" s="24">
        <f>SUM(IG59:IG67)</f>
        <v>1954616.0940000003</v>
      </c>
      <c r="IH69" s="31"/>
      <c r="II69" s="30"/>
      <c r="IJ69" s="18"/>
      <c r="IK69" s="18"/>
      <c r="IL69" s="18"/>
      <c r="IM69" s="18"/>
      <c r="IN69" s="304" t="s">
        <v>17</v>
      </c>
      <c r="IO69" s="305"/>
      <c r="IP69" s="305"/>
      <c r="IQ69" s="306"/>
      <c r="IR69" s="24">
        <f>SUM(IR54:IR67)</f>
        <v>5448764.8339999998</v>
      </c>
      <c r="IS69" s="31"/>
      <c r="IT69" s="30"/>
      <c r="IU69" s="18"/>
      <c r="IV69" s="18"/>
      <c r="IW69" s="18"/>
      <c r="IX69" s="18"/>
      <c r="IY69" s="304" t="s">
        <v>17</v>
      </c>
      <c r="IZ69" s="305"/>
      <c r="JA69" s="305"/>
      <c r="JB69" s="306"/>
      <c r="JC69" s="24">
        <f>SUM(JC55:JC67)</f>
        <v>5272653.5</v>
      </c>
      <c r="JD69" s="31"/>
      <c r="JE69" s="30"/>
      <c r="JF69" s="18"/>
      <c r="JG69" s="18"/>
      <c r="JH69" s="18"/>
      <c r="JI69" s="18"/>
      <c r="JJ69" s="304" t="s">
        <v>17</v>
      </c>
      <c r="JK69" s="305"/>
      <c r="JL69" s="305"/>
      <c r="JM69" s="306"/>
      <c r="JN69" s="24">
        <f>SUM(JN55:JN67)</f>
        <v>5491615.027999999</v>
      </c>
      <c r="JO69" s="31"/>
      <c r="JP69" s="30"/>
      <c r="JQ69" s="18"/>
      <c r="JR69" s="18"/>
      <c r="JS69" s="18"/>
      <c r="JT69" s="18"/>
      <c r="JU69" s="304" t="s">
        <v>17</v>
      </c>
      <c r="JV69" s="305"/>
      <c r="JW69" s="305"/>
      <c r="JX69" s="306"/>
      <c r="JY69" s="24">
        <f>SUM(JY54:JY67)</f>
        <v>4627096.5159999998</v>
      </c>
      <c r="JZ69" s="31"/>
      <c r="KA69" s="30"/>
      <c r="KB69" s="18"/>
      <c r="KC69" s="18"/>
      <c r="KD69" s="18"/>
      <c r="KE69" s="18"/>
      <c r="KF69" s="304" t="s">
        <v>17</v>
      </c>
      <c r="KG69" s="305"/>
      <c r="KH69" s="305"/>
      <c r="KI69" s="306"/>
      <c r="KJ69" s="24">
        <f>SUM(KJ54:KJ67)</f>
        <v>4282628.4520000005</v>
      </c>
      <c r="KK69" s="31"/>
      <c r="KL69" s="30"/>
      <c r="KM69" s="18"/>
      <c r="KN69" s="18"/>
      <c r="KO69" s="18"/>
      <c r="KP69" s="18"/>
      <c r="KQ69" s="304" t="s">
        <v>17</v>
      </c>
      <c r="KR69" s="305"/>
      <c r="KS69" s="305"/>
      <c r="KT69" s="306"/>
      <c r="KU69" s="24">
        <f>SUM(KU58:KU67)</f>
        <v>4075885.44</v>
      </c>
      <c r="KV69" s="31"/>
      <c r="KW69" s="30"/>
      <c r="KX69" s="18"/>
      <c r="KY69" s="18"/>
      <c r="KZ69" s="18"/>
      <c r="LA69" s="18"/>
      <c r="LB69" s="304" t="s">
        <v>17</v>
      </c>
      <c r="LC69" s="305"/>
      <c r="LD69" s="305"/>
      <c r="LE69" s="306"/>
      <c r="LF69" s="24">
        <f>SUM(LF59:LF67)</f>
        <v>22458383.77544</v>
      </c>
      <c r="LG69" s="31"/>
      <c r="LH69" s="30"/>
      <c r="LI69" s="18"/>
      <c r="LJ69" s="18"/>
      <c r="LK69" s="18"/>
      <c r="LL69" s="18"/>
      <c r="LM69" s="304" t="s">
        <v>17</v>
      </c>
      <c r="LN69" s="305"/>
      <c r="LO69" s="305"/>
      <c r="LP69" s="306"/>
      <c r="LQ69" s="24">
        <f>SUM(LQ60:LQ67)</f>
        <v>9768392.404000001</v>
      </c>
      <c r="LR69" s="31"/>
      <c r="LS69" s="30"/>
      <c r="LT69" s="18"/>
      <c r="LU69" s="18"/>
      <c r="LV69" s="18"/>
      <c r="LW69" s="18"/>
      <c r="LX69" s="303" t="s">
        <v>36</v>
      </c>
      <c r="LY69" s="303"/>
      <c r="LZ69" s="10">
        <f>LZ61+MB33+LZ63+LZ64+LZ65+LZ66</f>
        <v>10456.365</v>
      </c>
      <c r="MA69" s="1"/>
      <c r="MB69" s="1"/>
      <c r="MC69" s="31"/>
      <c r="ME69" s="30"/>
      <c r="MF69" s="18"/>
      <c r="MG69" s="18"/>
      <c r="MH69" s="18"/>
      <c r="MI69" s="18"/>
      <c r="MJ69" s="303" t="s">
        <v>36</v>
      </c>
      <c r="MK69" s="303"/>
      <c r="ML69" s="10">
        <f>ML61+MN33+ML63+ML64+ML65+ML66</f>
        <v>9185.6225000000013</v>
      </c>
      <c r="MM69" s="1"/>
      <c r="MN69" s="1"/>
      <c r="MO69" s="31"/>
    </row>
    <row r="70" spans="1:469" s="221" customFormat="1" x14ac:dyDescent="0.25">
      <c r="A70" s="30"/>
      <c r="B70" s="18"/>
      <c r="C70" s="18"/>
      <c r="D70" s="18"/>
      <c r="E70" s="18"/>
      <c r="F70" s="307" t="s">
        <v>134</v>
      </c>
      <c r="G70" s="308"/>
      <c r="H70" s="308"/>
      <c r="I70" s="309"/>
      <c r="J70" s="35">
        <f>J69*1.25</f>
        <v>66506.468000000008</v>
      </c>
      <c r="K70" s="31"/>
      <c r="L70" s="30"/>
      <c r="M70" s="18"/>
      <c r="N70" s="18"/>
      <c r="O70" s="18"/>
      <c r="P70" s="18"/>
      <c r="Q70" s="307" t="s">
        <v>134</v>
      </c>
      <c r="R70" s="308"/>
      <c r="S70" s="308"/>
      <c r="T70" s="309"/>
      <c r="U70" s="35">
        <f>U69*1.25</f>
        <v>122701.11825</v>
      </c>
      <c r="V70" s="31"/>
      <c r="W70" s="30"/>
      <c r="X70" s="18"/>
      <c r="Y70" s="18"/>
      <c r="Z70" s="218"/>
      <c r="AA70" s="18"/>
      <c r="AB70" s="307" t="s">
        <v>134</v>
      </c>
      <c r="AC70" s="308"/>
      <c r="AD70" s="308"/>
      <c r="AE70" s="309"/>
      <c r="AF70" s="35">
        <f>AF69*1.2</f>
        <v>646274.26272</v>
      </c>
      <c r="AG70" s="31"/>
      <c r="AH70" s="30"/>
      <c r="AI70" s="18"/>
      <c r="AJ70" s="18"/>
      <c r="AK70" s="18"/>
      <c r="AL70" s="18"/>
      <c r="AM70" s="307" t="s">
        <v>134</v>
      </c>
      <c r="AN70" s="308"/>
      <c r="AO70" s="308"/>
      <c r="AP70" s="309"/>
      <c r="AQ70" s="35">
        <f>AQ69*1.2</f>
        <v>518244.23807999998</v>
      </c>
      <c r="AR70" s="31"/>
      <c r="AS70" s="30"/>
      <c r="AT70" s="18"/>
      <c r="AU70" s="18"/>
      <c r="AV70" s="18"/>
      <c r="AW70" s="18"/>
      <c r="AX70" s="307" t="s">
        <v>134</v>
      </c>
      <c r="AY70" s="308"/>
      <c r="AZ70" s="308"/>
      <c r="BA70" s="309"/>
      <c r="BB70" s="35">
        <f>BB69*1.2</f>
        <v>603409.8494399999</v>
      </c>
      <c r="BC70" s="31"/>
      <c r="BD70" s="30"/>
      <c r="BE70" s="18"/>
      <c r="BF70" s="18"/>
      <c r="BG70" s="18"/>
      <c r="BH70" s="18"/>
      <c r="BI70" s="307" t="s">
        <v>134</v>
      </c>
      <c r="BJ70" s="308"/>
      <c r="BK70" s="308"/>
      <c r="BL70" s="309"/>
      <c r="BM70" s="35">
        <f>BM69*1.2</f>
        <v>677908.80461567978</v>
      </c>
      <c r="BN70" s="31"/>
      <c r="BO70" s="30"/>
      <c r="BP70" s="18"/>
      <c r="BQ70" s="18"/>
      <c r="BR70" s="18"/>
      <c r="BS70" s="18"/>
      <c r="BT70" s="307" t="s">
        <v>134</v>
      </c>
      <c r="BU70" s="308"/>
      <c r="BV70" s="308"/>
      <c r="BW70" s="309"/>
      <c r="BX70" s="35">
        <f>BX69*1.2</f>
        <v>720179.01503999997</v>
      </c>
      <c r="BY70" s="31"/>
      <c r="BZ70" s="30"/>
      <c r="CA70" s="18"/>
      <c r="CB70" s="18"/>
      <c r="CC70" s="18"/>
      <c r="CD70" s="18"/>
      <c r="CE70" s="307" t="s">
        <v>134</v>
      </c>
      <c r="CF70" s="308"/>
      <c r="CG70" s="308"/>
      <c r="CH70" s="309"/>
      <c r="CI70" s="35">
        <f>CI69*1.2</f>
        <v>956249.08680000005</v>
      </c>
      <c r="CJ70" s="31"/>
      <c r="CK70" s="30"/>
      <c r="CL70" s="18"/>
      <c r="CM70" s="18"/>
      <c r="CN70" s="18"/>
      <c r="CO70" s="18"/>
      <c r="CP70" s="307" t="s">
        <v>134</v>
      </c>
      <c r="CQ70" s="308"/>
      <c r="CR70" s="308"/>
      <c r="CS70" s="309"/>
      <c r="CT70" s="35">
        <f>CT69*1.2</f>
        <v>1303675.8911999997</v>
      </c>
      <c r="CU70" s="31"/>
      <c r="CV70" s="30"/>
      <c r="CW70" s="18"/>
      <c r="CX70" s="18"/>
      <c r="CY70" s="18"/>
      <c r="CZ70" s="18"/>
      <c r="DA70" s="307" t="s">
        <v>134</v>
      </c>
      <c r="DB70" s="308"/>
      <c r="DC70" s="308"/>
      <c r="DD70" s="309"/>
      <c r="DE70" s="35">
        <f>DE69*1.2</f>
        <v>583688.83200000005</v>
      </c>
      <c r="DF70" s="31"/>
      <c r="DG70" s="30"/>
      <c r="DH70" s="18"/>
      <c r="DI70" s="18"/>
      <c r="DJ70" s="18"/>
      <c r="DK70" s="18"/>
      <c r="DL70" s="307" t="s">
        <v>134</v>
      </c>
      <c r="DM70" s="308"/>
      <c r="DN70" s="308"/>
      <c r="DO70" s="309"/>
      <c r="DP70" s="35">
        <f>DP69*1.2</f>
        <v>1317339.2207999998</v>
      </c>
      <c r="DQ70" s="31"/>
      <c r="DR70" s="30"/>
      <c r="DS70" s="18"/>
      <c r="DT70" s="22" t="s">
        <v>330</v>
      </c>
      <c r="DU70" s="23">
        <f>DU65*20</f>
        <v>317749.10000000003</v>
      </c>
      <c r="DV70" s="18"/>
      <c r="DW70" s="304" t="s">
        <v>17</v>
      </c>
      <c r="DX70" s="305"/>
      <c r="DY70" s="305"/>
      <c r="DZ70" s="306"/>
      <c r="EA70" s="24">
        <f>SUM(EA61:EA68)</f>
        <v>1190879.8159999999</v>
      </c>
      <c r="EB70" s="31"/>
      <c r="EC70" s="30"/>
      <c r="ED70" s="18"/>
      <c r="EE70" s="18"/>
      <c r="EF70" s="18"/>
      <c r="EG70" s="18"/>
      <c r="EH70" s="307" t="s">
        <v>134</v>
      </c>
      <c r="EI70" s="308"/>
      <c r="EJ70" s="308"/>
      <c r="EK70" s="309"/>
      <c r="EL70" s="35">
        <f>EL69*1.2</f>
        <v>2937591.4767839997</v>
      </c>
      <c r="EM70" s="31"/>
      <c r="EN70" s="30"/>
      <c r="EO70" s="18"/>
      <c r="EP70" s="18"/>
      <c r="EQ70" s="18"/>
      <c r="ER70" s="18"/>
      <c r="ES70" s="307" t="s">
        <v>134</v>
      </c>
      <c r="ET70" s="308"/>
      <c r="EU70" s="308"/>
      <c r="EV70" s="309"/>
      <c r="EW70" s="35">
        <f>EW69*1.2</f>
        <v>2416269.3239999996</v>
      </c>
      <c r="EX70" s="31"/>
      <c r="EY70" s="30"/>
      <c r="EZ70" s="18"/>
      <c r="FA70" s="18"/>
      <c r="FB70" s="18"/>
      <c r="FC70" s="18"/>
      <c r="FD70" s="307" t="s">
        <v>134</v>
      </c>
      <c r="FE70" s="308"/>
      <c r="FF70" s="308"/>
      <c r="FG70" s="309"/>
      <c r="FH70" s="35">
        <f>FH69*1.2</f>
        <v>1376932.22208</v>
      </c>
      <c r="FI70" s="31"/>
      <c r="FJ70" s="30"/>
      <c r="FK70" s="18"/>
      <c r="FL70" s="18"/>
      <c r="FM70" s="18"/>
      <c r="FN70" s="18"/>
      <c r="FO70" s="307" t="s">
        <v>134</v>
      </c>
      <c r="FP70" s="308"/>
      <c r="FQ70" s="308"/>
      <c r="FR70" s="309"/>
      <c r="FS70" s="35">
        <f>FS69*1.2</f>
        <v>2103464.1119999997</v>
      </c>
      <c r="FT70" s="31"/>
      <c r="FU70" s="30"/>
      <c r="FV70" s="18"/>
      <c r="FW70" s="18"/>
      <c r="FX70" s="18"/>
      <c r="FY70" s="18"/>
      <c r="FZ70" s="307" t="s">
        <v>134</v>
      </c>
      <c r="GA70" s="308"/>
      <c r="GB70" s="308"/>
      <c r="GC70" s="309"/>
      <c r="GD70" s="35">
        <f>GD69*1.2</f>
        <v>1975870.9896</v>
      </c>
      <c r="GE70" s="31"/>
      <c r="GF70" s="30"/>
      <c r="GG70" s="18"/>
      <c r="GH70" s="18"/>
      <c r="GI70" s="18"/>
      <c r="GJ70" s="18"/>
      <c r="GK70" s="307" t="s">
        <v>134</v>
      </c>
      <c r="GL70" s="308"/>
      <c r="GM70" s="308"/>
      <c r="GN70" s="309"/>
      <c r="GO70" s="35">
        <f>GO69*1.2</f>
        <v>5049196.1894399999</v>
      </c>
      <c r="GP70" s="31"/>
      <c r="GQ70" s="30"/>
      <c r="GR70" s="18"/>
      <c r="GS70" s="18"/>
      <c r="GT70" s="18"/>
      <c r="GU70" s="18"/>
      <c r="GV70" s="307" t="s">
        <v>134</v>
      </c>
      <c r="GW70" s="308"/>
      <c r="GX70" s="308"/>
      <c r="GY70" s="309"/>
      <c r="GZ70" s="35">
        <f>GZ69*1.2</f>
        <v>2351770.236</v>
      </c>
      <c r="HA70" s="31"/>
      <c r="HB70" s="30"/>
      <c r="HC70" s="18"/>
      <c r="HD70" s="18"/>
      <c r="HE70" s="18"/>
      <c r="HF70" s="18"/>
      <c r="HG70" s="307" t="s">
        <v>134</v>
      </c>
      <c r="HH70" s="308"/>
      <c r="HI70" s="308"/>
      <c r="HJ70" s="309"/>
      <c r="HK70" s="35">
        <f>HK69*1.2</f>
        <v>2489765.25</v>
      </c>
      <c r="HL70" s="31"/>
      <c r="HM70" s="30"/>
      <c r="HN70" s="18"/>
      <c r="HO70" s="18"/>
      <c r="HP70" s="18"/>
      <c r="HQ70" s="18"/>
      <c r="HR70" s="307" t="s">
        <v>134</v>
      </c>
      <c r="HS70" s="308"/>
      <c r="HT70" s="308"/>
      <c r="HU70" s="309"/>
      <c r="HV70" s="35">
        <f>HV69*1.2</f>
        <v>2030836.5959999999</v>
      </c>
      <c r="HW70" s="31"/>
      <c r="HX70" s="30"/>
      <c r="HY70" s="18"/>
      <c r="HZ70" s="18"/>
      <c r="IA70" s="18"/>
      <c r="IB70" s="18"/>
      <c r="IC70" s="307" t="s">
        <v>134</v>
      </c>
      <c r="ID70" s="308"/>
      <c r="IE70" s="308"/>
      <c r="IF70" s="309"/>
      <c r="IG70" s="35">
        <f>IG69*1.2</f>
        <v>2345539.3128000004</v>
      </c>
      <c r="IH70" s="31"/>
      <c r="II70" s="30"/>
      <c r="IJ70" s="18"/>
      <c r="IK70" s="18"/>
      <c r="IL70" s="18"/>
      <c r="IM70" s="18"/>
      <c r="IN70" s="307" t="s">
        <v>134</v>
      </c>
      <c r="IO70" s="308"/>
      <c r="IP70" s="308"/>
      <c r="IQ70" s="309"/>
      <c r="IR70" s="35">
        <f>IR69*1.2</f>
        <v>6538517.8007999994</v>
      </c>
      <c r="IS70" s="31"/>
      <c r="IT70" s="30"/>
      <c r="IU70" s="18"/>
      <c r="IV70" s="18"/>
      <c r="IW70" s="18"/>
      <c r="IX70" s="18"/>
      <c r="IY70" s="307" t="s">
        <v>134</v>
      </c>
      <c r="IZ70" s="308"/>
      <c r="JA70" s="308"/>
      <c r="JB70" s="309"/>
      <c r="JC70" s="35">
        <f>JC69*1.2</f>
        <v>6327184.2000000002</v>
      </c>
      <c r="JD70" s="31"/>
      <c r="JE70" s="30"/>
      <c r="JF70" s="18"/>
      <c r="JG70" s="18"/>
      <c r="JH70" s="18"/>
      <c r="JI70" s="18"/>
      <c r="JJ70" s="307" t="s">
        <v>134</v>
      </c>
      <c r="JK70" s="308"/>
      <c r="JL70" s="308"/>
      <c r="JM70" s="309"/>
      <c r="JN70" s="35">
        <f>JN69*1.2</f>
        <v>6589938.0335999988</v>
      </c>
      <c r="JO70" s="31"/>
      <c r="JP70" s="30"/>
      <c r="JQ70" s="18"/>
      <c r="JR70" s="18"/>
      <c r="JS70" s="18"/>
      <c r="JT70" s="18"/>
      <c r="JU70" s="307" t="s">
        <v>134</v>
      </c>
      <c r="JV70" s="308"/>
      <c r="JW70" s="308"/>
      <c r="JX70" s="309"/>
      <c r="JY70" s="35">
        <f>JY69*1.2</f>
        <v>5552515.8191999998</v>
      </c>
      <c r="JZ70" s="31"/>
      <c r="KA70" s="30"/>
      <c r="KB70" s="18"/>
      <c r="KC70" s="18"/>
      <c r="KD70" s="18"/>
      <c r="KE70" s="18"/>
      <c r="KF70" s="307" t="s">
        <v>134</v>
      </c>
      <c r="KG70" s="308"/>
      <c r="KH70" s="308"/>
      <c r="KI70" s="309"/>
      <c r="KJ70" s="35">
        <f>KJ69*1.2</f>
        <v>5139154.1424000002</v>
      </c>
      <c r="KK70" s="31"/>
      <c r="KL70" s="30"/>
      <c r="KM70" s="18"/>
      <c r="KN70" s="18"/>
      <c r="KO70" s="18"/>
      <c r="KP70" s="18"/>
      <c r="KQ70" s="307" t="s">
        <v>134</v>
      </c>
      <c r="KR70" s="308"/>
      <c r="KS70" s="308"/>
      <c r="KT70" s="309"/>
      <c r="KU70" s="35">
        <f>KU69*1.2</f>
        <v>4891062.5279999999</v>
      </c>
      <c r="KV70" s="31"/>
      <c r="KW70" s="30"/>
      <c r="KX70" s="18"/>
      <c r="KY70" s="18"/>
      <c r="KZ70" s="18"/>
      <c r="LA70" s="18"/>
      <c r="LB70" s="307" t="s">
        <v>134</v>
      </c>
      <c r="LC70" s="308"/>
      <c r="LD70" s="308"/>
      <c r="LE70" s="309"/>
      <c r="LF70" s="35">
        <f>LF69*1.2</f>
        <v>26950060.530527998</v>
      </c>
      <c r="LG70" s="31"/>
      <c r="LH70" s="30"/>
      <c r="LI70" s="18"/>
      <c r="LJ70" s="18"/>
      <c r="LK70" s="18"/>
      <c r="LL70" s="18"/>
      <c r="LM70" s="307" t="s">
        <v>134</v>
      </c>
      <c r="LN70" s="308"/>
      <c r="LO70" s="308"/>
      <c r="LP70" s="309"/>
      <c r="LQ70" s="35">
        <f>LQ69*1.2</f>
        <v>11722070.8848</v>
      </c>
      <c r="LR70" s="31"/>
      <c r="LS70" s="30"/>
      <c r="LT70" s="18"/>
      <c r="LU70" s="22" t="s">
        <v>330</v>
      </c>
      <c r="LV70" s="23">
        <f>LV65*20</f>
        <v>209127.3</v>
      </c>
      <c r="LW70" s="18"/>
      <c r="LX70" s="304" t="s">
        <v>17</v>
      </c>
      <c r="LY70" s="305"/>
      <c r="LZ70" s="305"/>
      <c r="MA70" s="306"/>
      <c r="MB70" s="24">
        <f>SUM(MB61:MB68)</f>
        <v>779825.98400000005</v>
      </c>
      <c r="MC70" s="31"/>
      <c r="MD70"/>
      <c r="ME70" s="30"/>
      <c r="MF70" s="18"/>
      <c r="MG70" s="22" t="s">
        <v>330</v>
      </c>
      <c r="MH70" s="23">
        <f>MH65*20</f>
        <v>183712.45</v>
      </c>
      <c r="MI70" s="18"/>
      <c r="MJ70" s="304" t="s">
        <v>17</v>
      </c>
      <c r="MK70" s="305"/>
      <c r="ML70" s="305"/>
      <c r="MM70" s="306"/>
      <c r="MN70" s="24">
        <f>SUM(MN61:MN68)</f>
        <v>686406.53359999997</v>
      </c>
      <c r="MO70" s="31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D70"/>
      <c r="PE70"/>
      <c r="PF70"/>
      <c r="PG70"/>
      <c r="PH70"/>
      <c r="PI70"/>
      <c r="PJ70"/>
      <c r="PK70"/>
      <c r="PL70"/>
      <c r="PM70"/>
      <c r="PN70"/>
      <c r="PQ70"/>
      <c r="PR70"/>
      <c r="PS70"/>
      <c r="PT70"/>
      <c r="PU70"/>
      <c r="PV70"/>
      <c r="PW70"/>
      <c r="PX70"/>
      <c r="PY70"/>
      <c r="PZ70"/>
      <c r="QA70"/>
      <c r="QD70"/>
      <c r="QE70"/>
      <c r="QF70"/>
      <c r="QG70"/>
      <c r="QH70"/>
      <c r="QI70"/>
      <c r="QJ70"/>
      <c r="QK70"/>
      <c r="QL70"/>
      <c r="QM70"/>
      <c r="QN70"/>
      <c r="QQ70"/>
      <c r="QR70"/>
      <c r="QS70"/>
      <c r="QT70"/>
      <c r="QU70"/>
      <c r="QV70"/>
      <c r="QW70"/>
      <c r="QX70"/>
      <c r="QY70"/>
      <c r="QZ70"/>
      <c r="RA70"/>
    </row>
    <row r="71" spans="1:469" x14ac:dyDescent="0.25">
      <c r="A71" s="30"/>
      <c r="B71" s="18"/>
      <c r="K71" s="31"/>
      <c r="L71" s="30"/>
      <c r="M71" s="18"/>
      <c r="V71" s="31"/>
      <c r="W71" s="30"/>
      <c r="X71" s="18"/>
      <c r="Y71" s="18"/>
      <c r="Z71" s="18"/>
      <c r="AA71" s="18"/>
      <c r="AB71" s="18"/>
      <c r="AC71" s="18"/>
      <c r="AD71" s="18"/>
      <c r="AE71" s="18"/>
      <c r="AF71" s="18"/>
      <c r="AG71" s="31"/>
      <c r="AH71" s="30"/>
      <c r="AI71" s="18"/>
      <c r="AJ71" s="18"/>
      <c r="AK71" s="18"/>
      <c r="AL71" s="18"/>
      <c r="AM71" s="18"/>
      <c r="AN71" s="18"/>
      <c r="AO71" s="18"/>
      <c r="AP71" s="18"/>
      <c r="AQ71" s="18"/>
      <c r="AR71" s="31"/>
      <c r="AS71" s="30"/>
      <c r="AT71" s="18"/>
      <c r="AU71" s="18"/>
      <c r="AV71" s="18"/>
      <c r="AW71" s="18"/>
      <c r="AX71" s="18"/>
      <c r="AY71" s="18"/>
      <c r="AZ71" s="18"/>
      <c r="BA71" s="18"/>
      <c r="BB71" s="18"/>
      <c r="BC71" s="31"/>
      <c r="BD71" s="30"/>
      <c r="BE71" s="18"/>
      <c r="BF71" s="18"/>
      <c r="BG71" s="18"/>
      <c r="BH71" s="18"/>
      <c r="BI71" s="18"/>
      <c r="BJ71" s="18"/>
      <c r="BK71" s="18"/>
      <c r="BL71" s="18"/>
      <c r="BM71" s="18"/>
      <c r="BN71" s="31"/>
      <c r="BO71" s="30"/>
      <c r="BP71" s="18"/>
      <c r="BQ71" s="18"/>
      <c r="BR71" s="18"/>
      <c r="BS71" s="18"/>
      <c r="BT71" s="18"/>
      <c r="BU71" s="18"/>
      <c r="BV71" s="18"/>
      <c r="BW71" s="18"/>
      <c r="BX71" s="18"/>
      <c r="BY71" s="31"/>
      <c r="BZ71" s="30"/>
      <c r="CA71" s="18"/>
      <c r="CB71" s="18"/>
      <c r="CC71" s="18"/>
      <c r="CD71" s="18"/>
      <c r="CE71" s="18"/>
      <c r="CF71" s="18"/>
      <c r="CG71" s="18"/>
      <c r="CH71" s="18"/>
      <c r="CI71" s="18"/>
      <c r="CJ71" s="31"/>
      <c r="CK71" s="30"/>
      <c r="CL71" s="18"/>
      <c r="CM71" s="18"/>
      <c r="CN71" s="18"/>
      <c r="CO71" s="18"/>
      <c r="CP71" s="18"/>
      <c r="CQ71" s="18"/>
      <c r="CR71" s="18"/>
      <c r="CS71" s="18"/>
      <c r="CT71" s="18"/>
      <c r="CU71" s="31"/>
      <c r="CV71" s="30"/>
      <c r="CW71" s="18"/>
      <c r="CX71" s="18"/>
      <c r="CY71" s="18"/>
      <c r="CZ71" s="18"/>
      <c r="DA71" s="18"/>
      <c r="DB71" s="18"/>
      <c r="DC71" s="18"/>
      <c r="DD71" s="18"/>
      <c r="DE71" s="18"/>
      <c r="DF71" s="31"/>
      <c r="DG71" s="30"/>
      <c r="DH71" s="18"/>
      <c r="DI71" s="18"/>
      <c r="DJ71" s="18"/>
      <c r="DK71" s="18"/>
      <c r="DL71" s="18"/>
      <c r="DM71" s="18"/>
      <c r="DN71" s="18"/>
      <c r="DO71" s="18"/>
      <c r="DP71" s="18"/>
      <c r="DQ71" s="31"/>
      <c r="DR71" s="30"/>
      <c r="DS71" s="18"/>
      <c r="DT71" s="22" t="s">
        <v>331</v>
      </c>
      <c r="DU71" s="23">
        <f>DU68+DU70</f>
        <v>1746804.8791999999</v>
      </c>
      <c r="DV71" s="18"/>
      <c r="DW71" s="307" t="s">
        <v>134</v>
      </c>
      <c r="DX71" s="308"/>
      <c r="DY71" s="308"/>
      <c r="DZ71" s="309"/>
      <c r="EA71" s="35">
        <f>EA70*1.2</f>
        <v>1429055.7791999998</v>
      </c>
      <c r="EB71" s="31"/>
      <c r="EC71" s="30"/>
      <c r="ED71" s="18"/>
      <c r="EE71" s="18"/>
      <c r="EF71" s="18"/>
      <c r="EG71" s="18"/>
      <c r="EH71" s="18"/>
      <c r="EI71" s="18"/>
      <c r="EJ71" s="18"/>
      <c r="EK71" s="18"/>
      <c r="EL71" s="18"/>
      <c r="EM71" s="31"/>
      <c r="EN71" s="30"/>
      <c r="EO71" s="18"/>
      <c r="EP71" s="18"/>
      <c r="EQ71" s="18"/>
      <c r="ER71" s="18"/>
      <c r="ES71" s="18"/>
      <c r="ET71" s="18"/>
      <c r="EU71" s="18"/>
      <c r="EV71" s="18"/>
      <c r="EW71" s="18"/>
      <c r="EX71" s="31"/>
      <c r="EY71" s="30"/>
      <c r="EZ71" s="18"/>
      <c r="FA71" s="18"/>
      <c r="FB71" s="18"/>
      <c r="FC71" s="18"/>
      <c r="FD71" s="18"/>
      <c r="FE71" s="18"/>
      <c r="FF71" s="18"/>
      <c r="FG71" s="18"/>
      <c r="FH71" s="18"/>
      <c r="FI71" s="31"/>
      <c r="FJ71" s="30"/>
      <c r="FK71" s="18"/>
      <c r="FL71" s="18"/>
      <c r="FM71" s="18"/>
      <c r="FN71" s="18"/>
      <c r="FO71" s="18"/>
      <c r="FP71" s="18"/>
      <c r="FQ71" s="18"/>
      <c r="FR71" s="18"/>
      <c r="FS71" s="18"/>
      <c r="FT71" s="31"/>
      <c r="FU71" s="30"/>
      <c r="FV71" s="18"/>
      <c r="FW71" s="18"/>
      <c r="FX71" s="18"/>
      <c r="FY71" s="18"/>
      <c r="FZ71" s="18"/>
      <c r="GA71" s="18"/>
      <c r="GB71" s="18"/>
      <c r="GC71" s="18"/>
      <c r="GD71" s="18"/>
      <c r="GE71" s="31"/>
      <c r="GF71" s="30"/>
      <c r="GG71" s="18"/>
      <c r="GH71" s="18"/>
      <c r="GI71" s="18"/>
      <c r="GJ71" s="18"/>
      <c r="GK71" s="18"/>
      <c r="GL71" s="18"/>
      <c r="GM71" s="18"/>
      <c r="GN71" s="18"/>
      <c r="GO71" s="18"/>
      <c r="GP71" s="31"/>
      <c r="GQ71" s="30"/>
      <c r="GR71" s="18"/>
      <c r="GS71" s="18"/>
      <c r="GT71" s="18"/>
      <c r="GU71" s="18"/>
      <c r="GV71" s="18"/>
      <c r="GW71" s="18"/>
      <c r="GX71" s="18"/>
      <c r="GY71" s="18"/>
      <c r="GZ71" s="18"/>
      <c r="HA71" s="31"/>
      <c r="HB71" s="30"/>
      <c r="HC71" s="18"/>
      <c r="HD71" s="18"/>
      <c r="HE71" s="18"/>
      <c r="HF71" s="18"/>
      <c r="HG71" s="18"/>
      <c r="HH71" s="18"/>
      <c r="HI71" s="18"/>
      <c r="HJ71" s="18"/>
      <c r="HK71" s="18"/>
      <c r="HL71" s="31"/>
      <c r="HM71" s="30"/>
      <c r="HN71" s="18"/>
      <c r="HO71" s="18"/>
      <c r="HP71" s="18"/>
      <c r="HQ71" s="18"/>
      <c r="HR71" s="18"/>
      <c r="HS71" s="18"/>
      <c r="HT71" s="18"/>
      <c r="HU71" s="18"/>
      <c r="HV71" s="18"/>
      <c r="HW71" s="31"/>
      <c r="HX71" s="30"/>
      <c r="HY71" s="18"/>
      <c r="HZ71" s="18"/>
      <c r="IA71" s="18"/>
      <c r="IB71" s="18"/>
      <c r="IC71" s="18"/>
      <c r="ID71" s="18"/>
      <c r="IE71" s="18"/>
      <c r="IF71" s="18"/>
      <c r="IG71" s="18"/>
      <c r="IH71" s="31"/>
      <c r="II71" s="30"/>
      <c r="IJ71" s="18"/>
      <c r="IK71" s="18"/>
      <c r="IL71" s="18"/>
      <c r="IM71" s="18"/>
      <c r="IN71" s="18"/>
      <c r="IO71" s="18"/>
      <c r="IP71" s="18"/>
      <c r="IQ71" s="18"/>
      <c r="IR71" s="18"/>
      <c r="IS71" s="31"/>
      <c r="IT71" s="30"/>
      <c r="IU71" s="18"/>
      <c r="IV71" s="18"/>
      <c r="IW71" s="18"/>
      <c r="IX71" s="18"/>
      <c r="IY71" s="18"/>
      <c r="IZ71" s="18"/>
      <c r="JA71" s="18"/>
      <c r="JB71" s="18"/>
      <c r="JC71" s="18"/>
      <c r="JD71" s="31"/>
      <c r="JE71" s="30"/>
      <c r="JF71" s="18"/>
      <c r="JG71" s="18"/>
      <c r="JH71" s="18"/>
      <c r="JI71" s="18"/>
      <c r="JJ71" s="18"/>
      <c r="JK71" s="18"/>
      <c r="JL71" s="18"/>
      <c r="JM71" s="18"/>
      <c r="JN71" s="18"/>
      <c r="JO71" s="31"/>
      <c r="JP71" s="30"/>
      <c r="JQ71" s="18"/>
      <c r="JR71" s="18"/>
      <c r="JS71" s="18"/>
      <c r="JT71" s="18"/>
      <c r="JU71" s="18"/>
      <c r="JV71" s="18"/>
      <c r="JW71" s="18"/>
      <c r="JX71" s="18"/>
      <c r="JY71" s="18"/>
      <c r="JZ71" s="31"/>
      <c r="KA71" s="30"/>
      <c r="KB71" s="18"/>
      <c r="KC71" s="18"/>
      <c r="KD71" s="18"/>
      <c r="KE71" s="18"/>
      <c r="KF71" s="18"/>
      <c r="KG71" s="18"/>
      <c r="KH71" s="18"/>
      <c r="KI71" s="18"/>
      <c r="KJ71" s="18"/>
      <c r="KK71" s="31"/>
      <c r="KL71" s="30"/>
      <c r="KM71" s="18"/>
      <c r="KN71" s="18"/>
      <c r="KO71" s="18"/>
      <c r="KP71" s="18"/>
      <c r="KQ71" s="18"/>
      <c r="KR71" s="18"/>
      <c r="KS71" s="18"/>
      <c r="KT71" s="18"/>
      <c r="KU71" s="18"/>
      <c r="KV71" s="31"/>
      <c r="KW71" s="30"/>
      <c r="KX71" s="18"/>
      <c r="KY71" s="18"/>
      <c r="KZ71" s="18"/>
      <c r="LA71" s="18"/>
      <c r="LB71" s="18"/>
      <c r="LC71" s="18"/>
      <c r="LD71" s="18"/>
      <c r="LE71" s="18"/>
      <c r="LF71" s="18"/>
      <c r="LG71" s="31"/>
      <c r="LH71" s="30"/>
      <c r="LI71" s="18"/>
      <c r="LJ71" s="18"/>
      <c r="LK71" s="18"/>
      <c r="LL71" s="18"/>
      <c r="LM71" s="18"/>
      <c r="LN71" s="18"/>
      <c r="LO71" s="18"/>
      <c r="LP71" s="18"/>
      <c r="LQ71" s="18"/>
      <c r="LR71" s="31"/>
      <c r="LS71" s="30"/>
      <c r="LT71" s="18"/>
      <c r="LU71" s="22" t="s">
        <v>331</v>
      </c>
      <c r="LV71" s="23">
        <f>LV68+LV70</f>
        <v>1144918.4808</v>
      </c>
      <c r="LW71" s="18"/>
      <c r="LX71" s="307" t="s">
        <v>134</v>
      </c>
      <c r="LY71" s="308"/>
      <c r="LZ71" s="308"/>
      <c r="MA71" s="309"/>
      <c r="MB71" s="35">
        <f>MB70*1.2</f>
        <v>935791.18080000009</v>
      </c>
      <c r="MC71" s="31"/>
      <c r="ME71" s="30"/>
      <c r="MF71" s="18"/>
      <c r="MG71" s="22" t="s">
        <v>331</v>
      </c>
      <c r="MH71" s="23">
        <f>MH68+MH70</f>
        <v>1007400.2903199999</v>
      </c>
      <c r="MI71" s="18"/>
      <c r="MJ71" s="307" t="s">
        <v>134</v>
      </c>
      <c r="MK71" s="308"/>
      <c r="ML71" s="308"/>
      <c r="MM71" s="309"/>
      <c r="MN71" s="35">
        <f>MN70*1.2</f>
        <v>823687.84031999996</v>
      </c>
      <c r="MO71" s="31"/>
    </row>
    <row r="72" spans="1:469" x14ac:dyDescent="0.25">
      <c r="A72" s="32"/>
      <c r="B72" s="33"/>
      <c r="C72" s="33"/>
      <c r="D72" s="33"/>
      <c r="E72" s="33"/>
      <c r="F72" s="33"/>
      <c r="G72" s="33"/>
      <c r="H72" s="33"/>
      <c r="I72" s="33"/>
      <c r="J72" s="33"/>
      <c r="K72" s="34"/>
      <c r="L72" s="32"/>
      <c r="M72" s="33"/>
      <c r="N72" s="33"/>
      <c r="O72" s="33"/>
      <c r="P72" s="33"/>
      <c r="Q72" s="33"/>
      <c r="R72" s="33"/>
      <c r="S72" s="33"/>
      <c r="T72" s="33"/>
      <c r="U72" s="33"/>
      <c r="V72" s="34"/>
      <c r="W72" s="32"/>
      <c r="X72" s="33"/>
      <c r="Y72" s="33"/>
      <c r="Z72" s="33"/>
      <c r="AA72" s="33"/>
      <c r="AB72" s="33"/>
      <c r="AC72" s="33"/>
      <c r="AD72" s="33"/>
      <c r="AE72" s="33"/>
      <c r="AF72" s="33"/>
      <c r="AG72" s="34"/>
      <c r="AH72" s="32"/>
      <c r="AI72" s="33"/>
      <c r="AJ72" s="33"/>
      <c r="AK72" s="33"/>
      <c r="AL72" s="33"/>
      <c r="AM72" s="33"/>
      <c r="AN72" s="33"/>
      <c r="AO72" s="33"/>
      <c r="AP72" s="33"/>
      <c r="AQ72" s="33"/>
      <c r="AR72" s="34"/>
      <c r="AS72" s="32"/>
      <c r="AT72" s="33"/>
      <c r="AU72" s="33"/>
      <c r="AV72" s="33"/>
      <c r="AW72" s="33"/>
      <c r="AX72" s="33"/>
      <c r="AY72" s="33"/>
      <c r="AZ72" s="33"/>
      <c r="BA72" s="33"/>
      <c r="BB72" s="33"/>
      <c r="BC72" s="34"/>
      <c r="BD72" s="32"/>
      <c r="BE72" s="33"/>
      <c r="BF72" s="33"/>
      <c r="BG72" s="33"/>
      <c r="BH72" s="33"/>
      <c r="BI72" s="33"/>
      <c r="BJ72" s="33"/>
      <c r="BK72" s="33"/>
      <c r="BL72" s="33"/>
      <c r="BM72" s="33"/>
      <c r="BN72" s="34"/>
      <c r="BO72" s="32"/>
      <c r="BP72" s="33"/>
      <c r="BQ72" s="33"/>
      <c r="BR72" s="33"/>
      <c r="BS72" s="33"/>
      <c r="BT72" s="33"/>
      <c r="BU72" s="33"/>
      <c r="BV72" s="33"/>
      <c r="BW72" s="33"/>
      <c r="BX72" s="211"/>
      <c r="BY72" s="34"/>
      <c r="BZ72" s="32"/>
      <c r="CA72" s="33"/>
      <c r="CB72" s="33"/>
      <c r="CC72" s="33"/>
      <c r="CD72" s="33"/>
      <c r="CE72" s="33"/>
      <c r="CF72" s="33"/>
      <c r="CG72" s="33"/>
      <c r="CH72" s="33"/>
      <c r="CI72" s="33"/>
      <c r="CJ72" s="34"/>
      <c r="CK72" s="32"/>
      <c r="CL72" s="33"/>
      <c r="CM72" s="33"/>
      <c r="CN72" s="33"/>
      <c r="CO72" s="33"/>
      <c r="CP72" s="33"/>
      <c r="CQ72" s="33"/>
      <c r="CR72" s="33"/>
      <c r="CS72" s="33"/>
      <c r="CT72" s="33"/>
      <c r="CU72" s="34"/>
      <c r="CV72" s="32"/>
      <c r="CW72" s="33"/>
      <c r="CX72" s="33"/>
      <c r="CY72" s="33"/>
      <c r="CZ72" s="33"/>
      <c r="DA72" s="33"/>
      <c r="DB72" s="33"/>
      <c r="DC72" s="33"/>
      <c r="DD72" s="33"/>
      <c r="DE72" s="33"/>
      <c r="DF72" s="34"/>
      <c r="DG72" s="32"/>
      <c r="DH72" s="33"/>
      <c r="DI72" s="33"/>
      <c r="DJ72" s="33"/>
      <c r="DK72" s="33"/>
      <c r="DL72" s="33"/>
      <c r="DM72" s="33"/>
      <c r="DN72" s="33"/>
      <c r="DO72" s="33"/>
      <c r="DP72" s="33"/>
      <c r="DQ72" s="34"/>
      <c r="DR72" s="30"/>
      <c r="DS72" s="18"/>
      <c r="DT72" s="18"/>
      <c r="DU72" s="18"/>
      <c r="DV72" s="18"/>
      <c r="DW72" s="18"/>
      <c r="DX72" s="18"/>
      <c r="DY72" s="18"/>
      <c r="DZ72" s="18"/>
      <c r="EA72" s="18"/>
      <c r="EB72" s="31"/>
      <c r="EC72" s="32"/>
      <c r="ED72" s="33"/>
      <c r="EE72" s="33"/>
      <c r="EF72" s="33"/>
      <c r="EG72" s="33"/>
      <c r="EH72" s="33"/>
      <c r="EI72" s="33"/>
      <c r="EJ72" s="33"/>
      <c r="EK72" s="33"/>
      <c r="EL72" s="33"/>
      <c r="EM72" s="34"/>
      <c r="EN72" s="32"/>
      <c r="EO72" s="33"/>
      <c r="EP72" s="33"/>
      <c r="EQ72" s="33"/>
      <c r="ER72" s="33"/>
      <c r="ES72" s="33"/>
      <c r="ET72" s="33"/>
      <c r="EU72" s="33"/>
      <c r="EV72" s="33"/>
      <c r="EW72" s="33"/>
      <c r="EX72" s="34"/>
      <c r="EY72" s="32"/>
      <c r="EZ72" s="33"/>
      <c r="FA72" s="33"/>
      <c r="FB72" s="33"/>
      <c r="FC72" s="33"/>
      <c r="FD72" s="33"/>
      <c r="FE72" s="33"/>
      <c r="FF72" s="33"/>
      <c r="FG72" s="33"/>
      <c r="FH72" s="33"/>
      <c r="FI72" s="34"/>
      <c r="FJ72" s="32"/>
      <c r="FK72" s="33"/>
      <c r="FL72" s="33"/>
      <c r="FM72" s="33"/>
      <c r="FN72" s="33"/>
      <c r="FO72" s="33"/>
      <c r="FP72" s="33"/>
      <c r="FQ72" s="33"/>
      <c r="FR72" s="33"/>
      <c r="FS72" s="33"/>
      <c r="FT72" s="34"/>
      <c r="FU72" s="32"/>
      <c r="FV72" s="33"/>
      <c r="FW72" s="33"/>
      <c r="FX72" s="33"/>
      <c r="FY72" s="33"/>
      <c r="FZ72" s="33"/>
      <c r="GA72" s="33"/>
      <c r="GB72" s="33"/>
      <c r="GC72" s="33"/>
      <c r="GD72" s="33"/>
      <c r="GE72" s="34"/>
      <c r="GF72" s="32"/>
      <c r="GG72" s="33"/>
      <c r="GH72" s="33"/>
      <c r="GI72" s="33"/>
      <c r="GJ72" s="33"/>
      <c r="GK72" s="33"/>
      <c r="GL72" s="33"/>
      <c r="GM72" s="33"/>
      <c r="GN72" s="33"/>
      <c r="GO72" s="33"/>
      <c r="GP72" s="34"/>
      <c r="GQ72" s="32"/>
      <c r="GR72" s="33"/>
      <c r="GS72" s="33"/>
      <c r="GT72" s="33"/>
      <c r="GU72" s="33"/>
      <c r="GV72" s="33"/>
      <c r="GW72" s="33"/>
      <c r="GX72" s="33"/>
      <c r="GY72" s="33"/>
      <c r="GZ72" s="33"/>
      <c r="HA72" s="34"/>
      <c r="HB72" s="32"/>
      <c r="HC72" s="33"/>
      <c r="HD72" s="33"/>
      <c r="HE72" s="33"/>
      <c r="HF72" s="33"/>
      <c r="HG72" s="33"/>
      <c r="HH72" s="33"/>
      <c r="HI72" s="33"/>
      <c r="HJ72" s="33"/>
      <c r="HK72" s="33"/>
      <c r="HL72" s="34"/>
      <c r="HM72" s="32"/>
      <c r="HN72" s="33"/>
      <c r="HO72" s="33"/>
      <c r="HP72" s="33"/>
      <c r="HQ72" s="33"/>
      <c r="HR72" s="33"/>
      <c r="HS72" s="33"/>
      <c r="HT72" s="33"/>
      <c r="HU72" s="33"/>
      <c r="HV72" s="33"/>
      <c r="HW72" s="34"/>
      <c r="HX72" s="32"/>
      <c r="HY72" s="33"/>
      <c r="HZ72" s="33"/>
      <c r="IA72" s="33"/>
      <c r="IB72" s="33"/>
      <c r="IC72" s="33"/>
      <c r="ID72" s="33"/>
      <c r="IE72" s="33"/>
      <c r="IF72" s="33"/>
      <c r="IG72" s="33"/>
      <c r="IH72" s="34"/>
      <c r="II72" s="32"/>
      <c r="IJ72" s="33"/>
      <c r="IK72" s="33"/>
      <c r="IL72" s="33"/>
      <c r="IM72" s="33"/>
      <c r="IN72" s="33"/>
      <c r="IO72" s="33"/>
      <c r="IP72" s="33"/>
      <c r="IQ72" s="33"/>
      <c r="IR72" s="33"/>
      <c r="IS72" s="34"/>
      <c r="IT72" s="32"/>
      <c r="IU72" s="33"/>
      <c r="IV72" s="33"/>
      <c r="IW72" s="33"/>
      <c r="IX72" s="33"/>
      <c r="IY72" s="33"/>
      <c r="IZ72" s="33"/>
      <c r="JA72" s="33"/>
      <c r="JB72" s="33"/>
      <c r="JC72" s="33"/>
      <c r="JD72" s="34"/>
      <c r="JE72" s="32"/>
      <c r="JF72" s="33"/>
      <c r="JG72" s="33"/>
      <c r="JH72" s="33"/>
      <c r="JI72" s="33"/>
      <c r="JJ72" s="33"/>
      <c r="JK72" s="33"/>
      <c r="JL72" s="33"/>
      <c r="JM72" s="33"/>
      <c r="JN72" s="33"/>
      <c r="JO72" s="34"/>
      <c r="JP72" s="32"/>
      <c r="JQ72" s="33"/>
      <c r="JR72" s="33"/>
      <c r="JS72" s="33"/>
      <c r="JT72" s="33"/>
      <c r="JU72" s="33"/>
      <c r="JV72" s="33"/>
      <c r="JW72" s="33"/>
      <c r="JX72" s="33"/>
      <c r="JY72" s="33"/>
      <c r="JZ72" s="34"/>
      <c r="KA72" s="32"/>
      <c r="KB72" s="33"/>
      <c r="KC72" s="33"/>
      <c r="KD72" s="33"/>
      <c r="KE72" s="33"/>
      <c r="KF72" s="33"/>
      <c r="KG72" s="33"/>
      <c r="KH72" s="33"/>
      <c r="KI72" s="33"/>
      <c r="KJ72" s="33"/>
      <c r="KK72" s="34"/>
      <c r="KL72" s="32"/>
      <c r="KM72" s="33"/>
      <c r="KN72" s="33"/>
      <c r="KO72" s="33"/>
      <c r="KP72" s="33"/>
      <c r="KQ72" s="33"/>
      <c r="KR72" s="33"/>
      <c r="KS72" s="33"/>
      <c r="KT72" s="33"/>
      <c r="KU72" s="33"/>
      <c r="KV72" s="34"/>
      <c r="KW72" s="32"/>
      <c r="KX72" s="33"/>
      <c r="KY72" s="33"/>
      <c r="KZ72" s="33"/>
      <c r="LA72" s="33"/>
      <c r="LB72" s="33"/>
      <c r="LC72" s="33"/>
      <c r="LD72" s="33"/>
      <c r="LE72" s="33"/>
      <c r="LF72" s="33"/>
      <c r="LG72" s="34"/>
      <c r="LH72" s="32"/>
      <c r="LI72" s="33"/>
      <c r="LJ72" s="33"/>
      <c r="LK72" s="33"/>
      <c r="LL72" s="33"/>
      <c r="LM72" s="33"/>
      <c r="LN72" s="33"/>
      <c r="LO72" s="33"/>
      <c r="LP72" s="33"/>
      <c r="LQ72" s="33"/>
      <c r="LR72" s="34"/>
      <c r="LS72" s="30"/>
      <c r="LT72" s="18"/>
      <c r="LU72" s="18"/>
      <c r="LV72" s="18"/>
      <c r="LW72" s="18"/>
      <c r="LX72" s="18"/>
      <c r="LY72" s="18"/>
      <c r="LZ72" s="18"/>
      <c r="MA72" s="18"/>
      <c r="MB72" s="18"/>
      <c r="MC72" s="31"/>
      <c r="ME72" s="30"/>
      <c r="MF72" s="18"/>
      <c r="MG72" s="18"/>
      <c r="MH72" s="18"/>
      <c r="MI72" s="18"/>
      <c r="MJ72" s="18"/>
      <c r="MK72" s="18"/>
      <c r="ML72" s="18"/>
      <c r="MM72" s="18"/>
      <c r="MN72" s="18"/>
      <c r="MO72" s="31"/>
    </row>
    <row r="73" spans="1:469" x14ac:dyDescent="0.25">
      <c r="DR73" s="32"/>
      <c r="DS73" s="33"/>
      <c r="DT73" s="33"/>
      <c r="DU73" s="33"/>
      <c r="DV73" s="33"/>
      <c r="DW73" s="33"/>
      <c r="DX73" s="33"/>
      <c r="DY73" s="33"/>
      <c r="DZ73" s="33"/>
      <c r="EA73" s="33"/>
      <c r="EB73" s="34"/>
      <c r="GO73" s="121"/>
      <c r="JY73" s="76"/>
      <c r="KJ73" s="76"/>
      <c r="LD73" s="121"/>
      <c r="LE73" s="121"/>
      <c r="LF73" s="121"/>
      <c r="LS73" s="32"/>
      <c r="LT73" s="33"/>
      <c r="LU73" s="33"/>
      <c r="LV73" s="33"/>
      <c r="LW73" s="33"/>
      <c r="LX73" s="33"/>
      <c r="LY73" s="33"/>
      <c r="LZ73" s="33"/>
      <c r="MA73" s="33"/>
      <c r="MB73" s="33"/>
      <c r="MC73" s="34"/>
      <c r="ME73" s="32"/>
      <c r="MF73" s="33"/>
      <c r="MG73" s="33"/>
      <c r="MH73" s="33"/>
      <c r="MI73" s="33"/>
      <c r="MJ73" s="33"/>
      <c r="MK73" s="33"/>
      <c r="ML73" s="33"/>
      <c r="MM73" s="33"/>
      <c r="MN73" s="33"/>
      <c r="MO73" s="34"/>
    </row>
    <row r="74" spans="1:469" x14ac:dyDescent="0.25">
      <c r="BX74" s="212"/>
      <c r="EA74" s="76"/>
      <c r="EW74" s="76"/>
      <c r="KU74" s="76"/>
      <c r="LD74" s="121"/>
      <c r="LE74" s="121"/>
      <c r="LF74" s="121"/>
      <c r="MB74" s="76"/>
      <c r="MN74" s="76"/>
    </row>
    <row r="75" spans="1:469" x14ac:dyDescent="0.25">
      <c r="BX75" s="212"/>
      <c r="HY75" s="18"/>
      <c r="IC75" s="47"/>
      <c r="ID75" s="18"/>
      <c r="IE75" s="48"/>
      <c r="LF75" s="122"/>
    </row>
    <row r="76" spans="1:469" x14ac:dyDescent="0.25">
      <c r="HY76" s="18"/>
    </row>
    <row r="77" spans="1:469" x14ac:dyDescent="0.25">
      <c r="HY77" s="18"/>
    </row>
    <row r="78" spans="1:469" x14ac:dyDescent="0.25">
      <c r="HY78" s="18"/>
    </row>
    <row r="79" spans="1:469" x14ac:dyDescent="0.25">
      <c r="HY79" s="18"/>
    </row>
    <row r="80" spans="1:469" x14ac:dyDescent="0.25">
      <c r="HY80" s="18"/>
    </row>
    <row r="81" spans="76:233" x14ac:dyDescent="0.25">
      <c r="HY81" s="18"/>
    </row>
    <row r="82" spans="76:233" x14ac:dyDescent="0.25">
      <c r="BX82" s="212"/>
    </row>
  </sheetData>
  <mergeCells count="587">
    <mergeCell ref="QV42:QW42"/>
    <mergeCell ref="QV43:QY43"/>
    <mergeCell ref="QV44:QY44"/>
    <mergeCell ref="QV33:QW33"/>
    <mergeCell ref="QV34:QW34"/>
    <mergeCell ref="QV35:QW35"/>
    <mergeCell ref="QV36:QW36"/>
    <mergeCell ref="QV37:QW37"/>
    <mergeCell ref="QV38:QW38"/>
    <mergeCell ref="QV39:QW39"/>
    <mergeCell ref="QV40:QW40"/>
    <mergeCell ref="QV41:QW41"/>
    <mergeCell ref="PV42:PW42"/>
    <mergeCell ref="PV43:PY43"/>
    <mergeCell ref="PV44:PY44"/>
    <mergeCell ref="PV33:PW33"/>
    <mergeCell ref="PV34:PW34"/>
    <mergeCell ref="PV35:PW35"/>
    <mergeCell ref="PV36:PW36"/>
    <mergeCell ref="PV37:PW37"/>
    <mergeCell ref="PV38:PW38"/>
    <mergeCell ref="PV39:PW39"/>
    <mergeCell ref="PV40:PW40"/>
    <mergeCell ref="PV41:PW41"/>
    <mergeCell ref="OU42:OV42"/>
    <mergeCell ref="OU43:OX43"/>
    <mergeCell ref="OU44:OX44"/>
    <mergeCell ref="OU33:OV33"/>
    <mergeCell ref="OU34:OV34"/>
    <mergeCell ref="OU35:OV35"/>
    <mergeCell ref="OU36:OV36"/>
    <mergeCell ref="OU37:OV37"/>
    <mergeCell ref="OU38:OV38"/>
    <mergeCell ref="OU39:OV39"/>
    <mergeCell ref="OU40:OV40"/>
    <mergeCell ref="OU41:OV41"/>
    <mergeCell ref="OH42:OI42"/>
    <mergeCell ref="OH43:OK43"/>
    <mergeCell ref="OH44:OK44"/>
    <mergeCell ref="OH33:OI33"/>
    <mergeCell ref="OH34:OI34"/>
    <mergeCell ref="OH35:OI35"/>
    <mergeCell ref="OH36:OI36"/>
    <mergeCell ref="OH37:OI37"/>
    <mergeCell ref="OH38:OI38"/>
    <mergeCell ref="OH39:OI39"/>
    <mergeCell ref="OH40:OI40"/>
    <mergeCell ref="OH41:OI41"/>
    <mergeCell ref="MJ70:MM70"/>
    <mergeCell ref="MJ71:MM71"/>
    <mergeCell ref="MJ61:MK61"/>
    <mergeCell ref="MJ62:MK62"/>
    <mergeCell ref="MJ63:MK63"/>
    <mergeCell ref="MJ64:MK64"/>
    <mergeCell ref="MJ65:MK65"/>
    <mergeCell ref="MJ66:MK66"/>
    <mergeCell ref="MJ67:MK67"/>
    <mergeCell ref="MJ68:MK68"/>
    <mergeCell ref="MJ69:MK69"/>
    <mergeCell ref="Q69:T69"/>
    <mergeCell ref="Q70:T70"/>
    <mergeCell ref="S27:T27"/>
    <mergeCell ref="Q61:R61"/>
    <mergeCell ref="Q62:R62"/>
    <mergeCell ref="Q63:R63"/>
    <mergeCell ref="Q64:R64"/>
    <mergeCell ref="Q65:R65"/>
    <mergeCell ref="Q66:R66"/>
    <mergeCell ref="Q67:R67"/>
    <mergeCell ref="Q68:R68"/>
    <mergeCell ref="F69:I69"/>
    <mergeCell ref="F70:I70"/>
    <mergeCell ref="H27:I27"/>
    <mergeCell ref="F61:G61"/>
    <mergeCell ref="F62:G62"/>
    <mergeCell ref="F63:G63"/>
    <mergeCell ref="F64:G64"/>
    <mergeCell ref="F65:G65"/>
    <mergeCell ref="F66:G66"/>
    <mergeCell ref="F67:G67"/>
    <mergeCell ref="F68:G68"/>
    <mergeCell ref="AB63:AC63"/>
    <mergeCell ref="AB64:AC64"/>
    <mergeCell ref="AB65:AC65"/>
    <mergeCell ref="AB66:AC66"/>
    <mergeCell ref="AB67:AC67"/>
    <mergeCell ref="AB68:AC68"/>
    <mergeCell ref="AB69:AE69"/>
    <mergeCell ref="AB70:AE70"/>
    <mergeCell ref="AB24:AC24"/>
    <mergeCell ref="AB25:AC25"/>
    <mergeCell ref="AD26:AE26"/>
    <mergeCell ref="AB57:AC57"/>
    <mergeCell ref="AB58:AC58"/>
    <mergeCell ref="AB59:AC59"/>
    <mergeCell ref="AB60:AC60"/>
    <mergeCell ref="AB61:AC61"/>
    <mergeCell ref="AB62:AC62"/>
    <mergeCell ref="BT70:BW70"/>
    <mergeCell ref="BI59:BJ59"/>
    <mergeCell ref="BI60:BJ60"/>
    <mergeCell ref="BI61:BJ61"/>
    <mergeCell ref="BI62:BJ62"/>
    <mergeCell ref="BI63:BJ63"/>
    <mergeCell ref="BI64:BJ64"/>
    <mergeCell ref="BI65:BJ65"/>
    <mergeCell ref="BI66:BJ66"/>
    <mergeCell ref="BI67:BJ67"/>
    <mergeCell ref="BI68:BJ68"/>
    <mergeCell ref="BI69:BL69"/>
    <mergeCell ref="BI70:BL70"/>
    <mergeCell ref="BV28:BW28"/>
    <mergeCell ref="BT58:BU58"/>
    <mergeCell ref="BT59:BU59"/>
    <mergeCell ref="BT60:BU60"/>
    <mergeCell ref="BT61:BU61"/>
    <mergeCell ref="BT62:BU62"/>
    <mergeCell ref="BT63:BU63"/>
    <mergeCell ref="BT64:BU64"/>
    <mergeCell ref="BT65:BU65"/>
    <mergeCell ref="FQ30:FR30"/>
    <mergeCell ref="FO59:FP59"/>
    <mergeCell ref="FO60:FP60"/>
    <mergeCell ref="FO61:FP61"/>
    <mergeCell ref="FO62:FP62"/>
    <mergeCell ref="FO63:FP63"/>
    <mergeCell ref="FO64:FP64"/>
    <mergeCell ref="FO65:FP65"/>
    <mergeCell ref="FO66:FP66"/>
    <mergeCell ref="EH66:EI66"/>
    <mergeCell ref="EH67:EI67"/>
    <mergeCell ref="EH68:EI68"/>
    <mergeCell ref="EH69:EK69"/>
    <mergeCell ref="EH70:EK70"/>
    <mergeCell ref="JJ42:JK42"/>
    <mergeCell ref="JJ43:JK43"/>
    <mergeCell ref="FO68:FP68"/>
    <mergeCell ref="FO69:FR69"/>
    <mergeCell ref="FO70:FR70"/>
    <mergeCell ref="GK70:GN70"/>
    <mergeCell ref="FO67:FP67"/>
    <mergeCell ref="EH57:EI57"/>
    <mergeCell ref="EH58:EI58"/>
    <mergeCell ref="EH59:EI59"/>
    <mergeCell ref="EH60:EI60"/>
    <mergeCell ref="EH61:EI61"/>
    <mergeCell ref="EH62:EI62"/>
    <mergeCell ref="EH63:EI63"/>
    <mergeCell ref="EH64:EI64"/>
    <mergeCell ref="EH65:EI65"/>
    <mergeCell ref="ES68:ET68"/>
    <mergeCell ref="ES69:EV69"/>
    <mergeCell ref="HR68:HS68"/>
    <mergeCell ref="LB66:LC66"/>
    <mergeCell ref="LB67:LC67"/>
    <mergeCell ref="LB68:LC68"/>
    <mergeCell ref="LB69:LE69"/>
    <mergeCell ref="LB70:LE70"/>
    <mergeCell ref="JJ59:JK59"/>
    <mergeCell ref="JJ60:JK60"/>
    <mergeCell ref="JJ61:JK61"/>
    <mergeCell ref="JJ62:JK62"/>
    <mergeCell ref="JJ63:JK63"/>
    <mergeCell ref="JJ64:JK64"/>
    <mergeCell ref="JJ65:JK65"/>
    <mergeCell ref="JJ66:JK66"/>
    <mergeCell ref="JJ67:JK67"/>
    <mergeCell ref="JJ68:JK68"/>
    <mergeCell ref="KF64:KG64"/>
    <mergeCell ref="JU66:JV66"/>
    <mergeCell ref="KF65:KG65"/>
    <mergeCell ref="KF66:KG66"/>
    <mergeCell ref="KF67:KG67"/>
    <mergeCell ref="KF68:KG68"/>
    <mergeCell ref="LB64:LC64"/>
    <mergeCell ref="LB65:LC65"/>
    <mergeCell ref="JU59:JV59"/>
    <mergeCell ref="LD48:LE48"/>
    <mergeCell ref="LD49:LE49"/>
    <mergeCell ref="LB59:LC59"/>
    <mergeCell ref="LB60:LC60"/>
    <mergeCell ref="LB61:LC61"/>
    <mergeCell ref="LB62:LC62"/>
    <mergeCell ref="LB63:LC63"/>
    <mergeCell ref="JU60:JV60"/>
    <mergeCell ref="KF59:KG59"/>
    <mergeCell ref="JU61:JV61"/>
    <mergeCell ref="KF60:KG60"/>
    <mergeCell ref="JU62:JV62"/>
    <mergeCell ref="KF61:KG61"/>
    <mergeCell ref="JU63:JV63"/>
    <mergeCell ref="KF62:KG62"/>
    <mergeCell ref="KF63:KG63"/>
    <mergeCell ref="KF57:KG57"/>
    <mergeCell ref="CP32:CQ32"/>
    <mergeCell ref="CP33:CQ33"/>
    <mergeCell ref="CR34:CS34"/>
    <mergeCell ref="KF69:KI69"/>
    <mergeCell ref="ES70:EV70"/>
    <mergeCell ref="KQ70:KT70"/>
    <mergeCell ref="JU64:JV64"/>
    <mergeCell ref="ES66:ET66"/>
    <mergeCell ref="ES67:ET67"/>
    <mergeCell ref="HG68:HH68"/>
    <mergeCell ref="FD68:FE68"/>
    <mergeCell ref="KQ67:KR67"/>
    <mergeCell ref="KQ68:KR68"/>
    <mergeCell ref="KQ69:KT69"/>
    <mergeCell ref="JJ44:JK44"/>
    <mergeCell ref="JJ45:JK45"/>
    <mergeCell ref="JJ46:JK46"/>
    <mergeCell ref="JJ55:JK55"/>
    <mergeCell ref="JJ56:JK56"/>
    <mergeCell ref="JJ57:JK57"/>
    <mergeCell ref="JJ58:JK58"/>
    <mergeCell ref="JJ69:JM69"/>
    <mergeCell ref="JJ70:JM70"/>
    <mergeCell ref="EH56:EI56"/>
    <mergeCell ref="CG26:CH26"/>
    <mergeCell ref="CE59:CF59"/>
    <mergeCell ref="CE60:CF60"/>
    <mergeCell ref="CE70:CH70"/>
    <mergeCell ref="DA59:DB59"/>
    <mergeCell ref="DA60:DB60"/>
    <mergeCell ref="DA61:DB61"/>
    <mergeCell ref="DA62:DB62"/>
    <mergeCell ref="DA63:DB63"/>
    <mergeCell ref="DA64:DB64"/>
    <mergeCell ref="DA65:DB65"/>
    <mergeCell ref="DA66:DB66"/>
    <mergeCell ref="DA67:DB67"/>
    <mergeCell ref="DA68:DB68"/>
    <mergeCell ref="DA69:DD69"/>
    <mergeCell ref="DA70:DD70"/>
    <mergeCell ref="CE67:CF67"/>
    <mergeCell ref="CE69:CH69"/>
    <mergeCell ref="CP70:CS70"/>
    <mergeCell ref="CP67:CQ67"/>
    <mergeCell ref="CP68:CQ68"/>
    <mergeCell ref="CP29:CQ29"/>
    <mergeCell ref="CP30:CQ30"/>
    <mergeCell ref="CP31:CQ31"/>
    <mergeCell ref="AO25:AP25"/>
    <mergeCell ref="AM69:AP69"/>
    <mergeCell ref="AM70:AP70"/>
    <mergeCell ref="AX59:AY59"/>
    <mergeCell ref="AX60:AY60"/>
    <mergeCell ref="AX61:AY61"/>
    <mergeCell ref="AX62:AY62"/>
    <mergeCell ref="AX63:AY63"/>
    <mergeCell ref="AX64:AY64"/>
    <mergeCell ref="AM68:AN68"/>
    <mergeCell ref="AM59:AN59"/>
    <mergeCell ref="AM60:AN60"/>
    <mergeCell ref="AM61:AN61"/>
    <mergeCell ref="AM62:AN62"/>
    <mergeCell ref="AM64:AN64"/>
    <mergeCell ref="AM65:AN65"/>
    <mergeCell ref="AM66:AN66"/>
    <mergeCell ref="AM67:AN67"/>
    <mergeCell ref="AM63:AN63"/>
    <mergeCell ref="AX70:BA70"/>
    <mergeCell ref="FF30:FG30"/>
    <mergeCell ref="FD60:FE60"/>
    <mergeCell ref="FD62:FE62"/>
    <mergeCell ref="FD63:FE63"/>
    <mergeCell ref="FD64:FE64"/>
    <mergeCell ref="FD65:FE65"/>
    <mergeCell ref="FD66:FE66"/>
    <mergeCell ref="DC27:DD27"/>
    <mergeCell ref="FD58:FE58"/>
    <mergeCell ref="FD59:FE59"/>
    <mergeCell ref="FD61:FE61"/>
    <mergeCell ref="DW61:DX61"/>
    <mergeCell ref="DW62:DX62"/>
    <mergeCell ref="DW63:DX63"/>
    <mergeCell ref="DW64:DX64"/>
    <mergeCell ref="DW65:DX65"/>
    <mergeCell ref="ES60:ET60"/>
    <mergeCell ref="DL63:DM63"/>
    <mergeCell ref="DL64:DM64"/>
    <mergeCell ref="DL65:DM65"/>
    <mergeCell ref="DL66:DM66"/>
    <mergeCell ref="ES62:ET62"/>
    <mergeCell ref="ES63:ET63"/>
    <mergeCell ref="ES64:ET64"/>
    <mergeCell ref="GK37:GL37"/>
    <mergeCell ref="GK38:GL38"/>
    <mergeCell ref="GK39:GL39"/>
    <mergeCell ref="GK40:GL40"/>
    <mergeCell ref="GK41:GL41"/>
    <mergeCell ref="HG67:HH67"/>
    <mergeCell ref="HG66:HH66"/>
    <mergeCell ref="HG65:HH65"/>
    <mergeCell ref="HR60:HS60"/>
    <mergeCell ref="GK42:GL42"/>
    <mergeCell ref="GM43:GN43"/>
    <mergeCell ref="GK57:GL57"/>
    <mergeCell ref="GK58:GL58"/>
    <mergeCell ref="GK59:GL59"/>
    <mergeCell ref="GK60:GL60"/>
    <mergeCell ref="GK61:GL61"/>
    <mergeCell ref="GK62:GL62"/>
    <mergeCell ref="GK63:GL63"/>
    <mergeCell ref="HR66:HS66"/>
    <mergeCell ref="HR67:HS67"/>
    <mergeCell ref="DL67:DM67"/>
    <mergeCell ref="DL68:DM68"/>
    <mergeCell ref="DL69:DO69"/>
    <mergeCell ref="AX68:AY68"/>
    <mergeCell ref="CE61:CF61"/>
    <mergeCell ref="CE62:CF62"/>
    <mergeCell ref="CE63:CF63"/>
    <mergeCell ref="CE64:CF64"/>
    <mergeCell ref="CE65:CF65"/>
    <mergeCell ref="CE66:CF66"/>
    <mergeCell ref="AX65:AY65"/>
    <mergeCell ref="AX66:AY66"/>
    <mergeCell ref="AX67:AY67"/>
    <mergeCell ref="AX69:BA69"/>
    <mergeCell ref="CE68:CF68"/>
    <mergeCell ref="BT66:BU66"/>
    <mergeCell ref="BT67:BU67"/>
    <mergeCell ref="BT68:BU68"/>
    <mergeCell ref="BT69:BW69"/>
    <mergeCell ref="CP69:CS69"/>
    <mergeCell ref="CP63:CQ63"/>
    <mergeCell ref="CP64:CQ64"/>
    <mergeCell ref="CP65:CQ65"/>
    <mergeCell ref="CP66:CQ66"/>
    <mergeCell ref="IC59:ID59"/>
    <mergeCell ref="IY61:IZ61"/>
    <mergeCell ref="GK64:GL64"/>
    <mergeCell ref="GK65:GL65"/>
    <mergeCell ref="GK66:GL66"/>
    <mergeCell ref="GK67:GL67"/>
    <mergeCell ref="GK68:GL68"/>
    <mergeCell ref="GK69:GN69"/>
    <mergeCell ref="IC68:ID68"/>
    <mergeCell ref="IC69:IF69"/>
    <mergeCell ref="GV67:GW67"/>
    <mergeCell ref="GV68:GW68"/>
    <mergeCell ref="GV69:GY69"/>
    <mergeCell ref="IN66:IO66"/>
    <mergeCell ref="IN67:IO67"/>
    <mergeCell ref="IN68:IO68"/>
    <mergeCell ref="IN69:IQ69"/>
    <mergeCell ref="FD67:FE67"/>
    <mergeCell ref="IY67:IZ67"/>
    <mergeCell ref="LM67:LN67"/>
    <mergeCell ref="LM68:LN68"/>
    <mergeCell ref="LM69:LP69"/>
    <mergeCell ref="LM70:LP70"/>
    <mergeCell ref="FZ69:GC69"/>
    <mergeCell ref="FZ70:GC70"/>
    <mergeCell ref="LO44:LP44"/>
    <mergeCell ref="LO45:LP45"/>
    <mergeCell ref="LM60:LN60"/>
    <mergeCell ref="LM61:LN61"/>
    <mergeCell ref="LM62:LN62"/>
    <mergeCell ref="LM63:LN63"/>
    <mergeCell ref="LM64:LN64"/>
    <mergeCell ref="LM65:LN65"/>
    <mergeCell ref="LM66:LN66"/>
    <mergeCell ref="KQ58:KR58"/>
    <mergeCell ref="KQ59:KR59"/>
    <mergeCell ref="KQ60:KR60"/>
    <mergeCell ref="KQ61:KR61"/>
    <mergeCell ref="KQ62:KR62"/>
    <mergeCell ref="KQ63:KR63"/>
    <mergeCell ref="KQ64:KR64"/>
    <mergeCell ref="KQ65:KR65"/>
    <mergeCell ref="KQ66:KR66"/>
    <mergeCell ref="KQ4:KR5"/>
    <mergeCell ref="KQ34:KR34"/>
    <mergeCell ref="KQ35:KR35"/>
    <mergeCell ref="KQ36:KR36"/>
    <mergeCell ref="KQ37:KR37"/>
    <mergeCell ref="IN43:IO43"/>
    <mergeCell ref="JU4:JV5"/>
    <mergeCell ref="JW4:JY4"/>
    <mergeCell ref="KF4:KG5"/>
    <mergeCell ref="KH4:KJ4"/>
    <mergeCell ref="JU37:JV37"/>
    <mergeCell ref="JU39:JV39"/>
    <mergeCell ref="JU40:JV40"/>
    <mergeCell ref="KF37:KG37"/>
    <mergeCell ref="JU41:JV41"/>
    <mergeCell ref="KF39:KG39"/>
    <mergeCell ref="JU42:JV42"/>
    <mergeCell ref="KQ38:KR38"/>
    <mergeCell ref="IY4:IZ5"/>
    <mergeCell ref="IN4:IO5"/>
    <mergeCell ref="JJ4:JK5"/>
    <mergeCell ref="IN65:IO65"/>
    <mergeCell ref="IN70:IQ70"/>
    <mergeCell ref="IY68:IZ68"/>
    <mergeCell ref="IY70:JB70"/>
    <mergeCell ref="IN57:IO57"/>
    <mergeCell ref="IN58:IO58"/>
    <mergeCell ref="IN59:IO59"/>
    <mergeCell ref="IN60:IO60"/>
    <mergeCell ref="IN61:IO61"/>
    <mergeCell ref="IN62:IO62"/>
    <mergeCell ref="IN63:IO63"/>
    <mergeCell ref="IN64:IO64"/>
    <mergeCell ref="IY64:IZ64"/>
    <mergeCell ref="IY65:IZ65"/>
    <mergeCell ref="IY66:IZ66"/>
    <mergeCell ref="IY62:IZ62"/>
    <mergeCell ref="IY63:IZ63"/>
    <mergeCell ref="IY69:JB69"/>
    <mergeCell ref="IY59:IZ59"/>
    <mergeCell ref="IY60:IZ60"/>
    <mergeCell ref="IC70:IF70"/>
    <mergeCell ref="HG64:HH64"/>
    <mergeCell ref="HG63:HH63"/>
    <mergeCell ref="HG62:HH62"/>
    <mergeCell ref="HG61:HH61"/>
    <mergeCell ref="HG60:HH60"/>
    <mergeCell ref="HG59:HH59"/>
    <mergeCell ref="IC63:ID63"/>
    <mergeCell ref="IC64:ID64"/>
    <mergeCell ref="HR65:HS65"/>
    <mergeCell ref="HG69:HJ69"/>
    <mergeCell ref="HG70:HJ70"/>
    <mergeCell ref="HR69:HU69"/>
    <mergeCell ref="HR70:HU70"/>
    <mergeCell ref="IC60:ID60"/>
    <mergeCell ref="IC61:ID61"/>
    <mergeCell ref="HR64:HS64"/>
    <mergeCell ref="HR61:HS61"/>
    <mergeCell ref="HR62:HS62"/>
    <mergeCell ref="HR63:HS63"/>
    <mergeCell ref="IC65:ID65"/>
    <mergeCell ref="IC66:ID66"/>
    <mergeCell ref="IC67:ID67"/>
    <mergeCell ref="IC62:ID62"/>
    <mergeCell ref="GV70:GY70"/>
    <mergeCell ref="GX32:GY32"/>
    <mergeCell ref="GV60:GW60"/>
    <mergeCell ref="GV61:GW61"/>
    <mergeCell ref="GV62:GW62"/>
    <mergeCell ref="GV63:GW63"/>
    <mergeCell ref="GV64:GW64"/>
    <mergeCell ref="GV65:GW65"/>
    <mergeCell ref="GV66:GW66"/>
    <mergeCell ref="DL70:DO70"/>
    <mergeCell ref="DL59:DM59"/>
    <mergeCell ref="DL60:DM60"/>
    <mergeCell ref="DL61:DM61"/>
    <mergeCell ref="DL62:DM62"/>
    <mergeCell ref="DW71:DZ71"/>
    <mergeCell ref="FZ63:GA63"/>
    <mergeCell ref="FZ60:GA60"/>
    <mergeCell ref="FZ61:GA61"/>
    <mergeCell ref="FZ62:GA62"/>
    <mergeCell ref="FD69:FG69"/>
    <mergeCell ref="ES65:ET65"/>
    <mergeCell ref="DW70:DZ70"/>
    <mergeCell ref="DW69:DX69"/>
    <mergeCell ref="FZ68:GA68"/>
    <mergeCell ref="ES61:ET61"/>
    <mergeCell ref="DW66:DX66"/>
    <mergeCell ref="DW67:DX67"/>
    <mergeCell ref="FD70:FG70"/>
    <mergeCell ref="DW68:DX68"/>
    <mergeCell ref="FZ64:GA64"/>
    <mergeCell ref="FZ65:GA65"/>
    <mergeCell ref="FZ66:GA66"/>
    <mergeCell ref="FZ67:GA67"/>
    <mergeCell ref="IY43:IZ43"/>
    <mergeCell ref="IY44:IZ44"/>
    <mergeCell ref="IY45:IZ45"/>
    <mergeCell ref="IY46:IZ46"/>
    <mergeCell ref="IY47:IZ47"/>
    <mergeCell ref="CP59:CQ59"/>
    <mergeCell ref="CP60:CQ60"/>
    <mergeCell ref="CP61:CQ61"/>
    <mergeCell ref="CP62:CQ62"/>
    <mergeCell ref="GB44:GC44"/>
    <mergeCell ref="FZ59:GA59"/>
    <mergeCell ref="IN44:IO44"/>
    <mergeCell ref="IN46:IO46"/>
    <mergeCell ref="IN45:IO45"/>
    <mergeCell ref="IN47:IO47"/>
    <mergeCell ref="IN48:IO48"/>
    <mergeCell ref="IN49:IO49"/>
    <mergeCell ref="IN54:IO54"/>
    <mergeCell ref="IN55:IO55"/>
    <mergeCell ref="IN56:IO56"/>
    <mergeCell ref="IY55:IZ55"/>
    <mergeCell ref="IY56:IZ56"/>
    <mergeCell ref="IY57:IZ57"/>
    <mergeCell ref="IY58:IZ58"/>
    <mergeCell ref="KF70:KI70"/>
    <mergeCell ref="JU67:JV67"/>
    <mergeCell ref="JU68:JV68"/>
    <mergeCell ref="JU69:JX69"/>
    <mergeCell ref="JU70:JX70"/>
    <mergeCell ref="JU58:JV58"/>
    <mergeCell ref="KF58:KG58"/>
    <mergeCell ref="JU38:JV38"/>
    <mergeCell ref="KF38:KG38"/>
    <mergeCell ref="KF41:KG41"/>
    <mergeCell ref="KF42:KG42"/>
    <mergeCell ref="JU54:JV54"/>
    <mergeCell ref="JU55:JV55"/>
    <mergeCell ref="KF54:KG54"/>
    <mergeCell ref="JU56:JV56"/>
    <mergeCell ref="KF55:KG55"/>
    <mergeCell ref="JU57:JV57"/>
    <mergeCell ref="KF56:KG56"/>
    <mergeCell ref="JU65:JV65"/>
    <mergeCell ref="KF40:KG40"/>
    <mergeCell ref="MX33:MY33"/>
    <mergeCell ref="MV36:MW36"/>
    <mergeCell ref="MV37:MW37"/>
    <mergeCell ref="MV38:MW38"/>
    <mergeCell ref="MV39:MW39"/>
    <mergeCell ref="MV40:MW40"/>
    <mergeCell ref="MV41:MW41"/>
    <mergeCell ref="MV42:MW42"/>
    <mergeCell ref="MV43:MW43"/>
    <mergeCell ref="NI50:NJ50"/>
    <mergeCell ref="NI51:NJ51"/>
    <mergeCell ref="NI52:NJ52"/>
    <mergeCell ref="NI53:NJ53"/>
    <mergeCell ref="NI54:NJ54"/>
    <mergeCell ref="NI55:NL55"/>
    <mergeCell ref="NI56:NL56"/>
    <mergeCell ref="MV44:MW44"/>
    <mergeCell ref="MV45:MW45"/>
    <mergeCell ref="MV46:MY46"/>
    <mergeCell ref="MV47:MY47"/>
    <mergeCell ref="NI45:NJ45"/>
    <mergeCell ref="NI46:NJ46"/>
    <mergeCell ref="NI47:NJ47"/>
    <mergeCell ref="NI48:NJ48"/>
    <mergeCell ref="NI49:NJ49"/>
    <mergeCell ref="LX70:MA70"/>
    <mergeCell ref="LX71:MA71"/>
    <mergeCell ref="LX61:LY61"/>
    <mergeCell ref="LX62:LY62"/>
    <mergeCell ref="LX63:LY63"/>
    <mergeCell ref="LX64:LY64"/>
    <mergeCell ref="LX65:LY65"/>
    <mergeCell ref="LX66:LY66"/>
    <mergeCell ref="LX67:LY67"/>
    <mergeCell ref="LX68:LY68"/>
    <mergeCell ref="LX69:LY69"/>
    <mergeCell ref="NU42:NV42"/>
    <mergeCell ref="NU43:NX43"/>
    <mergeCell ref="NU44:NX44"/>
    <mergeCell ref="NU33:NV33"/>
    <mergeCell ref="NU34:NV34"/>
    <mergeCell ref="NU35:NV35"/>
    <mergeCell ref="NU36:NV36"/>
    <mergeCell ref="NU37:NV37"/>
    <mergeCell ref="NU38:NV38"/>
    <mergeCell ref="NU39:NV39"/>
    <mergeCell ref="NU40:NV40"/>
    <mergeCell ref="NU41:NV41"/>
    <mergeCell ref="PI42:PJ42"/>
    <mergeCell ref="PI43:PL43"/>
    <mergeCell ref="PI44:PL44"/>
    <mergeCell ref="PI33:PJ33"/>
    <mergeCell ref="PI34:PJ34"/>
    <mergeCell ref="PI35:PJ35"/>
    <mergeCell ref="PI36:PJ36"/>
    <mergeCell ref="PI37:PJ37"/>
    <mergeCell ref="PI38:PJ38"/>
    <mergeCell ref="PI39:PJ39"/>
    <mergeCell ref="PI40:PJ40"/>
    <mergeCell ref="PI41:PJ41"/>
    <mergeCell ref="QI42:QJ42"/>
    <mergeCell ref="QI43:QL43"/>
    <mergeCell ref="QI44:QL44"/>
    <mergeCell ref="QI33:QJ33"/>
    <mergeCell ref="QI34:QJ34"/>
    <mergeCell ref="QI35:QJ35"/>
    <mergeCell ref="QI36:QJ36"/>
    <mergeCell ref="QI37:QJ37"/>
    <mergeCell ref="QI38:QJ38"/>
    <mergeCell ref="QI39:QJ39"/>
    <mergeCell ref="QI40:QJ40"/>
    <mergeCell ref="QI41:QJ41"/>
  </mergeCells>
  <pageMargins left="0.19685039370078741" right="0.19685039370078741" top="0.24" bottom="0.2" header="0.25" footer="0.23"/>
  <pageSetup paperSize="9" scale="22" orientation="portrait" r:id="rId1"/>
  <drawing r:id="rId2"/>
  <legacyDrawing r:id="rId3"/>
  <oleObjects>
    <mc:AlternateContent xmlns:mc="http://schemas.openxmlformats.org/markup-compatibility/2006">
      <mc:Choice Requires="x14">
        <oleObject progId="AutoCAD.Drawing.16" shapeId="1026" r:id="rId4">
          <objectPr defaultSize="0" autoPict="0" r:id="rId5">
            <anchor moveWithCells="1" sizeWithCells="1">
              <from>
                <xdr:col>220</xdr:col>
                <xdr:colOff>142875</xdr:colOff>
                <xdr:row>1</xdr:row>
                <xdr:rowOff>428625</xdr:rowOff>
              </from>
              <to>
                <xdr:col>229</xdr:col>
                <xdr:colOff>819150</xdr:colOff>
                <xdr:row>1</xdr:row>
                <xdr:rowOff>2181225</xdr:rowOff>
              </to>
            </anchor>
          </objectPr>
        </oleObject>
      </mc:Choice>
      <mc:Fallback>
        <oleObject progId="AutoCAD.Drawing.16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9"/>
  <sheetViews>
    <sheetView zoomScale="80" zoomScaleNormal="80" workbookViewId="0">
      <selection activeCell="E6" sqref="E6"/>
    </sheetView>
  </sheetViews>
  <sheetFormatPr defaultRowHeight="15" x14ac:dyDescent="0.25"/>
  <cols>
    <col min="2" max="3" width="3.28515625" bestFit="1" customWidth="1"/>
    <col min="4" max="4" width="21" bestFit="1" customWidth="1"/>
    <col min="5" max="5" width="14.42578125" bestFit="1" customWidth="1"/>
    <col min="6" max="6" width="17.5703125" bestFit="1" customWidth="1"/>
    <col min="7" max="7" width="9.5703125" customWidth="1"/>
    <col min="8" max="8" width="5" bestFit="1" customWidth="1"/>
    <col min="9" max="9" width="15.7109375" bestFit="1" customWidth="1"/>
    <col min="10" max="10" width="6" bestFit="1" customWidth="1"/>
    <col min="11" max="11" width="14.85546875" bestFit="1" customWidth="1"/>
    <col min="12" max="12" width="3.28515625" bestFit="1" customWidth="1"/>
  </cols>
  <sheetData>
    <row r="1" spans="2:12" ht="238.5" customHeight="1" x14ac:dyDescent="0.25"/>
    <row r="3" spans="2:12" ht="15.75" thickBot="1" x14ac:dyDescent="0.3">
      <c r="B3" s="27"/>
      <c r="C3" s="28"/>
      <c r="D3" s="28"/>
      <c r="E3" s="28"/>
      <c r="F3" s="28"/>
      <c r="G3" s="28"/>
      <c r="H3" s="28"/>
      <c r="I3" s="28"/>
      <c r="J3" s="28"/>
      <c r="K3" s="28"/>
      <c r="L3" s="29"/>
    </row>
    <row r="4" spans="2:12" ht="19.5" customHeight="1" thickBot="1" x14ac:dyDescent="0.35">
      <c r="B4" s="30"/>
      <c r="C4" s="18"/>
      <c r="D4" s="45" t="s">
        <v>47</v>
      </c>
      <c r="E4" s="46">
        <v>32.6</v>
      </c>
      <c r="F4" s="18"/>
      <c r="G4" s="326" t="s">
        <v>209</v>
      </c>
      <c r="H4" s="326"/>
      <c r="I4" s="343" t="s">
        <v>359</v>
      </c>
      <c r="J4" s="343"/>
      <c r="K4" s="343"/>
      <c r="L4" s="31"/>
    </row>
    <row r="5" spans="2:12" ht="15" customHeight="1" x14ac:dyDescent="0.25">
      <c r="B5" s="30"/>
      <c r="C5" s="18"/>
      <c r="D5" s="44" t="s">
        <v>46</v>
      </c>
      <c r="E5" s="223">
        <v>4</v>
      </c>
      <c r="F5" s="18"/>
      <c r="G5" s="326"/>
      <c r="H5" s="326"/>
      <c r="I5" s="343"/>
      <c r="J5" s="343"/>
      <c r="K5" s="343"/>
      <c r="L5" s="31"/>
    </row>
    <row r="6" spans="2:12" x14ac:dyDescent="0.25">
      <c r="B6" s="30"/>
      <c r="C6" s="18"/>
      <c r="D6" s="36" t="s">
        <v>51</v>
      </c>
      <c r="E6" s="38">
        <v>25</v>
      </c>
      <c r="F6" s="18"/>
      <c r="G6" s="18"/>
      <c r="H6" s="18"/>
      <c r="I6" s="344" t="s">
        <v>325</v>
      </c>
      <c r="J6" s="18"/>
      <c r="K6" s="18"/>
      <c r="L6" s="31"/>
    </row>
    <row r="7" spans="2:12" x14ac:dyDescent="0.25">
      <c r="B7" s="30"/>
      <c r="C7" s="18"/>
      <c r="D7" s="36" t="s">
        <v>64</v>
      </c>
      <c r="E7" s="38">
        <v>4</v>
      </c>
      <c r="F7" s="18" t="s">
        <v>73</v>
      </c>
      <c r="G7" s="18"/>
      <c r="H7" s="18"/>
      <c r="I7" s="18"/>
      <c r="J7" s="18"/>
      <c r="K7" s="18"/>
      <c r="L7" s="31"/>
    </row>
    <row r="8" spans="2:12" x14ac:dyDescent="0.25">
      <c r="B8" s="30"/>
      <c r="C8" s="18"/>
      <c r="D8" s="36" t="s">
        <v>71</v>
      </c>
      <c r="E8" s="38">
        <v>1</v>
      </c>
      <c r="F8" s="18" t="s">
        <v>57</v>
      </c>
      <c r="G8" s="18" t="s">
        <v>56</v>
      </c>
      <c r="H8" s="18"/>
      <c r="I8" s="18"/>
      <c r="J8" s="18"/>
      <c r="K8" s="18"/>
      <c r="L8" s="31"/>
    </row>
    <row r="9" spans="2:12" x14ac:dyDescent="0.25">
      <c r="B9" s="30"/>
      <c r="C9" s="18"/>
      <c r="D9" s="36" t="s">
        <v>52</v>
      </c>
      <c r="E9" s="37">
        <v>4.8</v>
      </c>
      <c r="F9" s="18"/>
      <c r="G9" s="18"/>
      <c r="H9" s="18"/>
      <c r="I9" s="18"/>
      <c r="J9" s="18"/>
      <c r="K9" s="18"/>
      <c r="L9" s="31"/>
    </row>
    <row r="10" spans="2:12" x14ac:dyDescent="0.25">
      <c r="B10" s="30"/>
      <c r="C10" s="18"/>
      <c r="D10" s="36" t="s">
        <v>45</v>
      </c>
      <c r="E10" s="37">
        <f>E6*E9</f>
        <v>120</v>
      </c>
      <c r="F10" s="18"/>
      <c r="G10" s="18"/>
      <c r="H10" s="18"/>
      <c r="I10" s="345">
        <v>2020</v>
      </c>
      <c r="J10" s="18"/>
      <c r="K10" s="18"/>
      <c r="L10" s="31"/>
    </row>
    <row r="11" spans="2:12" ht="15.75" thickBot="1" x14ac:dyDescent="0.3">
      <c r="B11" s="30"/>
      <c r="C11" s="18"/>
      <c r="D11" s="39" t="s">
        <v>48</v>
      </c>
      <c r="E11" s="40">
        <f>E4*E10</f>
        <v>3912</v>
      </c>
      <c r="F11" s="18"/>
      <c r="G11" s="346" t="s">
        <v>360</v>
      </c>
      <c r="H11" s="346"/>
      <c r="I11" s="346"/>
      <c r="J11" s="346"/>
      <c r="K11" s="346"/>
      <c r="L11" s="31"/>
    </row>
    <row r="12" spans="2:12" x14ac:dyDescent="0.25">
      <c r="B12" s="30"/>
      <c r="C12" s="18"/>
      <c r="D12" s="18"/>
      <c r="E12" s="18"/>
      <c r="F12" s="18"/>
      <c r="G12" s="346"/>
      <c r="H12" s="346"/>
      <c r="I12" s="346"/>
      <c r="J12" s="346"/>
      <c r="K12" s="346"/>
      <c r="L12" s="31"/>
    </row>
    <row r="13" spans="2:12" x14ac:dyDescent="0.25">
      <c r="B13" s="30"/>
      <c r="C13" s="18"/>
      <c r="D13" s="18"/>
      <c r="E13" s="18"/>
      <c r="F13" s="18"/>
      <c r="G13" s="18"/>
      <c r="H13" s="18"/>
      <c r="I13" s="18"/>
      <c r="J13" s="18"/>
      <c r="K13" s="18"/>
      <c r="L13" s="31"/>
    </row>
    <row r="14" spans="2:12" x14ac:dyDescent="0.25">
      <c r="B14" s="30"/>
      <c r="C14" s="302" t="s">
        <v>8</v>
      </c>
      <c r="D14" s="302" t="s">
        <v>0</v>
      </c>
      <c r="E14" s="302" t="s">
        <v>1</v>
      </c>
      <c r="F14" s="302" t="s">
        <v>2</v>
      </c>
      <c r="G14" s="302" t="s">
        <v>4</v>
      </c>
      <c r="H14" s="302" t="s">
        <v>3</v>
      </c>
      <c r="I14" s="302" t="s">
        <v>5</v>
      </c>
      <c r="J14" s="302" t="s">
        <v>6</v>
      </c>
      <c r="K14" s="302" t="s">
        <v>7</v>
      </c>
      <c r="L14" s="31"/>
    </row>
    <row r="15" spans="2:12" x14ac:dyDescent="0.25">
      <c r="B15" s="30"/>
      <c r="C15" s="1">
        <v>1</v>
      </c>
      <c r="D15" s="1" t="s">
        <v>87</v>
      </c>
      <c r="E15" s="1" t="s">
        <v>86</v>
      </c>
      <c r="F15" s="238" t="s">
        <v>361</v>
      </c>
      <c r="G15" s="1">
        <v>8700</v>
      </c>
      <c r="H15" s="1">
        <f>(2+2*E6)*2</f>
        <v>104</v>
      </c>
      <c r="I15" s="238">
        <f t="shared" ref="I15:I26" si="0">G15/1000*H15</f>
        <v>904.8</v>
      </c>
      <c r="J15" s="238">
        <v>11.8</v>
      </c>
      <c r="K15" s="347">
        <f t="shared" ref="K15:K26" si="1">I15*J15</f>
        <v>10676.64</v>
      </c>
      <c r="L15" s="31"/>
    </row>
    <row r="16" spans="2:12" x14ac:dyDescent="0.25">
      <c r="B16" s="30"/>
      <c r="C16" s="1">
        <f>C15+1</f>
        <v>2</v>
      </c>
      <c r="D16" s="49" t="s">
        <v>88</v>
      </c>
      <c r="E16" s="1" t="s">
        <v>89</v>
      </c>
      <c r="F16" s="238" t="s">
        <v>361</v>
      </c>
      <c r="G16" s="1">
        <v>9000</v>
      </c>
      <c r="H16" s="1">
        <f>(2+2*E6)*2</f>
        <v>104</v>
      </c>
      <c r="I16" s="238">
        <f t="shared" si="0"/>
        <v>936</v>
      </c>
      <c r="J16" s="238">
        <v>11.8</v>
      </c>
      <c r="K16" s="347">
        <f t="shared" si="1"/>
        <v>11044.800000000001</v>
      </c>
      <c r="L16" s="31"/>
    </row>
    <row r="17" spans="2:12" x14ac:dyDescent="0.25">
      <c r="B17" s="30"/>
      <c r="C17" s="1">
        <f t="shared" ref="C17:C40" si="2">C16+1</f>
        <v>3</v>
      </c>
      <c r="D17" s="49" t="s">
        <v>128</v>
      </c>
      <c r="E17" s="1" t="s">
        <v>129</v>
      </c>
      <c r="F17" s="11" t="s">
        <v>40</v>
      </c>
      <c r="G17" s="1">
        <v>5000</v>
      </c>
      <c r="H17" s="1">
        <f>(2*E6-2)*2</f>
        <v>96</v>
      </c>
      <c r="I17" s="11">
        <f t="shared" si="0"/>
        <v>480</v>
      </c>
      <c r="J17" s="11">
        <v>6.9</v>
      </c>
      <c r="K17" s="348">
        <f t="shared" si="1"/>
        <v>3312</v>
      </c>
      <c r="L17" s="31"/>
    </row>
    <row r="18" spans="2:12" x14ac:dyDescent="0.25">
      <c r="B18" s="30"/>
      <c r="C18" s="1">
        <f t="shared" si="2"/>
        <v>4</v>
      </c>
      <c r="D18" s="1" t="s">
        <v>84</v>
      </c>
      <c r="E18" s="1" t="s">
        <v>85</v>
      </c>
      <c r="F18" s="109" t="s">
        <v>362</v>
      </c>
      <c r="G18" s="1">
        <f>G19+3000</f>
        <v>7000</v>
      </c>
      <c r="H18" s="1">
        <f>2+2*E6</f>
        <v>52</v>
      </c>
      <c r="I18" s="109">
        <f t="shared" si="0"/>
        <v>364</v>
      </c>
      <c r="J18" s="109">
        <v>33</v>
      </c>
      <c r="K18" s="349">
        <f t="shared" si="1"/>
        <v>12012</v>
      </c>
      <c r="L18" s="31"/>
    </row>
    <row r="19" spans="2:12" x14ac:dyDescent="0.25">
      <c r="B19" s="30"/>
      <c r="C19" s="1">
        <f t="shared" si="2"/>
        <v>5</v>
      </c>
      <c r="D19" s="1" t="s">
        <v>82</v>
      </c>
      <c r="E19" s="1" t="s">
        <v>83</v>
      </c>
      <c r="F19" s="109" t="s">
        <v>258</v>
      </c>
      <c r="G19" s="1">
        <f>E5*1000</f>
        <v>4000</v>
      </c>
      <c r="H19" s="1">
        <f>2+2*E6</f>
        <v>52</v>
      </c>
      <c r="I19" s="109">
        <f t="shared" si="0"/>
        <v>208</v>
      </c>
      <c r="J19" s="109">
        <v>28</v>
      </c>
      <c r="K19" s="349">
        <f t="shared" si="1"/>
        <v>5824</v>
      </c>
      <c r="L19" s="31"/>
    </row>
    <row r="20" spans="2:12" x14ac:dyDescent="0.25">
      <c r="B20" s="30"/>
      <c r="C20" s="1">
        <f t="shared" si="2"/>
        <v>6</v>
      </c>
      <c r="D20" s="1" t="s">
        <v>92</v>
      </c>
      <c r="E20" s="1" t="s">
        <v>93</v>
      </c>
      <c r="F20" s="109" t="s">
        <v>258</v>
      </c>
      <c r="G20" s="1">
        <f>G19+1200</f>
        <v>5200</v>
      </c>
      <c r="H20" s="1">
        <v>4</v>
      </c>
      <c r="I20" s="109">
        <f t="shared" si="0"/>
        <v>20.8</v>
      </c>
      <c r="J20" s="109">
        <v>28</v>
      </c>
      <c r="K20" s="349">
        <f t="shared" si="1"/>
        <v>582.4</v>
      </c>
      <c r="L20" s="31"/>
    </row>
    <row r="21" spans="2:12" x14ac:dyDescent="0.25">
      <c r="B21" s="30"/>
      <c r="C21" s="1">
        <f t="shared" si="2"/>
        <v>7</v>
      </c>
      <c r="D21" s="1" t="s">
        <v>70</v>
      </c>
      <c r="E21" s="1" t="s">
        <v>69</v>
      </c>
      <c r="F21" s="109" t="s">
        <v>258</v>
      </c>
      <c r="G21" s="1">
        <f>G19+2500</f>
        <v>6500</v>
      </c>
      <c r="H21" s="1">
        <v>4</v>
      </c>
      <c r="I21" s="109">
        <f t="shared" si="0"/>
        <v>26</v>
      </c>
      <c r="J21" s="109">
        <v>28</v>
      </c>
      <c r="K21" s="349">
        <f t="shared" si="1"/>
        <v>728</v>
      </c>
      <c r="L21" s="31"/>
    </row>
    <row r="22" spans="2:12" x14ac:dyDescent="0.25">
      <c r="B22" s="30"/>
      <c r="C22" s="1">
        <f t="shared" si="2"/>
        <v>8</v>
      </c>
      <c r="D22" s="1" t="s">
        <v>61</v>
      </c>
      <c r="E22" s="1" t="s">
        <v>59</v>
      </c>
      <c r="F22" s="109" t="s">
        <v>258</v>
      </c>
      <c r="G22" s="1">
        <f>G19+4400</f>
        <v>8400</v>
      </c>
      <c r="H22" s="1">
        <v>4</v>
      </c>
      <c r="I22" s="109">
        <f t="shared" si="0"/>
        <v>33.6</v>
      </c>
      <c r="J22" s="109">
        <v>28</v>
      </c>
      <c r="K22" s="349">
        <f t="shared" si="1"/>
        <v>940.80000000000007</v>
      </c>
      <c r="L22" s="31"/>
    </row>
    <row r="23" spans="2:12" x14ac:dyDescent="0.25">
      <c r="B23" s="30"/>
      <c r="C23" s="1">
        <f t="shared" si="2"/>
        <v>9</v>
      </c>
      <c r="D23" s="1" t="s">
        <v>60</v>
      </c>
      <c r="E23" s="1" t="s">
        <v>58</v>
      </c>
      <c r="F23" s="109" t="s">
        <v>258</v>
      </c>
      <c r="G23" s="1">
        <f>G19+5100</f>
        <v>9100</v>
      </c>
      <c r="H23" s="1">
        <v>4</v>
      </c>
      <c r="I23" s="109">
        <f t="shared" si="0"/>
        <v>36.4</v>
      </c>
      <c r="J23" s="109">
        <v>28</v>
      </c>
      <c r="K23" s="349">
        <f t="shared" si="1"/>
        <v>1019.1999999999999</v>
      </c>
      <c r="L23" s="31"/>
    </row>
    <row r="24" spans="2:12" x14ac:dyDescent="0.25">
      <c r="B24" s="30"/>
      <c r="C24" s="1">
        <f t="shared" si="2"/>
        <v>10</v>
      </c>
      <c r="D24" s="1" t="s">
        <v>90</v>
      </c>
      <c r="E24" s="1" t="s">
        <v>91</v>
      </c>
      <c r="F24" s="109" t="s">
        <v>258</v>
      </c>
      <c r="G24" s="1">
        <f>G19+5700</f>
        <v>9700</v>
      </c>
      <c r="H24" s="1">
        <v>4</v>
      </c>
      <c r="I24" s="109">
        <f t="shared" si="0"/>
        <v>38.799999999999997</v>
      </c>
      <c r="J24" s="109">
        <v>28</v>
      </c>
      <c r="K24" s="349">
        <f t="shared" si="1"/>
        <v>1086.3999999999999</v>
      </c>
      <c r="L24" s="31"/>
    </row>
    <row r="25" spans="2:12" x14ac:dyDescent="0.25">
      <c r="B25" s="30"/>
      <c r="C25" s="1">
        <f t="shared" si="2"/>
        <v>11</v>
      </c>
      <c r="D25" s="1" t="s">
        <v>94</v>
      </c>
      <c r="E25" s="1" t="s">
        <v>25</v>
      </c>
      <c r="F25" s="11" t="s">
        <v>40</v>
      </c>
      <c r="G25" s="1">
        <f>E9*1000</f>
        <v>4800</v>
      </c>
      <c r="H25" s="1">
        <f>(E6)*6*E8</f>
        <v>150</v>
      </c>
      <c r="I25" s="11">
        <f t="shared" si="0"/>
        <v>720</v>
      </c>
      <c r="J25" s="11">
        <v>6.3</v>
      </c>
      <c r="K25" s="348">
        <f t="shared" si="1"/>
        <v>4536</v>
      </c>
      <c r="L25" s="31"/>
    </row>
    <row r="26" spans="2:12" x14ac:dyDescent="0.25">
      <c r="B26" s="30"/>
      <c r="C26" s="1">
        <f t="shared" si="2"/>
        <v>12</v>
      </c>
      <c r="D26" s="49" t="s">
        <v>133</v>
      </c>
      <c r="E26" s="1" t="s">
        <v>132</v>
      </c>
      <c r="F26" s="66" t="s">
        <v>135</v>
      </c>
      <c r="G26" s="1">
        <f>E9*1000</f>
        <v>4800</v>
      </c>
      <c r="H26" s="1">
        <f>28*(E6)</f>
        <v>700</v>
      </c>
      <c r="I26" s="66">
        <f t="shared" si="0"/>
        <v>3360</v>
      </c>
      <c r="J26" s="66">
        <v>6.3</v>
      </c>
      <c r="K26" s="350">
        <f t="shared" si="1"/>
        <v>21168</v>
      </c>
      <c r="L26" s="31"/>
    </row>
    <row r="27" spans="2:12" x14ac:dyDescent="0.25">
      <c r="B27" s="30"/>
      <c r="C27" s="1">
        <f t="shared" si="2"/>
        <v>13</v>
      </c>
      <c r="D27" s="1" t="s">
        <v>96</v>
      </c>
      <c r="E27" s="1" t="s">
        <v>264</v>
      </c>
      <c r="F27" s="109" t="s">
        <v>263</v>
      </c>
      <c r="G27" s="1">
        <v>4180</v>
      </c>
      <c r="H27" s="177">
        <v>6</v>
      </c>
      <c r="I27" s="109">
        <f>G27/1000*H27</f>
        <v>25.08</v>
      </c>
      <c r="J27" s="109">
        <v>20</v>
      </c>
      <c r="K27" s="349">
        <f>I27*J27</f>
        <v>501.59999999999997</v>
      </c>
      <c r="L27" s="31"/>
    </row>
    <row r="28" spans="2:12" x14ac:dyDescent="0.25">
      <c r="B28" s="30"/>
      <c r="C28" s="1">
        <f t="shared" si="2"/>
        <v>14</v>
      </c>
      <c r="D28" s="1" t="s">
        <v>97</v>
      </c>
      <c r="E28" s="1" t="s">
        <v>265</v>
      </c>
      <c r="F28" s="109" t="s">
        <v>263</v>
      </c>
      <c r="G28" s="1">
        <v>3180</v>
      </c>
      <c r="H28" s="177">
        <v>28</v>
      </c>
      <c r="I28" s="109">
        <f t="shared" ref="I28:I30" si="3">G28/1000*H28</f>
        <v>89.04</v>
      </c>
      <c r="J28" s="109">
        <v>20</v>
      </c>
      <c r="K28" s="349">
        <f t="shared" ref="K28:K30" si="4">I28*J28</f>
        <v>1780.8000000000002</v>
      </c>
      <c r="L28" s="31"/>
    </row>
    <row r="29" spans="2:12" x14ac:dyDescent="0.25">
      <c r="B29" s="30"/>
      <c r="C29" s="1">
        <f t="shared" si="2"/>
        <v>15</v>
      </c>
      <c r="D29" s="1" t="s">
        <v>98</v>
      </c>
      <c r="E29" s="1" t="s">
        <v>266</v>
      </c>
      <c r="F29" s="109" t="s">
        <v>263</v>
      </c>
      <c r="G29" s="1">
        <v>2030</v>
      </c>
      <c r="H29" s="177">
        <v>4</v>
      </c>
      <c r="I29" s="109">
        <f t="shared" si="3"/>
        <v>8.1199999999999992</v>
      </c>
      <c r="J29" s="109">
        <v>20</v>
      </c>
      <c r="K29" s="349">
        <f t="shared" si="4"/>
        <v>162.39999999999998</v>
      </c>
      <c r="L29" s="31"/>
    </row>
    <row r="30" spans="2:12" x14ac:dyDescent="0.25">
      <c r="B30" s="30"/>
      <c r="C30" s="1">
        <f t="shared" si="2"/>
        <v>16</v>
      </c>
      <c r="D30" s="1" t="s">
        <v>100</v>
      </c>
      <c r="E30" s="1" t="s">
        <v>267</v>
      </c>
      <c r="F30" s="109" t="s">
        <v>263</v>
      </c>
      <c r="G30" s="1">
        <v>1930</v>
      </c>
      <c r="H30" s="177">
        <v>8</v>
      </c>
      <c r="I30" s="109">
        <f t="shared" si="3"/>
        <v>15.44</v>
      </c>
      <c r="J30" s="109">
        <v>20</v>
      </c>
      <c r="K30" s="349">
        <f t="shared" si="4"/>
        <v>308.8</v>
      </c>
      <c r="L30" s="31"/>
    </row>
    <row r="31" spans="2:12" x14ac:dyDescent="0.25">
      <c r="B31" s="30"/>
      <c r="C31" s="1">
        <f t="shared" si="2"/>
        <v>17</v>
      </c>
      <c r="D31" s="1" t="s">
        <v>102</v>
      </c>
      <c r="E31" s="1" t="s">
        <v>268</v>
      </c>
      <c r="F31" s="109" t="s">
        <v>263</v>
      </c>
      <c r="G31" s="1">
        <v>2480</v>
      </c>
      <c r="H31" s="177">
        <v>12</v>
      </c>
      <c r="I31" s="109">
        <f>G31/1000*H31</f>
        <v>29.759999999999998</v>
      </c>
      <c r="J31" s="109">
        <v>20</v>
      </c>
      <c r="K31" s="349">
        <f>I31*J31</f>
        <v>595.19999999999993</v>
      </c>
      <c r="L31" s="31"/>
    </row>
    <row r="32" spans="2:12" x14ac:dyDescent="0.25">
      <c r="B32" s="30"/>
      <c r="C32" s="1">
        <f t="shared" si="2"/>
        <v>18</v>
      </c>
      <c r="D32" s="1" t="s">
        <v>124</v>
      </c>
      <c r="E32" s="1" t="s">
        <v>269</v>
      </c>
      <c r="F32" s="109" t="s">
        <v>263</v>
      </c>
      <c r="G32" s="1">
        <v>440</v>
      </c>
      <c r="H32" s="177">
        <v>12</v>
      </c>
      <c r="I32" s="109">
        <f>G32/1000*H32</f>
        <v>5.28</v>
      </c>
      <c r="J32" s="109">
        <v>20</v>
      </c>
      <c r="K32" s="349">
        <f>I32*J32</f>
        <v>105.60000000000001</v>
      </c>
      <c r="L32" s="31"/>
    </row>
    <row r="33" spans="2:12" x14ac:dyDescent="0.25">
      <c r="B33" s="30"/>
      <c r="C33" s="1">
        <f t="shared" si="2"/>
        <v>19</v>
      </c>
      <c r="D33" s="1" t="s">
        <v>271</v>
      </c>
      <c r="E33" s="1" t="s">
        <v>270</v>
      </c>
      <c r="F33" s="109" t="s">
        <v>263</v>
      </c>
      <c r="G33" s="1">
        <v>5340</v>
      </c>
      <c r="H33" s="178">
        <v>2</v>
      </c>
      <c r="I33" s="109">
        <f>G33/1000*H33</f>
        <v>10.68</v>
      </c>
      <c r="J33" s="109">
        <v>20</v>
      </c>
      <c r="K33" s="349">
        <f>I33*J33</f>
        <v>213.6</v>
      </c>
      <c r="L33" s="31"/>
    </row>
    <row r="34" spans="2:12" x14ac:dyDescent="0.25">
      <c r="B34" s="30"/>
      <c r="C34" s="1">
        <f t="shared" si="2"/>
        <v>20</v>
      </c>
      <c r="D34" s="1" t="s">
        <v>10</v>
      </c>
      <c r="E34" s="1" t="s">
        <v>11</v>
      </c>
      <c r="F34" s="25">
        <v>2.5</v>
      </c>
      <c r="G34" s="1"/>
      <c r="H34" s="1">
        <f>(H26+H25)*2</f>
        <v>1700</v>
      </c>
      <c r="I34" s="25"/>
      <c r="J34" s="25">
        <v>1.5</v>
      </c>
      <c r="K34" s="351">
        <f>H34*J34</f>
        <v>2550</v>
      </c>
      <c r="L34" s="31"/>
    </row>
    <row r="35" spans="2:12" x14ac:dyDescent="0.25">
      <c r="B35" s="30"/>
      <c r="C35" s="1">
        <f t="shared" si="2"/>
        <v>21</v>
      </c>
      <c r="D35" s="1" t="s">
        <v>105</v>
      </c>
      <c r="E35" s="1" t="s">
        <v>106</v>
      </c>
      <c r="F35" s="50" t="s">
        <v>303</v>
      </c>
      <c r="G35" s="1">
        <v>850</v>
      </c>
      <c r="H35" s="1">
        <f>(E6+1)*2</f>
        <v>52</v>
      </c>
      <c r="I35" s="51">
        <f>G35/1000*H35</f>
        <v>44.199999999999996</v>
      </c>
      <c r="J35" s="51">
        <v>3.3</v>
      </c>
      <c r="K35" s="352">
        <f>I35*J35</f>
        <v>145.85999999999999</v>
      </c>
      <c r="L35" s="31"/>
    </row>
    <row r="36" spans="2:12" x14ac:dyDescent="0.25">
      <c r="B36" s="30"/>
      <c r="C36" s="1">
        <f t="shared" si="2"/>
        <v>22</v>
      </c>
      <c r="D36" s="52" t="s">
        <v>111</v>
      </c>
      <c r="E36" s="1" t="s">
        <v>107</v>
      </c>
      <c r="F36" s="50" t="s">
        <v>303</v>
      </c>
      <c r="G36" s="1">
        <v>1800</v>
      </c>
      <c r="H36" s="1">
        <f>(E6+1)*2</f>
        <v>52</v>
      </c>
      <c r="I36" s="51">
        <f>G36/1000*H36</f>
        <v>93.600000000000009</v>
      </c>
      <c r="J36" s="51">
        <v>3.3</v>
      </c>
      <c r="K36" s="352">
        <f>I36*J36</f>
        <v>308.88</v>
      </c>
      <c r="L36" s="31"/>
    </row>
    <row r="37" spans="2:12" x14ac:dyDescent="0.25">
      <c r="B37" s="30"/>
      <c r="C37" s="1">
        <f t="shared" si="2"/>
        <v>23</v>
      </c>
      <c r="D37" s="1" t="s">
        <v>108</v>
      </c>
      <c r="E37" s="1" t="s">
        <v>109</v>
      </c>
      <c r="F37" s="50" t="s">
        <v>303</v>
      </c>
      <c r="G37" s="1">
        <f>E9*1000</f>
        <v>4800</v>
      </c>
      <c r="H37" s="1">
        <f>E6*8</f>
        <v>200</v>
      </c>
      <c r="I37" s="51">
        <f>G37/1000*H37</f>
        <v>960</v>
      </c>
      <c r="J37" s="51">
        <v>3.3</v>
      </c>
      <c r="K37" s="352">
        <f>I37*J37</f>
        <v>3168</v>
      </c>
      <c r="L37" s="31"/>
    </row>
    <row r="38" spans="2:12" x14ac:dyDescent="0.25">
      <c r="B38" s="30"/>
      <c r="C38" s="1">
        <f t="shared" si="2"/>
        <v>24</v>
      </c>
      <c r="D38" s="1" t="s">
        <v>10</v>
      </c>
      <c r="E38" s="1" t="s">
        <v>110</v>
      </c>
      <c r="F38" s="25">
        <v>2.5</v>
      </c>
      <c r="G38" s="1"/>
      <c r="H38" s="1">
        <f>E6*16+4</f>
        <v>404</v>
      </c>
      <c r="I38" s="25"/>
      <c r="J38" s="25">
        <v>0.5</v>
      </c>
      <c r="K38" s="351">
        <f>H38*J38</f>
        <v>202</v>
      </c>
      <c r="L38" s="31"/>
    </row>
    <row r="39" spans="2:12" x14ac:dyDescent="0.25">
      <c r="B39" s="30"/>
      <c r="C39" s="1">
        <f t="shared" si="2"/>
        <v>25</v>
      </c>
      <c r="D39" s="53" t="s">
        <v>113</v>
      </c>
      <c r="E39" s="54" t="s">
        <v>112</v>
      </c>
      <c r="F39" s="25">
        <v>2.5</v>
      </c>
      <c r="G39" s="1"/>
      <c r="H39" s="1">
        <f>E6*8+4</f>
        <v>204</v>
      </c>
      <c r="I39" s="25"/>
      <c r="J39" s="25">
        <v>0.5</v>
      </c>
      <c r="K39" s="351">
        <f>H39*J39</f>
        <v>102</v>
      </c>
      <c r="L39" s="31"/>
    </row>
    <row r="40" spans="2:12" x14ac:dyDescent="0.25">
      <c r="B40" s="30"/>
      <c r="C40" s="1">
        <f t="shared" si="2"/>
        <v>26</v>
      </c>
      <c r="D40" s="53" t="s">
        <v>115</v>
      </c>
      <c r="E40" s="54"/>
      <c r="F40" s="25">
        <v>2.5</v>
      </c>
      <c r="G40" s="1"/>
      <c r="H40" s="1">
        <f>E6+1</f>
        <v>26</v>
      </c>
      <c r="I40" s="25"/>
      <c r="J40" s="25">
        <v>2.5</v>
      </c>
      <c r="K40" s="351">
        <f>H40*J40</f>
        <v>65</v>
      </c>
      <c r="L40" s="31"/>
    </row>
    <row r="41" spans="2:12" x14ac:dyDescent="0.25">
      <c r="B41" s="30"/>
      <c r="C41" s="18"/>
      <c r="D41" s="150"/>
      <c r="E41" s="151"/>
      <c r="F41" s="18"/>
      <c r="G41" s="315" t="s">
        <v>362</v>
      </c>
      <c r="H41" s="316"/>
      <c r="I41" s="152">
        <f>I18</f>
        <v>364</v>
      </c>
      <c r="J41" s="153"/>
      <c r="K41" s="152">
        <f>K18</f>
        <v>12012</v>
      </c>
      <c r="L41" s="31"/>
    </row>
    <row r="42" spans="2:12" x14ac:dyDescent="0.25">
      <c r="B42" s="30"/>
      <c r="C42" s="18"/>
      <c r="D42" s="150"/>
      <c r="E42" s="151"/>
      <c r="F42" s="18"/>
      <c r="G42" s="315" t="s">
        <v>258</v>
      </c>
      <c r="H42" s="316"/>
      <c r="I42" s="152">
        <f>SUM(I19:I24)</f>
        <v>363.6</v>
      </c>
      <c r="J42" s="153"/>
      <c r="K42" s="152">
        <f>SUM(K19:K24)</f>
        <v>10180.799999999999</v>
      </c>
      <c r="L42" s="31"/>
    </row>
    <row r="43" spans="2:12" x14ac:dyDescent="0.25">
      <c r="B43" s="30"/>
      <c r="C43" s="18"/>
      <c r="D43" s="150"/>
      <c r="E43" s="151"/>
      <c r="F43" s="18"/>
      <c r="G43" s="315" t="s">
        <v>263</v>
      </c>
      <c r="H43" s="316"/>
      <c r="I43" s="152">
        <f>SUM(I27:I33)</f>
        <v>183.4</v>
      </c>
      <c r="J43" s="153"/>
      <c r="K43" s="152">
        <f>SUM(K27:K33)</f>
        <v>3668</v>
      </c>
      <c r="L43" s="31"/>
    </row>
    <row r="44" spans="2:12" x14ac:dyDescent="0.25">
      <c r="B44" s="30"/>
      <c r="C44" s="18"/>
      <c r="D44" s="18"/>
      <c r="E44" s="18"/>
      <c r="F44" s="18"/>
      <c r="G44" s="321" t="s">
        <v>114</v>
      </c>
      <c r="H44" s="322"/>
      <c r="I44" s="77">
        <f>SUM(I35:I37)</f>
        <v>1097.8</v>
      </c>
      <c r="J44" s="50"/>
      <c r="K44" s="77">
        <f>SUM(K35:K37)</f>
        <v>3622.74</v>
      </c>
      <c r="L44" s="31"/>
    </row>
    <row r="45" spans="2:12" x14ac:dyDescent="0.25">
      <c r="B45" s="30"/>
      <c r="C45" s="18"/>
      <c r="D45" s="18"/>
      <c r="E45" s="18"/>
      <c r="F45" s="18"/>
      <c r="G45" s="323" t="s">
        <v>37</v>
      </c>
      <c r="H45" s="324"/>
      <c r="I45" s="72">
        <f>I17+I25</f>
        <v>1200</v>
      </c>
      <c r="J45" s="13"/>
      <c r="K45" s="72">
        <f>K17+K25</f>
        <v>7848</v>
      </c>
      <c r="L45" s="31"/>
    </row>
    <row r="46" spans="2:12" x14ac:dyDescent="0.25">
      <c r="B46" s="30"/>
      <c r="C46" s="18"/>
      <c r="D46" s="18"/>
      <c r="E46" s="18"/>
      <c r="F46" s="18"/>
      <c r="G46" s="317" t="s">
        <v>136</v>
      </c>
      <c r="H46" s="318"/>
      <c r="I46" s="73">
        <f>I26</f>
        <v>3360</v>
      </c>
      <c r="J46" s="66"/>
      <c r="K46" s="73">
        <f>K26</f>
        <v>21168</v>
      </c>
      <c r="L46" s="31"/>
    </row>
    <row r="47" spans="2:12" x14ac:dyDescent="0.25">
      <c r="B47" s="30"/>
      <c r="C47" s="18"/>
      <c r="D47" s="18"/>
      <c r="E47" s="18"/>
      <c r="F47" s="18"/>
      <c r="G47" s="353" t="s">
        <v>363</v>
      </c>
      <c r="H47" s="354"/>
      <c r="I47" s="355">
        <f>I15+I16</f>
        <v>1840.8</v>
      </c>
      <c r="J47" s="356"/>
      <c r="K47" s="355">
        <f>K15+K16</f>
        <v>21721.440000000002</v>
      </c>
      <c r="L47" s="31"/>
    </row>
    <row r="48" spans="2:12" x14ac:dyDescent="0.25">
      <c r="B48" s="30"/>
      <c r="C48" s="18"/>
      <c r="D48" s="18"/>
      <c r="E48" s="18"/>
      <c r="F48" s="18"/>
      <c r="G48" s="18"/>
      <c r="H48" s="18"/>
      <c r="I48" s="18"/>
      <c r="J48" s="18"/>
      <c r="K48" s="18"/>
      <c r="L48" s="31"/>
    </row>
    <row r="49" spans="2:12" x14ac:dyDescent="0.25">
      <c r="B49" s="30"/>
      <c r="C49" s="1"/>
      <c r="D49" s="1" t="s">
        <v>272</v>
      </c>
      <c r="E49" s="1"/>
      <c r="F49" s="1"/>
      <c r="G49" s="1">
        <v>8000</v>
      </c>
      <c r="H49" s="1">
        <f>(E6-1)*2</f>
        <v>48</v>
      </c>
      <c r="I49" s="1">
        <f>G49/1000*H49</f>
        <v>384</v>
      </c>
      <c r="J49" s="1"/>
      <c r="K49" s="1">
        <f>I49*3.5</f>
        <v>1344</v>
      </c>
      <c r="L49" s="31"/>
    </row>
    <row r="50" spans="2:12" x14ac:dyDescent="0.25">
      <c r="B50" s="30"/>
      <c r="C50" s="18"/>
      <c r="D50" s="18"/>
      <c r="E50" s="18"/>
      <c r="F50" s="18"/>
      <c r="G50" s="18"/>
      <c r="H50" s="18"/>
      <c r="I50" s="18"/>
      <c r="J50" s="18"/>
      <c r="K50" s="18"/>
      <c r="L50" s="31"/>
    </row>
    <row r="51" spans="2:12" x14ac:dyDescent="0.25">
      <c r="B51" s="30"/>
      <c r="C51" s="18"/>
      <c r="D51" s="18"/>
      <c r="E51" s="18"/>
      <c r="F51" s="18"/>
      <c r="G51" s="311" t="s">
        <v>13</v>
      </c>
      <c r="H51" s="312"/>
      <c r="I51" s="19">
        <f>SUM(K44:K47)</f>
        <v>54360.18</v>
      </c>
      <c r="J51" s="357">
        <f>105+36</f>
        <v>141</v>
      </c>
      <c r="K51" s="20">
        <f t="shared" ref="K51:K63" si="5">I51*J51</f>
        <v>7664785.3799999999</v>
      </c>
      <c r="L51" s="31"/>
    </row>
    <row r="52" spans="2:12" x14ac:dyDescent="0.25">
      <c r="B52" s="30"/>
      <c r="C52" s="18"/>
      <c r="D52" s="18"/>
      <c r="E52" s="18"/>
      <c r="F52" s="18"/>
      <c r="G52" s="311" t="s">
        <v>252</v>
      </c>
      <c r="H52" s="312"/>
      <c r="I52" s="19">
        <f>SUM(K41:K43)</f>
        <v>25860.799999999999</v>
      </c>
      <c r="J52" s="358">
        <f>90+36+6</f>
        <v>132</v>
      </c>
      <c r="K52" s="20">
        <f t="shared" si="5"/>
        <v>3413625.6</v>
      </c>
      <c r="L52" s="31"/>
    </row>
    <row r="53" spans="2:12" x14ac:dyDescent="0.25">
      <c r="B53" s="30"/>
      <c r="C53" s="18"/>
      <c r="D53" s="18"/>
      <c r="E53" s="18"/>
      <c r="F53" s="18"/>
      <c r="G53" s="311" t="s">
        <v>33</v>
      </c>
      <c r="H53" s="312"/>
      <c r="I53" s="1">
        <f>H34</f>
        <v>1700</v>
      </c>
      <c r="J53" s="359">
        <v>300</v>
      </c>
      <c r="K53" s="20">
        <f t="shared" si="5"/>
        <v>510000</v>
      </c>
      <c r="L53" s="31"/>
    </row>
    <row r="54" spans="2:12" x14ac:dyDescent="0.25">
      <c r="B54" s="30"/>
      <c r="C54" s="18"/>
      <c r="D54" s="18"/>
      <c r="E54" s="18"/>
      <c r="F54" s="18"/>
      <c r="G54" s="311" t="s">
        <v>116</v>
      </c>
      <c r="H54" s="312"/>
      <c r="I54" s="1">
        <f>H38</f>
        <v>404</v>
      </c>
      <c r="J54" s="359">
        <v>200</v>
      </c>
      <c r="K54" s="20">
        <f t="shared" si="5"/>
        <v>80800</v>
      </c>
      <c r="L54" s="31"/>
    </row>
    <row r="55" spans="2:12" x14ac:dyDescent="0.25">
      <c r="B55" s="30"/>
      <c r="G55" s="311" t="s">
        <v>113</v>
      </c>
      <c r="H55" s="312"/>
      <c r="I55" s="1">
        <f>H39</f>
        <v>204</v>
      </c>
      <c r="J55" s="359">
        <v>200</v>
      </c>
      <c r="K55" s="20">
        <f t="shared" si="5"/>
        <v>40800</v>
      </c>
      <c r="L55" s="31"/>
    </row>
    <row r="56" spans="2:12" x14ac:dyDescent="0.25">
      <c r="B56" s="30"/>
      <c r="G56" s="311" t="s">
        <v>115</v>
      </c>
      <c r="H56" s="312"/>
      <c r="I56" s="1">
        <f>H40</f>
        <v>26</v>
      </c>
      <c r="J56" s="359">
        <v>350</v>
      </c>
      <c r="K56" s="20">
        <f t="shared" si="5"/>
        <v>9100</v>
      </c>
      <c r="L56" s="31"/>
    </row>
    <row r="57" spans="2:12" x14ac:dyDescent="0.25">
      <c r="B57" s="30"/>
      <c r="G57" s="311" t="s">
        <v>127</v>
      </c>
      <c r="H57" s="312"/>
      <c r="I57" s="19">
        <f>H39*2.5</f>
        <v>510</v>
      </c>
      <c r="J57" s="359">
        <v>150</v>
      </c>
      <c r="K57" s="20">
        <f t="shared" si="5"/>
        <v>76500</v>
      </c>
      <c r="L57" s="31"/>
    </row>
    <row r="58" spans="2:12" x14ac:dyDescent="0.25">
      <c r="B58" s="30"/>
      <c r="G58" s="311" t="s">
        <v>14</v>
      </c>
      <c r="H58" s="312"/>
      <c r="I58" s="19">
        <f>I51*0.15</f>
        <v>8154.027</v>
      </c>
      <c r="J58" s="360">
        <f>80*1.2+40</f>
        <v>136</v>
      </c>
      <c r="K58" s="20">
        <f t="shared" si="5"/>
        <v>1108947.672</v>
      </c>
      <c r="L58" s="31"/>
    </row>
    <row r="59" spans="2:12" x14ac:dyDescent="0.25">
      <c r="B59" s="30"/>
      <c r="C59" s="18"/>
      <c r="D59" s="18"/>
      <c r="E59" s="18"/>
      <c r="F59" s="18"/>
      <c r="G59" s="311" t="s">
        <v>364</v>
      </c>
      <c r="H59" s="312"/>
      <c r="I59" s="19">
        <v>3400</v>
      </c>
      <c r="J59" s="360">
        <f>85*1.2+60</f>
        <v>162</v>
      </c>
      <c r="K59" s="20">
        <f t="shared" si="5"/>
        <v>550800</v>
      </c>
      <c r="L59" s="31"/>
    </row>
    <row r="60" spans="2:12" x14ac:dyDescent="0.25">
      <c r="B60" s="30"/>
      <c r="C60" s="18"/>
      <c r="D60" s="1" t="s">
        <v>28</v>
      </c>
      <c r="E60" s="1">
        <f>E11</f>
        <v>3912</v>
      </c>
      <c r="F60" s="18"/>
      <c r="G60" s="311" t="s">
        <v>272</v>
      </c>
      <c r="H60" s="312"/>
      <c r="I60" s="1">
        <f>K49+H49/2*10</f>
        <v>1584</v>
      </c>
      <c r="J60" s="1">
        <f>J59</f>
        <v>162</v>
      </c>
      <c r="K60" s="20">
        <f t="shared" si="5"/>
        <v>256608</v>
      </c>
      <c r="L60" s="31"/>
    </row>
    <row r="61" spans="2:12" x14ac:dyDescent="0.25">
      <c r="B61" s="30"/>
      <c r="C61" s="18"/>
      <c r="D61" s="1" t="s">
        <v>29</v>
      </c>
      <c r="E61" s="19">
        <f>K68/E60/E63</f>
        <v>26.939226993865031</v>
      </c>
      <c r="F61" s="18"/>
      <c r="G61" s="311" t="s">
        <v>261</v>
      </c>
      <c r="H61" s="312"/>
      <c r="I61" s="1">
        <f>(5.2*4+5.7*8+12*5+5.8*12+5.4*4+5.7*4+5.75*4)*E7*2</f>
        <v>2107.1999999999998</v>
      </c>
      <c r="J61" s="1">
        <f>J60</f>
        <v>162</v>
      </c>
      <c r="K61" s="20">
        <f t="shared" si="5"/>
        <v>341366.39999999997</v>
      </c>
      <c r="L61" s="31"/>
    </row>
    <row r="62" spans="2:12" x14ac:dyDescent="0.25">
      <c r="B62" s="30"/>
      <c r="C62" s="18"/>
      <c r="D62" s="1" t="s">
        <v>30</v>
      </c>
      <c r="E62" s="19">
        <f>I66</f>
        <v>105386.25599999999</v>
      </c>
      <c r="F62" s="18"/>
      <c r="G62" s="311" t="s">
        <v>15</v>
      </c>
      <c r="H62" s="312"/>
      <c r="I62" s="1">
        <f>(E6+1)*4*20+(H24+H23+H22+H21+H20)*20</f>
        <v>2480</v>
      </c>
      <c r="J62" s="361">
        <f>80*1.1+40</f>
        <v>128</v>
      </c>
      <c r="K62" s="20">
        <f t="shared" si="5"/>
        <v>317440</v>
      </c>
      <c r="L62" s="31"/>
    </row>
    <row r="63" spans="2:12" x14ac:dyDescent="0.25">
      <c r="B63" s="30"/>
      <c r="C63" s="18"/>
      <c r="D63" s="1" t="s">
        <v>32</v>
      </c>
      <c r="E63" s="21">
        <f>K68/I66</f>
        <v>175.16996179084305</v>
      </c>
      <c r="F63" s="18"/>
      <c r="G63" s="311" t="s">
        <v>16</v>
      </c>
      <c r="H63" s="312"/>
      <c r="I63" s="19">
        <f>(I51+I52)*0.05</f>
        <v>4011.049</v>
      </c>
      <c r="J63" s="1">
        <v>200</v>
      </c>
      <c r="K63" s="20">
        <f t="shared" si="5"/>
        <v>802209.8</v>
      </c>
      <c r="L63" s="31"/>
    </row>
    <row r="64" spans="2:12" x14ac:dyDescent="0.25">
      <c r="B64" s="30"/>
      <c r="C64" s="18"/>
      <c r="D64" s="1" t="s">
        <v>35</v>
      </c>
      <c r="E64" s="21">
        <f>E65/E60</f>
        <v>4718.9433631901848</v>
      </c>
      <c r="F64" s="18"/>
      <c r="G64" s="311" t="s">
        <v>140</v>
      </c>
      <c r="H64" s="312"/>
      <c r="I64" s="19"/>
      <c r="J64" s="1"/>
      <c r="K64" s="20"/>
      <c r="L64" s="31"/>
    </row>
    <row r="65" spans="2:12" x14ac:dyDescent="0.25">
      <c r="B65" s="30"/>
      <c r="C65" s="18"/>
      <c r="D65" s="22" t="s">
        <v>31</v>
      </c>
      <c r="E65" s="23">
        <f>E63*E62</f>
        <v>18460506.436800003</v>
      </c>
      <c r="F65" s="18"/>
      <c r="G65" s="311" t="s">
        <v>18</v>
      </c>
      <c r="H65" s="312"/>
      <c r="I65" s="19">
        <f>I66</f>
        <v>105386.25599999999</v>
      </c>
      <c r="J65" s="1">
        <v>2</v>
      </c>
      <c r="K65" s="20">
        <f>I65*J65</f>
        <v>210772.51199999999</v>
      </c>
      <c r="L65" s="31"/>
    </row>
    <row r="66" spans="2:12" x14ac:dyDescent="0.25">
      <c r="B66" s="30"/>
      <c r="C66" s="18"/>
      <c r="D66" s="18"/>
      <c r="E66" s="18"/>
      <c r="F66" s="362"/>
      <c r="G66" s="313" t="s">
        <v>36</v>
      </c>
      <c r="H66" s="314"/>
      <c r="I66" s="10">
        <f>I51+I52+K34+K38+K39+K40+I57+I58+I59+I60+I61+I62+I63</f>
        <v>105386.25599999999</v>
      </c>
      <c r="J66" s="1"/>
      <c r="K66" s="1"/>
      <c r="L66" s="31"/>
    </row>
    <row r="67" spans="2:12" x14ac:dyDescent="0.25">
      <c r="B67" s="30"/>
      <c r="C67" s="18"/>
      <c r="D67" s="18"/>
      <c r="E67" s="18"/>
      <c r="F67" s="363"/>
      <c r="G67" s="304" t="s">
        <v>17</v>
      </c>
      <c r="H67" s="305"/>
      <c r="I67" s="305"/>
      <c r="J67" s="306"/>
      <c r="K67" s="24">
        <f>SUM(K51:K65)</f>
        <v>15383755.364000002</v>
      </c>
      <c r="L67" s="31"/>
    </row>
    <row r="68" spans="2:12" x14ac:dyDescent="0.25">
      <c r="B68" s="30"/>
      <c r="C68" s="18"/>
      <c r="D68" s="18"/>
      <c r="E68" s="18"/>
      <c r="F68" s="18"/>
      <c r="G68" s="364" t="s">
        <v>134</v>
      </c>
      <c r="H68" s="365"/>
      <c r="I68" s="365"/>
      <c r="J68" s="366"/>
      <c r="K68" s="35">
        <f>K67*1.2</f>
        <v>18460506.436800003</v>
      </c>
      <c r="L68" s="31"/>
    </row>
    <row r="69" spans="2:12" x14ac:dyDescent="0.25">
      <c r="B69" s="30"/>
      <c r="C69" s="18"/>
      <c r="D69" s="18"/>
      <c r="E69" s="18"/>
      <c r="F69" s="18"/>
      <c r="G69" s="18"/>
      <c r="H69" s="18"/>
      <c r="I69" s="18"/>
      <c r="J69" s="18"/>
      <c r="K69" s="121"/>
      <c r="L69" s="31"/>
    </row>
    <row r="70" spans="2:12" x14ac:dyDescent="0.25">
      <c r="B70" s="32"/>
      <c r="C70" s="33"/>
      <c r="D70" s="33"/>
      <c r="E70" s="33"/>
      <c r="F70" s="33"/>
      <c r="G70" s="33"/>
      <c r="H70" s="33"/>
      <c r="I70" s="33"/>
      <c r="J70" s="33"/>
      <c r="K70" s="367"/>
      <c r="L70" s="34"/>
    </row>
    <row r="71" spans="2:12" x14ac:dyDescent="0.25">
      <c r="K71" s="121"/>
    </row>
    <row r="72" spans="2:12" x14ac:dyDescent="0.25">
      <c r="E72" s="212"/>
      <c r="K72" s="121"/>
    </row>
    <row r="73" spans="2:12" x14ac:dyDescent="0.25">
      <c r="E73" s="212"/>
      <c r="K73" s="122"/>
    </row>
    <row r="74" spans="2:12" x14ac:dyDescent="0.25">
      <c r="E74" s="212"/>
      <c r="K74" s="122"/>
    </row>
    <row r="75" spans="2:12" x14ac:dyDescent="0.25">
      <c r="E75" s="212"/>
      <c r="K75" s="121"/>
    </row>
    <row r="76" spans="2:12" x14ac:dyDescent="0.25">
      <c r="E76" s="212"/>
      <c r="I76" s="212"/>
      <c r="K76" s="368"/>
    </row>
    <row r="77" spans="2:12" x14ac:dyDescent="0.25">
      <c r="E77" s="212"/>
      <c r="I77" s="212"/>
      <c r="K77" s="212"/>
    </row>
    <row r="78" spans="2:12" x14ac:dyDescent="0.25">
      <c r="E78" s="212"/>
      <c r="I78" s="212"/>
      <c r="K78" s="212"/>
    </row>
    <row r="79" spans="2:12" x14ac:dyDescent="0.25">
      <c r="I79" s="212"/>
      <c r="K79" s="212"/>
    </row>
  </sheetData>
  <mergeCells count="28">
    <mergeCell ref="G65:H65"/>
    <mergeCell ref="G66:H66"/>
    <mergeCell ref="G67:J67"/>
    <mergeCell ref="G68:J68"/>
    <mergeCell ref="G59:H59"/>
    <mergeCell ref="G60:H60"/>
    <mergeCell ref="G61:H61"/>
    <mergeCell ref="G62:H62"/>
    <mergeCell ref="G63:H63"/>
    <mergeCell ref="G64:H64"/>
    <mergeCell ref="G53:H53"/>
    <mergeCell ref="G54:H54"/>
    <mergeCell ref="G55:H55"/>
    <mergeCell ref="G56:H56"/>
    <mergeCell ref="G57:H57"/>
    <mergeCell ref="G58:H58"/>
    <mergeCell ref="G44:H44"/>
    <mergeCell ref="G45:H45"/>
    <mergeCell ref="G46:H46"/>
    <mergeCell ref="G47:H47"/>
    <mergeCell ref="G51:H51"/>
    <mergeCell ref="G52:H52"/>
    <mergeCell ref="G4:H5"/>
    <mergeCell ref="I4:K5"/>
    <mergeCell ref="G11:K12"/>
    <mergeCell ref="G41:H41"/>
    <mergeCell ref="G42:H42"/>
    <mergeCell ref="G43:H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Q70"/>
  <sheetViews>
    <sheetView topLeftCell="L19" zoomScale="80" zoomScaleNormal="80" workbookViewId="0">
      <selection activeCell="AA51" sqref="AA51:AA52"/>
    </sheetView>
  </sheetViews>
  <sheetFormatPr defaultRowHeight="15" x14ac:dyDescent="0.25"/>
  <cols>
    <col min="3" max="4" width="3.28515625" bestFit="1" customWidth="1"/>
    <col min="5" max="5" width="26.7109375" bestFit="1" customWidth="1"/>
    <col min="6" max="6" width="14.28515625" customWidth="1"/>
    <col min="7" max="7" width="17.5703125" customWidth="1"/>
    <col min="8" max="8" width="14.7109375" customWidth="1"/>
    <col min="9" max="9" width="5" bestFit="1" customWidth="1"/>
    <col min="10" max="10" width="11.85546875" bestFit="1" customWidth="1"/>
    <col min="11" max="11" width="7.140625" bestFit="1" customWidth="1"/>
    <col min="12" max="12" width="12" bestFit="1" customWidth="1"/>
    <col min="13" max="13" width="4" customWidth="1"/>
    <col min="14" max="14" width="10" bestFit="1" customWidth="1"/>
    <col min="19" max="19" width="3.28515625" customWidth="1"/>
    <col min="20" max="20" width="3.28515625" bestFit="1" customWidth="1"/>
    <col min="21" max="21" width="21" bestFit="1" customWidth="1"/>
    <col min="22" max="22" width="14.28515625" bestFit="1" customWidth="1"/>
    <col min="23" max="23" width="18.85546875" bestFit="1" customWidth="1"/>
    <col min="24" max="24" width="8" bestFit="1" customWidth="1"/>
    <col min="25" max="25" width="5" bestFit="1" customWidth="1"/>
    <col min="26" max="26" width="15.5703125" customWidth="1"/>
    <col min="27" max="27" width="6" bestFit="1" customWidth="1"/>
    <col min="28" max="28" width="13.28515625" customWidth="1"/>
    <col min="29" max="29" width="3.28515625" bestFit="1" customWidth="1"/>
    <col min="33" max="34" width="3.28515625" customWidth="1"/>
    <col min="35" max="35" width="26.7109375" customWidth="1"/>
    <col min="36" max="36" width="15.140625" customWidth="1"/>
    <col min="37" max="37" width="18.85546875" customWidth="1"/>
    <col min="38" max="38" width="14" customWidth="1"/>
    <col min="39" max="39" width="5.85546875" customWidth="1"/>
    <col min="40" max="40" width="14.28515625" bestFit="1" customWidth="1"/>
    <col min="41" max="41" width="6" customWidth="1"/>
    <col min="42" max="42" width="13.140625" customWidth="1"/>
    <col min="43" max="43" width="3.28515625" customWidth="1"/>
  </cols>
  <sheetData>
    <row r="1" spans="3:43" ht="201" customHeight="1" x14ac:dyDescent="0.25"/>
    <row r="3" spans="3:43" ht="15.75" thickBot="1" x14ac:dyDescent="0.3">
      <c r="C3" s="27"/>
      <c r="D3" s="28"/>
      <c r="E3" s="28"/>
      <c r="F3" s="28"/>
      <c r="G3" s="28"/>
      <c r="H3" s="28"/>
      <c r="I3" s="28"/>
      <c r="J3" s="28"/>
      <c r="K3" s="28"/>
      <c r="L3" s="28"/>
      <c r="M3" s="29"/>
      <c r="S3" s="27"/>
      <c r="T3" s="28"/>
      <c r="U3" s="28"/>
      <c r="V3" s="28"/>
      <c r="W3" s="28"/>
      <c r="X3" s="28"/>
      <c r="Y3" s="28"/>
      <c r="Z3" s="28"/>
      <c r="AA3" s="28"/>
      <c r="AB3" s="28"/>
      <c r="AC3" s="29"/>
      <c r="AG3" s="27"/>
      <c r="AH3" s="28"/>
      <c r="AI3" s="28"/>
      <c r="AJ3" s="28"/>
      <c r="AK3" s="28"/>
      <c r="AL3" s="28"/>
      <c r="AM3" s="28"/>
      <c r="AN3" s="28"/>
      <c r="AO3" s="28"/>
      <c r="AP3" s="28"/>
      <c r="AQ3" s="29"/>
    </row>
    <row r="4" spans="3:43" ht="19.5" thickBot="1" x14ac:dyDescent="0.35">
      <c r="C4" s="30"/>
      <c r="D4" s="18"/>
      <c r="E4" s="45" t="s">
        <v>47</v>
      </c>
      <c r="F4" s="46">
        <v>24</v>
      </c>
      <c r="G4" s="18"/>
      <c r="H4" s="18"/>
      <c r="I4" s="18"/>
      <c r="J4" s="18"/>
      <c r="K4" s="18"/>
      <c r="L4" s="18"/>
      <c r="M4" s="31"/>
      <c r="S4" s="30"/>
      <c r="T4" s="18"/>
      <c r="U4" s="45" t="s">
        <v>47</v>
      </c>
      <c r="V4" s="46">
        <v>18</v>
      </c>
      <c r="W4" s="18" t="s">
        <v>389</v>
      </c>
      <c r="X4" s="18"/>
      <c r="Y4" s="18"/>
      <c r="Z4" s="18" t="s">
        <v>390</v>
      </c>
      <c r="AA4" s="18"/>
      <c r="AB4" s="18"/>
      <c r="AC4" s="31"/>
      <c r="AG4" s="30"/>
      <c r="AH4" s="18"/>
      <c r="AI4" s="45" t="s">
        <v>47</v>
      </c>
      <c r="AJ4" s="46">
        <v>36</v>
      </c>
      <c r="AK4" s="18"/>
      <c r="AL4" s="18"/>
      <c r="AM4" s="18"/>
      <c r="AN4" s="395"/>
      <c r="AO4" s="18"/>
      <c r="AP4" s="18"/>
      <c r="AQ4" s="31"/>
    </row>
    <row r="5" spans="3:43" x14ac:dyDescent="0.25">
      <c r="C5" s="30"/>
      <c r="D5" s="18"/>
      <c r="E5" s="44" t="s">
        <v>46</v>
      </c>
      <c r="F5" s="223">
        <v>7</v>
      </c>
      <c r="G5" s="18"/>
      <c r="H5" s="18"/>
      <c r="I5" s="18"/>
      <c r="J5" s="277"/>
      <c r="K5" s="18"/>
      <c r="L5" s="18"/>
      <c r="M5" s="31"/>
      <c r="S5" s="30"/>
      <c r="T5" s="18"/>
      <c r="U5" s="44" t="s">
        <v>46</v>
      </c>
      <c r="V5" s="223">
        <v>7</v>
      </c>
      <c r="W5" s="18"/>
      <c r="X5" s="18"/>
      <c r="Y5" s="18"/>
      <c r="Z5" s="18" t="s">
        <v>391</v>
      </c>
      <c r="AA5" s="18"/>
      <c r="AB5" s="18"/>
      <c r="AC5" s="31"/>
      <c r="AG5" s="30"/>
      <c r="AH5" s="18"/>
      <c r="AI5" s="44" t="s">
        <v>46</v>
      </c>
      <c r="AJ5" s="223">
        <v>7</v>
      </c>
      <c r="AK5" s="18"/>
      <c r="AL5" s="18"/>
      <c r="AM5" s="18"/>
      <c r="AN5" s="18"/>
      <c r="AO5" s="18"/>
      <c r="AP5" s="125"/>
      <c r="AQ5" s="31"/>
    </row>
    <row r="6" spans="3:43" x14ac:dyDescent="0.25">
      <c r="C6" s="30"/>
      <c r="D6" s="18"/>
      <c r="E6" s="36" t="s">
        <v>51</v>
      </c>
      <c r="F6" s="38">
        <v>10</v>
      </c>
      <c r="G6" s="18"/>
      <c r="H6" s="18"/>
      <c r="I6" s="18"/>
      <c r="J6" s="18"/>
      <c r="K6" s="18"/>
      <c r="L6" s="18"/>
      <c r="M6" s="31"/>
      <c r="S6" s="30"/>
      <c r="T6" s="18"/>
      <c r="U6" s="36" t="s">
        <v>51</v>
      </c>
      <c r="V6" s="38">
        <v>10</v>
      </c>
      <c r="W6" s="18"/>
      <c r="X6" s="18"/>
      <c r="Y6" s="18"/>
      <c r="Z6" s="125"/>
      <c r="AA6" s="18"/>
      <c r="AB6" s="18"/>
      <c r="AC6" s="31"/>
      <c r="AG6" s="30"/>
      <c r="AH6" s="18"/>
      <c r="AI6" s="36" t="s">
        <v>51</v>
      </c>
      <c r="AJ6" s="38">
        <v>10</v>
      </c>
      <c r="AK6" s="18"/>
      <c r="AL6" s="18"/>
      <c r="AM6" s="18"/>
      <c r="AN6" s="18"/>
      <c r="AO6" s="18"/>
      <c r="AP6" s="18"/>
      <c r="AQ6" s="31"/>
    </row>
    <row r="7" spans="3:43" x14ac:dyDescent="0.25">
      <c r="C7" s="30"/>
      <c r="D7" s="18"/>
      <c r="E7" s="36" t="s">
        <v>64</v>
      </c>
      <c r="F7" s="38">
        <v>4</v>
      </c>
      <c r="G7" s="18" t="s">
        <v>73</v>
      </c>
      <c r="H7" s="18"/>
      <c r="I7" s="18"/>
      <c r="J7" s="18"/>
      <c r="K7" s="18"/>
      <c r="L7" s="18"/>
      <c r="M7" s="31"/>
      <c r="S7" s="30"/>
      <c r="T7" s="18"/>
      <c r="U7" s="36" t="s">
        <v>64</v>
      </c>
      <c r="V7" s="38">
        <v>4</v>
      </c>
      <c r="W7" s="18" t="s">
        <v>73</v>
      </c>
      <c r="X7" s="18"/>
      <c r="Y7" s="18"/>
      <c r="Z7" s="387"/>
      <c r="AA7" s="18"/>
      <c r="AB7" s="18"/>
      <c r="AC7" s="31"/>
      <c r="AG7" s="30"/>
      <c r="AH7" s="18"/>
      <c r="AI7" s="36" t="s">
        <v>64</v>
      </c>
      <c r="AJ7" s="38">
        <v>4</v>
      </c>
      <c r="AK7" s="18" t="s">
        <v>73</v>
      </c>
      <c r="AL7" s="18"/>
      <c r="AM7" s="18"/>
      <c r="AN7" s="18"/>
      <c r="AO7" s="18"/>
      <c r="AP7" s="18"/>
      <c r="AQ7" s="31"/>
    </row>
    <row r="8" spans="3:43" x14ac:dyDescent="0.25">
      <c r="C8" s="30"/>
      <c r="D8" s="18"/>
      <c r="E8" s="36" t="s">
        <v>71</v>
      </c>
      <c r="F8" s="38">
        <v>4</v>
      </c>
      <c r="G8" s="18" t="s">
        <v>57</v>
      </c>
      <c r="H8" s="18" t="s">
        <v>56</v>
      </c>
      <c r="I8" s="18"/>
      <c r="J8" s="18"/>
      <c r="K8" s="18"/>
      <c r="L8" s="18"/>
      <c r="M8" s="31"/>
      <c r="S8" s="30"/>
      <c r="T8" s="18"/>
      <c r="U8" s="36" t="s">
        <v>71</v>
      </c>
      <c r="V8" s="38">
        <v>4</v>
      </c>
      <c r="W8" s="18" t="s">
        <v>57</v>
      </c>
      <c r="X8" s="18" t="s">
        <v>56</v>
      </c>
      <c r="Y8" s="18"/>
      <c r="Z8" s="18"/>
      <c r="AA8" s="18"/>
      <c r="AB8" s="18"/>
      <c r="AC8" s="31"/>
      <c r="AG8" s="30"/>
      <c r="AH8" s="18"/>
      <c r="AI8" s="36" t="s">
        <v>71</v>
      </c>
      <c r="AJ8" s="38">
        <v>4</v>
      </c>
      <c r="AK8" s="18" t="s">
        <v>57</v>
      </c>
      <c r="AL8" s="18" t="s">
        <v>56</v>
      </c>
      <c r="AM8" s="18"/>
      <c r="AN8" s="18"/>
      <c r="AO8" s="18"/>
      <c r="AP8" s="18"/>
      <c r="AQ8" s="31"/>
    </row>
    <row r="9" spans="3:43" x14ac:dyDescent="0.25">
      <c r="C9" s="30"/>
      <c r="D9" s="18"/>
      <c r="E9" s="36" t="s">
        <v>52</v>
      </c>
      <c r="F9" s="37">
        <v>6</v>
      </c>
      <c r="G9" s="18"/>
      <c r="H9" s="18"/>
      <c r="I9" s="18"/>
      <c r="J9" s="18"/>
      <c r="K9" s="18"/>
      <c r="L9" s="18"/>
      <c r="M9" s="31"/>
      <c r="S9" s="30"/>
      <c r="T9" s="18"/>
      <c r="U9" s="36" t="s">
        <v>52</v>
      </c>
      <c r="V9" s="37">
        <v>6</v>
      </c>
      <c r="W9" s="18"/>
      <c r="X9" s="18"/>
      <c r="Y9" s="18"/>
      <c r="Z9" s="18"/>
      <c r="AA9" s="18"/>
      <c r="AB9" s="18"/>
      <c r="AC9" s="31"/>
      <c r="AG9" s="30"/>
      <c r="AH9" s="18"/>
      <c r="AI9" s="36" t="s">
        <v>52</v>
      </c>
      <c r="AJ9" s="37">
        <v>6</v>
      </c>
      <c r="AK9" s="18"/>
      <c r="AL9" s="18"/>
      <c r="AM9" s="18"/>
      <c r="AN9" s="18"/>
      <c r="AO9" s="18"/>
      <c r="AP9" s="18"/>
      <c r="AQ9" s="31"/>
    </row>
    <row r="10" spans="3:43" x14ac:dyDescent="0.25">
      <c r="C10" s="30"/>
      <c r="D10" s="18"/>
      <c r="E10" s="36" t="s">
        <v>45</v>
      </c>
      <c r="F10" s="37">
        <f>F6*F9</f>
        <v>60</v>
      </c>
      <c r="G10" s="18"/>
      <c r="H10" s="18"/>
      <c r="I10" s="18"/>
      <c r="J10" s="277" t="s">
        <v>365</v>
      </c>
      <c r="K10" s="18"/>
      <c r="L10" s="18"/>
      <c r="M10" s="31"/>
      <c r="S10" s="30"/>
      <c r="T10" s="18"/>
      <c r="U10" s="36" t="s">
        <v>45</v>
      </c>
      <c r="V10" s="37">
        <f>V6*V9</f>
        <v>60</v>
      </c>
      <c r="W10" s="18"/>
      <c r="X10" s="18"/>
      <c r="Y10" s="18"/>
      <c r="Z10" s="18"/>
      <c r="AA10" s="18"/>
      <c r="AB10" s="18"/>
      <c r="AC10" s="31"/>
      <c r="AG10" s="30"/>
      <c r="AH10" s="18"/>
      <c r="AI10" s="36" t="s">
        <v>45</v>
      </c>
      <c r="AJ10" s="37">
        <f>AJ6*AJ9</f>
        <v>60</v>
      </c>
      <c r="AK10" s="18"/>
      <c r="AL10" s="18"/>
      <c r="AM10" s="18"/>
      <c r="AN10" s="18"/>
      <c r="AO10" s="18"/>
      <c r="AP10" s="18"/>
      <c r="AQ10" s="31"/>
    </row>
    <row r="11" spans="3:43" ht="15.75" thickBot="1" x14ac:dyDescent="0.3">
      <c r="C11" s="30"/>
      <c r="D11" s="18"/>
      <c r="E11" s="39" t="s">
        <v>48</v>
      </c>
      <c r="F11" s="40">
        <f>F4*F10</f>
        <v>1440</v>
      </c>
      <c r="G11" s="18"/>
      <c r="H11" s="18"/>
      <c r="I11" s="18"/>
      <c r="J11" s="18"/>
      <c r="K11" s="18"/>
      <c r="L11" s="18"/>
      <c r="M11" s="31"/>
      <c r="S11" s="30"/>
      <c r="T11" s="18"/>
      <c r="U11" s="39" t="s">
        <v>48</v>
      </c>
      <c r="V11" s="40">
        <f>V4*V10</f>
        <v>1080</v>
      </c>
      <c r="W11" s="18"/>
      <c r="X11" s="18"/>
      <c r="Y11" s="18"/>
      <c r="Z11" s="388"/>
      <c r="AA11" s="18"/>
      <c r="AB11" s="18"/>
      <c r="AC11" s="31"/>
      <c r="AG11" s="30"/>
      <c r="AH11" s="18"/>
      <c r="AI11" s="39" t="s">
        <v>48</v>
      </c>
      <c r="AJ11" s="40">
        <f>AJ4*AJ10</f>
        <v>2160</v>
      </c>
      <c r="AK11" s="18"/>
      <c r="AL11" s="395"/>
      <c r="AM11" s="18"/>
      <c r="AN11" s="18"/>
      <c r="AO11" s="18"/>
      <c r="AP11" s="18"/>
      <c r="AQ11" s="31"/>
    </row>
    <row r="12" spans="3:43" x14ac:dyDescent="0.25">
      <c r="C12" s="30"/>
      <c r="D12" s="18"/>
      <c r="E12" s="18"/>
      <c r="F12" s="18"/>
      <c r="G12" s="18"/>
      <c r="H12" s="18"/>
      <c r="I12" s="18"/>
      <c r="J12" s="18"/>
      <c r="K12" s="18"/>
      <c r="L12" s="18"/>
      <c r="M12" s="31"/>
      <c r="S12" s="30"/>
      <c r="T12" s="18"/>
      <c r="U12" s="18"/>
      <c r="V12" s="18"/>
      <c r="W12" s="18"/>
      <c r="X12" s="18"/>
      <c r="Y12" s="18"/>
      <c r="Z12" s="18"/>
      <c r="AA12" s="18"/>
      <c r="AB12" s="18"/>
      <c r="AC12" s="31"/>
      <c r="AG12" s="30"/>
      <c r="AH12" s="18"/>
      <c r="AI12" s="18"/>
      <c r="AJ12" s="18"/>
      <c r="AK12" s="18"/>
      <c r="AL12" s="18"/>
      <c r="AM12" s="18"/>
      <c r="AN12" s="18"/>
      <c r="AO12" s="18"/>
      <c r="AP12" s="18"/>
      <c r="AQ12" s="31"/>
    </row>
    <row r="13" spans="3:43" x14ac:dyDescent="0.25">
      <c r="C13" s="30"/>
      <c r="D13" s="18"/>
      <c r="E13" s="18"/>
      <c r="F13" s="18"/>
      <c r="G13" s="18"/>
      <c r="H13" s="18"/>
      <c r="I13" s="18"/>
      <c r="J13" s="18"/>
      <c r="K13" s="18"/>
      <c r="L13" s="18"/>
      <c r="M13" s="31"/>
      <c r="S13" s="30"/>
      <c r="T13" s="18"/>
      <c r="U13" s="18"/>
      <c r="V13" s="18"/>
      <c r="W13" s="18"/>
      <c r="X13" s="18"/>
      <c r="Y13" s="18"/>
      <c r="Z13" s="18"/>
      <c r="AA13" s="18"/>
      <c r="AB13" s="18"/>
      <c r="AC13" s="31"/>
      <c r="AG13" s="30"/>
      <c r="AH13" s="18"/>
      <c r="AI13" s="18"/>
      <c r="AJ13" s="18"/>
      <c r="AK13" s="18"/>
      <c r="AL13" s="18"/>
      <c r="AM13" s="18"/>
      <c r="AN13" s="18"/>
      <c r="AO13" s="18"/>
      <c r="AP13" s="18"/>
      <c r="AQ13" s="31"/>
    </row>
    <row r="14" spans="3:43" x14ac:dyDescent="0.25">
      <c r="C14" s="30"/>
      <c r="D14" s="18"/>
      <c r="E14" s="18"/>
      <c r="F14" s="18"/>
      <c r="G14" s="18"/>
      <c r="H14" s="18"/>
      <c r="I14" s="18"/>
      <c r="J14" s="18"/>
      <c r="K14" s="18"/>
      <c r="L14" s="18"/>
      <c r="M14" s="31"/>
      <c r="S14" s="30"/>
      <c r="T14" s="18"/>
      <c r="U14" s="18"/>
      <c r="V14" s="18"/>
      <c r="W14" s="18"/>
      <c r="X14" s="18"/>
      <c r="Y14" s="18"/>
      <c r="Z14" s="18"/>
      <c r="AA14" s="18"/>
      <c r="AB14" s="18"/>
      <c r="AC14" s="31"/>
      <c r="AG14" s="30"/>
      <c r="AH14" s="18"/>
      <c r="AI14" s="18"/>
      <c r="AJ14" s="18"/>
      <c r="AK14" s="18"/>
      <c r="AL14" s="18"/>
      <c r="AM14" s="18"/>
      <c r="AN14" s="18"/>
      <c r="AO14" s="18"/>
      <c r="AP14" s="18"/>
      <c r="AQ14" s="31"/>
    </row>
    <row r="15" spans="3:43" x14ac:dyDescent="0.25">
      <c r="C15" s="30"/>
      <c r="D15" s="302" t="s">
        <v>8</v>
      </c>
      <c r="E15" s="302" t="s">
        <v>0</v>
      </c>
      <c r="F15" s="302" t="s">
        <v>1</v>
      </c>
      <c r="G15" s="302" t="s">
        <v>2</v>
      </c>
      <c r="H15" s="302" t="s">
        <v>4</v>
      </c>
      <c r="I15" s="302" t="s">
        <v>3</v>
      </c>
      <c r="J15" s="302" t="s">
        <v>5</v>
      </c>
      <c r="K15" s="302" t="s">
        <v>6</v>
      </c>
      <c r="L15" s="302" t="s">
        <v>7</v>
      </c>
      <c r="M15" s="31"/>
      <c r="S15" s="30"/>
      <c r="T15" s="302" t="s">
        <v>8</v>
      </c>
      <c r="U15" s="302" t="s">
        <v>0</v>
      </c>
      <c r="V15" s="302" t="s">
        <v>1</v>
      </c>
      <c r="W15" s="302" t="s">
        <v>2</v>
      </c>
      <c r="X15" s="302" t="s">
        <v>4</v>
      </c>
      <c r="Y15" s="302" t="s">
        <v>3</v>
      </c>
      <c r="Z15" s="302" t="s">
        <v>5</v>
      </c>
      <c r="AA15" s="302" t="s">
        <v>6</v>
      </c>
      <c r="AB15" s="302" t="s">
        <v>7</v>
      </c>
      <c r="AC15" s="31"/>
      <c r="AG15" s="30"/>
      <c r="AH15" s="302" t="s">
        <v>8</v>
      </c>
      <c r="AI15" s="302" t="s">
        <v>0</v>
      </c>
      <c r="AJ15" s="302" t="s">
        <v>1</v>
      </c>
      <c r="AK15" s="302" t="s">
        <v>2</v>
      </c>
      <c r="AL15" s="302" t="s">
        <v>4</v>
      </c>
      <c r="AM15" s="302" t="s">
        <v>3</v>
      </c>
      <c r="AN15" s="302" t="s">
        <v>5</v>
      </c>
      <c r="AO15" s="302" t="s">
        <v>6</v>
      </c>
      <c r="AP15" s="302" t="s">
        <v>7</v>
      </c>
      <c r="AQ15" s="31"/>
    </row>
    <row r="16" spans="3:43" x14ac:dyDescent="0.25">
      <c r="C16" s="30"/>
      <c r="D16" s="1">
        <v>1</v>
      </c>
      <c r="E16" s="1" t="s">
        <v>21</v>
      </c>
      <c r="F16" s="1" t="s">
        <v>27</v>
      </c>
      <c r="G16" s="238" t="s">
        <v>366</v>
      </c>
      <c r="H16" s="1">
        <f>F4*1000/2*1.01</f>
        <v>12120</v>
      </c>
      <c r="I16" s="1">
        <f>(F6+1)*2*2</f>
        <v>44</v>
      </c>
      <c r="J16" s="238">
        <f t="shared" ref="J16:J24" si="0">H16/1000*I16</f>
        <v>533.28</v>
      </c>
      <c r="K16" s="238">
        <v>9</v>
      </c>
      <c r="L16" s="347">
        <f t="shared" ref="L16:L24" si="1">J16*K16</f>
        <v>4799.5199999999995</v>
      </c>
      <c r="M16" s="31"/>
      <c r="S16" s="30"/>
      <c r="T16" s="1">
        <v>1</v>
      </c>
      <c r="U16" s="1" t="s">
        <v>21</v>
      </c>
      <c r="V16" s="1" t="s">
        <v>27</v>
      </c>
      <c r="W16" s="370" t="s">
        <v>380</v>
      </c>
      <c r="X16" s="1">
        <f>V4*1000/2*1.01</f>
        <v>9090</v>
      </c>
      <c r="Y16" s="1">
        <f>(2+2*V6)*2</f>
        <v>44</v>
      </c>
      <c r="Z16" s="370">
        <f t="shared" ref="Z16" si="2">X16/1000*Y16</f>
        <v>399.96</v>
      </c>
      <c r="AA16" s="370">
        <v>7.2</v>
      </c>
      <c r="AB16" s="371">
        <f t="shared" ref="AB16" si="3">Z16*AA16</f>
        <v>2879.712</v>
      </c>
      <c r="AC16" s="31"/>
      <c r="AG16" s="30"/>
      <c r="AH16" s="1">
        <v>1</v>
      </c>
      <c r="AI16" s="1" t="s">
        <v>21</v>
      </c>
      <c r="AJ16" s="1" t="s">
        <v>27</v>
      </c>
      <c r="AK16" s="4" t="s">
        <v>397</v>
      </c>
      <c r="AL16" s="1">
        <f>AJ4*1000/2*1.02</f>
        <v>18360</v>
      </c>
      <c r="AM16" s="1">
        <f>(AJ6+1)*2*2</f>
        <v>44</v>
      </c>
      <c r="AN16" s="4">
        <f t="shared" ref="AN16:AN17" si="4">AL16/1000*AM16</f>
        <v>807.83999999999992</v>
      </c>
      <c r="AO16" s="396">
        <v>7.1</v>
      </c>
      <c r="AP16" s="397">
        <f t="shared" ref="AP16:AP17" si="5">AN16*AO16</f>
        <v>5735.6639999999989</v>
      </c>
      <c r="AQ16" s="31"/>
    </row>
    <row r="17" spans="3:43" x14ac:dyDescent="0.25">
      <c r="C17" s="30"/>
      <c r="D17" s="1">
        <f>D16+1</f>
        <v>2</v>
      </c>
      <c r="E17" s="1" t="s">
        <v>22</v>
      </c>
      <c r="F17" s="1" t="s">
        <v>26</v>
      </c>
      <c r="G17" s="238" t="s">
        <v>366</v>
      </c>
      <c r="H17" s="1">
        <f>F4/2*1000</f>
        <v>12000</v>
      </c>
      <c r="I17" s="1">
        <f>(F6-1)*2*2</f>
        <v>36</v>
      </c>
      <c r="J17" s="238">
        <f t="shared" si="0"/>
        <v>432</v>
      </c>
      <c r="K17" s="238">
        <v>9</v>
      </c>
      <c r="L17" s="347">
        <f t="shared" si="1"/>
        <v>3888</v>
      </c>
      <c r="M17" s="31"/>
      <c r="S17" s="30"/>
      <c r="T17" s="1">
        <v>1</v>
      </c>
      <c r="U17" s="1"/>
      <c r="V17" s="1"/>
      <c r="W17" s="66"/>
      <c r="X17" s="1"/>
      <c r="Y17" s="1"/>
      <c r="Z17" s="66"/>
      <c r="AA17" s="66"/>
      <c r="AB17" s="350"/>
      <c r="AC17" s="31"/>
      <c r="AG17" s="30"/>
      <c r="AH17" s="1">
        <f>AH16+1</f>
        <v>2</v>
      </c>
      <c r="AI17" s="1" t="s">
        <v>22</v>
      </c>
      <c r="AJ17" s="1" t="s">
        <v>26</v>
      </c>
      <c r="AK17" s="4" t="s">
        <v>397</v>
      </c>
      <c r="AL17" s="1">
        <f>AJ4/2*1000</f>
        <v>18000</v>
      </c>
      <c r="AM17" s="1">
        <f>(AJ6-1)*2*2</f>
        <v>36</v>
      </c>
      <c r="AN17" s="4">
        <f t="shared" si="4"/>
        <v>648</v>
      </c>
      <c r="AO17" s="396">
        <v>7.1</v>
      </c>
      <c r="AP17" s="397">
        <f t="shared" si="5"/>
        <v>4600.8</v>
      </c>
      <c r="AQ17" s="31"/>
    </row>
    <row r="18" spans="3:43" x14ac:dyDescent="0.25">
      <c r="C18" s="30"/>
      <c r="D18" s="1">
        <f t="shared" ref="D18" si="6">D17+1</f>
        <v>3</v>
      </c>
      <c r="E18" s="1" t="s">
        <v>221</v>
      </c>
      <c r="F18" s="1" t="s">
        <v>283</v>
      </c>
      <c r="G18" s="50" t="s">
        <v>367</v>
      </c>
      <c r="H18" s="49">
        <v>3100</v>
      </c>
      <c r="I18" s="49">
        <f>(F6-1)*2</f>
        <v>18</v>
      </c>
      <c r="J18" s="51">
        <f t="shared" si="0"/>
        <v>55.800000000000004</v>
      </c>
      <c r="K18" s="51">
        <v>4.0999999999999996</v>
      </c>
      <c r="L18" s="352">
        <f t="shared" si="1"/>
        <v>228.78</v>
      </c>
      <c r="M18" s="31"/>
      <c r="S18" s="30"/>
      <c r="T18" s="1">
        <f>T16+1</f>
        <v>2</v>
      </c>
      <c r="U18" s="1" t="s">
        <v>275</v>
      </c>
      <c r="V18" s="1"/>
      <c r="W18" s="370" t="s">
        <v>380</v>
      </c>
      <c r="X18" s="1">
        <f>V4/2*1000</f>
        <v>9000</v>
      </c>
      <c r="Y18" s="1">
        <f>(V6-1)*2*2</f>
        <v>36</v>
      </c>
      <c r="Z18" s="370">
        <f t="shared" ref="Z18:Z25" si="7">X18/1000*Y18</f>
        <v>324</v>
      </c>
      <c r="AA18" s="370">
        <v>7.2</v>
      </c>
      <c r="AB18" s="371">
        <f t="shared" ref="AB18:AB25" si="8">Z18*AA18</f>
        <v>2332.8000000000002</v>
      </c>
      <c r="AC18" s="31"/>
      <c r="AG18" s="30"/>
      <c r="AH18" s="1"/>
      <c r="AI18" s="1"/>
      <c r="AJ18" s="1"/>
      <c r="AK18" s="4"/>
      <c r="AL18" s="1"/>
      <c r="AM18" s="1"/>
      <c r="AN18" s="4"/>
      <c r="AO18" s="396"/>
      <c r="AP18" s="397"/>
      <c r="AQ18" s="31"/>
    </row>
    <row r="19" spans="3:43" x14ac:dyDescent="0.25">
      <c r="C19" s="30"/>
      <c r="D19" s="1">
        <f>D24+1</f>
        <v>7</v>
      </c>
      <c r="E19" s="1" t="s">
        <v>368</v>
      </c>
      <c r="F19" s="1" t="s">
        <v>369</v>
      </c>
      <c r="G19" s="50" t="s">
        <v>367</v>
      </c>
      <c r="H19" s="49">
        <v>3300</v>
      </c>
      <c r="I19" s="49">
        <f>(F6-1)*2*2</f>
        <v>36</v>
      </c>
      <c r="J19" s="51">
        <f t="shared" si="0"/>
        <v>118.8</v>
      </c>
      <c r="K19" s="51">
        <v>4.0999999999999996</v>
      </c>
      <c r="L19" s="352">
        <f t="shared" si="1"/>
        <v>487.07999999999993</v>
      </c>
      <c r="M19" s="31"/>
      <c r="S19" s="30"/>
      <c r="T19" s="1">
        <f t="shared" ref="T19:T20" si="9">T18+1</f>
        <v>3</v>
      </c>
      <c r="U19" s="1" t="s">
        <v>66</v>
      </c>
      <c r="V19" s="1" t="s">
        <v>67</v>
      </c>
      <c r="W19" s="389" t="s">
        <v>392</v>
      </c>
      <c r="X19" s="1">
        <v>2300</v>
      </c>
      <c r="Y19" s="1">
        <f>(V6-1)*2</f>
        <v>18</v>
      </c>
      <c r="Z19" s="389">
        <f t="shared" si="7"/>
        <v>41.4</v>
      </c>
      <c r="AA19" s="389">
        <v>4.1100000000000003</v>
      </c>
      <c r="AB19" s="390">
        <f t="shared" si="8"/>
        <v>170.154</v>
      </c>
      <c r="AC19" s="31"/>
      <c r="AG19" s="30"/>
      <c r="AH19" s="1"/>
      <c r="AI19" s="22"/>
      <c r="AJ19" s="1"/>
      <c r="AK19" s="1"/>
      <c r="AL19" s="1"/>
      <c r="AM19" s="1"/>
      <c r="AN19" s="1"/>
      <c r="AO19" s="1"/>
      <c r="AP19" s="1"/>
      <c r="AQ19" s="31"/>
    </row>
    <row r="20" spans="3:43" x14ac:dyDescent="0.25">
      <c r="C20" s="30"/>
      <c r="D20" s="1">
        <f>D18+1</f>
        <v>4</v>
      </c>
      <c r="E20" s="1" t="s">
        <v>370</v>
      </c>
      <c r="F20" s="1" t="s">
        <v>371</v>
      </c>
      <c r="G20" s="50" t="s">
        <v>367</v>
      </c>
      <c r="H20" s="49">
        <v>3200</v>
      </c>
      <c r="I20" s="49">
        <f>(F6-1)*2*2</f>
        <v>36</v>
      </c>
      <c r="J20" s="51">
        <f t="shared" si="0"/>
        <v>115.2</v>
      </c>
      <c r="K20" s="51">
        <v>4.0999999999999996</v>
      </c>
      <c r="L20" s="352">
        <f t="shared" si="1"/>
        <v>472.32</v>
      </c>
      <c r="M20" s="31"/>
      <c r="S20" s="30"/>
      <c r="T20" s="1">
        <f t="shared" si="9"/>
        <v>4</v>
      </c>
      <c r="U20" s="1" t="s">
        <v>65</v>
      </c>
      <c r="V20" s="1" t="s">
        <v>68</v>
      </c>
      <c r="W20" s="389" t="s">
        <v>392</v>
      </c>
      <c r="X20" s="1">
        <v>2700</v>
      </c>
      <c r="Y20" s="1">
        <f>(V6-1)*2*2</f>
        <v>36</v>
      </c>
      <c r="Z20" s="389">
        <f t="shared" si="7"/>
        <v>97.2</v>
      </c>
      <c r="AA20" s="389">
        <v>4.1100000000000003</v>
      </c>
      <c r="AB20" s="390">
        <f t="shared" si="8"/>
        <v>399.49200000000002</v>
      </c>
      <c r="AC20" s="31"/>
      <c r="AG20" s="30"/>
      <c r="AH20" s="1">
        <f>AH17+1</f>
        <v>3</v>
      </c>
      <c r="AI20" s="1" t="s">
        <v>141</v>
      </c>
      <c r="AJ20" s="1" t="s">
        <v>283</v>
      </c>
      <c r="AK20" s="398" t="s">
        <v>398</v>
      </c>
      <c r="AL20" s="49">
        <v>4380</v>
      </c>
      <c r="AM20" s="49">
        <f>(AJ6-1)*2*2</f>
        <v>36</v>
      </c>
      <c r="AN20" s="114">
        <f t="shared" ref="AN20:AN31" si="10">AL20/1000*AM20</f>
        <v>157.68</v>
      </c>
      <c r="AO20" s="114">
        <v>6</v>
      </c>
      <c r="AP20" s="399">
        <f t="shared" ref="AP20:AP31" si="11">AN20*AO20</f>
        <v>946.08</v>
      </c>
      <c r="AQ20" s="31"/>
    </row>
    <row r="21" spans="3:43" x14ac:dyDescent="0.25">
      <c r="C21" s="30"/>
      <c r="D21" s="1">
        <f>D19+1</f>
        <v>8</v>
      </c>
      <c r="E21" s="1" t="s">
        <v>372</v>
      </c>
      <c r="F21" s="1" t="s">
        <v>373</v>
      </c>
      <c r="G21" s="50" t="s">
        <v>367</v>
      </c>
      <c r="H21" s="1">
        <v>2800</v>
      </c>
      <c r="I21" s="1">
        <f>(F6-1)*2*4</f>
        <v>72</v>
      </c>
      <c r="J21" s="51">
        <f t="shared" si="0"/>
        <v>201.6</v>
      </c>
      <c r="K21" s="51">
        <v>4.0999999999999996</v>
      </c>
      <c r="L21" s="352">
        <f t="shared" si="1"/>
        <v>826.56</v>
      </c>
      <c r="M21" s="31"/>
      <c r="S21" s="30"/>
      <c r="T21" s="1">
        <f>T20+1</f>
        <v>5</v>
      </c>
      <c r="U21" s="1" t="s">
        <v>65</v>
      </c>
      <c r="V21" s="1" t="s">
        <v>68</v>
      </c>
      <c r="W21" s="389" t="s">
        <v>392</v>
      </c>
      <c r="X21" s="1">
        <v>2600</v>
      </c>
      <c r="Y21" s="1">
        <f>(V6-1)*2*2</f>
        <v>36</v>
      </c>
      <c r="Z21" s="389">
        <f t="shared" si="7"/>
        <v>93.600000000000009</v>
      </c>
      <c r="AA21" s="389">
        <v>4.1100000000000003</v>
      </c>
      <c r="AB21" s="390">
        <f t="shared" si="8"/>
        <v>384.69600000000008</v>
      </c>
      <c r="AC21" s="31"/>
      <c r="AG21" s="30"/>
      <c r="AH21" s="1"/>
      <c r="AI21" s="1" t="s">
        <v>141</v>
      </c>
      <c r="AJ21" s="1" t="s">
        <v>283</v>
      </c>
      <c r="AK21" s="400" t="s">
        <v>399</v>
      </c>
      <c r="AL21" s="49">
        <v>2700</v>
      </c>
      <c r="AM21" s="49">
        <f>(AJ6-1)*2*2</f>
        <v>36</v>
      </c>
      <c r="AN21" s="198">
        <f t="shared" si="10"/>
        <v>97.2</v>
      </c>
      <c r="AO21" s="198">
        <v>4.1100000000000003</v>
      </c>
      <c r="AP21" s="401">
        <f t="shared" si="11"/>
        <v>399.49200000000002</v>
      </c>
      <c r="AQ21" s="31"/>
    </row>
    <row r="22" spans="3:43" x14ac:dyDescent="0.25">
      <c r="C22" s="30"/>
      <c r="D22" s="1">
        <f t="shared" ref="D22:D24" si="12">D20+1</f>
        <v>5</v>
      </c>
      <c r="E22" s="1" t="s">
        <v>374</v>
      </c>
      <c r="F22" s="1" t="s">
        <v>375</v>
      </c>
      <c r="G22" s="50" t="s">
        <v>367</v>
      </c>
      <c r="H22" s="49">
        <v>2450</v>
      </c>
      <c r="I22" s="49">
        <f>(F6-1)*2*4</f>
        <v>72</v>
      </c>
      <c r="J22" s="51">
        <f t="shared" si="0"/>
        <v>176.4</v>
      </c>
      <c r="K22" s="51">
        <v>4.0999999999999996</v>
      </c>
      <c r="L22" s="352">
        <f t="shared" si="1"/>
        <v>723.24</v>
      </c>
      <c r="M22" s="31"/>
      <c r="S22" s="30"/>
      <c r="T22" s="1">
        <f>T21+1</f>
        <v>6</v>
      </c>
      <c r="U22" s="1" t="s">
        <v>65</v>
      </c>
      <c r="V22" s="1" t="s">
        <v>68</v>
      </c>
      <c r="W22" s="389" t="s">
        <v>392</v>
      </c>
      <c r="X22" s="1">
        <v>2300</v>
      </c>
      <c r="Y22" s="1">
        <f>(V6-1)*2*2</f>
        <v>36</v>
      </c>
      <c r="Z22" s="389">
        <f t="shared" si="7"/>
        <v>82.8</v>
      </c>
      <c r="AA22" s="389">
        <v>4.1100000000000003</v>
      </c>
      <c r="AB22" s="390">
        <f t="shared" si="8"/>
        <v>340.30799999999999</v>
      </c>
      <c r="AC22" s="31"/>
      <c r="AG22" s="30"/>
      <c r="AH22" s="1"/>
      <c r="AI22" s="1" t="s">
        <v>368</v>
      </c>
      <c r="AJ22" s="1" t="s">
        <v>283</v>
      </c>
      <c r="AK22" s="398" t="s">
        <v>398</v>
      </c>
      <c r="AL22" s="49">
        <v>3750</v>
      </c>
      <c r="AM22" s="49">
        <f>(AJ6-1)*2*2</f>
        <v>36</v>
      </c>
      <c r="AN22" s="114">
        <f t="shared" si="10"/>
        <v>135</v>
      </c>
      <c r="AO22" s="114">
        <v>6</v>
      </c>
      <c r="AP22" s="399">
        <f t="shared" si="11"/>
        <v>810</v>
      </c>
      <c r="AQ22" s="31"/>
    </row>
    <row r="23" spans="3:43" x14ac:dyDescent="0.25">
      <c r="C23" s="30"/>
      <c r="D23" s="1">
        <f t="shared" si="12"/>
        <v>9</v>
      </c>
      <c r="E23" s="1" t="s">
        <v>376</v>
      </c>
      <c r="F23" s="1" t="s">
        <v>377</v>
      </c>
      <c r="G23" s="50" t="s">
        <v>367</v>
      </c>
      <c r="H23" s="1">
        <v>2100</v>
      </c>
      <c r="I23" s="1">
        <f>(F6-1)*2*2</f>
        <v>36</v>
      </c>
      <c r="J23" s="51">
        <f t="shared" si="0"/>
        <v>75.600000000000009</v>
      </c>
      <c r="K23" s="51">
        <v>4.0999999999999996</v>
      </c>
      <c r="L23" s="352">
        <f t="shared" si="1"/>
        <v>309.96000000000004</v>
      </c>
      <c r="M23" s="31"/>
      <c r="S23" s="30"/>
      <c r="T23" s="1">
        <f>T22+1</f>
        <v>7</v>
      </c>
      <c r="U23" s="1" t="s">
        <v>65</v>
      </c>
      <c r="V23" s="1" t="s">
        <v>68</v>
      </c>
      <c r="W23" s="11" t="s">
        <v>393</v>
      </c>
      <c r="X23" s="1">
        <v>2300</v>
      </c>
      <c r="Y23" s="1">
        <f>(V6-1)*2*2</f>
        <v>36</v>
      </c>
      <c r="Z23" s="11">
        <f t="shared" si="7"/>
        <v>82.8</v>
      </c>
      <c r="AA23" s="11">
        <v>6</v>
      </c>
      <c r="AB23" s="348">
        <f t="shared" si="8"/>
        <v>496.79999999999995</v>
      </c>
      <c r="AC23" s="31"/>
      <c r="AG23" s="30"/>
      <c r="AH23" s="1"/>
      <c r="AI23" s="1" t="s">
        <v>221</v>
      </c>
      <c r="AJ23" s="1" t="s">
        <v>369</v>
      </c>
      <c r="AK23" s="400" t="s">
        <v>399</v>
      </c>
      <c r="AL23" s="49">
        <v>3750</v>
      </c>
      <c r="AM23" s="49">
        <f>(AJ6-1)*2*2</f>
        <v>36</v>
      </c>
      <c r="AN23" s="198">
        <f t="shared" si="10"/>
        <v>135</v>
      </c>
      <c r="AO23" s="198">
        <v>4.1100000000000003</v>
      </c>
      <c r="AP23" s="401">
        <f t="shared" si="11"/>
        <v>554.85</v>
      </c>
      <c r="AQ23" s="31"/>
    </row>
    <row r="24" spans="3:43" x14ac:dyDescent="0.25">
      <c r="C24" s="30"/>
      <c r="D24" s="1">
        <f t="shared" si="12"/>
        <v>6</v>
      </c>
      <c r="E24" s="1" t="s">
        <v>378</v>
      </c>
      <c r="F24" s="1" t="s">
        <v>379</v>
      </c>
      <c r="G24" s="238" t="s">
        <v>366</v>
      </c>
      <c r="H24" s="49">
        <v>2100</v>
      </c>
      <c r="I24" s="49">
        <f>(F6-1)*2*2</f>
        <v>36</v>
      </c>
      <c r="J24" s="238">
        <f t="shared" si="0"/>
        <v>75.600000000000009</v>
      </c>
      <c r="K24" s="238">
        <v>9</v>
      </c>
      <c r="L24" s="347">
        <f t="shared" si="1"/>
        <v>680.40000000000009</v>
      </c>
      <c r="M24" s="31"/>
      <c r="S24" s="30"/>
      <c r="T24" s="1">
        <f>T23+1</f>
        <v>8</v>
      </c>
      <c r="U24" s="1" t="s">
        <v>65</v>
      </c>
      <c r="V24" s="1" t="s">
        <v>68</v>
      </c>
      <c r="W24" s="389" t="s">
        <v>392</v>
      </c>
      <c r="X24" s="1">
        <v>2050</v>
      </c>
      <c r="Y24" s="1">
        <f>(V6-1)*2*2</f>
        <v>36</v>
      </c>
      <c r="Z24" s="389">
        <f t="shared" si="7"/>
        <v>73.8</v>
      </c>
      <c r="AA24" s="389">
        <v>4.1100000000000003</v>
      </c>
      <c r="AB24" s="390">
        <f t="shared" si="8"/>
        <v>303.31799999999998</v>
      </c>
      <c r="AC24" s="31"/>
      <c r="AG24" s="30"/>
      <c r="AH24" s="1"/>
      <c r="AI24" s="1" t="s">
        <v>372</v>
      </c>
      <c r="AJ24" s="1" t="s">
        <v>373</v>
      </c>
      <c r="AK24" s="400" t="s">
        <v>399</v>
      </c>
      <c r="AL24" s="1">
        <v>2000</v>
      </c>
      <c r="AM24" s="1">
        <f>(AJ6-1)*2*2</f>
        <v>36</v>
      </c>
      <c r="AN24" s="198">
        <f t="shared" si="10"/>
        <v>72</v>
      </c>
      <c r="AO24" s="198">
        <v>4.1100000000000003</v>
      </c>
      <c r="AP24" s="401">
        <f t="shared" si="11"/>
        <v>295.92</v>
      </c>
      <c r="AQ24" s="31"/>
    </row>
    <row r="25" spans="3:43" x14ac:dyDescent="0.25">
      <c r="C25" s="30"/>
      <c r="D25" s="1"/>
      <c r="E25" s="1"/>
      <c r="F25" s="1"/>
      <c r="G25" s="11"/>
      <c r="H25" s="1"/>
      <c r="I25" s="1"/>
      <c r="J25" s="11"/>
      <c r="K25" s="11"/>
      <c r="L25" s="348"/>
      <c r="M25" s="31"/>
      <c r="S25" s="30"/>
      <c r="T25" s="1">
        <f>T24+1</f>
        <v>9</v>
      </c>
      <c r="U25" s="1" t="s">
        <v>65</v>
      </c>
      <c r="V25" s="1" t="s">
        <v>68</v>
      </c>
      <c r="W25" s="11" t="s">
        <v>393</v>
      </c>
      <c r="X25" s="1">
        <v>2050</v>
      </c>
      <c r="Y25" s="1">
        <f>(V6-1)*2*2</f>
        <v>36</v>
      </c>
      <c r="Z25" s="11">
        <f t="shared" si="7"/>
        <v>73.8</v>
      </c>
      <c r="AA25" s="11">
        <v>6</v>
      </c>
      <c r="AB25" s="348">
        <f t="shared" si="8"/>
        <v>442.79999999999995</v>
      </c>
      <c r="AC25" s="31"/>
      <c r="AG25" s="30"/>
      <c r="AH25" s="1"/>
      <c r="AI25" s="1" t="s">
        <v>374</v>
      </c>
      <c r="AJ25" s="1" t="s">
        <v>375</v>
      </c>
      <c r="AK25" s="400" t="s">
        <v>399</v>
      </c>
      <c r="AL25" s="49">
        <v>2300</v>
      </c>
      <c r="AM25" s="49">
        <f>(AJ6-1)*2*2</f>
        <v>36</v>
      </c>
      <c r="AN25" s="198">
        <f t="shared" si="10"/>
        <v>82.8</v>
      </c>
      <c r="AO25" s="198">
        <v>4.1100000000000003</v>
      </c>
      <c r="AP25" s="401">
        <f t="shared" si="11"/>
        <v>340.30799999999999</v>
      </c>
      <c r="AQ25" s="31"/>
    </row>
    <row r="26" spans="3:43" x14ac:dyDescent="0.25">
      <c r="C26" s="30"/>
      <c r="D26" s="1">
        <f>D24+1</f>
        <v>7</v>
      </c>
      <c r="E26" s="1" t="s">
        <v>287</v>
      </c>
      <c r="F26" s="1" t="s">
        <v>55</v>
      </c>
      <c r="G26" s="370" t="s">
        <v>380</v>
      </c>
      <c r="H26" s="49">
        <f>F9*1000</f>
        <v>6000</v>
      </c>
      <c r="I26" s="49">
        <f>F6</f>
        <v>10</v>
      </c>
      <c r="J26" s="370">
        <f t="shared" ref="J26:J29" si="13">H26/1000*I26</f>
        <v>60</v>
      </c>
      <c r="K26" s="370">
        <v>7.2</v>
      </c>
      <c r="L26" s="371">
        <f t="shared" ref="L26:L29" si="14">J26*K26</f>
        <v>432</v>
      </c>
      <c r="M26" s="31"/>
      <c r="S26" s="30"/>
      <c r="T26" s="1"/>
      <c r="U26" s="1"/>
      <c r="V26" s="1"/>
      <c r="W26" s="1"/>
      <c r="X26" s="1"/>
      <c r="Y26" s="1"/>
      <c r="Z26" s="1"/>
      <c r="AA26" s="1"/>
      <c r="AB26" s="1"/>
      <c r="AC26" s="31"/>
      <c r="AG26" s="30"/>
      <c r="AH26" s="1"/>
      <c r="AI26" s="1" t="s">
        <v>376</v>
      </c>
      <c r="AJ26" s="1" t="s">
        <v>377</v>
      </c>
      <c r="AK26" s="400" t="s">
        <v>399</v>
      </c>
      <c r="AL26" s="1">
        <v>2300</v>
      </c>
      <c r="AM26" s="1">
        <f>(AJ6-1)*2*2</f>
        <v>36</v>
      </c>
      <c r="AN26" s="198">
        <f t="shared" si="10"/>
        <v>82.8</v>
      </c>
      <c r="AO26" s="198">
        <v>4.1100000000000003</v>
      </c>
      <c r="AP26" s="401">
        <f t="shared" si="11"/>
        <v>340.30799999999999</v>
      </c>
      <c r="AQ26" s="31"/>
    </row>
    <row r="27" spans="3:43" x14ac:dyDescent="0.25">
      <c r="C27" s="30"/>
      <c r="D27" s="1">
        <f>D25+1</f>
        <v>1</v>
      </c>
      <c r="E27" s="1" t="s">
        <v>23</v>
      </c>
      <c r="F27" s="1"/>
      <c r="G27" s="370" t="s">
        <v>380</v>
      </c>
      <c r="H27" s="49">
        <f>F9*1000</f>
        <v>6000</v>
      </c>
      <c r="I27" s="49">
        <f>18*F6</f>
        <v>180</v>
      </c>
      <c r="J27" s="370">
        <f t="shared" si="13"/>
        <v>1080</v>
      </c>
      <c r="K27" s="370">
        <v>7.2</v>
      </c>
      <c r="L27" s="371">
        <f t="shared" si="14"/>
        <v>7776</v>
      </c>
      <c r="M27" s="31"/>
      <c r="S27" s="30"/>
      <c r="T27" s="1">
        <f>T21+1</f>
        <v>6</v>
      </c>
      <c r="U27" s="1" t="s">
        <v>121</v>
      </c>
      <c r="V27" s="1" t="s">
        <v>122</v>
      </c>
      <c r="W27" s="370" t="s">
        <v>380</v>
      </c>
      <c r="X27" s="1">
        <f>X29</f>
        <v>6000</v>
      </c>
      <c r="Y27" s="1">
        <f>V6</f>
        <v>10</v>
      </c>
      <c r="Z27" s="370">
        <f t="shared" ref="Z27" si="15">X27/1000*Y27</f>
        <v>60</v>
      </c>
      <c r="AA27" s="370">
        <v>7.2</v>
      </c>
      <c r="AB27" s="371">
        <f t="shared" ref="AB27" si="16">Z27*AA27</f>
        <v>432</v>
      </c>
      <c r="AC27" s="31"/>
      <c r="AG27" s="30"/>
      <c r="AH27" s="1"/>
      <c r="AI27" s="1" t="s">
        <v>376</v>
      </c>
      <c r="AJ27" s="1" t="s">
        <v>377</v>
      </c>
      <c r="AK27" s="400" t="s">
        <v>399</v>
      </c>
      <c r="AL27" s="1">
        <v>2000</v>
      </c>
      <c r="AM27" s="1">
        <f>(AJ6-1)*2*4</f>
        <v>72</v>
      </c>
      <c r="AN27" s="198">
        <f t="shared" si="10"/>
        <v>144</v>
      </c>
      <c r="AO27" s="198">
        <v>4.1100000000000003</v>
      </c>
      <c r="AP27" s="401">
        <f t="shared" si="11"/>
        <v>591.84</v>
      </c>
      <c r="AQ27" s="31"/>
    </row>
    <row r="28" spans="3:43" x14ac:dyDescent="0.25">
      <c r="C28" s="30"/>
      <c r="D28" s="1">
        <f>D25+1</f>
        <v>1</v>
      </c>
      <c r="E28" s="1" t="s">
        <v>41</v>
      </c>
      <c r="F28" s="1" t="s">
        <v>42</v>
      </c>
      <c r="G28" s="372" t="s">
        <v>381</v>
      </c>
      <c r="H28" s="49">
        <f>F5*1000</f>
        <v>7000</v>
      </c>
      <c r="I28" s="49">
        <f>(F6+1)*2*2</f>
        <v>44</v>
      </c>
      <c r="J28" s="372">
        <f t="shared" si="13"/>
        <v>308</v>
      </c>
      <c r="K28" s="372">
        <v>10</v>
      </c>
      <c r="L28" s="373">
        <f t="shared" si="14"/>
        <v>3080</v>
      </c>
      <c r="M28" s="31"/>
      <c r="S28" s="30"/>
      <c r="T28" s="1"/>
      <c r="U28" s="1"/>
      <c r="V28" s="1"/>
      <c r="W28" s="370"/>
      <c r="X28" s="1"/>
      <c r="Y28" s="1"/>
      <c r="Z28" s="370"/>
      <c r="AA28" s="370"/>
      <c r="AB28" s="371"/>
      <c r="AC28" s="31"/>
      <c r="AG28" s="30"/>
      <c r="AH28" s="1"/>
      <c r="AI28" s="1" t="s">
        <v>376</v>
      </c>
      <c r="AJ28" s="1" t="s">
        <v>377</v>
      </c>
      <c r="AK28" s="400" t="s">
        <v>399</v>
      </c>
      <c r="AL28" s="1">
        <v>1800</v>
      </c>
      <c r="AM28" s="1">
        <f>(AJ6-1)*2*2</f>
        <v>36</v>
      </c>
      <c r="AN28" s="198">
        <f t="shared" si="10"/>
        <v>64.8</v>
      </c>
      <c r="AO28" s="198">
        <v>4.1100000000000003</v>
      </c>
      <c r="AP28" s="401">
        <f t="shared" si="11"/>
        <v>266.32800000000003</v>
      </c>
      <c r="AQ28" s="31"/>
    </row>
    <row r="29" spans="3:43" x14ac:dyDescent="0.25">
      <c r="C29" s="30"/>
      <c r="D29" s="1">
        <f>D28+1</f>
        <v>2</v>
      </c>
      <c r="E29" s="1" t="s">
        <v>382</v>
      </c>
      <c r="F29" s="1" t="s">
        <v>25</v>
      </c>
      <c r="G29" s="374" t="s">
        <v>383</v>
      </c>
      <c r="H29" s="1">
        <f>F9*1000</f>
        <v>6000</v>
      </c>
      <c r="I29" s="1">
        <f>2*F6*F8</f>
        <v>80</v>
      </c>
      <c r="J29" s="374">
        <f t="shared" si="13"/>
        <v>480</v>
      </c>
      <c r="K29" s="374">
        <v>8</v>
      </c>
      <c r="L29" s="375">
        <f t="shared" si="14"/>
        <v>3840</v>
      </c>
      <c r="M29" s="31"/>
      <c r="S29" s="30"/>
      <c r="T29" s="1">
        <f>T27+1</f>
        <v>7</v>
      </c>
      <c r="U29" s="1" t="s">
        <v>23</v>
      </c>
      <c r="V29" s="1" t="s">
        <v>24</v>
      </c>
      <c r="W29" s="370" t="s">
        <v>380</v>
      </c>
      <c r="X29" s="1">
        <f>V9*1000</f>
        <v>6000</v>
      </c>
      <c r="Y29" s="1">
        <f>14*V6</f>
        <v>140</v>
      </c>
      <c r="Z29" s="370">
        <f t="shared" ref="Z29:Z30" si="17">X29/1000*Y29</f>
        <v>840</v>
      </c>
      <c r="AA29" s="370">
        <v>7.2</v>
      </c>
      <c r="AB29" s="371">
        <f t="shared" ref="AB29:AB30" si="18">Z29*AA29</f>
        <v>6048</v>
      </c>
      <c r="AC29" s="31"/>
      <c r="AG29" s="30"/>
      <c r="AH29" s="1"/>
      <c r="AI29" s="1"/>
      <c r="AJ29" s="1"/>
      <c r="AK29" s="398"/>
      <c r="AL29" s="1"/>
      <c r="AM29" s="1"/>
      <c r="AN29" s="114"/>
      <c r="AO29" s="114"/>
      <c r="AP29" s="399"/>
      <c r="AQ29" s="31"/>
    </row>
    <row r="30" spans="3:43" x14ac:dyDescent="0.25">
      <c r="C30" s="30"/>
      <c r="D30" s="1"/>
      <c r="E30" s="376"/>
      <c r="F30" s="1"/>
      <c r="G30" s="1"/>
      <c r="H30" s="1"/>
      <c r="I30" s="1"/>
      <c r="J30" s="1"/>
      <c r="K30" s="1"/>
      <c r="L30" s="1"/>
      <c r="M30" s="31"/>
      <c r="S30" s="30"/>
      <c r="T30" s="1">
        <f>T29+1</f>
        <v>8</v>
      </c>
      <c r="U30" s="1" t="s">
        <v>41</v>
      </c>
      <c r="V30" s="1" t="s">
        <v>42</v>
      </c>
      <c r="W30" s="66" t="s">
        <v>361</v>
      </c>
      <c r="X30" s="1">
        <f>V5*1000</f>
        <v>7000</v>
      </c>
      <c r="Y30" s="1">
        <f>(V6+1)*2*2</f>
        <v>44</v>
      </c>
      <c r="Z30" s="66">
        <f t="shared" si="17"/>
        <v>308</v>
      </c>
      <c r="AA30" s="66">
        <v>11.6</v>
      </c>
      <c r="AB30" s="350">
        <f t="shared" si="18"/>
        <v>3572.7999999999997</v>
      </c>
      <c r="AC30" s="31"/>
      <c r="AG30" s="30"/>
      <c r="AH30" s="1"/>
      <c r="AI30" s="1" t="s">
        <v>287</v>
      </c>
      <c r="AJ30" s="1" t="s">
        <v>55</v>
      </c>
      <c r="AK30" s="4" t="s">
        <v>397</v>
      </c>
      <c r="AL30" s="49">
        <f>AJ9*1000</f>
        <v>6000</v>
      </c>
      <c r="AM30" s="49">
        <f>(AJ6-2)*6</f>
        <v>48</v>
      </c>
      <c r="AN30" s="4">
        <f t="shared" si="10"/>
        <v>288</v>
      </c>
      <c r="AO30" s="396">
        <v>7.1</v>
      </c>
      <c r="AP30" s="397">
        <f t="shared" si="11"/>
        <v>2044.8</v>
      </c>
      <c r="AQ30" s="31"/>
    </row>
    <row r="31" spans="3:43" x14ac:dyDescent="0.25">
      <c r="C31" s="30"/>
      <c r="D31" s="1" t="e">
        <f>#REF!+1</f>
        <v>#REF!</v>
      </c>
      <c r="E31" s="1" t="s">
        <v>61</v>
      </c>
      <c r="F31" s="1" t="s">
        <v>59</v>
      </c>
      <c r="G31" s="372" t="s">
        <v>381</v>
      </c>
      <c r="H31" s="49">
        <f>H28+1900</f>
        <v>8900</v>
      </c>
      <c r="I31" s="1">
        <v>4</v>
      </c>
      <c r="J31" s="372">
        <f t="shared" ref="J31:J36" si="19">H31/1000*I31</f>
        <v>35.6</v>
      </c>
      <c r="K31" s="372">
        <v>10</v>
      </c>
      <c r="L31" s="373">
        <f t="shared" ref="L31:L36" si="20">J31*K31</f>
        <v>356</v>
      </c>
      <c r="M31" s="31"/>
      <c r="S31" s="30"/>
      <c r="T31" s="1">
        <f>T30+1</f>
        <v>9</v>
      </c>
      <c r="U31" s="1"/>
      <c r="V31" s="1"/>
      <c r="W31" s="370"/>
      <c r="X31" s="1"/>
      <c r="Y31" s="1"/>
      <c r="Z31" s="370"/>
      <c r="AA31" s="370"/>
      <c r="AB31" s="371"/>
      <c r="AC31" s="31"/>
      <c r="AG31" s="30"/>
      <c r="AH31" s="1"/>
      <c r="AI31" s="1" t="s">
        <v>41</v>
      </c>
      <c r="AJ31" s="1" t="s">
        <v>42</v>
      </c>
      <c r="AK31" s="25" t="s">
        <v>400</v>
      </c>
      <c r="AL31" s="49">
        <f>AJ5*1000</f>
        <v>7000</v>
      </c>
      <c r="AM31" s="49">
        <f>(AJ6+1)*2*2</f>
        <v>44</v>
      </c>
      <c r="AN31" s="25">
        <f t="shared" si="10"/>
        <v>308</v>
      </c>
      <c r="AO31" s="402">
        <v>8</v>
      </c>
      <c r="AP31" s="351">
        <f t="shared" si="11"/>
        <v>2464</v>
      </c>
      <c r="AQ31" s="31"/>
    </row>
    <row r="32" spans="3:43" x14ac:dyDescent="0.25">
      <c r="C32" s="30"/>
      <c r="D32" s="1"/>
      <c r="E32" s="1" t="s">
        <v>61</v>
      </c>
      <c r="F32" s="1" t="s">
        <v>59</v>
      </c>
      <c r="G32" s="372" t="s">
        <v>381</v>
      </c>
      <c r="H32" s="1">
        <f>H28+1000</f>
        <v>8000</v>
      </c>
      <c r="I32" s="1">
        <v>8</v>
      </c>
      <c r="J32" s="372">
        <f t="shared" si="19"/>
        <v>64</v>
      </c>
      <c r="K32" s="372">
        <v>10</v>
      </c>
      <c r="L32" s="373">
        <f t="shared" si="20"/>
        <v>640</v>
      </c>
      <c r="M32" s="31"/>
      <c r="S32" s="30"/>
      <c r="T32" s="1">
        <f>T30+1</f>
        <v>9</v>
      </c>
      <c r="U32" s="1" t="s">
        <v>94</v>
      </c>
      <c r="V32" s="1" t="s">
        <v>25</v>
      </c>
      <c r="W32" s="370" t="s">
        <v>380</v>
      </c>
      <c r="X32" s="1">
        <f>V9*1000</f>
        <v>6000</v>
      </c>
      <c r="Y32" s="1">
        <f>2*V6*V8</f>
        <v>80</v>
      </c>
      <c r="Z32" s="370">
        <f t="shared" ref="Z32:Z33" si="21">X32/1000*Y32</f>
        <v>480</v>
      </c>
      <c r="AA32" s="370">
        <v>7.2</v>
      </c>
      <c r="AB32" s="371">
        <f t="shared" ref="AB32:AB33" si="22">Z32*AA32</f>
        <v>3456</v>
      </c>
      <c r="AC32" s="31"/>
      <c r="AG32" s="30"/>
      <c r="AH32" s="1"/>
      <c r="AI32" s="1" t="s">
        <v>41</v>
      </c>
      <c r="AJ32" s="1" t="s">
        <v>42</v>
      </c>
      <c r="AK32" s="403" t="s">
        <v>401</v>
      </c>
      <c r="AL32" s="49">
        <f>AL31+3250</f>
        <v>10250</v>
      </c>
      <c r="AM32" s="49">
        <f>AM31/2</f>
        <v>22</v>
      </c>
      <c r="AN32" s="403">
        <f>AL32/1000*AM32</f>
        <v>225.5</v>
      </c>
      <c r="AO32" s="403">
        <v>10.6</v>
      </c>
      <c r="AP32" s="404">
        <f>AN32*AO32</f>
        <v>2390.2999999999997</v>
      </c>
      <c r="AQ32" s="31"/>
    </row>
    <row r="33" spans="3:43" x14ac:dyDescent="0.25">
      <c r="C33" s="30"/>
      <c r="D33" s="1" t="e">
        <f>D31+1</f>
        <v>#REF!</v>
      </c>
      <c r="E33" s="1" t="s">
        <v>344</v>
      </c>
      <c r="F33" s="1" t="s">
        <v>384</v>
      </c>
      <c r="G33" s="374" t="s">
        <v>383</v>
      </c>
      <c r="H33" s="1">
        <v>4500</v>
      </c>
      <c r="I33" s="1">
        <v>4</v>
      </c>
      <c r="J33" s="374">
        <f t="shared" si="19"/>
        <v>18</v>
      </c>
      <c r="K33" s="374">
        <v>8</v>
      </c>
      <c r="L33" s="375">
        <f t="shared" si="20"/>
        <v>144</v>
      </c>
      <c r="M33" s="31"/>
      <c r="S33" s="30"/>
      <c r="T33" s="1">
        <f t="shared" ref="T33" si="23">T32+1</f>
        <v>10</v>
      </c>
      <c r="U33" s="1" t="s">
        <v>60</v>
      </c>
      <c r="V33" s="1" t="s">
        <v>58</v>
      </c>
      <c r="W33" s="238" t="s">
        <v>366</v>
      </c>
      <c r="X33" s="1">
        <f>X30+1100</f>
        <v>8100</v>
      </c>
      <c r="Y33" s="1">
        <f>4*2</f>
        <v>8</v>
      </c>
      <c r="Z33" s="238">
        <f t="shared" si="21"/>
        <v>64.8</v>
      </c>
      <c r="AA33" s="238">
        <v>9</v>
      </c>
      <c r="AB33" s="347">
        <f t="shared" si="22"/>
        <v>583.19999999999993</v>
      </c>
      <c r="AC33" s="31"/>
      <c r="AG33" s="30"/>
      <c r="AH33" s="1"/>
      <c r="AI33" s="1" t="s">
        <v>23</v>
      </c>
      <c r="AJ33" s="1" t="s">
        <v>24</v>
      </c>
      <c r="AK33" s="4" t="s">
        <v>397</v>
      </c>
      <c r="AL33" s="1">
        <f>AJ9*1000</f>
        <v>6000</v>
      </c>
      <c r="AM33" s="1">
        <f>26*AJ6</f>
        <v>260</v>
      </c>
      <c r="AN33" s="4">
        <f t="shared" ref="AN33:AN36" si="24">AL33/1000*AM33</f>
        <v>1560</v>
      </c>
      <c r="AO33" s="396">
        <v>7.1</v>
      </c>
      <c r="AP33" s="397">
        <f t="shared" ref="AP33:AP36" si="25">AN33*AO33</f>
        <v>11076</v>
      </c>
      <c r="AQ33" s="31"/>
    </row>
    <row r="34" spans="3:43" x14ac:dyDescent="0.25">
      <c r="C34" s="30"/>
      <c r="D34" s="1" t="e">
        <f>D33+1</f>
        <v>#REF!</v>
      </c>
      <c r="E34" s="1" t="s">
        <v>385</v>
      </c>
      <c r="F34" s="1" t="s">
        <v>79</v>
      </c>
      <c r="G34" s="374" t="s">
        <v>383</v>
      </c>
      <c r="H34" s="1">
        <v>1200</v>
      </c>
      <c r="I34" s="1">
        <v>8</v>
      </c>
      <c r="J34" s="374">
        <f t="shared" si="19"/>
        <v>9.6</v>
      </c>
      <c r="K34" s="374">
        <v>8</v>
      </c>
      <c r="L34" s="375">
        <f t="shared" si="20"/>
        <v>76.8</v>
      </c>
      <c r="M34" s="31"/>
      <c r="S34" s="30"/>
      <c r="T34" s="1"/>
      <c r="U34" s="1"/>
      <c r="V34" s="1"/>
      <c r="W34" s="238"/>
      <c r="X34" s="1"/>
      <c r="Y34" s="1"/>
      <c r="Z34" s="238"/>
      <c r="AA34" s="238"/>
      <c r="AB34" s="347"/>
      <c r="AC34" s="31"/>
      <c r="AG34" s="30"/>
      <c r="AH34" s="1"/>
      <c r="AI34" s="1" t="s">
        <v>382</v>
      </c>
      <c r="AJ34" s="1" t="s">
        <v>25</v>
      </c>
      <c r="AK34" s="25" t="s">
        <v>400</v>
      </c>
      <c r="AL34" s="1">
        <f>AJ9*1000</f>
        <v>6000</v>
      </c>
      <c r="AM34" s="1">
        <f>2*AJ6*AJ8+AJ6*2</f>
        <v>100</v>
      </c>
      <c r="AN34" s="25">
        <f t="shared" si="24"/>
        <v>600</v>
      </c>
      <c r="AO34" s="402">
        <v>8</v>
      </c>
      <c r="AP34" s="351">
        <f t="shared" si="25"/>
        <v>4800</v>
      </c>
      <c r="AQ34" s="31"/>
    </row>
    <row r="35" spans="3:43" x14ac:dyDescent="0.25">
      <c r="C35" s="30"/>
      <c r="D35" s="1"/>
      <c r="E35" s="1" t="s">
        <v>346</v>
      </c>
      <c r="F35" s="1" t="s">
        <v>79</v>
      </c>
      <c r="G35" s="374" t="s">
        <v>383</v>
      </c>
      <c r="H35" s="1">
        <v>2100</v>
      </c>
      <c r="I35" s="1">
        <v>4</v>
      </c>
      <c r="J35" s="374">
        <f t="shared" si="19"/>
        <v>8.4</v>
      </c>
      <c r="K35" s="374">
        <v>8</v>
      </c>
      <c r="L35" s="375">
        <f t="shared" si="20"/>
        <v>67.2</v>
      </c>
      <c r="M35" s="31"/>
      <c r="S35" s="30"/>
      <c r="T35" s="1">
        <f>T34+1</f>
        <v>1</v>
      </c>
      <c r="U35" s="1" t="s">
        <v>96</v>
      </c>
      <c r="V35" s="1" t="s">
        <v>79</v>
      </c>
      <c r="W35" s="370" t="s">
        <v>380</v>
      </c>
      <c r="X35" s="1">
        <v>6000</v>
      </c>
      <c r="Y35" s="1">
        <f>4*3*2</f>
        <v>24</v>
      </c>
      <c r="Z35" s="370">
        <f t="shared" ref="Z35:Z38" si="26">X35/1000*Y35</f>
        <v>144</v>
      </c>
      <c r="AA35" s="370">
        <v>7.2</v>
      </c>
      <c r="AB35" s="371">
        <f t="shared" ref="AB35:AB38" si="27">Z35*AA35</f>
        <v>1036.8</v>
      </c>
      <c r="AC35" s="31"/>
      <c r="AG35" s="30"/>
      <c r="AH35" s="1"/>
      <c r="AI35" s="1" t="s">
        <v>60</v>
      </c>
      <c r="AJ35" s="1" t="s">
        <v>58</v>
      </c>
      <c r="AK35" s="25" t="s">
        <v>400</v>
      </c>
      <c r="AL35" s="1">
        <f>AL31+1600</f>
        <v>8600</v>
      </c>
      <c r="AM35" s="1">
        <v>8</v>
      </c>
      <c r="AN35" s="25">
        <f t="shared" si="24"/>
        <v>68.8</v>
      </c>
      <c r="AO35" s="402">
        <v>8</v>
      </c>
      <c r="AP35" s="351">
        <f t="shared" si="25"/>
        <v>550.4</v>
      </c>
      <c r="AQ35" s="31"/>
    </row>
    <row r="36" spans="3:43" x14ac:dyDescent="0.25">
      <c r="C36" s="30"/>
      <c r="D36" s="1"/>
      <c r="E36" s="1" t="s">
        <v>96</v>
      </c>
      <c r="F36" s="1"/>
      <c r="G36" s="374" t="s">
        <v>383</v>
      </c>
      <c r="H36" s="1">
        <v>6000</v>
      </c>
      <c r="I36" s="1">
        <f>4*4*2</f>
        <v>32</v>
      </c>
      <c r="J36" s="374">
        <f t="shared" si="19"/>
        <v>192</v>
      </c>
      <c r="K36" s="374">
        <v>8</v>
      </c>
      <c r="L36" s="375">
        <f t="shared" si="20"/>
        <v>1536</v>
      </c>
      <c r="M36" s="31"/>
      <c r="S36" s="30"/>
      <c r="T36" s="1"/>
      <c r="U36" s="1" t="s">
        <v>344</v>
      </c>
      <c r="V36" s="1"/>
      <c r="W36" s="370" t="s">
        <v>380</v>
      </c>
      <c r="X36" s="1">
        <v>5000</v>
      </c>
      <c r="Y36" s="1">
        <v>4</v>
      </c>
      <c r="Z36" s="370">
        <f t="shared" si="26"/>
        <v>20</v>
      </c>
      <c r="AA36" s="370">
        <v>7.2</v>
      </c>
      <c r="AB36" s="371">
        <f t="shared" si="27"/>
        <v>144</v>
      </c>
      <c r="AC36" s="31"/>
      <c r="AG36" s="30"/>
      <c r="AH36" s="1"/>
      <c r="AI36" s="1" t="s">
        <v>60</v>
      </c>
      <c r="AJ36" s="1" t="s">
        <v>58</v>
      </c>
      <c r="AK36" s="25" t="s">
        <v>400</v>
      </c>
      <c r="AL36" s="1">
        <f>AL31+1000</f>
        <v>8000</v>
      </c>
      <c r="AM36" s="1">
        <v>8</v>
      </c>
      <c r="AN36" s="25">
        <f t="shared" si="24"/>
        <v>64</v>
      </c>
      <c r="AO36" s="402">
        <v>8</v>
      </c>
      <c r="AP36" s="351">
        <f t="shared" si="25"/>
        <v>512</v>
      </c>
      <c r="AQ36" s="31"/>
    </row>
    <row r="37" spans="3:43" x14ac:dyDescent="0.25">
      <c r="C37" s="30"/>
      <c r="D37" s="1"/>
      <c r="E37" s="1"/>
      <c r="F37" s="1"/>
      <c r="G37" s="374"/>
      <c r="H37" s="1"/>
      <c r="I37" s="1"/>
      <c r="J37" s="374"/>
      <c r="K37" s="374"/>
      <c r="L37" s="375"/>
      <c r="M37" s="31"/>
      <c r="S37" s="30"/>
      <c r="T37" s="1"/>
      <c r="U37" s="1" t="s">
        <v>385</v>
      </c>
      <c r="V37" s="1"/>
      <c r="W37" s="370" t="s">
        <v>380</v>
      </c>
      <c r="X37" s="1">
        <v>1200</v>
      </c>
      <c r="Y37" s="1">
        <v>8</v>
      </c>
      <c r="Z37" s="370">
        <f t="shared" si="26"/>
        <v>9.6</v>
      </c>
      <c r="AA37" s="370">
        <v>7.2</v>
      </c>
      <c r="AB37" s="371">
        <f t="shared" si="27"/>
        <v>69.12</v>
      </c>
      <c r="AC37" s="31"/>
      <c r="AG37" s="30"/>
      <c r="AH37" s="1"/>
      <c r="AI37" s="1"/>
      <c r="AJ37" s="1"/>
      <c r="AK37" s="25"/>
      <c r="AL37" s="1"/>
      <c r="AM37" s="1"/>
      <c r="AN37" s="25"/>
      <c r="AO37" s="402"/>
      <c r="AP37" s="351"/>
      <c r="AQ37" s="31"/>
    </row>
    <row r="38" spans="3:43" x14ac:dyDescent="0.25">
      <c r="C38" s="30"/>
      <c r="D38" s="1">
        <f>D35+1</f>
        <v>1</v>
      </c>
      <c r="E38" s="1" t="s">
        <v>10</v>
      </c>
      <c r="F38" s="1" t="s">
        <v>11</v>
      </c>
      <c r="G38" s="25">
        <v>2.5</v>
      </c>
      <c r="H38" s="1"/>
      <c r="I38" s="1">
        <f>(I26+I27+I29+I33+I34+I35+I36)*2</f>
        <v>636</v>
      </c>
      <c r="J38" s="25"/>
      <c r="K38" s="25">
        <v>1.5</v>
      </c>
      <c r="L38" s="351">
        <f>I38*K38</f>
        <v>954</v>
      </c>
      <c r="M38" s="31"/>
      <c r="S38" s="30"/>
      <c r="T38" s="1"/>
      <c r="U38" s="1" t="s">
        <v>346</v>
      </c>
      <c r="V38" s="1"/>
      <c r="W38" s="370" t="s">
        <v>380</v>
      </c>
      <c r="X38" s="1">
        <v>2500</v>
      </c>
      <c r="Y38" s="1">
        <v>4</v>
      </c>
      <c r="Z38" s="370">
        <f t="shared" si="26"/>
        <v>10</v>
      </c>
      <c r="AA38" s="370">
        <v>7.2</v>
      </c>
      <c r="AB38" s="371">
        <f t="shared" si="27"/>
        <v>72</v>
      </c>
      <c r="AC38" s="31"/>
      <c r="AG38" s="30"/>
      <c r="AH38" s="1"/>
      <c r="AI38" s="1"/>
      <c r="AJ38" s="1"/>
      <c r="AK38" s="109"/>
      <c r="AL38" s="1"/>
      <c r="AM38" s="1"/>
      <c r="AN38" s="109"/>
      <c r="AO38" s="405"/>
      <c r="AP38" s="349"/>
      <c r="AQ38" s="31"/>
    </row>
    <row r="39" spans="3:43" x14ac:dyDescent="0.25">
      <c r="C39" s="30"/>
      <c r="D39" s="1"/>
      <c r="E39" s="22"/>
      <c r="F39" s="1"/>
      <c r="G39" s="1"/>
      <c r="H39" s="1"/>
      <c r="I39" s="1"/>
      <c r="J39" s="1"/>
      <c r="K39" s="1"/>
      <c r="L39" s="1"/>
      <c r="M39" s="31"/>
      <c r="S39" s="30"/>
      <c r="T39" s="1"/>
      <c r="U39" s="1"/>
      <c r="V39" s="1"/>
      <c r="W39" s="5"/>
      <c r="X39" s="1"/>
      <c r="Y39" s="1"/>
      <c r="Z39" s="5"/>
      <c r="AA39" s="5"/>
      <c r="AB39" s="369"/>
      <c r="AC39" s="31"/>
      <c r="AG39" s="30"/>
      <c r="AH39" s="1"/>
      <c r="AI39" s="1" t="s">
        <v>96</v>
      </c>
      <c r="AJ39" s="1" t="s">
        <v>79</v>
      </c>
      <c r="AK39" s="25" t="s">
        <v>400</v>
      </c>
      <c r="AL39" s="1">
        <v>6000</v>
      </c>
      <c r="AM39" s="1">
        <f>3.5*6*2</f>
        <v>42</v>
      </c>
      <c r="AN39" s="25">
        <f t="shared" ref="AN39:AN42" si="28">AL39/1000*AM39</f>
        <v>252</v>
      </c>
      <c r="AO39" s="402">
        <v>8</v>
      </c>
      <c r="AP39" s="351">
        <f t="shared" ref="AP39:AP42" si="29">AN39*AO39</f>
        <v>2016</v>
      </c>
      <c r="AQ39" s="31"/>
    </row>
    <row r="40" spans="3:43" x14ac:dyDescent="0.25">
      <c r="C40" s="30"/>
      <c r="D40" s="1"/>
      <c r="E40" s="377"/>
      <c r="F40" s="1"/>
      <c r="G40" s="25"/>
      <c r="H40" s="1"/>
      <c r="I40" s="1"/>
      <c r="J40" s="25"/>
      <c r="K40" s="25"/>
      <c r="L40" s="351"/>
      <c r="M40" s="31"/>
      <c r="S40" s="33"/>
      <c r="T40" s="1"/>
      <c r="U40" s="1" t="s">
        <v>10</v>
      </c>
      <c r="V40" s="1" t="s">
        <v>11</v>
      </c>
      <c r="W40" s="25">
        <v>2.5</v>
      </c>
      <c r="X40" s="1"/>
      <c r="Y40" s="1">
        <f>(Y27/2+Y29+Y32+Y35+Y36+Y37+Y38)*2</f>
        <v>530</v>
      </c>
      <c r="Z40" s="25"/>
      <c r="AA40" s="25">
        <v>1.5</v>
      </c>
      <c r="AB40" s="351">
        <f>Y40*AA40</f>
        <v>795</v>
      </c>
      <c r="AC40" s="33"/>
      <c r="AG40" s="30"/>
      <c r="AH40" s="1"/>
      <c r="AI40" s="1" t="s">
        <v>344</v>
      </c>
      <c r="AJ40" s="1" t="s">
        <v>79</v>
      </c>
      <c r="AK40" s="25" t="s">
        <v>400</v>
      </c>
      <c r="AL40" s="1">
        <v>4500</v>
      </c>
      <c r="AM40" s="1">
        <v>8</v>
      </c>
      <c r="AN40" s="25">
        <f t="shared" si="28"/>
        <v>36</v>
      </c>
      <c r="AO40" s="402">
        <v>8</v>
      </c>
      <c r="AP40" s="351">
        <f t="shared" si="29"/>
        <v>288</v>
      </c>
      <c r="AQ40" s="31"/>
    </row>
    <row r="41" spans="3:43" x14ac:dyDescent="0.25">
      <c r="C41" s="30"/>
      <c r="M41" s="31"/>
      <c r="S41" s="30"/>
      <c r="T41" s="18"/>
      <c r="X41" s="340"/>
      <c r="Y41" s="341"/>
      <c r="Z41" s="9" t="s">
        <v>386</v>
      </c>
      <c r="AA41" s="8"/>
      <c r="AB41" s="9"/>
      <c r="AC41" s="31"/>
      <c r="AG41" s="30"/>
      <c r="AH41" s="1"/>
      <c r="AI41" s="1" t="s">
        <v>346</v>
      </c>
      <c r="AJ41" s="1" t="s">
        <v>79</v>
      </c>
      <c r="AK41" s="25" t="s">
        <v>400</v>
      </c>
      <c r="AL41" s="1">
        <v>2100</v>
      </c>
      <c r="AM41" s="1">
        <v>4</v>
      </c>
      <c r="AN41" s="25">
        <f t="shared" si="28"/>
        <v>8.4</v>
      </c>
      <c r="AO41" s="402">
        <v>8</v>
      </c>
      <c r="AP41" s="351">
        <f t="shared" si="29"/>
        <v>67.2</v>
      </c>
      <c r="AQ41" s="31"/>
    </row>
    <row r="42" spans="3:43" x14ac:dyDescent="0.25">
      <c r="C42" s="30"/>
      <c r="D42" s="18"/>
      <c r="E42" s="18"/>
      <c r="F42" s="18"/>
      <c r="G42" s="18"/>
      <c r="H42" s="378"/>
      <c r="I42" s="379"/>
      <c r="J42" s="380"/>
      <c r="K42" s="380"/>
      <c r="L42" s="381"/>
      <c r="M42" s="31"/>
      <c r="S42" s="30"/>
      <c r="T42" s="18"/>
      <c r="U42" s="18"/>
      <c r="V42" s="18"/>
      <c r="W42" s="18"/>
      <c r="Z42" s="304" t="s">
        <v>9</v>
      </c>
      <c r="AA42" s="306"/>
      <c r="AB42" s="2">
        <f>SUM(AB16:AB38)</f>
        <v>23164</v>
      </c>
      <c r="AC42" s="31"/>
      <c r="AG42" s="30"/>
      <c r="AH42" s="1"/>
      <c r="AI42" s="1" t="s">
        <v>385</v>
      </c>
      <c r="AJ42" s="1" t="s">
        <v>79</v>
      </c>
      <c r="AK42" s="25" t="s">
        <v>400</v>
      </c>
      <c r="AL42" s="1">
        <v>2400</v>
      </c>
      <c r="AM42" s="1">
        <v>8</v>
      </c>
      <c r="AN42" s="25">
        <f t="shared" si="28"/>
        <v>19.2</v>
      </c>
      <c r="AO42" s="402">
        <v>8</v>
      </c>
      <c r="AP42" s="351">
        <f t="shared" si="29"/>
        <v>153.6</v>
      </c>
      <c r="AQ42" s="31"/>
    </row>
    <row r="43" spans="3:43" x14ac:dyDescent="0.25">
      <c r="C43" s="30"/>
      <c r="D43" s="18"/>
      <c r="H43" s="382"/>
      <c r="I43" s="383"/>
      <c r="J43" s="109"/>
      <c r="K43" s="109"/>
      <c r="L43" s="384"/>
      <c r="M43" s="31"/>
      <c r="S43" s="30"/>
      <c r="T43" s="18"/>
      <c r="U43" s="18"/>
      <c r="V43" s="18"/>
      <c r="W43" s="18"/>
      <c r="Z43" s="18"/>
      <c r="AA43" s="18"/>
      <c r="AB43" s="18"/>
      <c r="AC43" s="31"/>
      <c r="AG43" s="30"/>
      <c r="AH43" s="1">
        <f>AH41+1</f>
        <v>1</v>
      </c>
      <c r="AI43" s="1" t="s">
        <v>10</v>
      </c>
      <c r="AJ43" s="1" t="s">
        <v>19</v>
      </c>
      <c r="AK43" s="25">
        <v>3</v>
      </c>
      <c r="AL43" s="1"/>
      <c r="AM43" s="1">
        <f>(AM30+AM33+AM34+AM39+AM41+AM42)*2</f>
        <v>924</v>
      </c>
      <c r="AN43" s="25"/>
      <c r="AO43" s="25">
        <v>2</v>
      </c>
      <c r="AP43" s="351">
        <f>AM43*AO43</f>
        <v>1848</v>
      </c>
      <c r="AQ43" s="31"/>
    </row>
    <row r="44" spans="3:43" x14ac:dyDescent="0.25">
      <c r="C44" s="30"/>
      <c r="D44" s="18"/>
      <c r="E44" s="18"/>
      <c r="F44" s="18"/>
      <c r="G44" s="18"/>
      <c r="H44" s="323"/>
      <c r="I44" s="324"/>
      <c r="J44" s="11"/>
      <c r="K44" s="11"/>
      <c r="L44" s="193"/>
      <c r="M44" s="31"/>
      <c r="S44" s="30"/>
      <c r="T44" s="18"/>
      <c r="U44" s="18"/>
      <c r="V44" s="18"/>
      <c r="W44" s="18"/>
      <c r="Z44" s="18"/>
      <c r="AA44" s="18"/>
      <c r="AB44" s="18"/>
      <c r="AC44" s="31"/>
      <c r="AG44" s="30"/>
      <c r="AH44" s="18"/>
      <c r="AL44" s="382"/>
      <c r="AM44" s="383"/>
      <c r="AN44" s="109"/>
      <c r="AO44" s="109"/>
      <c r="AP44" s="118"/>
      <c r="AQ44" s="31"/>
    </row>
    <row r="45" spans="3:43" x14ac:dyDescent="0.25">
      <c r="C45" s="30"/>
      <c r="H45" s="336"/>
      <c r="I45" s="337"/>
      <c r="J45" s="385" t="s">
        <v>386</v>
      </c>
      <c r="K45" s="51"/>
      <c r="L45" s="2"/>
      <c r="M45" s="31"/>
      <c r="S45" s="30"/>
      <c r="T45" s="18"/>
      <c r="U45" s="18"/>
      <c r="V45" s="18"/>
      <c r="W45" s="18"/>
      <c r="Z45" s="18"/>
      <c r="AA45" s="18"/>
      <c r="AB45" s="18"/>
      <c r="AC45" s="31"/>
      <c r="AG45" s="30"/>
      <c r="AH45" s="18"/>
      <c r="AL45" s="406"/>
      <c r="AM45" s="407"/>
      <c r="AN45" s="109"/>
      <c r="AO45" s="109"/>
      <c r="AP45" s="118"/>
      <c r="AQ45" s="31"/>
    </row>
    <row r="46" spans="3:43" x14ac:dyDescent="0.25">
      <c r="C46" s="30"/>
      <c r="J46" s="304" t="s">
        <v>9</v>
      </c>
      <c r="K46" s="306"/>
      <c r="L46" s="2">
        <f>SUM(L16:L37)</f>
        <v>30363.86</v>
      </c>
      <c r="M46" s="31"/>
      <c r="S46" s="30"/>
      <c r="T46" s="18"/>
      <c r="U46" s="18"/>
      <c r="V46" s="18"/>
      <c r="W46" s="18"/>
      <c r="X46" s="310" t="s">
        <v>13</v>
      </c>
      <c r="Y46" s="310"/>
      <c r="Z46" s="19">
        <f>AB42</f>
        <v>23164</v>
      </c>
      <c r="AA46" s="360">
        <f>105+40</f>
        <v>145</v>
      </c>
      <c r="AB46" s="20">
        <f t="shared" ref="AB46:AB48" si="30">Z46*AA46</f>
        <v>3358780</v>
      </c>
      <c r="AC46" s="31"/>
      <c r="AG46" s="30"/>
      <c r="AH46" s="18"/>
      <c r="AI46" s="18"/>
      <c r="AJ46" s="18"/>
      <c r="AK46" s="18"/>
      <c r="AL46" s="323"/>
      <c r="AM46" s="324"/>
      <c r="AN46" s="11"/>
      <c r="AO46" s="11"/>
      <c r="AP46" s="193"/>
      <c r="AQ46" s="31"/>
    </row>
    <row r="47" spans="3:43" x14ac:dyDescent="0.25">
      <c r="C47" s="30"/>
      <c r="M47" s="31"/>
      <c r="S47" s="30"/>
      <c r="T47" s="18"/>
      <c r="U47" s="18"/>
      <c r="V47" s="18"/>
      <c r="W47" s="18"/>
      <c r="X47" s="310" t="s">
        <v>386</v>
      </c>
      <c r="Y47" s="310"/>
      <c r="Z47" s="19">
        <f>AB41*1.1</f>
        <v>0</v>
      </c>
      <c r="AA47" s="49">
        <f>94+42</f>
        <v>136</v>
      </c>
      <c r="AB47" s="20">
        <f t="shared" si="30"/>
        <v>0</v>
      </c>
      <c r="AC47" s="31"/>
      <c r="AG47" s="30"/>
      <c r="AL47" s="336"/>
      <c r="AM47" s="337"/>
      <c r="AN47" s="51"/>
      <c r="AO47" s="51"/>
      <c r="AP47" s="235"/>
      <c r="AQ47" s="31"/>
    </row>
    <row r="48" spans="3:43" x14ac:dyDescent="0.25">
      <c r="C48" s="30"/>
      <c r="J48" s="219"/>
      <c r="K48" s="219"/>
      <c r="L48" s="220"/>
      <c r="M48" s="31"/>
      <c r="S48" s="30"/>
      <c r="T48" s="18"/>
      <c r="U48" s="18"/>
      <c r="V48" s="18"/>
      <c r="W48" s="18"/>
      <c r="X48" s="310" t="s">
        <v>33</v>
      </c>
      <c r="Y48" s="310"/>
      <c r="Z48" s="1">
        <f>Y40</f>
        <v>530</v>
      </c>
      <c r="AA48" s="49">
        <v>300</v>
      </c>
      <c r="AB48" s="20">
        <f t="shared" si="30"/>
        <v>159000</v>
      </c>
      <c r="AC48" s="31"/>
      <c r="AG48" s="30"/>
      <c r="AN48" s="304" t="s">
        <v>9</v>
      </c>
      <c r="AO48" s="306"/>
      <c r="AP48" s="2">
        <f>SUM(AP16:AP43)</f>
        <v>43091.89</v>
      </c>
      <c r="AQ48" s="31"/>
    </row>
    <row r="49" spans="3:43" x14ac:dyDescent="0.25">
      <c r="C49" s="30"/>
      <c r="E49" s="1" t="s">
        <v>28</v>
      </c>
      <c r="F49" s="1">
        <f>F11</f>
        <v>1440</v>
      </c>
      <c r="H49" s="310" t="s">
        <v>13</v>
      </c>
      <c r="I49" s="310"/>
      <c r="J49" s="19">
        <f>L46</f>
        <v>30363.86</v>
      </c>
      <c r="K49" s="360">
        <f>105+40</f>
        <v>145</v>
      </c>
      <c r="L49" s="20">
        <f t="shared" ref="L49:L56" si="31">J49*K49</f>
        <v>4402759.7</v>
      </c>
      <c r="M49" s="31"/>
      <c r="S49" s="30"/>
      <c r="T49" s="18"/>
      <c r="U49" s="1" t="s">
        <v>28</v>
      </c>
      <c r="V49" s="1">
        <f>V11</f>
        <v>1080</v>
      </c>
      <c r="W49" s="18"/>
      <c r="X49" s="310" t="s">
        <v>14</v>
      </c>
      <c r="Y49" s="310"/>
      <c r="Z49" s="19">
        <f>Z46*0.2+Z47*0.1</f>
        <v>4632.8</v>
      </c>
      <c r="AA49" s="360">
        <f>80*1.2+40</f>
        <v>136</v>
      </c>
      <c r="AB49" s="20">
        <f>Z49*AA49</f>
        <v>630060.80000000005</v>
      </c>
      <c r="AC49" s="31"/>
      <c r="AG49" s="30"/>
      <c r="AN49" s="219"/>
      <c r="AO49" s="219"/>
      <c r="AP49" s="220"/>
      <c r="AQ49" s="31"/>
    </row>
    <row r="50" spans="3:43" x14ac:dyDescent="0.25">
      <c r="C50" s="30"/>
      <c r="D50" s="18"/>
      <c r="E50" s="1" t="s">
        <v>29</v>
      </c>
      <c r="F50" s="19">
        <f>L61/F49/F52</f>
        <v>28.363165509259261</v>
      </c>
      <c r="G50" s="18"/>
      <c r="H50" s="386" t="s">
        <v>387</v>
      </c>
      <c r="I50" s="386"/>
      <c r="J50" s="19">
        <f>L45*1.05</f>
        <v>0</v>
      </c>
      <c r="K50" s="1">
        <f>90+30+5</f>
        <v>125</v>
      </c>
      <c r="L50" s="20">
        <f t="shared" si="31"/>
        <v>0</v>
      </c>
      <c r="M50" s="31"/>
      <c r="S50" s="30"/>
      <c r="T50" s="18"/>
      <c r="U50" s="1" t="s">
        <v>29</v>
      </c>
      <c r="V50" s="19">
        <f>AB57/V49/V52</f>
        <v>29.454074074074072</v>
      </c>
      <c r="W50" s="18"/>
      <c r="X50" s="310" t="s">
        <v>50</v>
      </c>
      <c r="Y50" s="310"/>
      <c r="Z50" s="1">
        <f>(7.5*4+6.5*4+7.5*2+6.5*4)*2*V7*1.3+8*2*2*1.3+100</f>
        <v>1150.4000000000001</v>
      </c>
      <c r="AA50" s="360">
        <f>85*1.2+60</f>
        <v>162</v>
      </c>
      <c r="AB50" s="20">
        <f>Z50*AA50</f>
        <v>186364.80000000002</v>
      </c>
      <c r="AC50" s="31"/>
      <c r="AG50" s="30"/>
      <c r="AL50" s="310" t="s">
        <v>13</v>
      </c>
      <c r="AM50" s="310"/>
      <c r="AN50" s="19">
        <f>AP48</f>
        <v>43091.89</v>
      </c>
      <c r="AO50" s="408">
        <f>115+30</f>
        <v>145</v>
      </c>
      <c r="AP50" s="20">
        <f>AN50*AO50</f>
        <v>6248324.0499999998</v>
      </c>
      <c r="AQ50" s="31"/>
    </row>
    <row r="51" spans="3:43" x14ac:dyDescent="0.25">
      <c r="C51" s="30"/>
      <c r="D51" s="18"/>
      <c r="E51" s="1" t="s">
        <v>30</v>
      </c>
      <c r="F51" s="19">
        <f>J59</f>
        <v>40842.958333333336</v>
      </c>
      <c r="G51" s="18"/>
      <c r="H51" s="310" t="s">
        <v>33</v>
      </c>
      <c r="I51" s="310"/>
      <c r="J51" s="1">
        <f>I38</f>
        <v>636</v>
      </c>
      <c r="K51" s="49">
        <v>300</v>
      </c>
      <c r="L51" s="20">
        <f t="shared" si="31"/>
        <v>190800</v>
      </c>
      <c r="M51" s="31"/>
      <c r="S51" s="30"/>
      <c r="T51" s="18"/>
      <c r="U51" s="1" t="s">
        <v>30</v>
      </c>
      <c r="V51" s="19">
        <f>Z55</f>
        <v>31810.400000000001</v>
      </c>
      <c r="W51" s="18"/>
      <c r="X51" s="310" t="s">
        <v>15</v>
      </c>
      <c r="Y51" s="310"/>
      <c r="Z51" s="1">
        <f>(Y30/2+Y33/2)*35</f>
        <v>910</v>
      </c>
      <c r="AA51" s="361">
        <f>80*1.1+40</f>
        <v>128</v>
      </c>
      <c r="AB51" s="20">
        <f>Z51*AA51</f>
        <v>116480</v>
      </c>
      <c r="AC51" s="31"/>
      <c r="AG51" s="30"/>
      <c r="AI51" s="1" t="s">
        <v>28</v>
      </c>
      <c r="AJ51" s="1">
        <f>AJ11</f>
        <v>2160</v>
      </c>
      <c r="AL51" s="310"/>
      <c r="AM51" s="310"/>
      <c r="AN51" s="19"/>
      <c r="AO51" s="408"/>
      <c r="AP51" s="20"/>
      <c r="AQ51" s="31"/>
    </row>
    <row r="52" spans="3:43" x14ac:dyDescent="0.25">
      <c r="C52" s="30"/>
      <c r="D52" s="18"/>
      <c r="E52" s="1" t="s">
        <v>32</v>
      </c>
      <c r="F52" s="21">
        <f>L61/J59</f>
        <v>163.87818519185782</v>
      </c>
      <c r="G52" s="18"/>
      <c r="H52" s="310" t="s">
        <v>14</v>
      </c>
      <c r="I52" s="310"/>
      <c r="J52" s="19">
        <f>(J49)*0.2+J50*0.1</f>
        <v>6072.7720000000008</v>
      </c>
      <c r="K52" s="360">
        <f>80*1.2+40</f>
        <v>136</v>
      </c>
      <c r="L52" s="20">
        <f t="shared" si="31"/>
        <v>825896.99200000009</v>
      </c>
      <c r="M52" s="31"/>
      <c r="S52" s="30"/>
      <c r="T52" s="18"/>
      <c r="U52" s="1" t="s">
        <v>32</v>
      </c>
      <c r="V52" s="21">
        <f>AB57/Z55</f>
        <v>187.40449669290544</v>
      </c>
      <c r="W52" s="18"/>
      <c r="X52" s="310" t="s">
        <v>16</v>
      </c>
      <c r="Y52" s="310"/>
      <c r="Z52" s="19">
        <f>Z46*0.05+Z47*0.03</f>
        <v>1158.2</v>
      </c>
      <c r="AA52" s="1">
        <v>200</v>
      </c>
      <c r="AB52" s="20">
        <f>Z52*AA52</f>
        <v>231640</v>
      </c>
      <c r="AC52" s="31"/>
      <c r="AG52" s="30"/>
      <c r="AH52" s="18"/>
      <c r="AI52" s="1" t="s">
        <v>29</v>
      </c>
      <c r="AJ52" s="19">
        <f>AP64/AJ51/AJ54</f>
        <v>27.936980787037037</v>
      </c>
      <c r="AK52" s="18"/>
      <c r="AL52" s="310"/>
      <c r="AM52" s="310"/>
      <c r="AN52" s="19"/>
      <c r="AO52" s="408"/>
      <c r="AP52" s="20"/>
      <c r="AQ52" s="31"/>
    </row>
    <row r="53" spans="3:43" x14ac:dyDescent="0.25">
      <c r="C53" s="30"/>
      <c r="D53" s="18"/>
      <c r="E53" s="1" t="s">
        <v>35</v>
      </c>
      <c r="F53" s="21">
        <f>F54/F49</f>
        <v>4648.1040899537038</v>
      </c>
      <c r="H53" s="310" t="s">
        <v>388</v>
      </c>
      <c r="I53" s="310"/>
      <c r="J53" s="19">
        <f>(5.1+5.4+5.4+9.1)*2*4*1.49*F7/3</f>
        <v>397.33333333333331</v>
      </c>
      <c r="K53" s="1">
        <f>85*1.2+60</f>
        <v>162</v>
      </c>
      <c r="L53" s="20">
        <f t="shared" si="31"/>
        <v>64368</v>
      </c>
      <c r="M53" s="31"/>
      <c r="S53" s="30"/>
      <c r="U53" s="1" t="s">
        <v>35</v>
      </c>
      <c r="V53" s="21">
        <f>V54/V49</f>
        <v>5519.8259274074062</v>
      </c>
      <c r="W53" s="18"/>
      <c r="X53" s="311" t="s">
        <v>394</v>
      </c>
      <c r="Y53" s="312"/>
      <c r="Z53" s="19"/>
      <c r="AA53" s="1"/>
      <c r="AB53" s="20">
        <v>150000</v>
      </c>
      <c r="AC53" s="31"/>
      <c r="AG53" s="30"/>
      <c r="AH53" s="18"/>
      <c r="AI53" s="1" t="s">
        <v>30</v>
      </c>
      <c r="AJ53" s="19">
        <f>AN62</f>
        <v>60343.878499999999</v>
      </c>
      <c r="AK53" s="18"/>
      <c r="AL53" s="409"/>
      <c r="AM53" s="409"/>
      <c r="AN53" s="410"/>
      <c r="AO53" s="408"/>
      <c r="AP53" s="411"/>
      <c r="AQ53" s="31"/>
    </row>
    <row r="54" spans="3:43" x14ac:dyDescent="0.25">
      <c r="C54" s="30"/>
      <c r="D54" s="18"/>
      <c r="E54" s="22" t="s">
        <v>31</v>
      </c>
      <c r="F54" s="23">
        <f>F52*F51</f>
        <v>6693269.8895333335</v>
      </c>
      <c r="G54" s="18"/>
      <c r="H54" s="310" t="s">
        <v>261</v>
      </c>
      <c r="I54" s="310"/>
      <c r="J54" s="19">
        <f>5.8*6*2*F7*2</f>
        <v>556.79999999999995</v>
      </c>
      <c r="K54" s="360">
        <f>85*1.2+60</f>
        <v>162</v>
      </c>
      <c r="L54" s="20">
        <f t="shared" si="31"/>
        <v>90201.599999999991</v>
      </c>
      <c r="M54" s="31"/>
      <c r="S54" s="30"/>
      <c r="U54" s="22" t="s">
        <v>31</v>
      </c>
      <c r="V54" s="23">
        <f>V52*V51</f>
        <v>5961412.0015999991</v>
      </c>
      <c r="W54" s="18"/>
      <c r="X54" s="310" t="s">
        <v>18</v>
      </c>
      <c r="Y54" s="310"/>
      <c r="Z54" s="19">
        <f>Z55</f>
        <v>31810.400000000001</v>
      </c>
      <c r="AA54" s="1">
        <v>1.7</v>
      </c>
      <c r="AB54" s="20">
        <f>Z54*AA54</f>
        <v>54077.68</v>
      </c>
      <c r="AC54" s="31"/>
      <c r="AG54" s="30"/>
      <c r="AH54" s="18"/>
      <c r="AI54" s="1" t="s">
        <v>32</v>
      </c>
      <c r="AJ54" s="21">
        <f>AP64/AN62</f>
        <v>177.42020545298558</v>
      </c>
      <c r="AK54" s="18"/>
      <c r="AL54" s="310" t="s">
        <v>33</v>
      </c>
      <c r="AM54" s="310"/>
      <c r="AN54" s="1">
        <f>AM43</f>
        <v>924</v>
      </c>
      <c r="AO54" s="408">
        <v>300</v>
      </c>
      <c r="AP54" s="20">
        <f t="shared" ref="AP54:AP59" si="32">AN54*AO54</f>
        <v>277200</v>
      </c>
      <c r="AQ54" s="31"/>
    </row>
    <row r="55" spans="3:43" x14ac:dyDescent="0.25">
      <c r="C55" s="30"/>
      <c r="D55" s="18"/>
      <c r="E55" s="18"/>
      <c r="F55" s="18"/>
      <c r="G55" s="121"/>
      <c r="H55" s="310" t="s">
        <v>15</v>
      </c>
      <c r="I55" s="310"/>
      <c r="J55" s="1">
        <f>(I28/2+I31/2+I32/2)*35</f>
        <v>980</v>
      </c>
      <c r="K55" s="361">
        <f>80*1.1+40</f>
        <v>128</v>
      </c>
      <c r="L55" s="20">
        <f t="shared" si="31"/>
        <v>125440</v>
      </c>
      <c r="M55" s="31"/>
      <c r="S55" s="30"/>
      <c r="U55" s="18"/>
      <c r="V55" s="18"/>
      <c r="W55" s="18"/>
      <c r="X55" s="303" t="s">
        <v>36</v>
      </c>
      <c r="Y55" s="303"/>
      <c r="Z55" s="10">
        <f>Z46+Z49+Z50+Z51+Z52+AB40+Z47</f>
        <v>31810.400000000001</v>
      </c>
      <c r="AA55" s="1"/>
      <c r="AB55" s="1"/>
      <c r="AC55" s="31"/>
      <c r="AG55" s="30"/>
      <c r="AH55" s="18"/>
      <c r="AI55" s="1" t="s">
        <v>35</v>
      </c>
      <c r="AJ55" s="21">
        <f>AJ56/AJ51</f>
        <v>4956.5848709722222</v>
      </c>
      <c r="AK55" s="18"/>
      <c r="AL55" s="310" t="s">
        <v>14</v>
      </c>
      <c r="AM55" s="310"/>
      <c r="AN55" s="19">
        <f>(AN50)*0.2+(AN51+AN52)*0.1</f>
        <v>8618.3780000000006</v>
      </c>
      <c r="AO55" s="360">
        <f>80*1.2+40</f>
        <v>136</v>
      </c>
      <c r="AP55" s="20">
        <f t="shared" si="32"/>
        <v>1172099.4080000001</v>
      </c>
      <c r="AQ55" s="31"/>
    </row>
    <row r="56" spans="3:43" x14ac:dyDescent="0.25">
      <c r="C56" s="30"/>
      <c r="D56" s="18"/>
      <c r="E56" s="18"/>
      <c r="F56" s="18"/>
      <c r="G56" s="18"/>
      <c r="H56" s="310" t="s">
        <v>16</v>
      </c>
      <c r="I56" s="310"/>
      <c r="J56" s="19">
        <f>J49*0.05+J50*0.03</f>
        <v>1518.1930000000002</v>
      </c>
      <c r="K56" s="1">
        <v>200</v>
      </c>
      <c r="L56" s="20">
        <f t="shared" si="31"/>
        <v>303638.60000000003</v>
      </c>
      <c r="M56" s="31"/>
      <c r="S56" s="30"/>
      <c r="U56" s="266"/>
      <c r="V56" s="18"/>
      <c r="W56" s="18"/>
      <c r="X56" s="304" t="s">
        <v>17</v>
      </c>
      <c r="Y56" s="305"/>
      <c r="Z56" s="305"/>
      <c r="AA56" s="306"/>
      <c r="AB56" s="24">
        <f>SUM(AB46:AB54)</f>
        <v>4886403.2799999993</v>
      </c>
      <c r="AC56" s="31"/>
      <c r="AG56" s="30"/>
      <c r="AH56" s="18"/>
      <c r="AI56" s="22" t="s">
        <v>31</v>
      </c>
      <c r="AJ56" s="23">
        <f>AJ54*AJ53</f>
        <v>10706223.3213</v>
      </c>
      <c r="AK56" s="18"/>
      <c r="AL56" s="310" t="s">
        <v>388</v>
      </c>
      <c r="AM56" s="310"/>
      <c r="AN56" s="1">
        <f>((5.1+5.4+5.4+9.1)*3*4*1.49*AJ7)*1.5</f>
        <v>2682</v>
      </c>
      <c r="AO56" s="360">
        <f>85*1.2+60</f>
        <v>162</v>
      </c>
      <c r="AP56" s="20">
        <f t="shared" si="32"/>
        <v>434484</v>
      </c>
      <c r="AQ56" s="31"/>
    </row>
    <row r="57" spans="3:43" x14ac:dyDescent="0.25">
      <c r="C57" s="30"/>
      <c r="D57" s="18"/>
      <c r="E57" s="18"/>
      <c r="F57" s="18"/>
      <c r="G57" s="18"/>
      <c r="H57" s="310" t="s">
        <v>175</v>
      </c>
      <c r="I57" s="310"/>
      <c r="J57" s="1"/>
      <c r="K57" s="1"/>
      <c r="L57" s="20"/>
      <c r="M57" s="31"/>
      <c r="S57" s="30"/>
      <c r="U57" s="266"/>
      <c r="V57" s="18"/>
      <c r="W57" s="18"/>
      <c r="X57" s="364" t="s">
        <v>358</v>
      </c>
      <c r="Y57" s="365"/>
      <c r="Z57" s="365"/>
      <c r="AA57" s="366"/>
      <c r="AB57" s="391">
        <f>AB56*1.22</f>
        <v>5961412.0015999991</v>
      </c>
      <c r="AC57" s="31"/>
      <c r="AG57" s="30"/>
      <c r="AH57" s="18"/>
      <c r="AL57" s="310" t="s">
        <v>261</v>
      </c>
      <c r="AM57" s="310"/>
      <c r="AN57" s="19">
        <f>5.8*6*2*AJ7*1.99</f>
        <v>554.01599999999996</v>
      </c>
      <c r="AO57" s="408">
        <f>AO56</f>
        <v>162</v>
      </c>
      <c r="AP57" s="20">
        <f t="shared" si="32"/>
        <v>89750.59199999999</v>
      </c>
      <c r="AQ57" s="31"/>
    </row>
    <row r="58" spans="3:43" x14ac:dyDescent="0.25">
      <c r="C58" s="30"/>
      <c r="D58" s="18"/>
      <c r="E58" s="18"/>
      <c r="F58" s="18"/>
      <c r="G58" s="18"/>
      <c r="H58" s="310" t="s">
        <v>18</v>
      </c>
      <c r="I58" s="310"/>
      <c r="J58" s="19">
        <f>J59</f>
        <v>40842.958333333336</v>
      </c>
      <c r="K58" s="1">
        <v>2</v>
      </c>
      <c r="L58" s="20">
        <f>J58*K58</f>
        <v>81685.916666666672</v>
      </c>
      <c r="M58" s="31"/>
      <c r="S58" s="30"/>
      <c r="U58" s="18"/>
      <c r="V58" s="18"/>
      <c r="W58" s="18"/>
      <c r="X58" s="18"/>
      <c r="Y58" s="18"/>
      <c r="Z58" s="18"/>
      <c r="AA58" s="18"/>
      <c r="AB58" s="18"/>
      <c r="AC58" s="31"/>
      <c r="AG58" s="30"/>
      <c r="AH58" s="18"/>
      <c r="AL58" s="310" t="s">
        <v>15</v>
      </c>
      <c r="AM58" s="310"/>
      <c r="AN58" s="1">
        <f>(AM31/2+AM32/2)*35+(AM35/2+AM36/2+AM37/2)*30</f>
        <v>1395</v>
      </c>
      <c r="AO58" s="361">
        <f>80*1.1+40</f>
        <v>128</v>
      </c>
      <c r="AP58" s="20">
        <f t="shared" si="32"/>
        <v>178560</v>
      </c>
      <c r="AQ58" s="31"/>
    </row>
    <row r="59" spans="3:43" x14ac:dyDescent="0.25">
      <c r="C59" s="30"/>
      <c r="D59" s="18"/>
      <c r="E59" s="18"/>
      <c r="F59" s="18"/>
      <c r="G59" s="18"/>
      <c r="H59" s="303" t="s">
        <v>36</v>
      </c>
      <c r="I59" s="303"/>
      <c r="J59" s="10">
        <f>J49+J50+L38+J52+J53+J54+J55+J56</f>
        <v>40842.958333333336</v>
      </c>
      <c r="K59" s="1"/>
      <c r="L59" s="1"/>
      <c r="M59" s="31"/>
      <c r="S59" s="30"/>
      <c r="U59" s="266"/>
      <c r="V59" s="18"/>
      <c r="AC59" s="31"/>
      <c r="AG59" s="30"/>
      <c r="AH59" s="18"/>
      <c r="AL59" s="310" t="s">
        <v>16</v>
      </c>
      <c r="AM59" s="310"/>
      <c r="AN59" s="19">
        <f>(AN50)*0.05+(AN51+AN52)*0.02</f>
        <v>2154.5945000000002</v>
      </c>
      <c r="AO59" s="1">
        <v>200</v>
      </c>
      <c r="AP59" s="20">
        <f t="shared" si="32"/>
        <v>430918.9</v>
      </c>
      <c r="AQ59" s="31"/>
    </row>
    <row r="60" spans="3:43" x14ac:dyDescent="0.25">
      <c r="C60" s="30"/>
      <c r="D60" s="18"/>
      <c r="E60" s="18"/>
      <c r="F60" s="18"/>
      <c r="G60" s="18"/>
      <c r="H60" s="304" t="s">
        <v>17</v>
      </c>
      <c r="I60" s="305"/>
      <c r="J60" s="305"/>
      <c r="K60" s="306"/>
      <c r="L60" s="24">
        <f>SUM(L49:L58)</f>
        <v>6084790.808666666</v>
      </c>
      <c r="M60" s="31"/>
      <c r="S60" s="30"/>
      <c r="T60" s="33"/>
      <c r="U60" s="33"/>
      <c r="V60" s="33"/>
      <c r="W60" s="33"/>
      <c r="X60" s="33"/>
      <c r="Y60" s="33"/>
      <c r="Z60" s="33"/>
      <c r="AA60" s="33"/>
      <c r="AB60" s="33"/>
      <c r="AC60" s="31"/>
      <c r="AG60" s="30"/>
      <c r="AH60" s="18"/>
      <c r="AL60" s="310"/>
      <c r="AM60" s="310"/>
      <c r="AN60" s="19"/>
      <c r="AO60" s="1"/>
      <c r="AP60" s="20"/>
      <c r="AQ60" s="31"/>
    </row>
    <row r="61" spans="3:43" x14ac:dyDescent="0.25">
      <c r="C61" s="30"/>
      <c r="D61" s="18"/>
      <c r="E61" s="18"/>
      <c r="F61" s="18"/>
      <c r="G61" s="18"/>
      <c r="H61" s="307" t="s">
        <v>134</v>
      </c>
      <c r="I61" s="308"/>
      <c r="J61" s="308"/>
      <c r="K61" s="309"/>
      <c r="L61" s="35">
        <f>L60*1.1</f>
        <v>6693269.8895333335</v>
      </c>
      <c r="M61" s="31"/>
      <c r="N61" s="76"/>
      <c r="AG61" s="30"/>
      <c r="AH61" s="18"/>
      <c r="AL61" s="310" t="s">
        <v>18</v>
      </c>
      <c r="AM61" s="310"/>
      <c r="AN61" s="19">
        <f>AN62</f>
        <v>60343.878499999999</v>
      </c>
      <c r="AO61" s="1">
        <v>1.5</v>
      </c>
      <c r="AP61" s="20">
        <f>AN61*AO61</f>
        <v>90515.817750000002</v>
      </c>
      <c r="AQ61" s="31"/>
    </row>
    <row r="62" spans="3:43" x14ac:dyDescent="0.25">
      <c r="C62" s="30"/>
      <c r="D62" s="18"/>
      <c r="E62" s="18"/>
      <c r="F62" s="18"/>
      <c r="G62" s="18"/>
      <c r="M62" s="31"/>
      <c r="AG62" s="30"/>
      <c r="AH62" s="18"/>
      <c r="AL62" s="303" t="s">
        <v>36</v>
      </c>
      <c r="AM62" s="303"/>
      <c r="AN62" s="10">
        <f>AN50+AN51+AN52+AP43+AN55+AN56+AN57+AN58+AN59+AN53</f>
        <v>60343.878499999999</v>
      </c>
      <c r="AO62" s="1"/>
      <c r="AP62" s="1"/>
      <c r="AQ62" s="31"/>
    </row>
    <row r="63" spans="3:43" x14ac:dyDescent="0.25">
      <c r="C63" s="30"/>
      <c r="M63" s="31"/>
      <c r="AG63" s="30"/>
      <c r="AH63" s="18"/>
      <c r="AL63" s="304" t="s">
        <v>17</v>
      </c>
      <c r="AM63" s="305"/>
      <c r="AN63" s="305"/>
      <c r="AO63" s="306"/>
      <c r="AP63" s="24">
        <f>SUM(AP50:AP61)</f>
        <v>8921852.7677500006</v>
      </c>
      <c r="AQ63" s="31"/>
    </row>
    <row r="64" spans="3:43" x14ac:dyDescent="0.25">
      <c r="C64" s="30"/>
      <c r="M64" s="31"/>
      <c r="AG64" s="30"/>
      <c r="AH64" s="18"/>
      <c r="AK64" s="18"/>
      <c r="AL64" s="307" t="s">
        <v>134</v>
      </c>
      <c r="AM64" s="308"/>
      <c r="AN64" s="308"/>
      <c r="AO64" s="309"/>
      <c r="AP64" s="35">
        <f>AP63*1.2</f>
        <v>10706223.3213</v>
      </c>
      <c r="AQ64" s="31"/>
    </row>
    <row r="65" spans="3:43" x14ac:dyDescent="0.25">
      <c r="C65" s="30"/>
      <c r="D65" s="33"/>
      <c r="E65" s="33"/>
      <c r="F65" s="33"/>
      <c r="G65" s="33"/>
      <c r="H65" s="33"/>
      <c r="I65" s="33"/>
      <c r="J65" s="33"/>
      <c r="K65" s="33"/>
      <c r="L65" s="367"/>
      <c r="M65" s="31"/>
      <c r="AG65" s="30"/>
      <c r="AH65" s="18"/>
      <c r="AK65" s="18"/>
      <c r="AL65" s="18"/>
      <c r="AM65" s="18"/>
      <c r="AN65" s="18"/>
      <c r="AO65" s="18"/>
      <c r="AP65" s="363"/>
      <c r="AQ65" s="31"/>
    </row>
    <row r="66" spans="3:43" x14ac:dyDescent="0.25">
      <c r="AG66" s="30"/>
      <c r="AH66" s="33"/>
      <c r="AI66" s="33"/>
      <c r="AJ66" s="33"/>
      <c r="AK66" s="33"/>
      <c r="AL66" s="33"/>
      <c r="AM66" s="33"/>
      <c r="AN66" s="33"/>
      <c r="AO66" s="33"/>
      <c r="AP66" s="367"/>
      <c r="AQ66" s="31"/>
    </row>
    <row r="67" spans="3:43" x14ac:dyDescent="0.25">
      <c r="AP67" s="76"/>
    </row>
    <row r="69" spans="3:43" x14ac:dyDescent="0.25">
      <c r="AP69" s="212"/>
    </row>
    <row r="70" spans="3:43" x14ac:dyDescent="0.25">
      <c r="N70" s="221"/>
      <c r="O70" s="221"/>
      <c r="P70" s="221"/>
      <c r="Q70" s="221"/>
      <c r="R70" s="221"/>
      <c r="AD70" s="221"/>
      <c r="AE70" s="221"/>
      <c r="AF70" s="221"/>
    </row>
  </sheetData>
  <mergeCells count="52">
    <mergeCell ref="AL62:AM62"/>
    <mergeCell ref="AL63:AO63"/>
    <mergeCell ref="AL64:AO64"/>
    <mergeCell ref="X57:AA57"/>
    <mergeCell ref="AL57:AM57"/>
    <mergeCell ref="AL58:AM58"/>
    <mergeCell ref="AL59:AM59"/>
    <mergeCell ref="AL60:AM60"/>
    <mergeCell ref="AL61:AM61"/>
    <mergeCell ref="X54:Y54"/>
    <mergeCell ref="AL54:AM54"/>
    <mergeCell ref="X55:Y55"/>
    <mergeCell ref="AL55:AM55"/>
    <mergeCell ref="X56:AA56"/>
    <mergeCell ref="AL56:AM56"/>
    <mergeCell ref="X51:Y51"/>
    <mergeCell ref="AL51:AM51"/>
    <mergeCell ref="X52:Y52"/>
    <mergeCell ref="AL52:AM52"/>
    <mergeCell ref="X53:Y53"/>
    <mergeCell ref="AL53:AM53"/>
    <mergeCell ref="X47:Y47"/>
    <mergeCell ref="AL47:AM47"/>
    <mergeCell ref="X48:Y48"/>
    <mergeCell ref="AN48:AO48"/>
    <mergeCell ref="X49:Y49"/>
    <mergeCell ref="X50:Y50"/>
    <mergeCell ref="AL50:AM50"/>
    <mergeCell ref="X41:Y41"/>
    <mergeCell ref="Z42:AA42"/>
    <mergeCell ref="AL44:AM44"/>
    <mergeCell ref="AL45:AM45"/>
    <mergeCell ref="X46:Y46"/>
    <mergeCell ref="AL46:AM46"/>
    <mergeCell ref="H56:I56"/>
    <mergeCell ref="H57:I57"/>
    <mergeCell ref="H58:I58"/>
    <mergeCell ref="H59:I59"/>
    <mergeCell ref="H60:K60"/>
    <mergeCell ref="H61:K61"/>
    <mergeCell ref="H50:I50"/>
    <mergeCell ref="H51:I51"/>
    <mergeCell ref="H52:I52"/>
    <mergeCell ref="H53:I53"/>
    <mergeCell ref="H54:I54"/>
    <mergeCell ref="H55:I55"/>
    <mergeCell ref="H42:I42"/>
    <mergeCell ref="H43:I43"/>
    <mergeCell ref="H44:I44"/>
    <mergeCell ref="H45:I45"/>
    <mergeCell ref="J46:K46"/>
    <mergeCell ref="H49:I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75"/>
  <sheetViews>
    <sheetView topLeftCell="A4" zoomScale="70" zoomScaleNormal="70" workbookViewId="0">
      <selection activeCell="R55" sqref="R55"/>
    </sheetView>
  </sheetViews>
  <sheetFormatPr defaultRowHeight="15" x14ac:dyDescent="0.25"/>
  <cols>
    <col min="3" max="4" width="3.28515625" bestFit="1" customWidth="1"/>
    <col min="5" max="5" width="21" bestFit="1" customWidth="1"/>
    <col min="6" max="6" width="14.140625" customWidth="1"/>
    <col min="7" max="7" width="18.85546875" bestFit="1" customWidth="1"/>
    <col min="8" max="8" width="8" bestFit="1" customWidth="1"/>
    <col min="9" max="9" width="5" bestFit="1" customWidth="1"/>
    <col min="10" max="10" width="11.85546875" bestFit="1" customWidth="1"/>
    <col min="11" max="11" width="6" bestFit="1" customWidth="1"/>
    <col min="12" max="12" width="12" customWidth="1"/>
    <col min="13" max="13" width="3.28515625" bestFit="1" customWidth="1"/>
  </cols>
  <sheetData>
    <row r="1" spans="3:13" ht="216" customHeight="1" x14ac:dyDescent="0.25"/>
    <row r="3" spans="3:13" ht="15.75" thickBot="1" x14ac:dyDescent="0.3">
      <c r="C3" s="27"/>
      <c r="D3" s="28"/>
      <c r="E3" s="28"/>
      <c r="F3" s="28"/>
      <c r="G3" s="28"/>
      <c r="H3" s="28"/>
      <c r="I3" s="28"/>
      <c r="J3" s="28"/>
      <c r="K3" s="28"/>
      <c r="L3" s="28"/>
      <c r="M3" s="29"/>
    </row>
    <row r="4" spans="3:13" ht="19.5" thickBot="1" x14ac:dyDescent="0.35">
      <c r="C4" s="30"/>
      <c r="D4" s="18"/>
      <c r="E4" s="45" t="s">
        <v>47</v>
      </c>
      <c r="F4" s="46">
        <v>12</v>
      </c>
      <c r="G4" s="18" t="s">
        <v>402</v>
      </c>
      <c r="H4" s="18"/>
      <c r="I4" s="18"/>
      <c r="J4" s="412" t="s">
        <v>403</v>
      </c>
      <c r="K4" s="18"/>
      <c r="L4" s="18"/>
      <c r="M4" s="31"/>
    </row>
    <row r="5" spans="3:13" x14ac:dyDescent="0.25">
      <c r="C5" s="30"/>
      <c r="D5" s="18"/>
      <c r="E5" s="44" t="s">
        <v>46</v>
      </c>
      <c r="F5" s="223">
        <v>4</v>
      </c>
      <c r="G5" s="18"/>
      <c r="H5" s="18"/>
      <c r="I5" s="18"/>
      <c r="J5" s="18" t="s">
        <v>404</v>
      </c>
      <c r="K5" s="18"/>
      <c r="L5" s="18"/>
      <c r="M5" s="31"/>
    </row>
    <row r="6" spans="3:13" x14ac:dyDescent="0.25">
      <c r="C6" s="30"/>
      <c r="D6" s="18"/>
      <c r="E6" s="36" t="s">
        <v>51</v>
      </c>
      <c r="F6" s="38">
        <v>4</v>
      </c>
      <c r="G6" s="18"/>
      <c r="H6" s="18"/>
      <c r="I6" s="18"/>
      <c r="J6" s="18"/>
      <c r="K6" s="18"/>
      <c r="L6" s="18"/>
      <c r="M6" s="31"/>
    </row>
    <row r="7" spans="3:13" x14ac:dyDescent="0.25">
      <c r="C7" s="30"/>
      <c r="D7" s="18"/>
      <c r="E7" s="36" t="s">
        <v>64</v>
      </c>
      <c r="F7" s="38">
        <v>3</v>
      </c>
      <c r="G7" s="18" t="s">
        <v>73</v>
      </c>
      <c r="H7" s="18"/>
      <c r="I7" s="18"/>
      <c r="J7" s="18"/>
      <c r="K7" s="18"/>
      <c r="L7" s="18"/>
      <c r="M7" s="31"/>
    </row>
    <row r="8" spans="3:13" x14ac:dyDescent="0.25">
      <c r="C8" s="30"/>
      <c r="D8" s="18"/>
      <c r="E8" s="36" t="s">
        <v>71</v>
      </c>
      <c r="F8" s="38">
        <v>3</v>
      </c>
      <c r="G8" s="18" t="s">
        <v>57</v>
      </c>
      <c r="H8" s="18" t="s">
        <v>56</v>
      </c>
      <c r="I8" s="18"/>
      <c r="J8" s="18"/>
      <c r="K8" s="18"/>
      <c r="L8" s="18"/>
      <c r="M8" s="31"/>
    </row>
    <row r="9" spans="3:13" x14ac:dyDescent="0.25">
      <c r="C9" s="30"/>
      <c r="D9" s="18"/>
      <c r="E9" s="36" t="s">
        <v>52</v>
      </c>
      <c r="F9" s="37">
        <v>6</v>
      </c>
      <c r="G9" s="18"/>
      <c r="H9" s="18"/>
      <c r="I9" s="18"/>
      <c r="J9" s="18"/>
      <c r="K9" s="18"/>
      <c r="L9" s="18"/>
      <c r="M9" s="31"/>
    </row>
    <row r="10" spans="3:13" ht="15.75" thickBot="1" x14ac:dyDescent="0.3">
      <c r="C10" s="30"/>
      <c r="D10" s="18"/>
      <c r="E10" s="36" t="s">
        <v>45</v>
      </c>
      <c r="F10" s="37">
        <f>F6*F9</f>
        <v>24</v>
      </c>
      <c r="G10" s="18"/>
      <c r="H10" s="18"/>
      <c r="I10" s="18"/>
      <c r="J10" s="18"/>
      <c r="K10" s="18"/>
      <c r="L10" s="18"/>
      <c r="M10" s="31"/>
    </row>
    <row r="11" spans="3:13" ht="15.75" thickBot="1" x14ac:dyDescent="0.3">
      <c r="C11" s="30"/>
      <c r="D11" s="18"/>
      <c r="E11" s="39" t="s">
        <v>48</v>
      </c>
      <c r="F11" s="40">
        <f>F4*F10</f>
        <v>288</v>
      </c>
      <c r="G11" s="18"/>
      <c r="H11" s="18"/>
      <c r="I11" s="18"/>
      <c r="J11" s="413" t="s">
        <v>405</v>
      </c>
      <c r="K11" s="18"/>
      <c r="L11" s="18"/>
      <c r="M11" s="31"/>
    </row>
    <row r="12" spans="3:13" x14ac:dyDescent="0.25">
      <c r="C12" s="30"/>
      <c r="D12" s="18"/>
      <c r="E12" s="18"/>
      <c r="F12" s="18"/>
      <c r="G12" s="18"/>
      <c r="H12" s="18"/>
      <c r="I12" s="18"/>
      <c r="J12" s="18"/>
      <c r="K12" s="18"/>
      <c r="L12" s="18"/>
      <c r="M12" s="31"/>
    </row>
    <row r="13" spans="3:13" x14ac:dyDescent="0.25">
      <c r="C13" s="30"/>
      <c r="D13" s="18"/>
      <c r="E13" s="18"/>
      <c r="F13" s="18"/>
      <c r="G13" s="18"/>
      <c r="H13" s="18"/>
      <c r="I13" s="18"/>
      <c r="J13" s="18"/>
      <c r="K13" s="18"/>
      <c r="L13" s="18"/>
      <c r="M13" s="31"/>
    </row>
    <row r="14" spans="3:13" x14ac:dyDescent="0.25">
      <c r="C14" s="30"/>
      <c r="D14" s="18"/>
      <c r="E14" s="18"/>
      <c r="F14" s="18"/>
      <c r="G14" s="18"/>
      <c r="H14" s="18"/>
      <c r="I14" s="18"/>
      <c r="J14" s="18"/>
      <c r="K14" s="18"/>
      <c r="L14" s="18"/>
      <c r="M14" s="31"/>
    </row>
    <row r="15" spans="3:13" x14ac:dyDescent="0.25">
      <c r="C15" s="30"/>
      <c r="D15" s="302" t="s">
        <v>8</v>
      </c>
      <c r="E15" s="302" t="s">
        <v>0</v>
      </c>
      <c r="F15" s="302" t="s">
        <v>1</v>
      </c>
      <c r="G15" s="302" t="s">
        <v>2</v>
      </c>
      <c r="H15" s="302" t="s">
        <v>4</v>
      </c>
      <c r="I15" s="302" t="s">
        <v>3</v>
      </c>
      <c r="J15" s="302" t="s">
        <v>5</v>
      </c>
      <c r="K15" s="302" t="s">
        <v>6</v>
      </c>
      <c r="L15" s="302" t="s">
        <v>7</v>
      </c>
      <c r="M15" s="31"/>
    </row>
    <row r="16" spans="3:13" x14ac:dyDescent="0.25">
      <c r="C16" s="30"/>
      <c r="D16" s="1">
        <v>1</v>
      </c>
      <c r="E16" s="1" t="s">
        <v>21</v>
      </c>
      <c r="F16" s="1" t="s">
        <v>27</v>
      </c>
      <c r="G16" s="372" t="s">
        <v>353</v>
      </c>
      <c r="H16" s="1">
        <f>F4*1000/2*1.03</f>
        <v>6180</v>
      </c>
      <c r="I16" s="1">
        <f>(2+2*F6)*2</f>
        <v>20</v>
      </c>
      <c r="J16" s="372">
        <f>H16/1000*I16</f>
        <v>123.6</v>
      </c>
      <c r="K16" s="372">
        <v>7.2</v>
      </c>
      <c r="L16" s="373">
        <f>J16*K16</f>
        <v>889.92</v>
      </c>
      <c r="M16" s="31"/>
    </row>
    <row r="17" spans="3:13" x14ac:dyDescent="0.25">
      <c r="C17" s="30"/>
      <c r="D17" s="1">
        <f>D16+1</f>
        <v>2</v>
      </c>
      <c r="E17" s="1" t="s">
        <v>275</v>
      </c>
      <c r="F17" s="1"/>
      <c r="G17" s="176" t="s">
        <v>406</v>
      </c>
      <c r="H17" s="1">
        <f>F4/2*1000</f>
        <v>6000</v>
      </c>
      <c r="I17" s="1">
        <f>(F6-1)*2*2</f>
        <v>12</v>
      </c>
      <c r="J17" s="176">
        <f>H17/1000*I17</f>
        <v>72</v>
      </c>
      <c r="K17" s="176">
        <v>3.3</v>
      </c>
      <c r="L17" s="414">
        <f>J17*K17</f>
        <v>237.6</v>
      </c>
      <c r="M17" s="31"/>
    </row>
    <row r="18" spans="3:13" x14ac:dyDescent="0.25">
      <c r="C18" s="30"/>
      <c r="D18" s="1">
        <f t="shared" ref="D18:D19" si="0">D17+1</f>
        <v>3</v>
      </c>
      <c r="E18" s="1" t="s">
        <v>66</v>
      </c>
      <c r="F18" s="1" t="s">
        <v>67</v>
      </c>
      <c r="G18" s="176" t="s">
        <v>406</v>
      </c>
      <c r="H18" s="1">
        <v>1800</v>
      </c>
      <c r="I18" s="1">
        <f>(F6-1)*2</f>
        <v>6</v>
      </c>
      <c r="J18" s="176">
        <f t="shared" ref="J18:J20" si="1">H18/1000*I18</f>
        <v>10.8</v>
      </c>
      <c r="K18" s="176">
        <v>3.3</v>
      </c>
      <c r="L18" s="414">
        <f t="shared" ref="L18:L20" si="2">J18*K18</f>
        <v>35.64</v>
      </c>
      <c r="M18" s="31"/>
    </row>
    <row r="19" spans="3:13" x14ac:dyDescent="0.25">
      <c r="C19" s="30"/>
      <c r="D19" s="1">
        <f t="shared" si="0"/>
        <v>4</v>
      </c>
      <c r="E19" s="1" t="s">
        <v>65</v>
      </c>
      <c r="F19" s="1" t="s">
        <v>68</v>
      </c>
      <c r="G19" s="176" t="s">
        <v>406</v>
      </c>
      <c r="H19" s="1">
        <v>2200</v>
      </c>
      <c r="I19" s="1">
        <f>(F6-1)*2*4</f>
        <v>24</v>
      </c>
      <c r="J19" s="176">
        <f t="shared" si="1"/>
        <v>52.800000000000004</v>
      </c>
      <c r="K19" s="176">
        <v>3.3</v>
      </c>
      <c r="L19" s="414">
        <f t="shared" si="2"/>
        <v>174.24</v>
      </c>
      <c r="M19" s="31"/>
    </row>
    <row r="20" spans="3:13" x14ac:dyDescent="0.25">
      <c r="C20" s="30"/>
      <c r="D20" s="1">
        <f>D19+1</f>
        <v>5</v>
      </c>
      <c r="E20" s="1" t="s">
        <v>65</v>
      </c>
      <c r="F20" s="1" t="s">
        <v>68</v>
      </c>
      <c r="G20" s="176" t="s">
        <v>406</v>
      </c>
      <c r="H20" s="1">
        <v>2000</v>
      </c>
      <c r="I20" s="1">
        <f>(F6-1)*2*4</f>
        <v>24</v>
      </c>
      <c r="J20" s="176">
        <f t="shared" si="1"/>
        <v>48</v>
      </c>
      <c r="K20" s="176">
        <v>3.3</v>
      </c>
      <c r="L20" s="414">
        <f t="shared" si="2"/>
        <v>158.39999999999998</v>
      </c>
      <c r="M20" s="31"/>
    </row>
    <row r="21" spans="3:13" x14ac:dyDescent="0.25">
      <c r="C21" s="30"/>
      <c r="D21" s="1">
        <f t="shared" ref="D21:D35" si="3">D20+1</f>
        <v>6</v>
      </c>
      <c r="E21" s="1" t="s">
        <v>121</v>
      </c>
      <c r="F21" s="1" t="s">
        <v>122</v>
      </c>
      <c r="G21" s="372" t="s">
        <v>353</v>
      </c>
      <c r="H21" s="1">
        <f>H22</f>
        <v>6000</v>
      </c>
      <c r="I21" s="1">
        <f>I18/2</f>
        <v>3</v>
      </c>
      <c r="J21" s="372">
        <f>H21/1000*I21</f>
        <v>18</v>
      </c>
      <c r="K21" s="372">
        <v>7.2</v>
      </c>
      <c r="L21" s="373">
        <f>J21*K21</f>
        <v>129.6</v>
      </c>
      <c r="M21" s="31"/>
    </row>
    <row r="22" spans="3:13" x14ac:dyDescent="0.25">
      <c r="C22" s="30"/>
      <c r="D22" s="1">
        <f t="shared" si="3"/>
        <v>7</v>
      </c>
      <c r="E22" s="1" t="s">
        <v>23</v>
      </c>
      <c r="F22" s="1" t="s">
        <v>24</v>
      </c>
      <c r="G22" s="372" t="s">
        <v>353</v>
      </c>
      <c r="H22" s="1">
        <f>F9*1000</f>
        <v>6000</v>
      </c>
      <c r="I22" s="1">
        <f>10*F6</f>
        <v>40</v>
      </c>
      <c r="J22" s="372">
        <f>H22/1000*I22</f>
        <v>240</v>
      </c>
      <c r="K22" s="372">
        <v>7.2</v>
      </c>
      <c r="L22" s="373">
        <f>J22*K22</f>
        <v>1728</v>
      </c>
      <c r="M22" s="31"/>
    </row>
    <row r="23" spans="3:13" x14ac:dyDescent="0.25">
      <c r="C23" s="30"/>
      <c r="D23" s="1">
        <f t="shared" si="3"/>
        <v>8</v>
      </c>
      <c r="E23" s="1" t="s">
        <v>41</v>
      </c>
      <c r="F23" s="1" t="s">
        <v>42</v>
      </c>
      <c r="G23" s="372" t="s">
        <v>353</v>
      </c>
      <c r="H23" s="1">
        <f>F5*1000</f>
        <v>4000</v>
      </c>
      <c r="I23" s="1">
        <f>4+4*F6</f>
        <v>20</v>
      </c>
      <c r="J23" s="372">
        <f>H23/1000*I23</f>
        <v>80</v>
      </c>
      <c r="K23" s="372">
        <v>7.2</v>
      </c>
      <c r="L23" s="373">
        <f>J23*K23</f>
        <v>576</v>
      </c>
      <c r="M23" s="31"/>
    </row>
    <row r="24" spans="3:13" x14ac:dyDescent="0.25">
      <c r="C24" s="30"/>
      <c r="D24" s="1">
        <f t="shared" si="3"/>
        <v>9</v>
      </c>
      <c r="E24" s="1" t="s">
        <v>94</v>
      </c>
      <c r="F24" s="1" t="s">
        <v>25</v>
      </c>
      <c r="G24" s="372" t="s">
        <v>353</v>
      </c>
      <c r="H24" s="1">
        <f>F9*1000</f>
        <v>6000</v>
      </c>
      <c r="I24" s="1">
        <f>2*F6*F8</f>
        <v>24</v>
      </c>
      <c r="J24" s="372">
        <f>H24/1000*I24</f>
        <v>144</v>
      </c>
      <c r="K24" s="372">
        <v>7.2</v>
      </c>
      <c r="L24" s="373">
        <f>J24*K24</f>
        <v>1036.8</v>
      </c>
      <c r="M24" s="31"/>
    </row>
    <row r="25" spans="3:13" x14ac:dyDescent="0.25">
      <c r="C25" s="30"/>
      <c r="D25" s="1">
        <f t="shared" si="3"/>
        <v>10</v>
      </c>
      <c r="E25" s="1" t="s">
        <v>60</v>
      </c>
      <c r="F25" s="1" t="s">
        <v>58</v>
      </c>
      <c r="G25" s="372" t="s">
        <v>353</v>
      </c>
      <c r="H25" s="1">
        <f>H23+1800</f>
        <v>5800</v>
      </c>
      <c r="I25" s="1">
        <f>2*3</f>
        <v>6</v>
      </c>
      <c r="J25" s="372">
        <f>H25/1000*I25</f>
        <v>34.799999999999997</v>
      </c>
      <c r="K25" s="372">
        <v>7.2</v>
      </c>
      <c r="L25" s="373">
        <f>J25*K25</f>
        <v>250.55999999999997</v>
      </c>
      <c r="M25" s="31"/>
    </row>
    <row r="26" spans="3:13" x14ac:dyDescent="0.25">
      <c r="C26" s="30"/>
      <c r="D26" s="1">
        <f t="shared" si="3"/>
        <v>11</v>
      </c>
      <c r="E26" s="1"/>
      <c r="F26" s="1"/>
      <c r="G26" s="5"/>
      <c r="H26" s="1"/>
      <c r="I26" s="1"/>
      <c r="J26" s="5"/>
      <c r="K26" s="5"/>
      <c r="L26" s="369"/>
      <c r="M26" s="31"/>
    </row>
    <row r="27" spans="3:13" x14ac:dyDescent="0.25">
      <c r="C27" s="30"/>
      <c r="D27" s="1">
        <f t="shared" si="3"/>
        <v>12</v>
      </c>
      <c r="E27" s="1" t="s">
        <v>96</v>
      </c>
      <c r="F27" s="1" t="s">
        <v>79</v>
      </c>
      <c r="G27" s="372" t="s">
        <v>353</v>
      </c>
      <c r="H27" s="1">
        <v>6000</v>
      </c>
      <c r="I27" s="1">
        <f>3*2</f>
        <v>6</v>
      </c>
      <c r="J27" s="372">
        <f>H27/1000*I27</f>
        <v>36</v>
      </c>
      <c r="K27" s="372">
        <v>7.2</v>
      </c>
      <c r="L27" s="373">
        <f>J27*K27</f>
        <v>259.2</v>
      </c>
      <c r="M27" s="31"/>
    </row>
    <row r="28" spans="3:13" x14ac:dyDescent="0.25">
      <c r="C28" s="30"/>
      <c r="D28" s="1"/>
      <c r="E28" s="1" t="s">
        <v>96</v>
      </c>
      <c r="F28" s="1" t="s">
        <v>79</v>
      </c>
      <c r="G28" s="372" t="s">
        <v>353</v>
      </c>
      <c r="H28" s="1">
        <v>5000</v>
      </c>
      <c r="I28" s="1">
        <v>2</v>
      </c>
      <c r="J28" s="372">
        <f>H28/1000*I28</f>
        <v>10</v>
      </c>
      <c r="K28" s="372">
        <v>7.2</v>
      </c>
      <c r="L28" s="373">
        <f>J28*K28</f>
        <v>72</v>
      </c>
      <c r="M28" s="31"/>
    </row>
    <row r="29" spans="3:13" x14ac:dyDescent="0.25">
      <c r="C29" s="30"/>
      <c r="D29" s="1"/>
      <c r="E29" s="1" t="s">
        <v>96</v>
      </c>
      <c r="F29" s="1" t="s">
        <v>79</v>
      </c>
      <c r="G29" s="372" t="s">
        <v>353</v>
      </c>
      <c r="H29" s="1">
        <v>3500</v>
      </c>
      <c r="I29" s="1">
        <v>4</v>
      </c>
      <c r="J29" s="372">
        <f>H29/1000*I29</f>
        <v>14</v>
      </c>
      <c r="K29" s="372">
        <v>7.2</v>
      </c>
      <c r="L29" s="373">
        <f>J29*K29</f>
        <v>100.8</v>
      </c>
      <c r="M29" s="31"/>
    </row>
    <row r="30" spans="3:13" x14ac:dyDescent="0.25">
      <c r="C30" s="30"/>
      <c r="D30" s="1"/>
      <c r="E30" s="1" t="s">
        <v>344</v>
      </c>
      <c r="F30" s="1" t="s">
        <v>58</v>
      </c>
      <c r="G30" s="372" t="s">
        <v>353</v>
      </c>
      <c r="H30" s="1">
        <f>H23</f>
        <v>4000</v>
      </c>
      <c r="I30" s="1">
        <v>4</v>
      </c>
      <c r="J30" s="372">
        <f>H30/1000*I30</f>
        <v>16</v>
      </c>
      <c r="K30" s="372">
        <v>7.2</v>
      </c>
      <c r="L30" s="373">
        <f>J30*K30</f>
        <v>115.2</v>
      </c>
      <c r="M30" s="31"/>
    </row>
    <row r="31" spans="3:13" x14ac:dyDescent="0.25">
      <c r="C31" s="30"/>
      <c r="D31" s="1">
        <f t="shared" si="3"/>
        <v>1</v>
      </c>
      <c r="E31" s="1" t="s">
        <v>385</v>
      </c>
      <c r="F31" s="1" t="s">
        <v>58</v>
      </c>
      <c r="G31" s="372" t="s">
        <v>353</v>
      </c>
      <c r="H31" s="1">
        <v>1200</v>
      </c>
      <c r="I31" s="1">
        <v>8</v>
      </c>
      <c r="J31" s="372">
        <f t="shared" ref="J31:J32" si="4">H31/1000*I31</f>
        <v>9.6</v>
      </c>
      <c r="K31" s="372">
        <v>7.2</v>
      </c>
      <c r="L31" s="373">
        <f t="shared" ref="L31:L32" si="5">J31*K31</f>
        <v>69.12</v>
      </c>
      <c r="M31" s="31"/>
    </row>
    <row r="32" spans="3:13" x14ac:dyDescent="0.25">
      <c r="C32" s="30"/>
      <c r="D32" s="1">
        <f t="shared" si="3"/>
        <v>2</v>
      </c>
      <c r="E32" s="1" t="s">
        <v>346</v>
      </c>
      <c r="F32" s="1" t="s">
        <v>58</v>
      </c>
      <c r="G32" s="372" t="s">
        <v>353</v>
      </c>
      <c r="H32" s="1">
        <v>2100</v>
      </c>
      <c r="I32" s="1">
        <v>4</v>
      </c>
      <c r="J32" s="372">
        <f t="shared" si="4"/>
        <v>8.4</v>
      </c>
      <c r="K32" s="372">
        <v>7.2</v>
      </c>
      <c r="L32" s="373">
        <f t="shared" si="5"/>
        <v>60.480000000000004</v>
      </c>
      <c r="M32" s="31"/>
    </row>
    <row r="33" spans="3:13" x14ac:dyDescent="0.25">
      <c r="C33" s="30"/>
      <c r="D33" s="1"/>
      <c r="E33" s="1"/>
      <c r="F33" s="1"/>
      <c r="G33" s="372"/>
      <c r="H33" s="1"/>
      <c r="I33" s="1"/>
      <c r="J33" s="372"/>
      <c r="K33" s="372"/>
      <c r="L33" s="373"/>
      <c r="M33" s="31"/>
    </row>
    <row r="34" spans="3:13" x14ac:dyDescent="0.25">
      <c r="C34" s="30"/>
      <c r="D34" s="1" t="e">
        <f>#REF!+1</f>
        <v>#REF!</v>
      </c>
      <c r="E34" s="1"/>
      <c r="F34" s="1"/>
      <c r="G34" s="25"/>
      <c r="H34" s="1"/>
      <c r="I34" s="1"/>
      <c r="J34" s="25"/>
      <c r="K34" s="25"/>
      <c r="L34" s="351"/>
      <c r="M34" s="31"/>
    </row>
    <row r="35" spans="3:13" x14ac:dyDescent="0.25">
      <c r="C35" s="30"/>
      <c r="D35" s="1" t="e">
        <f t="shared" si="3"/>
        <v>#REF!</v>
      </c>
      <c r="E35" s="1" t="s">
        <v>10</v>
      </c>
      <c r="F35" s="1" t="s">
        <v>11</v>
      </c>
      <c r="G35" s="25">
        <v>2.5</v>
      </c>
      <c r="H35" s="1"/>
      <c r="I35" s="1">
        <f>(I21+I22+I24+I27+I31+I32+I29+I28+I33)*2</f>
        <v>182</v>
      </c>
      <c r="J35" s="25"/>
      <c r="K35" s="25">
        <v>1.5</v>
      </c>
      <c r="L35" s="351">
        <f>I35*K35</f>
        <v>273</v>
      </c>
      <c r="M35" s="31"/>
    </row>
    <row r="36" spans="3:13" x14ac:dyDescent="0.25">
      <c r="C36" s="30"/>
      <c r="D36" s="18"/>
      <c r="E36" s="18"/>
      <c r="F36" s="18"/>
      <c r="H36" s="338"/>
      <c r="I36" s="339"/>
      <c r="J36" s="415"/>
      <c r="K36" s="185"/>
      <c r="L36" s="415"/>
      <c r="M36" s="31"/>
    </row>
    <row r="37" spans="3:13" x14ac:dyDescent="0.25">
      <c r="C37" s="30"/>
      <c r="E37" s="18"/>
      <c r="F37" s="18"/>
      <c r="G37" s="18"/>
      <c r="H37" s="323"/>
      <c r="I37" s="324"/>
      <c r="J37" s="14"/>
      <c r="K37" s="13"/>
      <c r="L37" s="14"/>
      <c r="M37" s="31"/>
    </row>
    <row r="38" spans="3:13" x14ac:dyDescent="0.25">
      <c r="C38" s="30"/>
      <c r="D38" s="18"/>
      <c r="E38" s="18"/>
      <c r="F38" s="18"/>
      <c r="G38" s="18"/>
      <c r="H38" s="317"/>
      <c r="I38" s="318"/>
      <c r="J38" s="85"/>
      <c r="K38" s="84"/>
      <c r="L38" s="85"/>
      <c r="M38" s="31"/>
    </row>
    <row r="39" spans="3:13" x14ac:dyDescent="0.25">
      <c r="C39" s="30"/>
      <c r="D39" s="18"/>
      <c r="H39" s="307"/>
      <c r="I39" s="309"/>
      <c r="J39" s="7"/>
      <c r="K39" s="6"/>
      <c r="L39" s="7"/>
      <c r="M39" s="31"/>
    </row>
    <row r="40" spans="3:13" x14ac:dyDescent="0.25">
      <c r="C40" s="30"/>
      <c r="D40" s="18"/>
      <c r="H40" s="340"/>
      <c r="I40" s="341"/>
      <c r="J40" s="9"/>
      <c r="K40" s="8"/>
      <c r="L40" s="9"/>
      <c r="M40" s="31"/>
    </row>
    <row r="41" spans="3:13" x14ac:dyDescent="0.25">
      <c r="C41" s="30"/>
      <c r="D41" s="18"/>
      <c r="E41" s="18"/>
      <c r="F41" s="18"/>
      <c r="G41" s="18"/>
      <c r="J41" s="304" t="s">
        <v>9</v>
      </c>
      <c r="K41" s="306"/>
      <c r="L41" s="2">
        <f>SUM(L16:L34)</f>
        <v>5893.5599999999995</v>
      </c>
      <c r="M41" s="31"/>
    </row>
    <row r="42" spans="3:13" x14ac:dyDescent="0.25">
      <c r="C42" s="30"/>
      <c r="D42" s="18"/>
      <c r="E42" s="18"/>
      <c r="F42" s="18"/>
      <c r="G42" s="18"/>
      <c r="J42" s="18"/>
      <c r="K42" s="18"/>
      <c r="L42" s="18"/>
      <c r="M42" s="31"/>
    </row>
    <row r="43" spans="3:13" x14ac:dyDescent="0.25">
      <c r="C43" s="30"/>
      <c r="D43" s="18"/>
      <c r="E43" s="18"/>
      <c r="F43" s="18"/>
      <c r="G43" s="18"/>
      <c r="J43" s="18"/>
      <c r="K43" s="18"/>
      <c r="L43" s="18"/>
      <c r="M43" s="31"/>
    </row>
    <row r="44" spans="3:13" x14ac:dyDescent="0.25">
      <c r="C44" s="30"/>
      <c r="D44" s="18"/>
      <c r="E44" s="18"/>
      <c r="F44" s="18"/>
      <c r="G44" s="18"/>
      <c r="J44" s="18"/>
      <c r="K44" s="18"/>
      <c r="L44" s="18"/>
      <c r="M44" s="31"/>
    </row>
    <row r="45" spans="3:13" x14ac:dyDescent="0.25">
      <c r="C45" s="30"/>
      <c r="D45" s="18"/>
      <c r="E45" s="18"/>
      <c r="F45" s="18"/>
      <c r="G45" s="18"/>
      <c r="H45" s="310" t="s">
        <v>13</v>
      </c>
      <c r="I45" s="310"/>
      <c r="J45" s="19">
        <f>L41</f>
        <v>5893.5599999999995</v>
      </c>
      <c r="K45" s="360">
        <f>105+40</f>
        <v>145</v>
      </c>
      <c r="L45" s="20">
        <f t="shared" ref="L45" si="6">J45*K45</f>
        <v>854566.2</v>
      </c>
      <c r="M45" s="31"/>
    </row>
    <row r="46" spans="3:13" x14ac:dyDescent="0.25">
      <c r="C46" s="30"/>
      <c r="D46" s="18"/>
      <c r="E46" s="18"/>
      <c r="F46" s="18"/>
      <c r="G46" s="18"/>
      <c r="H46" s="310"/>
      <c r="I46" s="310"/>
      <c r="J46" s="1"/>
      <c r="K46" s="1"/>
      <c r="L46" s="20"/>
      <c r="M46" s="31"/>
    </row>
    <row r="47" spans="3:13" x14ac:dyDescent="0.25">
      <c r="C47" s="30"/>
      <c r="D47" s="18"/>
      <c r="E47" s="18"/>
      <c r="F47" s="18"/>
      <c r="G47" s="18"/>
      <c r="H47" s="310" t="s">
        <v>33</v>
      </c>
      <c r="I47" s="310"/>
      <c r="J47" s="1">
        <f>I35</f>
        <v>182</v>
      </c>
      <c r="K47" s="1">
        <v>300</v>
      </c>
      <c r="L47" s="20">
        <f t="shared" ref="L47" si="7">J47*K47</f>
        <v>54600</v>
      </c>
      <c r="M47" s="31"/>
    </row>
    <row r="48" spans="3:13" x14ac:dyDescent="0.25">
      <c r="C48" s="30"/>
      <c r="D48" s="18"/>
      <c r="E48" s="1" t="s">
        <v>28</v>
      </c>
      <c r="F48" s="1">
        <f>F11</f>
        <v>288</v>
      </c>
      <c r="G48" s="18"/>
      <c r="H48" s="310" t="s">
        <v>14</v>
      </c>
      <c r="I48" s="310"/>
      <c r="J48" s="19">
        <f>J45*0.2</f>
        <v>1178.712</v>
      </c>
      <c r="K48" s="360">
        <f>80*1.2+40</f>
        <v>136</v>
      </c>
      <c r="L48" s="20">
        <f>J48*K48</f>
        <v>160304.83199999999</v>
      </c>
      <c r="M48" s="31"/>
    </row>
    <row r="49" spans="3:13" x14ac:dyDescent="0.25">
      <c r="C49" s="30"/>
      <c r="D49" s="18"/>
      <c r="E49" s="1" t="s">
        <v>29</v>
      </c>
      <c r="F49" s="19">
        <f>L56/F48/F51</f>
        <v>29.70815972222222</v>
      </c>
      <c r="G49" s="18"/>
      <c r="H49" s="310" t="s">
        <v>50</v>
      </c>
      <c r="I49" s="310"/>
      <c r="J49" s="1">
        <f>(6*2+6*6)*2*F7*1.3+8*2*2*1.3</f>
        <v>416.00000000000006</v>
      </c>
      <c r="K49" s="360">
        <f>85*1.2+60</f>
        <v>162</v>
      </c>
      <c r="L49" s="20">
        <f>J49*K49</f>
        <v>67392.000000000015</v>
      </c>
      <c r="M49" s="31"/>
    </row>
    <row r="50" spans="3:13" x14ac:dyDescent="0.25">
      <c r="C50" s="30"/>
      <c r="D50" s="18"/>
      <c r="E50" s="1" t="s">
        <v>30</v>
      </c>
      <c r="F50" s="19">
        <f>J54</f>
        <v>8555.9499999999989</v>
      </c>
      <c r="G50" s="18"/>
      <c r="H50" s="310" t="s">
        <v>15</v>
      </c>
      <c r="I50" s="310"/>
      <c r="J50" s="1">
        <f>(I23/2)*35+(I25/2+I30/2)*30</f>
        <v>500</v>
      </c>
      <c r="K50" s="361">
        <f>80*1.1+40</f>
        <v>128</v>
      </c>
      <c r="L50" s="20">
        <f>J50*K50</f>
        <v>64000</v>
      </c>
      <c r="M50" s="31"/>
    </row>
    <row r="51" spans="3:13" x14ac:dyDescent="0.25">
      <c r="C51" s="30"/>
      <c r="D51" s="18"/>
      <c r="E51" s="1" t="s">
        <v>32</v>
      </c>
      <c r="F51" s="21">
        <f>L56/J54</f>
        <v>183.89088276579457</v>
      </c>
      <c r="G51" s="18"/>
      <c r="H51" s="310" t="s">
        <v>16</v>
      </c>
      <c r="I51" s="310"/>
      <c r="J51" s="19">
        <f>J45*0.05</f>
        <v>294.678</v>
      </c>
      <c r="K51" s="1">
        <v>200</v>
      </c>
      <c r="L51" s="20">
        <f>J51*K51</f>
        <v>58935.6</v>
      </c>
      <c r="M51" s="31"/>
    </row>
    <row r="52" spans="3:13" x14ac:dyDescent="0.25">
      <c r="C52" s="30"/>
      <c r="D52" s="18"/>
      <c r="E52" s="1" t="s">
        <v>35</v>
      </c>
      <c r="F52" s="21">
        <f>F53/F48</f>
        <v>5463.0597166666666</v>
      </c>
      <c r="G52" s="18"/>
      <c r="H52" s="311" t="s">
        <v>140</v>
      </c>
      <c r="I52" s="312"/>
      <c r="J52" s="19"/>
      <c r="K52" s="1"/>
      <c r="L52" s="20"/>
      <c r="M52" s="31"/>
    </row>
    <row r="53" spans="3:13" x14ac:dyDescent="0.25">
      <c r="C53" s="30"/>
      <c r="D53" s="18"/>
      <c r="E53" s="22" t="s">
        <v>31</v>
      </c>
      <c r="F53" s="23">
        <f>F51*F50</f>
        <v>1573361.1983999999</v>
      </c>
      <c r="G53" s="18"/>
      <c r="H53" s="310" t="s">
        <v>18</v>
      </c>
      <c r="I53" s="310"/>
      <c r="J53" s="19">
        <f>J54</f>
        <v>8555.9499999999989</v>
      </c>
      <c r="K53" s="1">
        <v>6</v>
      </c>
      <c r="L53" s="20">
        <f>J53*K53</f>
        <v>51335.7</v>
      </c>
      <c r="M53" s="31"/>
    </row>
    <row r="54" spans="3:13" x14ac:dyDescent="0.25">
      <c r="C54" s="30"/>
      <c r="D54" s="18"/>
      <c r="E54" s="18"/>
      <c r="F54" s="18"/>
      <c r="G54" s="18"/>
      <c r="H54" s="303" t="s">
        <v>36</v>
      </c>
      <c r="I54" s="303"/>
      <c r="J54" s="10">
        <f>J45+J48+J49+J50+J51+L34+L35</f>
        <v>8555.9499999999989</v>
      </c>
      <c r="K54" s="1"/>
      <c r="L54" s="1"/>
      <c r="M54" s="31"/>
    </row>
    <row r="55" spans="3:13" x14ac:dyDescent="0.25">
      <c r="C55" s="30"/>
      <c r="D55" s="18"/>
      <c r="E55" s="22"/>
      <c r="F55" s="23"/>
      <c r="G55" s="18"/>
      <c r="H55" s="304" t="s">
        <v>17</v>
      </c>
      <c r="I55" s="305"/>
      <c r="J55" s="305"/>
      <c r="K55" s="306"/>
      <c r="L55" s="24">
        <f>SUM(L45:L53)</f>
        <v>1311134.3319999999</v>
      </c>
      <c r="M55" s="31"/>
    </row>
    <row r="56" spans="3:13" x14ac:dyDescent="0.25">
      <c r="C56" s="30"/>
      <c r="D56" s="18"/>
      <c r="E56" s="22"/>
      <c r="F56" s="23"/>
      <c r="G56" s="18"/>
      <c r="H56" s="307" t="s">
        <v>134</v>
      </c>
      <c r="I56" s="308"/>
      <c r="J56" s="308"/>
      <c r="K56" s="309"/>
      <c r="L56" s="35">
        <f>L55*1.2</f>
        <v>1573361.1983999999</v>
      </c>
      <c r="M56" s="31"/>
    </row>
    <row r="57" spans="3:13" x14ac:dyDescent="0.25">
      <c r="C57" s="30"/>
      <c r="D57" s="18"/>
      <c r="E57" s="18"/>
      <c r="F57" s="18"/>
      <c r="G57" s="18"/>
      <c r="H57" s="18"/>
      <c r="I57" s="18"/>
      <c r="J57" s="18"/>
      <c r="K57" s="18"/>
      <c r="L57" s="18"/>
      <c r="M57" s="31"/>
    </row>
    <row r="58" spans="3:13" x14ac:dyDescent="0.25">
      <c r="C58" s="32"/>
      <c r="D58" s="33"/>
      <c r="E58" s="33"/>
      <c r="F58" s="33"/>
      <c r="G58" s="33"/>
      <c r="H58" s="33"/>
      <c r="I58" s="33"/>
      <c r="J58" s="33"/>
      <c r="K58" s="33"/>
      <c r="L58" s="33"/>
      <c r="M58" s="34"/>
    </row>
    <row r="61" spans="3:13" x14ac:dyDescent="0.25">
      <c r="E61" s="416" t="s">
        <v>407</v>
      </c>
    </row>
    <row r="62" spans="3:13" x14ac:dyDescent="0.25">
      <c r="E62" s="1" t="s">
        <v>408</v>
      </c>
      <c r="F62" s="1"/>
      <c r="G62" s="372" t="s">
        <v>409</v>
      </c>
      <c r="H62" s="1">
        <f>4200*2+3800+3800</f>
        <v>16000</v>
      </c>
      <c r="I62" s="1">
        <v>1</v>
      </c>
      <c r="J62" s="372">
        <f t="shared" ref="J62:J68" si="8">H62/1000*I62</f>
        <v>16</v>
      </c>
      <c r="K62" s="372">
        <v>5.2</v>
      </c>
      <c r="L62" s="373">
        <f t="shared" ref="L62:L68" si="9">J62*K62</f>
        <v>83.2</v>
      </c>
    </row>
    <row r="63" spans="3:13" x14ac:dyDescent="0.25">
      <c r="E63" s="1" t="s">
        <v>344</v>
      </c>
      <c r="F63" s="1"/>
      <c r="G63" s="372" t="s">
        <v>409</v>
      </c>
      <c r="H63" s="1">
        <v>4200</v>
      </c>
      <c r="I63" s="1">
        <v>4</v>
      </c>
      <c r="J63" s="372">
        <f t="shared" si="8"/>
        <v>16.8</v>
      </c>
      <c r="K63" s="372">
        <v>5.2</v>
      </c>
      <c r="L63" s="373">
        <f t="shared" si="9"/>
        <v>87.360000000000014</v>
      </c>
    </row>
    <row r="64" spans="3:13" x14ac:dyDescent="0.25">
      <c r="E64" s="1" t="s">
        <v>344</v>
      </c>
      <c r="F64" s="1"/>
      <c r="G64" s="372" t="s">
        <v>409</v>
      </c>
      <c r="H64" s="1">
        <v>1950</v>
      </c>
      <c r="I64" s="1">
        <f>4+4</f>
        <v>8</v>
      </c>
      <c r="J64" s="372">
        <f t="shared" si="8"/>
        <v>15.6</v>
      </c>
      <c r="K64" s="372">
        <v>5.2</v>
      </c>
      <c r="L64" s="373">
        <f t="shared" si="9"/>
        <v>81.12</v>
      </c>
    </row>
    <row r="65" spans="3:13" x14ac:dyDescent="0.25">
      <c r="E65" s="1" t="s">
        <v>410</v>
      </c>
      <c r="F65" s="1"/>
      <c r="G65" s="372" t="s">
        <v>411</v>
      </c>
      <c r="H65" s="1">
        <f>H63</f>
        <v>4200</v>
      </c>
      <c r="I65" s="1">
        <v>4</v>
      </c>
      <c r="J65" s="372">
        <f t="shared" si="8"/>
        <v>16.8</v>
      </c>
      <c r="K65" s="372">
        <v>4.25</v>
      </c>
      <c r="L65" s="373">
        <f t="shared" si="9"/>
        <v>71.400000000000006</v>
      </c>
    </row>
    <row r="66" spans="3:13" x14ac:dyDescent="0.25">
      <c r="E66" s="1" t="s">
        <v>344</v>
      </c>
      <c r="F66" s="1"/>
      <c r="G66" s="372" t="s">
        <v>411</v>
      </c>
      <c r="H66" s="1">
        <f>H64</f>
        <v>1950</v>
      </c>
      <c r="I66" s="1">
        <f>4+4</f>
        <v>8</v>
      </c>
      <c r="J66" s="372">
        <f t="shared" si="8"/>
        <v>15.6</v>
      </c>
      <c r="K66" s="372">
        <v>4.25</v>
      </c>
      <c r="L66" s="373">
        <f t="shared" si="9"/>
        <v>66.3</v>
      </c>
    </row>
    <row r="67" spans="3:13" x14ac:dyDescent="0.25">
      <c r="E67" s="1" t="s">
        <v>412</v>
      </c>
      <c r="F67" s="1"/>
      <c r="G67" s="372" t="s">
        <v>411</v>
      </c>
      <c r="H67" s="1">
        <v>2400</v>
      </c>
      <c r="I67" s="1">
        <v>4</v>
      </c>
      <c r="J67" s="372">
        <f t="shared" si="8"/>
        <v>9.6</v>
      </c>
      <c r="K67" s="372">
        <v>4.25</v>
      </c>
      <c r="L67" s="373">
        <f t="shared" si="9"/>
        <v>40.799999999999997</v>
      </c>
    </row>
    <row r="68" spans="3:13" x14ac:dyDescent="0.25">
      <c r="E68" s="1" t="s">
        <v>413</v>
      </c>
      <c r="F68" s="1"/>
      <c r="G68" s="372" t="s">
        <v>414</v>
      </c>
      <c r="H68" s="1">
        <f>H63*4+H64*12</f>
        <v>40200</v>
      </c>
      <c r="I68" s="1">
        <v>1</v>
      </c>
      <c r="J68" s="372">
        <f t="shared" si="8"/>
        <v>40.200000000000003</v>
      </c>
      <c r="K68" s="372">
        <v>1.49</v>
      </c>
      <c r="L68" s="373">
        <f t="shared" si="9"/>
        <v>59.898000000000003</v>
      </c>
    </row>
    <row r="69" spans="3:13" x14ac:dyDescent="0.25">
      <c r="E69" s="1" t="s">
        <v>413</v>
      </c>
      <c r="F69" s="1"/>
      <c r="G69" s="372"/>
      <c r="H69" s="1"/>
      <c r="I69" s="1"/>
      <c r="J69" s="417"/>
      <c r="K69" s="417"/>
      <c r="L69" s="418">
        <v>60</v>
      </c>
    </row>
    <row r="70" spans="3:13" x14ac:dyDescent="0.25">
      <c r="C70" s="419"/>
      <c r="D70" s="419"/>
      <c r="E70" s="419"/>
      <c r="F70" s="419"/>
      <c r="G70" s="419"/>
      <c r="H70" s="419"/>
      <c r="I70" s="419"/>
      <c r="J70" s="420" t="s">
        <v>415</v>
      </c>
      <c r="K70" s="370"/>
      <c r="L70" s="421">
        <f>SUM(L62:L69)</f>
        <v>550.07800000000009</v>
      </c>
      <c r="M70" s="419"/>
    </row>
    <row r="71" spans="3:13" x14ac:dyDescent="0.25">
      <c r="E71" s="416" t="s">
        <v>416</v>
      </c>
    </row>
    <row r="72" spans="3:13" x14ac:dyDescent="0.25">
      <c r="E72" s="1" t="s">
        <v>408</v>
      </c>
      <c r="F72" s="1"/>
      <c r="G72" s="372" t="s">
        <v>417</v>
      </c>
      <c r="H72" s="1">
        <f>2100*2+1000*4</f>
        <v>8200</v>
      </c>
      <c r="I72" s="1">
        <v>1</v>
      </c>
      <c r="J72" s="372">
        <f>H72/1000*I72</f>
        <v>8.1999999999999993</v>
      </c>
      <c r="K72" s="372">
        <v>2.5</v>
      </c>
      <c r="L72" s="373">
        <f>J72*K72</f>
        <v>20.5</v>
      </c>
    </row>
    <row r="73" spans="3:13" x14ac:dyDescent="0.25">
      <c r="E73" s="1" t="s">
        <v>408</v>
      </c>
      <c r="F73" s="1"/>
      <c r="G73" s="372">
        <v>-6</v>
      </c>
      <c r="H73" s="1">
        <f>2100*2+1000*2</f>
        <v>6200</v>
      </c>
      <c r="I73" s="1">
        <v>1</v>
      </c>
      <c r="J73" s="372">
        <f>H73/1000*I73</f>
        <v>6.2</v>
      </c>
      <c r="K73" s="372">
        <v>2.5</v>
      </c>
      <c r="L73" s="373">
        <f>J73*K73</f>
        <v>15.5</v>
      </c>
    </row>
    <row r="75" spans="3:13" x14ac:dyDescent="0.25">
      <c r="J75" s="420" t="s">
        <v>415</v>
      </c>
      <c r="K75" s="370"/>
      <c r="L75" s="421">
        <f>L72+L73</f>
        <v>36</v>
      </c>
    </row>
  </sheetData>
  <mergeCells count="18">
    <mergeCell ref="H56:K56"/>
    <mergeCell ref="H36:I36"/>
    <mergeCell ref="H37:I37"/>
    <mergeCell ref="H38:I38"/>
    <mergeCell ref="H39:I39"/>
    <mergeCell ref="H40:I40"/>
    <mergeCell ref="J41:K41"/>
    <mergeCell ref="H45:I45"/>
    <mergeCell ref="H55:K55"/>
    <mergeCell ref="H50:I50"/>
    <mergeCell ref="H51:I51"/>
    <mergeCell ref="H52:I52"/>
    <mergeCell ref="H53:I53"/>
    <mergeCell ref="H54:I54"/>
    <mergeCell ref="H46:I46"/>
    <mergeCell ref="H47:I47"/>
    <mergeCell ref="H48:I48"/>
    <mergeCell ref="H49:I4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5"/>
  <sheetViews>
    <sheetView tabSelected="1" workbookViewId="0">
      <selection activeCell="G4" sqref="G4"/>
    </sheetView>
  </sheetViews>
  <sheetFormatPr defaultRowHeight="15.75" x14ac:dyDescent="0.25"/>
  <cols>
    <col min="1" max="2" width="9.140625" style="393"/>
    <col min="3" max="3" width="15.5703125" style="393" bestFit="1" customWidth="1"/>
    <col min="4" max="4" width="9.140625" style="393"/>
    <col min="5" max="5" width="14.7109375" style="393" bestFit="1" customWidth="1"/>
    <col min="6" max="16384" width="9.140625" style="393"/>
  </cols>
  <sheetData>
    <row r="1" spans="3:8" x14ac:dyDescent="0.25">
      <c r="C1" s="394" t="s">
        <v>0</v>
      </c>
      <c r="D1" s="394"/>
      <c r="E1" s="394" t="s">
        <v>396</v>
      </c>
    </row>
    <row r="2" spans="3:8" x14ac:dyDescent="0.25">
      <c r="C2" s="392" t="s">
        <v>359</v>
      </c>
      <c r="D2" s="392" t="s">
        <v>395</v>
      </c>
      <c r="E2" s="392">
        <v>1100</v>
      </c>
      <c r="G2" s="393" t="s">
        <v>418</v>
      </c>
      <c r="H2" s="393" t="s">
        <v>419</v>
      </c>
    </row>
    <row r="3" spans="3:8" x14ac:dyDescent="0.25">
      <c r="C3" s="392" t="s">
        <v>338</v>
      </c>
      <c r="D3" s="392" t="s">
        <v>395</v>
      </c>
      <c r="E3" s="392">
        <v>3300</v>
      </c>
    </row>
    <row r="4" spans="3:8" x14ac:dyDescent="0.25">
      <c r="C4" s="392"/>
      <c r="D4" s="392"/>
      <c r="E4" s="392"/>
      <c r="G4" s="393" t="s">
        <v>420</v>
      </c>
      <c r="H4" s="393" t="s">
        <v>421</v>
      </c>
    </row>
    <row r="5" spans="3:8" x14ac:dyDescent="0.25">
      <c r="C5" s="392"/>
      <c r="D5" s="392"/>
      <c r="E5" s="39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До 300 м2</vt:lpstr>
      <vt:lpstr>Сельхоз</vt:lpstr>
      <vt:lpstr>Склад производство</vt:lpstr>
      <vt:lpstr>Гараж, автосервис</vt:lpstr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2026-06-11T12:23:14Z</dcterms:modified>
</cp:coreProperties>
</file>