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ère année" sheetId="1" state="visible" r:id="rId3"/>
    <sheet name="2ème année" sheetId="2" state="visible" r:id="rId4"/>
    <sheet name="3ème année" sheetId="3" state="visible" r:id="rId5"/>
    <sheet name="GC-BTS" sheetId="4" state="visible" r:id="rId6"/>
    <sheet name="année stage" sheetId="5" state="visible" r:id="rId7"/>
    <sheet name="Ingénieurs" sheetId="6" state="visible" r:id="rId8"/>
    <sheet name="A_IGNORER_1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<sst xmlns="http://schemas.openxmlformats.org/spreadsheetml/2006/main" count="1437" uniqueCount="644">
  <si>
    <t xml:space="preserve">             EFFECTIF 2007-2008</t>
  </si>
  <si>
    <r>
      <rPr>
        <b val="true"/>
        <i val="true"/>
        <sz val="14"/>
        <rFont val="Arial"/>
        <family val="2"/>
        <charset val="1"/>
      </rPr>
      <t xml:space="preserve">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  - 1ère Année</t>
    </r>
  </si>
  <si>
    <t xml:space="preserve">N° </t>
  </si>
  <si>
    <t xml:space="preserve">Nom et Prénoms</t>
  </si>
  <si>
    <t xml:space="preserve">Mont. Versé</t>
  </si>
  <si>
    <t xml:space="preserve">Restant dû</t>
  </si>
  <si>
    <t xml:space="preserve">Total</t>
  </si>
  <si>
    <t xml:space="preserve">n°1</t>
  </si>
  <si>
    <t xml:space="preserve">ADIMI Esaie O. Samuel</t>
  </si>
  <si>
    <t xml:space="preserve">n°2</t>
  </si>
  <si>
    <t xml:space="preserve">ADJADI Radji</t>
  </si>
  <si>
    <t xml:space="preserve">n°3</t>
  </si>
  <si>
    <t xml:space="preserve">ADJAFIDE Valentin </t>
  </si>
  <si>
    <t xml:space="preserve">n°4</t>
  </si>
  <si>
    <t xml:space="preserve">ADOMOU K. Joseph</t>
  </si>
  <si>
    <t xml:space="preserve">n°5</t>
  </si>
  <si>
    <t xml:space="preserve">AGBENONZAN Irenée E.</t>
  </si>
  <si>
    <t xml:space="preserve">n°6</t>
  </si>
  <si>
    <t xml:space="preserve">AGBESSI Anasthase</t>
  </si>
  <si>
    <t xml:space="preserve">n°7</t>
  </si>
  <si>
    <t xml:space="preserve">AIGBE Eric Faulkner</t>
  </si>
  <si>
    <t xml:space="preserve">n°8</t>
  </si>
  <si>
    <t xml:space="preserve">AKPAKA Léon Pascal</t>
  </si>
  <si>
    <t xml:space="preserve">n°9</t>
  </si>
  <si>
    <t xml:space="preserve">AKPAN V. Simplice Franck</t>
  </si>
  <si>
    <t xml:space="preserve">n°10</t>
  </si>
  <si>
    <t xml:space="preserve">ALAPINI Rock</t>
  </si>
  <si>
    <t xml:space="preserve">n°11</t>
  </si>
  <si>
    <t xml:space="preserve">ALASSANE A. Moussa</t>
  </si>
  <si>
    <t xml:space="preserve">n°12</t>
  </si>
  <si>
    <t xml:space="preserve">ALAYE Herman</t>
  </si>
  <si>
    <t xml:space="preserve">n°13</t>
  </si>
  <si>
    <t xml:space="preserve">AMOUSSOU Thierry L. G.</t>
  </si>
  <si>
    <t xml:space="preserve">n°14</t>
  </si>
  <si>
    <t xml:space="preserve">ASSOGBA L. Séraphin Guy</t>
  </si>
  <si>
    <t xml:space="preserve">n°15</t>
  </si>
  <si>
    <t xml:space="preserve">ATCHAHOUE C. Gilbert</t>
  </si>
  <si>
    <t xml:space="preserve">n°16</t>
  </si>
  <si>
    <t xml:space="preserve">BABAGUIDE K. Waliou</t>
  </si>
  <si>
    <t xml:space="preserve">n°17</t>
  </si>
  <si>
    <t xml:space="preserve">BARKA Ikoro Tairou G.</t>
  </si>
  <si>
    <t xml:space="preserve">n°18</t>
  </si>
  <si>
    <t xml:space="preserve">CHOGOLOU O. Renaud</t>
  </si>
  <si>
    <t xml:space="preserve">n°19</t>
  </si>
  <si>
    <t xml:space="preserve">DANGBE Narcisse Esdras</t>
  </si>
  <si>
    <t xml:space="preserve">n°20</t>
  </si>
  <si>
    <t xml:space="preserve">DASSI A. Crespin Amour</t>
  </si>
  <si>
    <t xml:space="preserve">n°21</t>
  </si>
  <si>
    <t xml:space="preserve">DJOMATIN S. Victor A.</t>
  </si>
  <si>
    <t xml:space="preserve">n°22</t>
  </si>
  <si>
    <t xml:space="preserve">DJONOU Koffi</t>
  </si>
  <si>
    <t xml:space="preserve">n°23</t>
  </si>
  <si>
    <t xml:space="preserve">DJOSSOU Comlan Roger</t>
  </si>
  <si>
    <t xml:space="preserve">n°24</t>
  </si>
  <si>
    <t xml:space="preserve">DOVONOU G. Victorin</t>
  </si>
  <si>
    <t xml:space="preserve">n°25</t>
  </si>
  <si>
    <t xml:space="preserve"> DJOUA Falcao Morel</t>
  </si>
  <si>
    <t xml:space="preserve">n°26</t>
  </si>
  <si>
    <t xml:space="preserve">GANGNON T. Boris</t>
  </si>
  <si>
    <t xml:space="preserve">n°27</t>
  </si>
  <si>
    <t xml:space="preserve">GBAGUIDI A. Patrick S.</t>
  </si>
  <si>
    <t xml:space="preserve">n°28</t>
  </si>
  <si>
    <t xml:space="preserve">GANHOU Félicien</t>
  </si>
  <si>
    <t xml:space="preserve">n°29</t>
  </si>
  <si>
    <t xml:space="preserve">GNACADJA S. Bénédicta</t>
  </si>
  <si>
    <t xml:space="preserve">n°30</t>
  </si>
  <si>
    <t xml:space="preserve">GNONHOUE Eric Wilfried</t>
  </si>
  <si>
    <t xml:space="preserve">n°31</t>
  </si>
  <si>
    <t xml:space="preserve">IDRISSOU Bounonyaminou</t>
  </si>
  <si>
    <t xml:space="preserve">n°32</t>
  </si>
  <si>
    <t xml:space="preserve">IMGBA Williame N'so</t>
  </si>
  <si>
    <t xml:space="preserve">n°33</t>
  </si>
  <si>
    <t xml:space="preserve">KASSA Armand Comlan </t>
  </si>
  <si>
    <t xml:space="preserve">n°34</t>
  </si>
  <si>
    <t xml:space="preserve">KOUASSI Joel</t>
  </si>
  <si>
    <t xml:space="preserve">n°35</t>
  </si>
  <si>
    <t xml:space="preserve">KOUCOUBOU G. Roland</t>
  </si>
  <si>
    <t xml:space="preserve">n°36</t>
  </si>
  <si>
    <t xml:space="preserve">MONGUEDE Bruno Roméo</t>
  </si>
  <si>
    <t xml:space="preserve">n°37</t>
  </si>
  <si>
    <t xml:space="preserve">QUENUM Henri</t>
  </si>
  <si>
    <t xml:space="preserve">n°38</t>
  </si>
  <si>
    <t xml:space="preserve">QUENUM Kossi</t>
  </si>
  <si>
    <t xml:space="preserve">n°39</t>
  </si>
  <si>
    <t xml:space="preserve">SEGOUN Prudence Gérard</t>
  </si>
  <si>
    <t xml:space="preserve">n°40</t>
  </si>
  <si>
    <t xml:space="preserve">SOSSOU Spéro Martial</t>
  </si>
  <si>
    <t xml:space="preserve">n°41</t>
  </si>
  <si>
    <t xml:space="preserve">SYLVAIN NASSAM DJAFO</t>
  </si>
  <si>
    <t xml:space="preserve">n°42</t>
  </si>
  <si>
    <t xml:space="preserve">TCHOROUE Sonita Pierre</t>
  </si>
  <si>
    <t xml:space="preserve">n°43</t>
  </si>
  <si>
    <t xml:space="preserve">THOKPON Rufine</t>
  </si>
  <si>
    <t xml:space="preserve">n°44</t>
  </si>
  <si>
    <t xml:space="preserve">TONON Constant Dossou</t>
  </si>
  <si>
    <t xml:space="preserve">n°45</t>
  </si>
  <si>
    <t xml:space="preserve">VARISSOU Idriss Arsène</t>
  </si>
  <si>
    <t xml:space="preserve">n°46</t>
  </si>
  <si>
    <t xml:space="preserve">VIVENOU Clément N.</t>
  </si>
  <si>
    <t xml:space="preserve">n°47</t>
  </si>
  <si>
    <t xml:space="preserve">YOMBO Etienne</t>
  </si>
  <si>
    <t xml:space="preserve">TOTAL</t>
  </si>
  <si>
    <t xml:space="preserve">PRODUCTION ANIMALE (LIC. PROF.)  - 1ère Année 2007-2008</t>
  </si>
  <si>
    <t xml:space="preserve">AGBANLIN A.Geoffroy</t>
  </si>
  <si>
    <t xml:space="preserve">AHOLOU Raoul Baudouin</t>
  </si>
  <si>
    <t xml:space="preserve">AHOSSI Chalus Macoorie</t>
  </si>
  <si>
    <t xml:space="preserve">ALASSANE Bourhanath</t>
  </si>
  <si>
    <t xml:space="preserve">AMIDOU Ibrahima</t>
  </si>
  <si>
    <t xml:space="preserve">ATEMBA Kossi Grégoire</t>
  </si>
  <si>
    <t xml:space="preserve">AZONGNIDE B. Franck</t>
  </si>
  <si>
    <t xml:space="preserve">BANI KOGUI SALLOU</t>
  </si>
  <si>
    <t xml:space="preserve">DAMBO Urielle A. Ninon</t>
  </si>
  <si>
    <t xml:space="preserve">DEBLEO Legrand Sylère</t>
  </si>
  <si>
    <t xml:space="preserve">DEGUENON Olivier Cyprien</t>
  </si>
  <si>
    <t xml:space="preserve">DJIBRIL A. Sharafa Dine</t>
  </si>
  <si>
    <t xml:space="preserve">DJOSSOU A. M. Rodrigue</t>
  </si>
  <si>
    <t xml:space="preserve">MAMA Assouma</t>
  </si>
  <si>
    <t xml:space="preserve">OGOU A. Joel</t>
  </si>
  <si>
    <t xml:space="preserve">SETAMOU Orou Koto</t>
  </si>
  <si>
    <t xml:space="preserve">TEKODJINAN Théodule</t>
  </si>
  <si>
    <t xml:space="preserve">TOVIEHOU A. Blanche</t>
  </si>
  <si>
    <t xml:space="preserve">YACOUBOU A Sidicou </t>
  </si>
  <si>
    <t xml:space="preserve">VISSOH A. M. Ange Ephrem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</si>
  <si>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ELECTRIQUE (LIC. PROF.)  - 1ère Année</t>
    </r>
  </si>
  <si>
    <t xml:space="preserve">ACHOUKPA D. Romuald</t>
  </si>
  <si>
    <t xml:space="preserve">AGLO Vincent</t>
  </si>
  <si>
    <t xml:space="preserve">AGLOBOE K. Gyres F.</t>
  </si>
  <si>
    <t xml:space="preserve">ATCHOU Séraphin</t>
  </si>
  <si>
    <t xml:space="preserve">AWOUDJINOU Sourou</t>
  </si>
  <si>
    <t xml:space="preserve">BALOGOUN Lidwine Ines</t>
  </si>
  <si>
    <t xml:space="preserve">D'ALMEIDA T. Narcisse C.</t>
  </si>
  <si>
    <t xml:space="preserve">DAA-GOUNON T. Claude</t>
  </si>
  <si>
    <t xml:space="preserve">De MONTAGUER Léonce</t>
  </si>
  <si>
    <t xml:space="preserve">HOUEHA K. A. Rodrigue</t>
  </si>
  <si>
    <t xml:space="preserve">HOUNTONNAGNON Edith</t>
  </si>
  <si>
    <t xml:space="preserve">HOUNDJO Mawudjro</t>
  </si>
  <si>
    <t xml:space="preserve">KINKPE S. Dieudonne</t>
  </si>
  <si>
    <t xml:space="preserve">KOUASSI K. Fulgence</t>
  </si>
  <si>
    <t xml:space="preserve">NANGBE Médard Innocent</t>
  </si>
  <si>
    <t xml:space="preserve">SEFANDE Patema M. E.</t>
  </si>
  <si>
    <t xml:space="preserve">SOGLOHOUN Albert</t>
  </si>
  <si>
    <t xml:space="preserve">SOVI-GUIDI Baudouin</t>
  </si>
  <si>
    <r>
      <rPr>
        <b val="true"/>
        <i val="true"/>
        <sz val="14"/>
        <rFont val="Arial"/>
        <family val="2"/>
        <charset val="1"/>
      </rPr>
      <t xml:space="preserve"> </t>
    </r>
    <r>
      <rPr>
        <b val="true"/>
        <i val="true"/>
        <u val="single"/>
        <sz val="14"/>
        <rFont val="Arial"/>
        <family val="2"/>
        <charset val="1"/>
      </rPr>
      <t xml:space="preserve">HYDRAULIQUE (LIC. PROF.)  - 1ère Année 2007-2008</t>
    </r>
  </si>
  <si>
    <t xml:space="preserve">ADJALALA P. Jolliet</t>
  </si>
  <si>
    <t xml:space="preserve">AHOGLE G. Ghislain</t>
  </si>
  <si>
    <t xml:space="preserve">AHOMADIKPOHOU Médard</t>
  </si>
  <si>
    <t xml:space="preserve">AHOUANGONOU N. Jean</t>
  </si>
  <si>
    <t xml:space="preserve">AITCHEOU Marius</t>
  </si>
  <si>
    <t xml:space="preserve">AMADAH Malwane</t>
  </si>
  <si>
    <t xml:space="preserve">AZIAKOU Donald W.</t>
  </si>
  <si>
    <t xml:space="preserve">BOCO S. Romaric Camporé</t>
  </si>
  <si>
    <t xml:space="preserve">Charafa OLAHANMI</t>
  </si>
  <si>
    <t xml:space="preserve">DEGNON K. Jean-Marie</t>
  </si>
  <si>
    <t xml:space="preserve">HOUESSIONON A. Serge</t>
  </si>
  <si>
    <t xml:space="preserve">M'PO KOUAGOU Eugène</t>
  </si>
  <si>
    <t xml:space="preserve">MESSAN E. Samuel</t>
  </si>
  <si>
    <t xml:space="preserve">OUOROU Ignace</t>
  </si>
  <si>
    <t xml:space="preserve">OROU BATA Toukourou</t>
  </si>
  <si>
    <t xml:space="preserve">SOH A. Elie</t>
  </si>
  <si>
    <t xml:space="preserve">TAIROU A. Nourou</t>
  </si>
  <si>
    <t xml:space="preserve">VITOULEY M. Aristide</t>
  </si>
  <si>
    <t xml:space="preserve">YESSIN W. Rodrigue</t>
  </si>
  <si>
    <t xml:space="preserve">ZANCLAN B. Yves</t>
  </si>
  <si>
    <t xml:space="preserve">ZANMENOU André</t>
  </si>
  <si>
    <r>
      <rPr>
        <b val="true"/>
        <i val="true"/>
        <sz val="14"/>
        <rFont val="Arial"/>
        <family val="2"/>
        <charset val="1"/>
      </rPr>
      <t xml:space="preserve"> </t>
    </r>
    <r>
      <rPr>
        <b val="true"/>
        <i val="true"/>
        <u val="single"/>
        <sz val="14"/>
        <rFont val="Arial"/>
        <family val="2"/>
        <charset val="1"/>
      </rPr>
      <t xml:space="preserve">GESTION DE L'ENVIRONNEMENT (LIC. PROF.)  - 1ère Année</t>
    </r>
  </si>
  <si>
    <t xml:space="preserve">ADJIBI OSSENI Razak</t>
  </si>
  <si>
    <t xml:space="preserve">AGOSSE Ambroise</t>
  </si>
  <si>
    <t xml:space="preserve">AGUI Roger</t>
  </si>
  <si>
    <t xml:space="preserve">AYETOLOU D. Jérémie</t>
  </si>
  <si>
    <t xml:space="preserve">EDJADESSIBA Marc</t>
  </si>
  <si>
    <t xml:space="preserve">GANMENON Kponou I.</t>
  </si>
  <si>
    <t xml:space="preserve">GNANHOUI S. Corentin</t>
  </si>
  <si>
    <t xml:space="preserve">HOUNTONDJI Ernest</t>
  </si>
  <si>
    <t xml:space="preserve">HOUNTON HOUNGBE M.</t>
  </si>
  <si>
    <t xml:space="preserve">KOUHOLI Clétus Osar</t>
  </si>
  <si>
    <t xml:space="preserve">KOUMASSEGBO K. Armel</t>
  </si>
  <si>
    <t xml:space="preserve">KOUNLE A. Gabriel</t>
  </si>
  <si>
    <t xml:space="preserve">KPOTON Gilbert</t>
  </si>
  <si>
    <t xml:space="preserve">N'VENIHOUNDE H. H.</t>
  </si>
  <si>
    <t xml:space="preserve">YANGUENON Coffi B.</t>
  </si>
  <si>
    <t xml:space="preserve">ZANDAGBA Glawdys</t>
  </si>
  <si>
    <t xml:space="preserve">ZINSALO S. Rodrigue</t>
  </si>
  <si>
    <t xml:space="preserve">          TOTAL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</si>
  <si>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PRODUCTION VEGETALE (LIC. PROF.)  1ére Année</t>
    </r>
  </si>
  <si>
    <t xml:space="preserve">ADEGNIKA Moïse O.</t>
  </si>
  <si>
    <t xml:space="preserve">ADIMOU F. Gilbert Eméric</t>
  </si>
  <si>
    <t xml:space="preserve">AGOHOUNDJE Victor</t>
  </si>
  <si>
    <t xml:space="preserve">AKPAHOUNKE Bernard</t>
  </si>
  <si>
    <t xml:space="preserve">AMOUSSOU Mathias G. M.</t>
  </si>
  <si>
    <t xml:space="preserve">ANDO S. Jocelyne Emma</t>
  </si>
  <si>
    <t xml:space="preserve">ASSANI Zacharie</t>
  </si>
  <si>
    <t xml:space="preserve">ATCHADE C. Bernice</t>
  </si>
  <si>
    <t xml:space="preserve">CHABI WARO W. Brice</t>
  </si>
  <si>
    <t xml:space="preserve">CHAPARGUI Sabira W.</t>
  </si>
  <si>
    <t xml:space="preserve">DADY DAVO Stanislas G.</t>
  </si>
  <si>
    <t xml:space="preserve">DETCHENOU Arnaud</t>
  </si>
  <si>
    <t xml:space="preserve">DJAKPO M. Térence</t>
  </si>
  <si>
    <t xml:space="preserve">DJOGNIBO C. Edison</t>
  </si>
  <si>
    <t xml:space="preserve">DOSSOU YOVO Alice</t>
  </si>
  <si>
    <t xml:space="preserve">EFFIBOLEY Aurel C.P. S.</t>
  </si>
  <si>
    <t xml:space="preserve">EFFIBOLEY Hervé Marie-L.</t>
  </si>
  <si>
    <t xml:space="preserve">FADEGNON David Assuan</t>
  </si>
  <si>
    <t xml:space="preserve">GNITANGNI M. Diane</t>
  </si>
  <si>
    <t xml:space="preserve">HODJIGUE Gildas</t>
  </si>
  <si>
    <t xml:space="preserve">HOUNDAKENOU Appolinair</t>
  </si>
  <si>
    <t xml:space="preserve">HOUNKANRIN S. Juste</t>
  </si>
  <si>
    <t xml:space="preserve">KODO A. Emmanuel</t>
  </si>
  <si>
    <t xml:space="preserve">KOHOSSI Euloge Stéves D.</t>
  </si>
  <si>
    <t xml:space="preserve">LEGBA B. Ines</t>
  </si>
  <si>
    <t xml:space="preserve">MITCKODIGNIN N. Gildas</t>
  </si>
  <si>
    <t xml:space="preserve">MONTCHO M. Potus</t>
  </si>
  <si>
    <t xml:space="preserve">OLOUKOTOUN O. B. Marc</t>
  </si>
  <si>
    <t xml:space="preserve">SAVI C. Ferdinand</t>
  </si>
  <si>
    <t xml:space="preserve">SOGLO C. Armand</t>
  </si>
  <si>
    <t xml:space="preserve">SOGLO Rodrigue Constant</t>
  </si>
  <si>
    <t xml:space="preserve">SOSSOU D. Ghislain P.</t>
  </si>
  <si>
    <t xml:space="preserve">VIGAN Murielle Christelle D.</t>
  </si>
  <si>
    <t xml:space="preserve">ZINSE Cosme</t>
  </si>
  <si>
    <t xml:space="preserve">                               EFFECTIF 2007-2008</t>
  </si>
  <si>
    <t xml:space="preserve">2ème  année </t>
  </si>
  <si>
    <r>
      <rPr>
        <b val="true"/>
        <i val="true"/>
        <sz val="14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PROF.)(2007-2008)</t>
    </r>
  </si>
  <si>
    <t xml:space="preserve">ABOUA O. V. Gildas</t>
  </si>
  <si>
    <t xml:space="preserve">ADJAMASSOUHON S. T. H.</t>
  </si>
  <si>
    <t xml:space="preserve">AGUENOUDE Mathias</t>
  </si>
  <si>
    <t xml:space="preserve">AGOSSOU A. Gabin</t>
  </si>
  <si>
    <t xml:space="preserve">AHOUISSOUSSI Marie</t>
  </si>
  <si>
    <t xml:space="preserve">AIHOUNHIN  N.  Achille</t>
  </si>
  <si>
    <t xml:space="preserve">ANATO Georges Tangui</t>
  </si>
  <si>
    <t xml:space="preserve">AYI Greefith Lazare Messan</t>
  </si>
  <si>
    <t xml:space="preserve">BOGNON Marius</t>
  </si>
  <si>
    <t xml:space="preserve">CODJO H. Jean-Marie</t>
  </si>
  <si>
    <t xml:space="preserve">COSSOU GBETO Judicael</t>
  </si>
  <si>
    <t xml:space="preserve">DEGNIMON M.  Wilfried</t>
  </si>
  <si>
    <t xml:space="preserve">DJIBRIL Manzour</t>
  </si>
  <si>
    <t xml:space="preserve">DOVI Mark Vitor</t>
  </si>
  <si>
    <t xml:space="preserve">GBANGOU Soumanou M.</t>
  </si>
  <si>
    <t xml:space="preserve">GBEDAH Marx Mickael</t>
  </si>
  <si>
    <t xml:space="preserve">GNANHOUI O. Y. Bernard</t>
  </si>
  <si>
    <t xml:space="preserve">GNONLONFOUN Marie-Jos</t>
  </si>
  <si>
    <t xml:space="preserve">GOUDOU Rojer</t>
  </si>
  <si>
    <t xml:space="preserve">HAZOUME B. M. Arnaud J.</t>
  </si>
  <si>
    <t xml:space="preserve">HODONOU D. Bienvenu</t>
  </si>
  <si>
    <t xml:space="preserve">HONVOU Henri</t>
  </si>
  <si>
    <t xml:space="preserve">HOUDOTE L. René-Marie</t>
  </si>
  <si>
    <t xml:space="preserve">HOUNKPATIN N. Hubert</t>
  </si>
  <si>
    <t xml:space="preserve">IBOURAIMA K. Seidou</t>
  </si>
  <si>
    <t xml:space="preserve">KARIM  ISSAOU Osséni</t>
  </si>
  <si>
    <t xml:space="preserve">KOUKOUI C. Gabin</t>
  </si>
  <si>
    <t xml:space="preserve">KOUNOUDJI Yao Magloire</t>
  </si>
  <si>
    <t xml:space="preserve">PADONOU Fabrice S.</t>
  </si>
  <si>
    <t xml:space="preserve">SOSSOU Thierry Hermann</t>
  </si>
  <si>
    <t xml:space="preserve">TOKOUETE  Genys</t>
  </si>
  <si>
    <t xml:space="preserve">WABI  A.  S.  Kader</t>
  </si>
  <si>
    <t xml:space="preserve">WEDJANGNON Sotondji</t>
  </si>
  <si>
    <t xml:space="preserve">YEMIHIN Nestor</t>
  </si>
  <si>
    <r>
      <rPr>
        <b val="true"/>
        <i val="true"/>
        <sz val="14"/>
        <rFont val="Arial"/>
        <family val="2"/>
        <charset val="1"/>
      </rPr>
      <t xml:space="preserve">        </t>
    </r>
    <r>
      <rPr>
        <b val="true"/>
        <i val="true"/>
        <u val="single"/>
        <sz val="14"/>
        <rFont val="Arial"/>
        <family val="2"/>
        <charset val="1"/>
      </rPr>
      <t xml:space="preserve">ENV-PV-PA (LIC. PROF.)(2007-2008)</t>
    </r>
  </si>
  <si>
    <t xml:space="preserve">ADAM Kassimou A.</t>
  </si>
  <si>
    <t xml:space="preserve">ADINGNI Célestin</t>
  </si>
  <si>
    <t xml:space="preserve">AGBAHOUN A. Pascal</t>
  </si>
  <si>
    <t xml:space="preserve">AGBODJA Fatai</t>
  </si>
  <si>
    <t xml:space="preserve">AGLIN Constant Cohovi</t>
  </si>
  <si>
    <t xml:space="preserve">AHISSOU Judicaèl</t>
  </si>
  <si>
    <t xml:space="preserve">AHOUANDOGBO  Eugenie</t>
  </si>
  <si>
    <t xml:space="preserve">AKPO Ghislaine</t>
  </si>
  <si>
    <t xml:space="preserve">BALLO H. Yabavi</t>
  </si>
  <si>
    <t xml:space="preserve">BIAOU DIMON Gilbert</t>
  </si>
  <si>
    <t xml:space="preserve">BOUBACAR Oussama </t>
  </si>
  <si>
    <t xml:space="preserve">DATINNOU M. Josette R.</t>
  </si>
  <si>
    <t xml:space="preserve">DOHOU S. Robert </t>
  </si>
  <si>
    <t xml:space="preserve">DOSSOU Germain</t>
  </si>
  <si>
    <t xml:space="preserve">EL-HADJI DAOUDA M.</t>
  </si>
  <si>
    <t xml:space="preserve">ESSOUN O. Yves</t>
  </si>
  <si>
    <t xml:space="preserve">HOUNTON  Françoise</t>
  </si>
  <si>
    <t xml:space="preserve">KOUSSEY N. Mubatide</t>
  </si>
  <si>
    <t xml:space="preserve">KOUTAROU Djabirou</t>
  </si>
  <si>
    <t xml:space="preserve">MONTCHO Casimi</t>
  </si>
  <si>
    <t xml:space="preserve">SABI SIRA Sabiyô</t>
  </si>
  <si>
    <t xml:space="preserve">SEWAI Alfried</t>
  </si>
  <si>
    <t xml:space="preserve">SODJINOU Bernard</t>
  </si>
  <si>
    <t xml:space="preserve">TAMATAKOU Mawuli</t>
  </si>
  <si>
    <t xml:space="preserve">TELLA Armel Didier</t>
  </si>
  <si>
    <t xml:space="preserve">VIAHO COMLAN Christian</t>
  </si>
  <si>
    <t xml:space="preserve">YONLONFOUN Richard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</si>
  <si>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Génie Elect. (LIC. PROF.)(2007-2008)</t>
    </r>
  </si>
  <si>
    <t xml:space="preserve">AGBESSI Gilbert</t>
  </si>
  <si>
    <t xml:space="preserve">AZONNOUDO D. Innocent</t>
  </si>
  <si>
    <t xml:space="preserve">BLEOUSSI D. Aurelien</t>
  </si>
  <si>
    <t xml:space="preserve">CODJIA Dieudonné C.</t>
  </si>
  <si>
    <t xml:space="preserve">DAGAN  Ayenan  Auguste</t>
  </si>
  <si>
    <t xml:space="preserve">GAI Nicaise Victor</t>
  </si>
  <si>
    <t xml:space="preserve">GBADJAVI Kwaku Paul</t>
  </si>
  <si>
    <t xml:space="preserve">GUEDOU Jean-Pierre</t>
  </si>
  <si>
    <t xml:space="preserve">HOUESSOU A. Théophile</t>
  </si>
  <si>
    <t xml:space="preserve">KABEROU M. Maurice</t>
  </si>
  <si>
    <t xml:space="preserve">MENSAH Têté Jacques</t>
  </si>
  <si>
    <t xml:space="preserve">NOUTEHOU A. Nazaire</t>
  </si>
  <si>
    <t xml:space="preserve">ODJO Armel Y.</t>
  </si>
  <si>
    <t xml:space="preserve">OGOULOLA</t>
  </si>
  <si>
    <t xml:space="preserve">TCHOKPODO C. Godefroy</t>
  </si>
  <si>
    <t xml:space="preserve">TODE M. Barthélémy</t>
  </si>
  <si>
    <t xml:space="preserve">ZEOUNKPE Anselme</t>
  </si>
  <si>
    <t xml:space="preserve">ZOHAN A. Lionel</t>
  </si>
  <si>
    <r>
      <rPr>
        <b val="true"/>
        <i val="true"/>
        <sz val="14"/>
        <rFont val="Arial"/>
        <family val="2"/>
        <charset val="1"/>
      </rPr>
      <t xml:space="preserve"> </t>
    </r>
    <r>
      <rPr>
        <b val="true"/>
        <i val="true"/>
        <u val="single"/>
        <sz val="14"/>
        <rFont val="Arial"/>
        <family val="2"/>
        <charset val="1"/>
      </rPr>
      <t xml:space="preserve">HYDRAULIQUE 2ème Année (LIC. PROF.)(2007-2008)</t>
    </r>
  </si>
  <si>
    <t xml:space="preserve">ADJAI K. H. A. Richie</t>
  </si>
  <si>
    <t xml:space="preserve">AGBOSSOU Aristide</t>
  </si>
  <si>
    <t xml:space="preserve">DAVAKAN Agossou Charles</t>
  </si>
  <si>
    <t xml:space="preserve">DEGBEY C. Romuald</t>
  </si>
  <si>
    <t xml:space="preserve">DOSSOU BLO K. Gbèzondé</t>
  </si>
  <si>
    <t xml:space="preserve">GBEGO T. Gildas</t>
  </si>
  <si>
    <t xml:space="preserve">GOUDOU Roberto</t>
  </si>
  <si>
    <t xml:space="preserve">HABIROU A. Kparakou</t>
  </si>
  <si>
    <t xml:space="preserve">KINHOU M. Joseph</t>
  </si>
  <si>
    <t xml:space="preserve">KORA Yarou Nouhoum</t>
  </si>
  <si>
    <t xml:space="preserve">LANI-YONOU Robert</t>
  </si>
  <si>
    <t xml:space="preserve">MENHITO C. Juste</t>
  </si>
  <si>
    <t xml:space="preserve">NONVIGNON A. Euloge</t>
  </si>
  <si>
    <t xml:space="preserve">NOUKPO FADEKON kossi</t>
  </si>
  <si>
    <t xml:space="preserve">OGOUWALE Sylvestre</t>
  </si>
  <si>
    <t xml:space="preserve">SOGBEDJI C. Thomas</t>
  </si>
  <si>
    <t xml:space="preserve">SOVIGUIDI César </t>
  </si>
  <si>
    <t xml:space="preserve">WINSA Emile</t>
  </si>
  <si>
    <r>
      <rPr>
        <b val="true"/>
        <i val="true"/>
        <sz val="14"/>
        <rFont val="Arial"/>
        <family val="2"/>
        <charset val="1"/>
      </rPr>
      <t xml:space="preserve">    </t>
    </r>
    <r>
      <rPr>
        <b val="true"/>
        <i val="true"/>
        <u val="single"/>
        <sz val="14"/>
        <rFont val="Arial"/>
        <family val="2"/>
        <charset val="1"/>
      </rPr>
      <t xml:space="preserve">MAINTENANCE INDUSTRIELLE (LIC. PROF.)(2007-2008)</t>
    </r>
  </si>
  <si>
    <t xml:space="preserve">AVODINDIN Justin</t>
  </si>
  <si>
    <t xml:space="preserve">BAMENOU Athanase</t>
  </si>
  <si>
    <t xml:space="preserve">D'ALMEIDA Mensah Otis</t>
  </si>
  <si>
    <t xml:space="preserve">HEMANKPAN  Michel</t>
  </si>
  <si>
    <t xml:space="preserve">MITCHAI Fabien</t>
  </si>
  <si>
    <t xml:space="preserve">MITCHAI Faustin</t>
  </si>
  <si>
    <t xml:space="preserve">SEIDOU Mikaila</t>
  </si>
  <si>
    <t xml:space="preserve">SINSIN Sessi Michael</t>
  </si>
  <si>
    <t xml:space="preserve">TCHIKOU Frédéric Codjo</t>
  </si>
  <si>
    <r>
      <rPr>
        <b val="true"/>
        <i val="true"/>
        <sz val="14"/>
        <rFont val="Arial"/>
        <family val="2"/>
        <charset val="1"/>
      </rPr>
      <t xml:space="preserve">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PROF.)(2007-2008)  2 ème année</t>
    </r>
  </si>
  <si>
    <t xml:space="preserve">N°</t>
  </si>
  <si>
    <t xml:space="preserve">N°1</t>
  </si>
  <si>
    <t xml:space="preserve">N°2</t>
  </si>
  <si>
    <t xml:space="preserve">N°3</t>
  </si>
  <si>
    <t xml:space="preserve">N°4</t>
  </si>
  <si>
    <t xml:space="preserve">N°5</t>
  </si>
  <si>
    <t xml:space="preserve">N°6</t>
  </si>
  <si>
    <t xml:space="preserve">N°7</t>
  </si>
  <si>
    <t xml:space="preserve">N°8</t>
  </si>
  <si>
    <t xml:space="preserve">N°9</t>
  </si>
  <si>
    <t xml:space="preserve">N°10</t>
  </si>
  <si>
    <t xml:space="preserve">N°11</t>
  </si>
  <si>
    <t xml:space="preserve">N°12</t>
  </si>
  <si>
    <r>
      <rPr>
        <b val="true"/>
        <i val="true"/>
        <sz val="14"/>
        <rFont val="Arial"/>
        <family val="2"/>
        <charset val="1"/>
      </rPr>
      <t xml:space="preserve">        </t>
    </r>
    <r>
      <rPr>
        <b val="true"/>
        <i val="true"/>
        <u val="single"/>
        <sz val="14"/>
        <rFont val="Arial"/>
        <family val="2"/>
        <charset val="1"/>
      </rPr>
      <t xml:space="preserve">ENV-PV-PA (LIC. PROF.)(2007-2008)   2ème année</t>
    </r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</si>
  <si>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Génie Elect. (LIC. PROF.)(2007-2008)   2ème année</t>
    </r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</si>
  <si>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 (LIC. PROF.)(2007-2008)</t>
    </r>
  </si>
  <si>
    <t xml:space="preserve">3ème  année </t>
  </si>
  <si>
    <r>
      <rPr>
        <b val="true"/>
        <i val="true"/>
        <sz val="14"/>
        <rFont val="Arial"/>
        <family val="2"/>
        <charset val="1"/>
      </rPr>
      <t xml:space="preserve"> 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PROF.)(2007-2008)</t>
    </r>
  </si>
  <si>
    <t xml:space="preserve">AGLO Roseline Herberte E.</t>
  </si>
  <si>
    <t xml:space="preserve">AHIMAKIN  T.  G.  Arthur</t>
  </si>
  <si>
    <t xml:space="preserve">AHOUANGBO  Barthélémy</t>
  </si>
  <si>
    <t xml:space="preserve">AMOUSSOU  Gildas</t>
  </si>
  <si>
    <t xml:space="preserve">ASSO  Alidou  Amos</t>
  </si>
  <si>
    <t xml:space="preserve">ATAKPA  Alain  Coffi</t>
  </si>
  <si>
    <t xml:space="preserve">AWINIME  Alfred</t>
  </si>
  <si>
    <t xml:space="preserve">AYIKPE  Cyriaque</t>
  </si>
  <si>
    <t xml:space="preserve">BACHABI  El-hadi</t>
  </si>
  <si>
    <t xml:space="preserve">BADE Marlon</t>
  </si>
  <si>
    <t xml:space="preserve">BOCO  Aristide</t>
  </si>
  <si>
    <t xml:space="preserve">COUAO-ZOTTI  G.  Aiel  K.</t>
  </si>
  <si>
    <t xml:space="preserve">DAGBETO  Cléophas</t>
  </si>
  <si>
    <t xml:space="preserve">DOHOU  K.  Isidore</t>
  </si>
  <si>
    <t xml:space="preserve">ELEGBEDE Aloise Hugues</t>
  </si>
  <si>
    <t xml:space="preserve">FADONOUGBO N. Konrad</t>
  </si>
  <si>
    <t xml:space="preserve">GNANCADJA  Roland</t>
  </si>
  <si>
    <t xml:space="preserve">GNONLONFOUN  Florent  S.</t>
  </si>
  <si>
    <t xml:space="preserve">HOUNDADJO  Edmond</t>
  </si>
  <si>
    <t xml:space="preserve">HOUNMASSE  L.  Marion</t>
  </si>
  <si>
    <t xml:space="preserve">LOKO  Comlan  Isaie</t>
  </si>
  <si>
    <t xml:space="preserve">QUENUM  Arnaud  Yves</t>
  </si>
  <si>
    <t xml:space="preserve">SINIMBOU  B.  Ekundayo</t>
  </si>
  <si>
    <t xml:space="preserve">SODOGLA Codjovi Didier</t>
  </si>
  <si>
    <t xml:space="preserve">TOFFA  Alain</t>
  </si>
  <si>
    <t xml:space="preserve">TOHO Cokou Symael</t>
  </si>
  <si>
    <t xml:space="preserve">YAHOU Cocou Isaac</t>
  </si>
  <si>
    <t xml:space="preserve">ZOHOUN Augustin</t>
  </si>
  <si>
    <t xml:space="preserve">AGUESSY E. Parfait</t>
  </si>
  <si>
    <t xml:space="preserve">AHOKPE Camille</t>
  </si>
  <si>
    <t xml:space="preserve">AKEREBOUROU S. Anie</t>
  </si>
  <si>
    <t xml:space="preserve">AKPATCHO H. Léon</t>
  </si>
  <si>
    <t xml:space="preserve">AMADOU  S.  Soumaila </t>
  </si>
  <si>
    <t xml:space="preserve">ASSOTA Bonaventure</t>
  </si>
  <si>
    <t xml:space="preserve">DADIDJE  François</t>
  </si>
  <si>
    <t xml:space="preserve">DANGNON  C.  Etienne</t>
  </si>
  <si>
    <t xml:space="preserve">EDAH  Cyprien</t>
  </si>
  <si>
    <t xml:space="preserve">EGOUNWOLE M. Issa</t>
  </si>
  <si>
    <t xml:space="preserve">FAVI Bai Diane</t>
  </si>
  <si>
    <t xml:space="preserve">HOUESSINON  A. C. Gabin</t>
  </si>
  <si>
    <t xml:space="preserve">HOUETONGNON Bertin</t>
  </si>
  <si>
    <t xml:space="preserve">HOUNKPEVI Koassi Robert</t>
  </si>
  <si>
    <t xml:space="preserve">KAKPOVI  Félicien</t>
  </si>
  <si>
    <t xml:space="preserve">MAHOUGBE Benjamin</t>
  </si>
  <si>
    <t xml:space="preserve">MIGNANWANDE S. Désiré</t>
  </si>
  <si>
    <t xml:space="preserve">PADONOU C. S. Elvis</t>
  </si>
  <si>
    <t xml:space="preserve">TAMADAHO  Sylvie</t>
  </si>
  <si>
    <t xml:space="preserve">ABAGLI  Kokou  Gabin</t>
  </si>
  <si>
    <t xml:space="preserve">ADIKPETO Blaise Cossi</t>
  </si>
  <si>
    <t xml:space="preserve">AKPOVO  Joseph</t>
  </si>
  <si>
    <t xml:space="preserve">AZANDOSSESSI  Rock</t>
  </si>
  <si>
    <t xml:space="preserve">DISSOU Franck Claude</t>
  </si>
  <si>
    <t xml:space="preserve">HINVI  Patrick</t>
  </si>
  <si>
    <t xml:space="preserve">HOUNNOU A.  Maxime</t>
  </si>
  <si>
    <t xml:space="preserve">HOUNSINOU  A. Maxime</t>
  </si>
  <si>
    <t xml:space="preserve">HOSSOU  D.  Innocent</t>
  </si>
  <si>
    <t xml:space="preserve">KOKOSSOU M. Luc Paul</t>
  </si>
  <si>
    <t xml:space="preserve">KPAKE  Sèlomè  Désiré</t>
  </si>
  <si>
    <t xml:space="preserve">LOKO  S. Amédée</t>
  </si>
  <si>
    <t xml:space="preserve">SESSOU  L.  Bienvenu</t>
  </si>
  <si>
    <t xml:space="preserve">SONON  Serge</t>
  </si>
  <si>
    <t xml:space="preserve">TOTIHIN John François B.</t>
  </si>
  <si>
    <t xml:space="preserve">YEHOUNME S. Rodrigue</t>
  </si>
  <si>
    <r>
      <rPr>
        <b val="true"/>
        <i val="true"/>
        <sz val="14"/>
        <rFont val="Arial"/>
        <family val="2"/>
        <charset val="1"/>
      </rPr>
      <t xml:space="preserve">           </t>
    </r>
    <r>
      <rPr>
        <b val="true"/>
        <i val="true"/>
        <u val="single"/>
        <sz val="14"/>
        <rFont val="Arial"/>
        <family val="2"/>
        <charset val="1"/>
      </rPr>
      <t xml:space="preserve">HYDRAULIQUE 3 ème (LIC. PROF.)(2007-2008)</t>
    </r>
  </si>
  <si>
    <t xml:space="preserve">ABLET Coovi  Jules</t>
  </si>
  <si>
    <t xml:space="preserve">AGOHOUNDJE  Philipe</t>
  </si>
  <si>
    <t xml:space="preserve">AHOMLANTO A. Thierry</t>
  </si>
  <si>
    <t xml:space="preserve">AHOUI A. François-Dassise</t>
  </si>
  <si>
    <t xml:space="preserve">AIZONOU  Martial</t>
  </si>
  <si>
    <t xml:space="preserve">ALADJOU  T.  Alera</t>
  </si>
  <si>
    <t xml:space="preserve">ALIDOU A. Daouda</t>
  </si>
  <si>
    <t xml:space="preserve">COCO  Martial</t>
  </si>
  <si>
    <t xml:space="preserve">DOSSOU  F.  P  Serge</t>
  </si>
  <si>
    <t xml:space="preserve">IDOHOU Kadjola Romus </t>
  </si>
  <si>
    <t xml:space="preserve">LOKONON Cocou D. Armel</t>
  </si>
  <si>
    <t xml:space="preserve">TENIOLA Yai K. Arnauld</t>
  </si>
  <si>
    <r>
      <rPr>
        <b val="true"/>
        <i val="true"/>
        <sz val="14"/>
        <rFont val="Arial"/>
        <family val="2"/>
        <charset val="1"/>
      </rPr>
      <t xml:space="preserve">    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PROF.)(2007-2008)  3ème année</t>
    </r>
  </si>
  <si>
    <t xml:space="preserve">n°5 </t>
  </si>
  <si>
    <t xml:space="preserve">                    EFFECTIF 2007-2008</t>
  </si>
  <si>
    <t xml:space="preserve">                     1ère  année BTS</t>
  </si>
  <si>
    <r>
      <rPr>
        <b val="true"/>
        <i val="true"/>
        <sz val="14"/>
        <rFont val="Arial"/>
        <family val="2"/>
        <charset val="1"/>
      </rPr>
      <t xml:space="preserve"> 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PROF.)(2007-2008)</t>
    </r>
  </si>
  <si>
    <t xml:space="preserve">AGBO Hermann Gontran</t>
  </si>
  <si>
    <t xml:space="preserve">AGO Tadégnon Patrick H.</t>
  </si>
  <si>
    <t xml:space="preserve">AIDOMOAN D. José Franck</t>
  </si>
  <si>
    <t xml:space="preserve">AKAKPO M. Alfred</t>
  </si>
  <si>
    <t xml:space="preserve">ARIORI Rodrigue</t>
  </si>
  <si>
    <t xml:space="preserve">ASSOGBA Martial Arnaud</t>
  </si>
  <si>
    <t xml:space="preserve">ATTOLOU Abibo Laurent</t>
  </si>
  <si>
    <t xml:space="preserve">ATONDEY M. Thierry C.</t>
  </si>
  <si>
    <t xml:space="preserve">AYOKPON Stanislas</t>
  </si>
  <si>
    <t xml:space="preserve">AZAH Médard</t>
  </si>
  <si>
    <t xml:space="preserve">BIAOU Isaac</t>
  </si>
  <si>
    <t xml:space="preserve">CAPOCHICHI A. Raoul</t>
  </si>
  <si>
    <t xml:space="preserve">D'ALMEIDA Annita Corine</t>
  </si>
  <si>
    <t xml:space="preserve">DAKPO Eric Didier A. C.</t>
  </si>
  <si>
    <t xml:space="preserve">DEGBEGNI S. Ghislain</t>
  </si>
  <si>
    <t xml:space="preserve">DESSEMEDE G. Chadrac</t>
  </si>
  <si>
    <t xml:space="preserve">de SOUZA Fiacre</t>
  </si>
  <si>
    <t xml:space="preserve">HOUANVOEGBE Arnaud</t>
  </si>
  <si>
    <t xml:space="preserve">HOUNDOLO Jacques F.</t>
  </si>
  <si>
    <t xml:space="preserve">HOUNGBEME Z. Maurice</t>
  </si>
  <si>
    <t xml:space="preserve">HOUNKANRIN B. Thomas</t>
  </si>
  <si>
    <t xml:space="preserve">HOUNSOU M. Prosper</t>
  </si>
  <si>
    <t xml:space="preserve">KETOUNOU Ange Stévens</t>
  </si>
  <si>
    <t xml:space="preserve">MAMA M. Faissol</t>
  </si>
  <si>
    <t xml:space="preserve">OLAOGOUN K. Didier</t>
  </si>
  <si>
    <t xml:space="preserve">OLOUKOU Bonaventure A.</t>
  </si>
  <si>
    <t xml:space="preserve">ONY Sourou Sévérin</t>
  </si>
  <si>
    <t xml:space="preserve">TOCHENALI Dimitri A. L. C.</t>
  </si>
  <si>
    <t xml:space="preserve">TOSSOU HOUNNOU J.</t>
  </si>
  <si>
    <t xml:space="preserve">                        2ème  année BTS</t>
  </si>
  <si>
    <r>
      <rPr>
        <b val="true"/>
        <i val="true"/>
        <sz val="14"/>
        <rFont val="Arial"/>
        <family val="2"/>
        <charset val="1"/>
      </rPr>
      <t xml:space="preserve">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PROF.)(2007-20087)</t>
    </r>
  </si>
  <si>
    <t xml:space="preserve">AGBIDINOUKOU N. Nicaise</t>
  </si>
  <si>
    <t xml:space="preserve">ALAVO Y. Louange</t>
  </si>
  <si>
    <t xml:space="preserve">ALITONOU C. R. Hervé</t>
  </si>
  <si>
    <t xml:space="preserve">ALLOGNON G. Rodrigue</t>
  </si>
  <si>
    <t xml:space="preserve">AZONDEKON M. Chantal</t>
  </si>
  <si>
    <t xml:space="preserve">BIAOU S. ABAKE Aimé</t>
  </si>
  <si>
    <t xml:space="preserve">DAKOSSI Abel</t>
  </si>
  <si>
    <t xml:space="preserve">EDJEBEDE Narcirse</t>
  </si>
  <si>
    <t xml:space="preserve">GOVE Bertrand</t>
  </si>
  <si>
    <t xml:space="preserve">GUEDEGBE Arnold</t>
  </si>
  <si>
    <t xml:space="preserve">HOUNMENOU Prosper</t>
  </si>
  <si>
    <t xml:space="preserve">HOUNWAKANOU Carlos</t>
  </si>
  <si>
    <t xml:space="preserve">LAGNIKA A. Ibrahim</t>
  </si>
  <si>
    <t xml:space="preserve">KOUDJO Marius</t>
  </si>
  <si>
    <t xml:space="preserve">MAMOUDOU Massaoudou</t>
  </si>
  <si>
    <t xml:space="preserve">MONTEIRO A. Romaric</t>
  </si>
  <si>
    <t xml:space="preserve">NOUDJOLOGAN Sidoux  G.</t>
  </si>
  <si>
    <t xml:space="preserve">N'VEKOUNOU Symphorien</t>
  </si>
  <si>
    <t xml:space="preserve">ODJOUMANI O. Miche</t>
  </si>
  <si>
    <t xml:space="preserve">OROULA S. Michel</t>
  </si>
  <si>
    <t xml:space="preserve">OTCHOUN H. Léon</t>
  </si>
  <si>
    <t xml:space="preserve">SEGNON Auguste</t>
  </si>
  <si>
    <t xml:space="preserve">SENAHOUN T.B. Anicet</t>
  </si>
  <si>
    <t xml:space="preserve">SENOU Coffi Guillaume</t>
  </si>
  <si>
    <t xml:space="preserve">SOUNLIN A. Olympe</t>
  </si>
  <si>
    <t xml:space="preserve">TCHINHOUNTCHIN Fidel</t>
  </si>
  <si>
    <t xml:space="preserve">YARI  M. Abdel-Taya</t>
  </si>
  <si>
    <r>
      <rPr>
        <b val="true"/>
        <i val="true"/>
        <sz val="14"/>
        <rFont val="Arial"/>
        <family val="2"/>
        <charset val="1"/>
      </rPr>
      <t xml:space="preserve">         </t>
    </r>
    <r>
      <rPr>
        <b val="true"/>
        <i val="true"/>
        <u val="single"/>
        <sz val="14"/>
        <rFont val="Arial"/>
        <family val="2"/>
        <charset val="1"/>
      </rPr>
      <t xml:space="preserve">GENIE CIVIL (LIC. PROF.)(2007-2008)  2 ème année</t>
    </r>
  </si>
  <si>
    <t xml:space="preserve">2ème ANNEE SPECIALE GENIE CIVIL (2007-2008)</t>
  </si>
  <si>
    <t xml:space="preserve">ABLET Cocou Jonas</t>
  </si>
  <si>
    <t xml:space="preserve">ACHA-AHOWE Rock</t>
  </si>
  <si>
    <t xml:space="preserve">ADJOVI Romain</t>
  </si>
  <si>
    <t xml:space="preserve">AGBAZA Christophe</t>
  </si>
  <si>
    <t xml:space="preserve">AGBOHESSOU Kevin</t>
  </si>
  <si>
    <t xml:space="preserve">AKPLOGAN Lydie</t>
  </si>
  <si>
    <t xml:space="preserve">AKPOTIN Hervé</t>
  </si>
  <si>
    <t xml:space="preserve">AMANONGBE Laetita</t>
  </si>
  <si>
    <t xml:space="preserve">ATTA Chabi</t>
  </si>
  <si>
    <t xml:space="preserve">AWANOU Francis</t>
  </si>
  <si>
    <t xml:space="preserve">AZAGOUN Donatien</t>
  </si>
  <si>
    <t xml:space="preserve">BABIO Mama</t>
  </si>
  <si>
    <t xml:space="preserve">COUBEOU Comi</t>
  </si>
  <si>
    <t xml:space="preserve">DEGBEDJI N. Augustin</t>
  </si>
  <si>
    <t xml:space="preserve">DJIDO Ephrem Rodolphe</t>
  </si>
  <si>
    <t xml:space="preserve">DJOUMONLO Prudence</t>
  </si>
  <si>
    <t xml:space="preserve">DOGNON Nols Carin</t>
  </si>
  <si>
    <t xml:space="preserve">                                                                                                                                            </t>
  </si>
  <si>
    <t xml:space="preserve">DOSSOU Modeste</t>
  </si>
  <si>
    <t xml:space="preserve">GBASSI Lambert</t>
  </si>
  <si>
    <t xml:space="preserve">GNACADJA Freddy Arthur</t>
  </si>
  <si>
    <t xml:space="preserve">GNAGNA Damien</t>
  </si>
  <si>
    <t xml:space="preserve">HOUEDANOU Ludovic</t>
  </si>
  <si>
    <t xml:space="preserve">KASSA Yaovi Gatien</t>
  </si>
  <si>
    <t xml:space="preserve">KOUARO M. Florentin</t>
  </si>
  <si>
    <t xml:space="preserve">KOUMADOLI D. Aurelien</t>
  </si>
  <si>
    <t xml:space="preserve">LOKPO M. Ella Joel</t>
  </si>
  <si>
    <t xml:space="preserve">SANTOS Delphin Luc F.</t>
  </si>
  <si>
    <t xml:space="preserve">SINA OUNEGUI Orou Gbéro</t>
  </si>
  <si>
    <t xml:space="preserve">TCHIAKPE K. Gabin Omer</t>
  </si>
  <si>
    <t xml:space="preserve">VIGNONFODO Marcellin</t>
  </si>
  <si>
    <t xml:space="preserve">2ème ANNEE SPECIALE HYDRAULIQUE (2006-2007)</t>
  </si>
  <si>
    <t xml:space="preserve">ADJISSO Pamphile</t>
  </si>
  <si>
    <t xml:space="preserve">AKAKPO Télé Claude</t>
  </si>
  <si>
    <t xml:space="preserve">AYEDEGUE O. Evariste</t>
  </si>
  <si>
    <t xml:space="preserve">DJOTCHOU K. Moise</t>
  </si>
  <si>
    <t xml:space="preserve">FEIDJIMI O. Angelo</t>
  </si>
  <si>
    <t xml:space="preserve">GNAHOUI Luc</t>
  </si>
  <si>
    <t xml:space="preserve">GUERRA O. Dieudonné</t>
  </si>
  <si>
    <t xml:space="preserve">HOUESSIONON A. Brice</t>
  </si>
  <si>
    <t xml:space="preserve">HOUNGAVOU Pélagie</t>
  </si>
  <si>
    <t xml:space="preserve">HOUNSINON V. Christian</t>
  </si>
  <si>
    <t xml:space="preserve">KOUGBLA H. H. Grâce</t>
  </si>
  <si>
    <t xml:space="preserve">KOUNOUHO D. A. Jérôme</t>
  </si>
  <si>
    <t xml:space="preserve">MEADAN Yao Olympe</t>
  </si>
  <si>
    <t xml:space="preserve">NASSI Wilfried G.</t>
  </si>
  <si>
    <t xml:space="preserve">SIDI ALI Issaou</t>
  </si>
  <si>
    <t xml:space="preserve">da SILVA Martial Alain</t>
  </si>
  <si>
    <t xml:space="preserve">SOUROGOU Masso Roger</t>
  </si>
  <si>
    <t xml:space="preserve">TOHOUINDJI T. Irénée</t>
  </si>
  <si>
    <t xml:space="preserve">2ème ANNEE SPECIALE EN M. I. (2006-2007)</t>
  </si>
  <si>
    <t xml:space="preserve">CHADARE M. Anderson</t>
  </si>
  <si>
    <t xml:space="preserve">DAVAKAN B. Paulin </t>
  </si>
  <si>
    <t xml:space="preserve">EDAH T. Lansoudé</t>
  </si>
  <si>
    <t xml:space="preserve">GNIMAGNON Marcellin</t>
  </si>
  <si>
    <t xml:space="preserve">MEHOU T. Armel</t>
  </si>
  <si>
    <t xml:space="preserve">NOUDECHAOU Sikirou</t>
  </si>
  <si>
    <t xml:space="preserve">                        2ème année Spéciale BTS</t>
  </si>
  <si>
    <r>
      <rPr>
        <b val="true"/>
        <i val="true"/>
        <sz val="14"/>
        <rFont val="Arial"/>
        <family val="2"/>
        <charset val="1"/>
      </rPr>
      <t xml:space="preserve">         </t>
    </r>
    <r>
      <rPr>
        <b val="true"/>
        <i val="true"/>
        <u val="single"/>
        <sz val="14"/>
        <rFont val="Arial"/>
        <family val="2"/>
        <charset val="1"/>
      </rPr>
      <t xml:space="preserve">GENIE CIVIL BTS (LIC. PROF.)(2006-2007)</t>
    </r>
  </si>
  <si>
    <t xml:space="preserve">ADELAKOUN Y. Euetache</t>
  </si>
  <si>
    <t xml:space="preserve">AGLOSSI O. T. Aubin</t>
  </si>
  <si>
    <t xml:space="preserve">AKPAKA Olivier Carlos S.</t>
  </si>
  <si>
    <t xml:space="preserve">DAMIANO  Carmen</t>
  </si>
  <si>
    <t xml:space="preserve">DJIMONNAN  Paulin</t>
  </si>
  <si>
    <t xml:space="preserve">FADAIRO  O.  H.  Olivier</t>
  </si>
  <si>
    <t xml:space="preserve">GBEGBO  Eric</t>
  </si>
  <si>
    <t xml:space="preserve">KPODEKON  S.  Genevieve</t>
  </si>
  <si>
    <t xml:space="preserve">LIMOAN  Arnaud  Walter  D.</t>
  </si>
  <si>
    <t xml:space="preserve">ODANDOU  T.  Nicolas</t>
  </si>
  <si>
    <t xml:space="preserve">N°13</t>
  </si>
  <si>
    <t xml:space="preserve">SESSOU  C.  Eugéne</t>
  </si>
  <si>
    <t xml:space="preserve">N°14</t>
  </si>
  <si>
    <t xml:space="preserve">SETONDJI  M. H.  Marius</t>
  </si>
  <si>
    <t xml:space="preserve">N°15</t>
  </si>
  <si>
    <t xml:space="preserve">TCHOKPON  Hyacinthe</t>
  </si>
  <si>
    <t xml:space="preserve">N°16</t>
  </si>
  <si>
    <t xml:space="preserve">TEBE  A.  Expérience</t>
  </si>
  <si>
    <t xml:space="preserve">N°17</t>
  </si>
  <si>
    <t xml:space="preserve">TOFFOUN  E. V.  Rodrigue</t>
  </si>
  <si>
    <t xml:space="preserve">N°18</t>
  </si>
  <si>
    <t xml:space="preserve">TOGODO  Azon  Damien</t>
  </si>
  <si>
    <t xml:space="preserve">N°19</t>
  </si>
  <si>
    <t xml:space="preserve">WOROU  Eustache</t>
  </si>
  <si>
    <r>
      <rPr>
        <b val="true"/>
        <i val="true"/>
        <sz val="14"/>
        <rFont val="Arial"/>
        <family val="2"/>
        <charset val="1"/>
      </rPr>
      <t xml:space="preserve">                  </t>
    </r>
    <r>
      <rPr>
        <b val="true"/>
        <i val="true"/>
        <u val="single"/>
        <sz val="14"/>
        <rFont val="Arial"/>
        <family val="2"/>
        <charset val="1"/>
      </rPr>
      <t xml:space="preserve">INGENIEURS GEOMETRES (2007-2008</t>
    </r>
    <r>
      <rPr>
        <b val="true"/>
        <i val="true"/>
        <sz val="14"/>
        <rFont val="Arial"/>
        <family val="2"/>
        <charset val="1"/>
      </rPr>
      <t xml:space="preserve">)</t>
    </r>
  </si>
  <si>
    <t xml:space="preserve">ABOBO Martial</t>
  </si>
  <si>
    <t xml:space="preserve">ACROMBESSI Modeste</t>
  </si>
  <si>
    <t xml:space="preserve">ADIHOU Charles</t>
  </si>
  <si>
    <t xml:space="preserve">ALLOSSOGBE Julien</t>
  </si>
  <si>
    <t xml:space="preserve">de SOUZA Médard</t>
  </si>
  <si>
    <t xml:space="preserve">EGOUDJOBI Michael</t>
  </si>
  <si>
    <t xml:space="preserve">HOUNKANRIN Pierre</t>
  </si>
  <si>
    <t xml:space="preserve">KIKI Alain Sourou</t>
  </si>
  <si>
    <t xml:space="preserve">KOSSOU Fabrice</t>
  </si>
  <si>
    <t xml:space="preserve">KOUKOUI Hervé</t>
  </si>
  <si>
    <t xml:space="preserve">KPOTOUEDO Julien</t>
  </si>
  <si>
    <t xml:space="preserve">LATOUNDJI Mouléro</t>
  </si>
  <si>
    <t xml:space="preserve">MAMA SAMBO fatimatou</t>
  </si>
  <si>
    <t xml:space="preserve">OGOUBIYI Arcadius</t>
  </si>
  <si>
    <t xml:space="preserve">TOUKOUROU Yèzidou</t>
  </si>
  <si>
    <t xml:space="preserve">TOUTUIGA K. Désiré</t>
  </si>
  <si>
    <t xml:space="preserve">ZINSOU Roland</t>
  </si>
  <si>
    <t xml:space="preserve">ZITTI Euloge</t>
  </si>
  <si>
    <t xml:space="preserve">                                        INGENIEURS </t>
  </si>
  <si>
    <t xml:space="preserve">       EN GENIE ELECTRIQUE (2007-2008)</t>
  </si>
  <si>
    <t xml:space="preserve">ABAN Abdoulaye</t>
  </si>
  <si>
    <t xml:space="preserve">ADJAMASSOUHON W. R.</t>
  </si>
  <si>
    <t xml:space="preserve">AGAVOEDO Dénis</t>
  </si>
  <si>
    <t xml:space="preserve">AHOUANSOU A. Germain</t>
  </si>
  <si>
    <t xml:space="preserve">AZOMA Alphonse</t>
  </si>
  <si>
    <t xml:space="preserve">BOHOUN C. Alain</t>
  </si>
  <si>
    <t xml:space="preserve">CHETANGNY P. Coffi</t>
  </si>
  <si>
    <t xml:space="preserve">DOSSOU A. Amédée</t>
  </si>
  <si>
    <t xml:space="preserve">GBAGIUDI M. Alexis</t>
  </si>
  <si>
    <t xml:space="preserve">GONNON Bernard</t>
  </si>
  <si>
    <t xml:space="preserve">HOUNSA A. William</t>
  </si>
  <si>
    <t xml:space="preserve">KOSSOULOU  M. Philippe</t>
  </si>
  <si>
    <t xml:space="preserve">NASSIROU A. Raimi</t>
  </si>
  <si>
    <t xml:space="preserve">NOUNANGNONHOU T.</t>
  </si>
  <si>
    <t xml:space="preserve">OLOULADE Arouna</t>
  </si>
  <si>
    <t xml:space="preserve">SABAM Mama</t>
  </si>
  <si>
    <t xml:space="preserve">SOUROU Séni</t>
  </si>
  <si>
    <t xml:space="preserve">SYLVAIN TCHIKPE</t>
  </si>
  <si>
    <t xml:space="preserve">TOSSOU Laurent</t>
  </si>
  <si>
    <t xml:space="preserve">        POINT DES RECETTES DE LA FORMATION A DISTANCE  </t>
  </si>
  <si>
    <t xml:space="preserve">           ANNEE ACADEMIQUE 2007-2008 (établi le 12/10/2009)</t>
  </si>
  <si>
    <t xml:space="preserve">FILIERES</t>
  </si>
  <si>
    <t xml:space="preserve">SOMME</t>
  </si>
  <si>
    <t xml:space="preserve">RESTANT DU</t>
  </si>
  <si>
    <t xml:space="preserve">RECOUVREE</t>
  </si>
  <si>
    <t xml:space="preserve">GC 1</t>
  </si>
  <si>
    <t xml:space="preserve">PA 1</t>
  </si>
  <si>
    <t xml:space="preserve">GE 1</t>
  </si>
  <si>
    <t xml:space="preserve">HYDR. 1</t>
  </si>
  <si>
    <t xml:space="preserve">ENVIRO. 1</t>
  </si>
  <si>
    <t xml:space="preserve">PV 1</t>
  </si>
  <si>
    <t xml:space="preserve">GC 2</t>
  </si>
  <si>
    <t xml:space="preserve">PV 2</t>
  </si>
  <si>
    <t xml:space="preserve">GE 2</t>
  </si>
  <si>
    <t xml:space="preserve">HYDR. 2</t>
  </si>
  <si>
    <t xml:space="preserve">MI 2</t>
  </si>
  <si>
    <t xml:space="preserve">GC 3</t>
  </si>
  <si>
    <t xml:space="preserve">PV 3</t>
  </si>
  <si>
    <t xml:space="preserve">GE 3</t>
  </si>
  <si>
    <t xml:space="preserve">HYDR 3</t>
  </si>
  <si>
    <t xml:space="preserve">GC/BTS/LP1</t>
  </si>
  <si>
    <t xml:space="preserve">GC/BTS/LP2</t>
  </si>
  <si>
    <t xml:space="preserve">GC/BTS/LP3</t>
  </si>
  <si>
    <t xml:space="preserve">GC/DUT/LP2</t>
  </si>
  <si>
    <t xml:space="preserve">HYDR/DUT/LP2</t>
  </si>
  <si>
    <t xml:space="preserve">MI/DUT/LP2</t>
  </si>
  <si>
    <t xml:space="preserve">SOMME RECOUVREE AU 08/09/2008  (a)</t>
  </si>
  <si>
    <t xml:space="preserve">SOMME RECOUVREE AU 12/10/2009  (b)</t>
  </si>
  <si>
    <t xml:space="preserve">ECART (b-a)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</si>
</sst>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Bodoni MT Black"/>
      <family val="1"/>
      <charset val="1"/>
    </font>
    <font>
      <b val="true"/>
      <i val="true"/>
      <sz val="14"/>
      <name val="Arial"/>
      <family val="2"/>
      <charset val="1"/>
    </font>
    <font>
      <b val="true"/>
      <i val="true"/>
      <u val="singl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sz val="10"/>
      <color rgb="FF3366FF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false" showOutlineSymbols="true" defaultGridColor="true" view="normal" topLeftCell="A200" colorId="64" zoomScale="100" zoomScaleNormal="100" zoomScalePageLayoutView="100" workbookViewId="0">
      <selection pane="topLeft" activeCell="F3" activeCellId="0" sqref="F3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29.41"/>
    <col collapsed="false" customWidth="true" hidden="false" outlineLevel="0" max="4" min="3" style="1" width="14.41"/>
    <col collapsed="false" customWidth="true" hidden="false" outlineLevel="0" max="5" min="5" style="1" width="14.99"/>
    <col collapsed="false" customWidth="true" hidden="false" outlineLevel="0" max="16384" min="16383" style="0" width="11.53"/>
  </cols>
  <sheetData>
    <row r="2" customFormat="false" ht="19.7" hidden="false" customHeight="false" outlineLevel="0" collapsed="false">
      <c r="A2" s="2"/>
      <c r="B2" s="3" t="s">
        <v>0</v>
      </c>
      <c r="C2" s="2"/>
      <c r="D2" s="2"/>
      <c r="E2" s="2"/>
    </row>
    <row r="3" customFormat="false" ht="11.25" hidden="false" customHeight="true" outlineLevel="0" collapsed="false">
      <c r="A3" s="2"/>
      <c r="B3" s="3"/>
      <c r="C3" s="2"/>
      <c r="D3" s="2"/>
      <c r="E3" s="2"/>
    </row>
    <row r="4" customFormat="false" ht="17.35" hidden="false" customHeight="false" outlineLevel="0" collapsed="false">
      <c r="A4" s="4" t="s">
        <v>1</v>
      </c>
      <c r="B4" s="4"/>
      <c r="C4" s="4"/>
      <c r="D4" s="4"/>
      <c r="E4" s="4"/>
    </row>
    <row r="5" customFormat="false" ht="15" hidden="false" customHeight="false" outlineLevel="0" collapsed="false">
      <c r="A5" s="5" t="s">
        <v>2</v>
      </c>
      <c r="B5" s="5" t="s">
        <v>3</v>
      </c>
      <c r="C5" s="6" t="s">
        <v>4</v>
      </c>
      <c r="D5" s="5" t="s">
        <v>5</v>
      </c>
      <c r="E5" s="6" t="s">
        <v>6</v>
      </c>
    </row>
    <row r="6" customFormat="false" ht="15" hidden="false" customHeight="false" outlineLevel="0" collapsed="false">
      <c r="A6" s="7" t="s">
        <v>7</v>
      </c>
      <c r="B6" s="8" t="s">
        <v>8</v>
      </c>
      <c r="C6" s="9" t="n">
        <f aca="false">50000+50000+50000+100000+50000+66500</f>
        <v>366500</v>
      </c>
      <c r="D6" s="9" t="n">
        <f aca="false">E6-C6</f>
        <v>0</v>
      </c>
      <c r="E6" s="9" t="n">
        <v>366500</v>
      </c>
    </row>
    <row r="7" customFormat="false" ht="15" hidden="false" customHeight="false" outlineLevel="0" collapsed="false">
      <c r="A7" s="7" t="s">
        <v>9</v>
      </c>
      <c r="B7" s="8" t="s">
        <v>10</v>
      </c>
      <c r="C7" s="9" t="n">
        <f aca="false">100000+90000+165000+11500</f>
        <v>366500</v>
      </c>
      <c r="D7" s="9" t="n">
        <f aca="false">E7-C7</f>
        <v>0</v>
      </c>
      <c r="E7" s="9" t="n">
        <v>366500</v>
      </c>
    </row>
    <row r="8" customFormat="false" ht="15" hidden="false" customHeight="false" outlineLevel="0" collapsed="false">
      <c r="A8" s="7" t="s">
        <v>11</v>
      </c>
      <c r="B8" s="8" t="s">
        <v>12</v>
      </c>
      <c r="C8" s="9" t="n">
        <v>200000</v>
      </c>
      <c r="D8" s="9" t="n">
        <f aca="false">E8-C8</f>
        <v>166500</v>
      </c>
      <c r="E8" s="9" t="n">
        <v>366500</v>
      </c>
    </row>
    <row r="9" customFormat="false" ht="15" hidden="false" customHeight="false" outlineLevel="0" collapsed="false">
      <c r="A9" s="7" t="s">
        <v>13</v>
      </c>
      <c r="B9" s="8" t="s">
        <v>14</v>
      </c>
      <c r="C9" s="9" t="n">
        <f aca="false">20000+15000+115000</f>
        <v>150000</v>
      </c>
      <c r="D9" s="9" t="n">
        <f aca="false">E9-C9</f>
        <v>216500</v>
      </c>
      <c r="E9" s="9" t="n">
        <v>366500</v>
      </c>
    </row>
    <row r="10" customFormat="false" ht="15" hidden="false" customHeight="false" outlineLevel="0" collapsed="false">
      <c r="A10" s="7" t="s">
        <v>15</v>
      </c>
      <c r="B10" s="8" t="s">
        <v>16</v>
      </c>
      <c r="C10" s="9" t="n">
        <f aca="false">150000+30000+35000+151500</f>
        <v>366500</v>
      </c>
      <c r="D10" s="9" t="n">
        <f aca="false">E10-C10</f>
        <v>0</v>
      </c>
      <c r="E10" s="9" t="n">
        <v>366500</v>
      </c>
    </row>
    <row r="11" customFormat="false" ht="15" hidden="false" customHeight="false" outlineLevel="0" collapsed="false">
      <c r="A11" s="7" t="s">
        <v>17</v>
      </c>
      <c r="B11" s="8" t="s">
        <v>18</v>
      </c>
      <c r="C11" s="9" t="n">
        <f aca="false">150000+200000+16500</f>
        <v>366500</v>
      </c>
      <c r="D11" s="9" t="n">
        <f aca="false">E11-C11</f>
        <v>0</v>
      </c>
      <c r="E11" s="9" t="n">
        <v>366500</v>
      </c>
    </row>
    <row r="12" customFormat="false" ht="15" hidden="false" customHeight="false" outlineLevel="0" collapsed="false">
      <c r="A12" s="7" t="s">
        <v>19</v>
      </c>
      <c r="B12" s="8" t="s">
        <v>20</v>
      </c>
      <c r="C12" s="9" t="n">
        <f aca="false">100000+50000+100000+116500</f>
        <v>366500</v>
      </c>
      <c r="D12" s="9" t="n">
        <f aca="false">E12-C12</f>
        <v>0</v>
      </c>
      <c r="E12" s="9" t="n">
        <v>366500</v>
      </c>
    </row>
    <row r="13" customFormat="false" ht="15" hidden="false" customHeight="false" outlineLevel="0" collapsed="false">
      <c r="A13" s="7" t="s">
        <v>21</v>
      </c>
      <c r="B13" s="8" t="s">
        <v>22</v>
      </c>
      <c r="C13" s="9" t="n">
        <f aca="false">150000+215500+1000</f>
        <v>366500</v>
      </c>
      <c r="D13" s="9" t="n">
        <f aca="false">E13-C13</f>
        <v>0</v>
      </c>
      <c r="E13" s="9" t="n">
        <v>366500</v>
      </c>
    </row>
    <row r="14" customFormat="false" ht="15" hidden="false" customHeight="false" outlineLevel="0" collapsed="false">
      <c r="A14" s="7" t="s">
        <v>23</v>
      </c>
      <c r="B14" s="8" t="s">
        <v>24</v>
      </c>
      <c r="C14" s="9" t="n">
        <f aca="false">100000+1500+15000+50000+100000+15000+15000+50000+20000</f>
        <v>366500</v>
      </c>
      <c r="D14" s="9" t="n">
        <f aca="false">E14-C14</f>
        <v>0</v>
      </c>
      <c r="E14" s="9" t="n">
        <v>366500</v>
      </c>
    </row>
    <row r="15" customFormat="false" ht="15" hidden="false" customHeight="false" outlineLevel="0" collapsed="false">
      <c r="A15" s="7" t="s">
        <v>25</v>
      </c>
      <c r="B15" s="8" t="s">
        <v>26</v>
      </c>
      <c r="C15" s="9" t="n">
        <f aca="false">120000+130000+116500</f>
        <v>366500</v>
      </c>
      <c r="D15" s="9" t="n">
        <f aca="false">E15-C15</f>
        <v>0</v>
      </c>
      <c r="E15" s="9" t="n">
        <v>366500</v>
      </c>
    </row>
    <row r="16" customFormat="false" ht="15" hidden="false" customHeight="false" outlineLevel="0" collapsed="false">
      <c r="A16" s="7" t="s">
        <v>27</v>
      </c>
      <c r="B16" s="8" t="s">
        <v>28</v>
      </c>
      <c r="C16" s="9" t="n">
        <f aca="false">180000+186500</f>
        <v>366500</v>
      </c>
      <c r="D16" s="9" t="n">
        <f aca="false">E16-C16</f>
        <v>0</v>
      </c>
      <c r="E16" s="9" t="n">
        <v>366500</v>
      </c>
    </row>
    <row r="17" customFormat="false" ht="15" hidden="false" customHeight="false" outlineLevel="0" collapsed="false">
      <c r="A17" s="7" t="s">
        <v>29</v>
      </c>
      <c r="B17" s="8" t="s">
        <v>30</v>
      </c>
      <c r="C17" s="9" t="n">
        <f aca="false">70000+10000+75000+15000+77000+100000+13000+6500</f>
        <v>366500</v>
      </c>
      <c r="D17" s="9" t="n">
        <f aca="false">E17-C17</f>
        <v>0</v>
      </c>
      <c r="E17" s="9" t="n">
        <v>366500</v>
      </c>
    </row>
    <row r="18" customFormat="false" ht="15" hidden="false" customHeight="false" outlineLevel="0" collapsed="false">
      <c r="A18" s="7" t="s">
        <v>31</v>
      </c>
      <c r="B18" s="8" t="s">
        <v>32</v>
      </c>
      <c r="C18" s="9" t="n">
        <f aca="false">190000+100000+30000+40000+6500</f>
        <v>366500</v>
      </c>
      <c r="D18" s="9" t="n">
        <f aca="false">E18-C18</f>
        <v>0</v>
      </c>
      <c r="E18" s="9" t="n">
        <v>366500</v>
      </c>
    </row>
    <row r="19" customFormat="false" ht="15" hidden="false" customHeight="false" outlineLevel="0" collapsed="false">
      <c r="A19" s="7" t="s">
        <v>33</v>
      </c>
      <c r="B19" s="8" t="s">
        <v>34</v>
      </c>
      <c r="C19" s="9" t="n">
        <f aca="false">40000+80000+30000+120000+96500</f>
        <v>366500</v>
      </c>
      <c r="D19" s="9" t="n">
        <f aca="false">E19-C19</f>
        <v>0</v>
      </c>
      <c r="E19" s="9" t="n">
        <v>366500</v>
      </c>
    </row>
    <row r="20" customFormat="false" ht="15" hidden="false" customHeight="false" outlineLevel="0" collapsed="false">
      <c r="A20" s="7" t="s">
        <v>35</v>
      </c>
      <c r="B20" s="8" t="s">
        <v>36</v>
      </c>
      <c r="C20" s="9" t="n">
        <v>50000</v>
      </c>
      <c r="D20" s="9" t="n">
        <f aca="false">E20-C20</f>
        <v>316500</v>
      </c>
      <c r="E20" s="9" t="n">
        <v>366500</v>
      </c>
    </row>
    <row r="21" customFormat="false" ht="15" hidden="false" customHeight="false" outlineLevel="0" collapsed="false">
      <c r="A21" s="7" t="s">
        <v>37</v>
      </c>
      <c r="B21" s="8" t="s">
        <v>38</v>
      </c>
      <c r="C21" s="9" t="n">
        <v>150000</v>
      </c>
      <c r="D21" s="9" t="n">
        <f aca="false">E21-C21</f>
        <v>216500</v>
      </c>
      <c r="E21" s="9" t="n">
        <v>366500</v>
      </c>
    </row>
    <row r="22" customFormat="false" ht="15" hidden="false" customHeight="false" outlineLevel="0" collapsed="false">
      <c r="A22" s="7" t="s">
        <v>39</v>
      </c>
      <c r="B22" s="8" t="s">
        <v>40</v>
      </c>
      <c r="C22" s="9" t="n">
        <v>366500</v>
      </c>
      <c r="D22" s="9" t="n">
        <f aca="false">E22-C22</f>
        <v>0</v>
      </c>
      <c r="E22" s="9" t="n">
        <v>366500</v>
      </c>
    </row>
    <row r="23" customFormat="false" ht="15" hidden="false" customHeight="false" outlineLevel="0" collapsed="false">
      <c r="A23" s="7" t="s">
        <v>41</v>
      </c>
      <c r="B23" s="8" t="s">
        <v>42</v>
      </c>
      <c r="C23" s="9" t="n">
        <f aca="false">100000+50000+215500+1000</f>
        <v>366500</v>
      </c>
      <c r="D23" s="9" t="n">
        <f aca="false">E23-C23</f>
        <v>0</v>
      </c>
      <c r="E23" s="9" t="n">
        <v>366500</v>
      </c>
    </row>
    <row r="24" customFormat="false" ht="15" hidden="false" customHeight="false" outlineLevel="0" collapsed="false">
      <c r="A24" s="7" t="s">
        <v>43</v>
      </c>
      <c r="B24" s="8" t="s">
        <v>44</v>
      </c>
      <c r="C24" s="9" t="n">
        <f aca="false">100000+35000+15000+216000</f>
        <v>366000</v>
      </c>
      <c r="D24" s="9" t="n">
        <f aca="false">E24-C24</f>
        <v>500</v>
      </c>
      <c r="E24" s="9" t="n">
        <v>366500</v>
      </c>
    </row>
    <row r="25" customFormat="false" ht="15" hidden="false" customHeight="false" outlineLevel="0" collapsed="false">
      <c r="A25" s="7" t="s">
        <v>45</v>
      </c>
      <c r="B25" s="8" t="s">
        <v>46</v>
      </c>
      <c r="C25" s="9" t="n">
        <f aca="false">100000+16500+75000+175000</f>
        <v>366500</v>
      </c>
      <c r="D25" s="9" t="n">
        <f aca="false">E25-C25</f>
        <v>0</v>
      </c>
      <c r="E25" s="9" t="n">
        <v>366500</v>
      </c>
    </row>
    <row r="26" customFormat="false" ht="15" hidden="false" customHeight="false" outlineLevel="0" collapsed="false">
      <c r="A26" s="7" t="s">
        <v>47</v>
      </c>
      <c r="B26" s="8" t="s">
        <v>48</v>
      </c>
      <c r="C26" s="9" t="n">
        <f aca="false">100000+80000+150000+36500</f>
        <v>366500</v>
      </c>
      <c r="D26" s="9" t="n">
        <f aca="false">E26-C26</f>
        <v>0</v>
      </c>
      <c r="E26" s="9" t="n">
        <v>366500</v>
      </c>
    </row>
    <row r="27" customFormat="false" ht="15" hidden="false" customHeight="false" outlineLevel="0" collapsed="false">
      <c r="A27" s="7" t="s">
        <v>49</v>
      </c>
      <c r="B27" s="8" t="s">
        <v>50</v>
      </c>
      <c r="C27" s="9" t="n">
        <f aca="false">50000+50000+15000+100000+100000+51500</f>
        <v>366500</v>
      </c>
      <c r="D27" s="9" t="n">
        <f aca="false">E27-C27</f>
        <v>0</v>
      </c>
      <c r="E27" s="9" t="n">
        <v>366500</v>
      </c>
    </row>
    <row r="28" customFormat="false" ht="15" hidden="false" customHeight="false" outlineLevel="0" collapsed="false">
      <c r="A28" s="7" t="s">
        <v>51</v>
      </c>
      <c r="B28" s="8" t="s">
        <v>52</v>
      </c>
      <c r="C28" s="9" t="n">
        <f aca="false">186500+186500</f>
        <v>373000</v>
      </c>
      <c r="D28" s="10" t="n">
        <f aca="false">E28-C28</f>
        <v>-6500</v>
      </c>
      <c r="E28" s="9" t="n">
        <v>366500</v>
      </c>
    </row>
    <row r="29" customFormat="false" ht="15" hidden="false" customHeight="false" outlineLevel="0" collapsed="false">
      <c r="A29" s="7" t="s">
        <v>53</v>
      </c>
      <c r="B29" s="8" t="s">
        <v>54</v>
      </c>
      <c r="C29" s="9" t="n">
        <f aca="false">100000+50000+50000+150000+16500</f>
        <v>366500</v>
      </c>
      <c r="D29" s="9" t="n">
        <f aca="false">E29-C29</f>
        <v>0</v>
      </c>
      <c r="E29" s="9" t="n">
        <v>366500</v>
      </c>
    </row>
    <row r="30" customFormat="false" ht="15" hidden="false" customHeight="false" outlineLevel="0" collapsed="false">
      <c r="A30" s="7" t="s">
        <v>55</v>
      </c>
      <c r="B30" s="8" t="s">
        <v>56</v>
      </c>
      <c r="C30" s="9" t="n">
        <f aca="false">176500+190000</f>
        <v>366500</v>
      </c>
      <c r="D30" s="9" t="n">
        <f aca="false">E30-C30</f>
        <v>0</v>
      </c>
      <c r="E30" s="9" t="n">
        <v>366500</v>
      </c>
    </row>
    <row r="31" customFormat="false" ht="15" hidden="false" customHeight="false" outlineLevel="0" collapsed="false">
      <c r="A31" s="7" t="s">
        <v>57</v>
      </c>
      <c r="B31" s="8" t="s">
        <v>58</v>
      </c>
      <c r="C31" s="9" t="n">
        <f aca="false">100000+266500</f>
        <v>366500</v>
      </c>
      <c r="D31" s="9" t="n">
        <f aca="false">E31-C31</f>
        <v>0</v>
      </c>
      <c r="E31" s="9" t="n">
        <v>366500</v>
      </c>
    </row>
    <row r="32" customFormat="false" ht="15" hidden="false" customHeight="false" outlineLevel="0" collapsed="false">
      <c r="A32" s="7" t="s">
        <v>59</v>
      </c>
      <c r="B32" s="8" t="s">
        <v>60</v>
      </c>
      <c r="C32" s="9" t="n">
        <f aca="false">100000+75000+15000+60000+90000+26500</f>
        <v>366500</v>
      </c>
      <c r="D32" s="9" t="n">
        <f aca="false">E32-C32</f>
        <v>0</v>
      </c>
      <c r="E32" s="9" t="n">
        <v>366500</v>
      </c>
    </row>
    <row r="33" customFormat="false" ht="15" hidden="false" customHeight="false" outlineLevel="0" collapsed="false">
      <c r="A33" s="7" t="s">
        <v>61</v>
      </c>
      <c r="B33" s="8" t="s">
        <v>62</v>
      </c>
      <c r="C33" s="9" t="n">
        <f aca="false">1500+15000+300000+30000+20000</f>
        <v>366500</v>
      </c>
      <c r="D33" s="9" t="n">
        <f aca="false">E33-C33</f>
        <v>0</v>
      </c>
      <c r="E33" s="9" t="n">
        <v>366500</v>
      </c>
    </row>
    <row r="34" customFormat="false" ht="15" hidden="false" customHeight="false" outlineLevel="0" collapsed="false">
      <c r="A34" s="7" t="s">
        <v>63</v>
      </c>
      <c r="B34" s="8" t="s">
        <v>64</v>
      </c>
      <c r="C34" s="9" t="n">
        <f aca="false">180000+150000+36500</f>
        <v>366500</v>
      </c>
      <c r="D34" s="9" t="n">
        <f aca="false">E34-C34</f>
        <v>0</v>
      </c>
      <c r="E34" s="9" t="n">
        <v>366500</v>
      </c>
    </row>
    <row r="35" customFormat="false" ht="15" hidden="false" customHeight="false" outlineLevel="0" collapsed="false">
      <c r="A35" s="7" t="s">
        <v>65</v>
      </c>
      <c r="B35" s="8" t="s">
        <v>66</v>
      </c>
      <c r="C35" s="9" t="n">
        <f aca="false">70000+70000+100000+30000+30000+20000+46500</f>
        <v>366500</v>
      </c>
      <c r="D35" s="9" t="n">
        <f aca="false">E35-C35</f>
        <v>0</v>
      </c>
      <c r="E35" s="9" t="n">
        <v>366500</v>
      </c>
    </row>
    <row r="36" customFormat="false" ht="15" hidden="false" customHeight="false" outlineLevel="0" collapsed="false">
      <c r="A36" s="7" t="s">
        <v>67</v>
      </c>
      <c r="B36" s="8" t="s">
        <v>68</v>
      </c>
      <c r="C36" s="9" t="n">
        <f aca="false">50000+316500</f>
        <v>366500</v>
      </c>
      <c r="D36" s="9" t="n">
        <f aca="false">E36-C36</f>
        <v>0</v>
      </c>
      <c r="E36" s="9" t="n">
        <v>366500</v>
      </c>
    </row>
    <row r="37" customFormat="false" ht="15" hidden="false" customHeight="false" outlineLevel="0" collapsed="false">
      <c r="A37" s="7" t="s">
        <v>69</v>
      </c>
      <c r="B37" s="8" t="s">
        <v>70</v>
      </c>
      <c r="C37" s="9" t="n">
        <f aca="false">200000+166500</f>
        <v>366500</v>
      </c>
      <c r="D37" s="9" t="n">
        <f aca="false">E37-C37</f>
        <v>0</v>
      </c>
      <c r="E37" s="9" t="n">
        <v>366500</v>
      </c>
    </row>
    <row r="38" customFormat="false" ht="15" hidden="false" customHeight="false" outlineLevel="0" collapsed="false">
      <c r="A38" s="7" t="s">
        <v>71</v>
      </c>
      <c r="B38" s="8" t="s">
        <v>72</v>
      </c>
      <c r="C38" s="9" t="n">
        <f aca="false">170000+150000+46500</f>
        <v>366500</v>
      </c>
      <c r="D38" s="9" t="n">
        <f aca="false">E38-C38</f>
        <v>0</v>
      </c>
      <c r="E38" s="9" t="n">
        <v>366500</v>
      </c>
    </row>
    <row r="39" customFormat="false" ht="15" hidden="false" customHeight="false" outlineLevel="0" collapsed="false">
      <c r="A39" s="7" t="s">
        <v>73</v>
      </c>
      <c r="B39" s="8" t="s">
        <v>74</v>
      </c>
      <c r="C39" s="9" t="n">
        <f aca="false">78500+220000+53000+15000</f>
        <v>366500</v>
      </c>
      <c r="D39" s="9" t="n">
        <f aca="false">E39-C39</f>
        <v>0</v>
      </c>
      <c r="E39" s="9" t="n">
        <v>366500</v>
      </c>
    </row>
    <row r="40" customFormat="false" ht="15" hidden="false" customHeight="false" outlineLevel="0" collapsed="false">
      <c r="A40" s="7" t="s">
        <v>75</v>
      </c>
      <c r="B40" s="8" t="s">
        <v>76</v>
      </c>
      <c r="C40" s="9" t="n">
        <f aca="false">110000+40000+150000+40000+26500</f>
        <v>366500</v>
      </c>
      <c r="D40" s="9" t="n">
        <f aca="false">E40-C40</f>
        <v>0</v>
      </c>
      <c r="E40" s="9" t="n">
        <v>366500</v>
      </c>
    </row>
    <row r="41" customFormat="false" ht="15" hidden="false" customHeight="false" outlineLevel="0" collapsed="false">
      <c r="A41" s="7" t="s">
        <v>77</v>
      </c>
      <c r="B41" s="8" t="s">
        <v>78</v>
      </c>
      <c r="C41" s="9" t="n">
        <f aca="false">190000+176500</f>
        <v>366500</v>
      </c>
      <c r="D41" s="9" t="n">
        <f aca="false">E41-C41</f>
        <v>0</v>
      </c>
      <c r="E41" s="9" t="n">
        <v>366500</v>
      </c>
    </row>
    <row r="42" customFormat="false" ht="15" hidden="false" customHeight="false" outlineLevel="0" collapsed="false">
      <c r="A42" s="7" t="s">
        <v>79</v>
      </c>
      <c r="B42" s="8" t="s">
        <v>80</v>
      </c>
      <c r="C42" s="9" t="n">
        <f aca="false">100000+50000+140000+60000+16500</f>
        <v>366500</v>
      </c>
      <c r="D42" s="9" t="n">
        <f aca="false">E42-C42</f>
        <v>0</v>
      </c>
      <c r="E42" s="9" t="n">
        <v>366500</v>
      </c>
    </row>
    <row r="43" customFormat="false" ht="15" hidden="false" customHeight="false" outlineLevel="0" collapsed="false">
      <c r="A43" s="7" t="s">
        <v>81</v>
      </c>
      <c r="B43" s="8" t="s">
        <v>82</v>
      </c>
      <c r="C43" s="9" t="n">
        <f aca="false">125000+165000+20000+56500</f>
        <v>366500</v>
      </c>
      <c r="D43" s="9" t="n">
        <f aca="false">E43-C43</f>
        <v>0</v>
      </c>
      <c r="E43" s="9" t="n">
        <v>366500</v>
      </c>
    </row>
    <row r="44" customFormat="false" ht="15" hidden="false" customHeight="false" outlineLevel="0" collapsed="false">
      <c r="A44" s="7" t="s">
        <v>83</v>
      </c>
      <c r="B44" s="8" t="s">
        <v>84</v>
      </c>
      <c r="C44" s="9" t="n">
        <f aca="false">183250+183250</f>
        <v>366500</v>
      </c>
      <c r="D44" s="9" t="n">
        <f aca="false">E44-C44</f>
        <v>0</v>
      </c>
      <c r="E44" s="9" t="n">
        <v>366500</v>
      </c>
    </row>
    <row r="45" customFormat="false" ht="15" hidden="false" customHeight="false" outlineLevel="0" collapsed="false">
      <c r="A45" s="7" t="s">
        <v>85</v>
      </c>
      <c r="B45" s="8" t="s">
        <v>86</v>
      </c>
      <c r="C45" s="9" t="n">
        <f aca="false">175000+15000+125000+51500</f>
        <v>366500</v>
      </c>
      <c r="D45" s="9" t="n">
        <f aca="false">E45-C45</f>
        <v>0</v>
      </c>
      <c r="E45" s="9" t="n">
        <v>366500</v>
      </c>
    </row>
    <row r="46" customFormat="false" ht="15" hidden="false" customHeight="false" outlineLevel="0" collapsed="false">
      <c r="A46" s="7" t="s">
        <v>87</v>
      </c>
      <c r="B46" s="8" t="s">
        <v>88</v>
      </c>
      <c r="C46" s="9" t="n">
        <f aca="false">300000+66500</f>
        <v>366500</v>
      </c>
      <c r="D46" s="9" t="n">
        <f aca="false">E46-C46</f>
        <v>0</v>
      </c>
      <c r="E46" s="9" t="n">
        <v>366500</v>
      </c>
    </row>
    <row r="47" customFormat="false" ht="15" hidden="false" customHeight="false" outlineLevel="0" collapsed="false">
      <c r="A47" s="7" t="s">
        <v>89</v>
      </c>
      <c r="B47" s="8" t="s">
        <v>90</v>
      </c>
      <c r="C47" s="9" t="n">
        <f aca="false">191500+173500+1500</f>
        <v>366500</v>
      </c>
      <c r="D47" s="9" t="n">
        <f aca="false">E47-C47</f>
        <v>0</v>
      </c>
      <c r="E47" s="9" t="n">
        <v>366500</v>
      </c>
    </row>
    <row r="48" customFormat="false" ht="15" hidden="false" customHeight="false" outlineLevel="0" collapsed="false">
      <c r="A48" s="7" t="s">
        <v>91</v>
      </c>
      <c r="B48" s="8" t="s">
        <v>92</v>
      </c>
      <c r="C48" s="9" t="n">
        <f aca="false">16500+83500+75000+16500+175000</f>
        <v>366500</v>
      </c>
      <c r="D48" s="9" t="n">
        <f aca="false">E48-C48</f>
        <v>0</v>
      </c>
      <c r="E48" s="9" t="n">
        <v>366500</v>
      </c>
    </row>
    <row r="49" customFormat="false" ht="15" hidden="false" customHeight="false" outlineLevel="0" collapsed="false">
      <c r="A49" s="7" t="s">
        <v>93</v>
      </c>
      <c r="B49" s="8" t="s">
        <v>94</v>
      </c>
      <c r="C49" s="9" t="n">
        <f aca="false">183250+15000+100000+50000+18250</f>
        <v>366500</v>
      </c>
      <c r="D49" s="9" t="n">
        <f aca="false">E49-C49</f>
        <v>0</v>
      </c>
      <c r="E49" s="9" t="n">
        <v>366500</v>
      </c>
    </row>
    <row r="50" customFormat="false" ht="15" hidden="false" customHeight="false" outlineLevel="0" collapsed="false">
      <c r="A50" s="7" t="s">
        <v>95</v>
      </c>
      <c r="B50" s="8" t="s">
        <v>96</v>
      </c>
      <c r="C50" s="9" t="n">
        <f aca="false">175000+15000+150000+26500</f>
        <v>366500</v>
      </c>
      <c r="D50" s="9" t="n">
        <f aca="false">E50-C50</f>
        <v>0</v>
      </c>
      <c r="E50" s="9" t="n">
        <v>366500</v>
      </c>
    </row>
    <row r="51" customFormat="false" ht="15" hidden="false" customHeight="false" outlineLevel="0" collapsed="false">
      <c r="A51" s="7" t="s">
        <v>97</v>
      </c>
      <c r="B51" s="8" t="s">
        <v>98</v>
      </c>
      <c r="C51" s="9" t="n">
        <f aca="false">100000+90000+150000+26500</f>
        <v>366500</v>
      </c>
      <c r="D51" s="9" t="n">
        <f aca="false">E51-C51</f>
        <v>0</v>
      </c>
      <c r="E51" s="9" t="n">
        <v>366500</v>
      </c>
    </row>
    <row r="52" customFormat="false" ht="15" hidden="false" customHeight="false" outlineLevel="0" collapsed="false">
      <c r="A52" s="7" t="s">
        <v>99</v>
      </c>
      <c r="B52" s="8" t="s">
        <v>100</v>
      </c>
      <c r="C52" s="9" t="n">
        <f aca="false">100000+80000+16500+104000+66000</f>
        <v>366500</v>
      </c>
      <c r="D52" s="9" t="n">
        <f aca="false">E52-C52</f>
        <v>0</v>
      </c>
      <c r="E52" s="9" t="n">
        <v>366500</v>
      </c>
    </row>
    <row r="53" customFormat="false" ht="15" hidden="false" customHeight="false" outlineLevel="0" collapsed="false">
      <c r="A53" s="5" t="s">
        <v>101</v>
      </c>
      <c r="B53" s="5"/>
      <c r="C53" s="6" t="n">
        <f aca="false">SUM(C6:C52)</f>
        <v>16315500</v>
      </c>
      <c r="D53" s="6" t="n">
        <f aca="false">SUM(D6:D52)</f>
        <v>910000</v>
      </c>
      <c r="E53" s="6" t="n">
        <f aca="false">SUM(E6:E52)</f>
        <v>17225500</v>
      </c>
    </row>
    <row r="54" customFormat="false" ht="8.25" hidden="false" customHeight="true" outlineLevel="0" collapsed="false">
      <c r="A54" s="2"/>
      <c r="B54" s="11"/>
      <c r="C54" s="2"/>
      <c r="D54" s="2"/>
      <c r="E54" s="2"/>
    </row>
    <row r="55" customFormat="false" ht="17.35" hidden="false" customHeight="false" outlineLevel="0" collapsed="false">
      <c r="A55" s="12" t="s">
        <v>102</v>
      </c>
      <c r="B55" s="4"/>
      <c r="C55" s="4"/>
      <c r="D55" s="4"/>
      <c r="E55" s="4"/>
    </row>
    <row r="56" customFormat="false" ht="15" hidden="false" customHeight="false" outlineLevel="0" collapsed="false">
      <c r="A56" s="5" t="s">
        <v>2</v>
      </c>
      <c r="B56" s="5" t="s">
        <v>3</v>
      </c>
      <c r="C56" s="6" t="s">
        <v>4</v>
      </c>
      <c r="D56" s="5" t="s">
        <v>5</v>
      </c>
      <c r="E56" s="6" t="s">
        <v>6</v>
      </c>
    </row>
    <row r="57" customFormat="false" ht="15" hidden="false" customHeight="false" outlineLevel="0" collapsed="false">
      <c r="A57" s="7" t="s">
        <v>7</v>
      </c>
      <c r="B57" s="8" t="s">
        <v>103</v>
      </c>
      <c r="C57" s="9" t="n">
        <f aca="false">150000+70000+80000+66500</f>
        <v>366500</v>
      </c>
      <c r="D57" s="9" t="n">
        <f aca="false">E57-C57</f>
        <v>0</v>
      </c>
      <c r="E57" s="9" t="n">
        <v>366500</v>
      </c>
    </row>
    <row r="58" customFormat="false" ht="15" hidden="false" customHeight="false" outlineLevel="0" collapsed="false">
      <c r="A58" s="7" t="s">
        <v>9</v>
      </c>
      <c r="B58" s="8" t="s">
        <v>104</v>
      </c>
      <c r="C58" s="9" t="n">
        <f aca="false">25000+150000+16500+175000</f>
        <v>366500</v>
      </c>
      <c r="D58" s="9" t="n">
        <f aca="false">E58-C58</f>
        <v>0</v>
      </c>
      <c r="E58" s="9" t="n">
        <v>366500</v>
      </c>
    </row>
    <row r="59" customFormat="false" ht="15" hidden="false" customHeight="false" outlineLevel="0" collapsed="false">
      <c r="A59" s="7" t="s">
        <v>11</v>
      </c>
      <c r="B59" s="8" t="s">
        <v>105</v>
      </c>
      <c r="C59" s="9" t="n">
        <f aca="false">175000+16500+75000+20000+20000+60000</f>
        <v>366500</v>
      </c>
      <c r="D59" s="9" t="n">
        <f aca="false">E59-C59</f>
        <v>0</v>
      </c>
      <c r="E59" s="9" t="n">
        <v>366500</v>
      </c>
    </row>
    <row r="60" customFormat="false" ht="15" hidden="false" customHeight="false" outlineLevel="0" collapsed="false">
      <c r="A60" s="7" t="s">
        <v>13</v>
      </c>
      <c r="B60" s="8" t="s">
        <v>106</v>
      </c>
      <c r="C60" s="9" t="n">
        <f aca="false">150000+200000+16500</f>
        <v>366500</v>
      </c>
      <c r="D60" s="9" t="n">
        <f aca="false">E60-C60</f>
        <v>0</v>
      </c>
      <c r="E60" s="9" t="n">
        <v>366500</v>
      </c>
    </row>
    <row r="61" customFormat="false" ht="15" hidden="false" customHeight="false" outlineLevel="0" collapsed="false">
      <c r="A61" s="7" t="s">
        <v>15</v>
      </c>
      <c r="B61" s="8" t="s">
        <v>107</v>
      </c>
      <c r="C61" s="9" t="n">
        <f aca="false">250000+15000+100000+1500</f>
        <v>366500</v>
      </c>
      <c r="D61" s="9" t="n">
        <f aca="false">E61-C61</f>
        <v>0</v>
      </c>
      <c r="E61" s="9" t="n">
        <v>366500</v>
      </c>
    </row>
    <row r="62" customFormat="false" ht="15" hidden="false" customHeight="false" outlineLevel="0" collapsed="false">
      <c r="A62" s="7" t="s">
        <v>17</v>
      </c>
      <c r="B62" s="8" t="s">
        <v>108</v>
      </c>
      <c r="C62" s="9" t="n">
        <f aca="false">300000+16500+50000</f>
        <v>366500</v>
      </c>
      <c r="D62" s="9" t="n">
        <f aca="false">E62-C62</f>
        <v>0</v>
      </c>
      <c r="E62" s="9" t="n">
        <v>366500</v>
      </c>
    </row>
    <row r="63" customFormat="false" ht="15" hidden="false" customHeight="false" outlineLevel="0" collapsed="false">
      <c r="A63" s="7" t="s">
        <v>19</v>
      </c>
      <c r="B63" s="8" t="s">
        <v>109</v>
      </c>
      <c r="C63" s="9" t="n">
        <f aca="false">100000+100000+90000+66500+10000</f>
        <v>366500</v>
      </c>
      <c r="D63" s="9" t="n">
        <f aca="false">E63-C63</f>
        <v>0</v>
      </c>
      <c r="E63" s="9" t="n">
        <v>366500</v>
      </c>
    </row>
    <row r="64" customFormat="false" ht="15" hidden="false" customHeight="false" outlineLevel="0" collapsed="false">
      <c r="A64" s="7" t="s">
        <v>21</v>
      </c>
      <c r="B64" s="8" t="s">
        <v>110</v>
      </c>
      <c r="C64" s="9" t="n">
        <f aca="false">150000+15000+201500</f>
        <v>366500</v>
      </c>
      <c r="D64" s="9" t="n">
        <f aca="false">E64-C64</f>
        <v>0</v>
      </c>
      <c r="E64" s="9" t="n">
        <v>366500</v>
      </c>
    </row>
    <row r="65" customFormat="false" ht="15" hidden="false" customHeight="false" outlineLevel="0" collapsed="false">
      <c r="A65" s="7" t="s">
        <v>23</v>
      </c>
      <c r="B65" s="8" t="s">
        <v>111</v>
      </c>
      <c r="C65" s="9" t="n">
        <f aca="false">183000+183500</f>
        <v>366500</v>
      </c>
      <c r="D65" s="9" t="n">
        <f aca="false">E65-C65</f>
        <v>0</v>
      </c>
      <c r="E65" s="9" t="n">
        <v>366500</v>
      </c>
    </row>
    <row r="66" customFormat="false" ht="15" hidden="false" customHeight="false" outlineLevel="0" collapsed="false">
      <c r="A66" s="7" t="s">
        <v>25</v>
      </c>
      <c r="B66" s="8" t="s">
        <v>112</v>
      </c>
      <c r="C66" s="9" t="n">
        <f aca="false">50000+50000</f>
        <v>100000</v>
      </c>
      <c r="D66" s="9" t="n">
        <f aca="false">E66-C66</f>
        <v>266500</v>
      </c>
      <c r="E66" s="9" t="n">
        <v>366500</v>
      </c>
    </row>
    <row r="67" customFormat="false" ht="15" hidden="false" customHeight="false" outlineLevel="0" collapsed="false">
      <c r="A67" s="7" t="s">
        <v>27</v>
      </c>
      <c r="B67" s="8" t="s">
        <v>113</v>
      </c>
      <c r="C67" s="9" t="n">
        <f aca="false">150000+50000+15000+102000+49500</f>
        <v>366500</v>
      </c>
      <c r="D67" s="9" t="n">
        <f aca="false">E67-C67</f>
        <v>0</v>
      </c>
      <c r="E67" s="9" t="n">
        <v>366500</v>
      </c>
    </row>
    <row r="68" customFormat="false" ht="15" hidden="false" customHeight="false" outlineLevel="0" collapsed="false">
      <c r="A68" s="7" t="s">
        <v>29</v>
      </c>
      <c r="B68" s="8" t="s">
        <v>114</v>
      </c>
      <c r="C68" s="9" t="n">
        <f aca="false">15000+200000+151500</f>
        <v>366500</v>
      </c>
      <c r="D68" s="9" t="n">
        <f aca="false">E68-C68</f>
        <v>0</v>
      </c>
      <c r="E68" s="9" t="n">
        <v>366500</v>
      </c>
    </row>
    <row r="69" customFormat="false" ht="15" hidden="false" customHeight="false" outlineLevel="0" collapsed="false">
      <c r="A69" s="7" t="s">
        <v>31</v>
      </c>
      <c r="B69" s="8" t="s">
        <v>115</v>
      </c>
      <c r="C69" s="9" t="n">
        <f aca="false">182500+15000+139500+29500</f>
        <v>366500</v>
      </c>
      <c r="D69" s="9" t="n">
        <f aca="false">E69-C69</f>
        <v>0</v>
      </c>
      <c r="E69" s="9" t="n">
        <v>366500</v>
      </c>
    </row>
    <row r="70" customFormat="false" ht="15" hidden="false" customHeight="false" outlineLevel="0" collapsed="false">
      <c r="A70" s="7" t="s">
        <v>33</v>
      </c>
      <c r="B70" s="8" t="s">
        <v>116</v>
      </c>
      <c r="C70" s="9" t="n">
        <f aca="false">16500+70000+280000</f>
        <v>366500</v>
      </c>
      <c r="D70" s="9" t="n">
        <f aca="false">E70-C70</f>
        <v>0</v>
      </c>
      <c r="E70" s="9" t="n">
        <v>366500</v>
      </c>
    </row>
    <row r="71" customFormat="false" ht="15" hidden="false" customHeight="false" outlineLevel="0" collapsed="false">
      <c r="A71" s="7" t="s">
        <v>35</v>
      </c>
      <c r="B71" s="8" t="s">
        <v>117</v>
      </c>
      <c r="C71" s="9" t="n">
        <f aca="false">180000+15000+1500+170000</f>
        <v>366500</v>
      </c>
      <c r="D71" s="9" t="n">
        <f aca="false">E71-C71</f>
        <v>0</v>
      </c>
      <c r="E71" s="9" t="n">
        <v>366500</v>
      </c>
    </row>
    <row r="72" customFormat="false" ht="15" hidden="false" customHeight="false" outlineLevel="0" collapsed="false">
      <c r="A72" s="7" t="s">
        <v>37</v>
      </c>
      <c r="B72" s="8" t="s">
        <v>118</v>
      </c>
      <c r="C72" s="9" t="n">
        <f aca="false">200000+166500</f>
        <v>366500</v>
      </c>
      <c r="D72" s="9" t="n">
        <f aca="false">E72-C72</f>
        <v>0</v>
      </c>
      <c r="E72" s="9" t="n">
        <v>366500</v>
      </c>
    </row>
    <row r="73" customFormat="false" ht="15" hidden="false" customHeight="false" outlineLevel="0" collapsed="false">
      <c r="A73" s="7" t="s">
        <v>39</v>
      </c>
      <c r="B73" s="8" t="s">
        <v>119</v>
      </c>
      <c r="C73" s="9" t="n">
        <f aca="false">180000+165000+6500+15000</f>
        <v>366500</v>
      </c>
      <c r="D73" s="9" t="n">
        <f aca="false">E73-C73</f>
        <v>0</v>
      </c>
      <c r="E73" s="9" t="n">
        <v>366500</v>
      </c>
    </row>
    <row r="74" customFormat="false" ht="15" hidden="false" customHeight="false" outlineLevel="0" collapsed="false">
      <c r="A74" s="7" t="s">
        <v>41</v>
      </c>
      <c r="B74" s="8" t="s">
        <v>120</v>
      </c>
      <c r="C74" s="9" t="n">
        <f aca="false">175000+191500</f>
        <v>366500</v>
      </c>
      <c r="D74" s="9" t="n">
        <f aca="false">E74-C74</f>
        <v>0</v>
      </c>
      <c r="E74" s="9" t="n">
        <v>366500</v>
      </c>
    </row>
    <row r="75" customFormat="false" ht="15" hidden="false" customHeight="false" outlineLevel="0" collapsed="false">
      <c r="A75" s="7" t="s">
        <v>43</v>
      </c>
      <c r="B75" s="8" t="s">
        <v>121</v>
      </c>
      <c r="C75" s="9" t="n">
        <f aca="false">15000+100000+1500+250000</f>
        <v>366500</v>
      </c>
      <c r="D75" s="9" t="n">
        <f aca="false">E75-C75</f>
        <v>0</v>
      </c>
      <c r="E75" s="9" t="n">
        <v>366500</v>
      </c>
    </row>
    <row r="76" customFormat="false" ht="15" hidden="false" customHeight="false" outlineLevel="0" collapsed="false">
      <c r="A76" s="7" t="s">
        <v>45</v>
      </c>
      <c r="B76" s="8" t="s">
        <v>122</v>
      </c>
      <c r="C76" s="9" t="n">
        <f aca="false">15000+65000+200000+86500</f>
        <v>366500</v>
      </c>
      <c r="D76" s="9" t="n">
        <f aca="false">E76-C76</f>
        <v>0</v>
      </c>
      <c r="E76" s="9" t="n">
        <v>366500</v>
      </c>
    </row>
    <row r="77" customFormat="false" ht="15" hidden="false" customHeight="false" outlineLevel="0" collapsed="false">
      <c r="A77" s="5" t="s">
        <v>101</v>
      </c>
      <c r="B77" s="5"/>
      <c r="C77" s="6" t="n">
        <f aca="false">SUM(C57:C76)</f>
        <v>7063500</v>
      </c>
      <c r="D77" s="6" t="n">
        <f aca="false">SUM(D58:D76)</f>
        <v>266500</v>
      </c>
      <c r="E77" s="6" t="n">
        <f aca="false">SUM(E58:E76)</f>
        <v>6963500</v>
      </c>
    </row>
    <row r="78" customFormat="false" ht="9" hidden="false" customHeight="true" outlineLevel="0" collapsed="false">
      <c r="A78" s="2"/>
      <c r="B78" s="11"/>
      <c r="C78" s="2"/>
      <c r="D78" s="2"/>
      <c r="E78" s="2"/>
    </row>
    <row r="79" customFormat="false" ht="17.35" hidden="false" customHeight="false" outlineLevel="0" collapsed="false">
      <c r="A79" s="4" t="s">
        <v>123</v>
      </c>
      <c r="B79" s="4"/>
      <c r="C79" s="4"/>
      <c r="D79" s="4"/>
      <c r="E79" s="4"/>
    </row>
    <row r="80" customFormat="false" ht="15" hidden="false" customHeight="false" outlineLevel="0" collapsed="false">
      <c r="A80" s="5" t="s">
        <v>2</v>
      </c>
      <c r="B80" s="5" t="s">
        <v>3</v>
      </c>
      <c r="C80" s="6" t="s">
        <v>4</v>
      </c>
      <c r="D80" s="5" t="s">
        <v>5</v>
      </c>
      <c r="E80" s="6" t="s">
        <v>6</v>
      </c>
    </row>
    <row r="81" customFormat="false" ht="15" hidden="false" customHeight="false" outlineLevel="0" collapsed="false">
      <c r="A81" s="7" t="s">
        <v>7</v>
      </c>
      <c r="B81" s="8" t="s">
        <v>124</v>
      </c>
      <c r="C81" s="9" t="n">
        <v>50000</v>
      </c>
      <c r="D81" s="9" t="n">
        <f aca="false">E81-C81</f>
        <v>316500</v>
      </c>
      <c r="E81" s="9" t="n">
        <v>366500</v>
      </c>
    </row>
    <row r="82" customFormat="false" ht="15" hidden="false" customHeight="false" outlineLevel="0" collapsed="false">
      <c r="A82" s="7" t="s">
        <v>9</v>
      </c>
      <c r="B82" s="8" t="s">
        <v>125</v>
      </c>
      <c r="C82" s="9" t="n">
        <f aca="false">50000+50000+15000</f>
        <v>115000</v>
      </c>
      <c r="D82" s="9" t="n">
        <f aca="false">E82-C82</f>
        <v>251500</v>
      </c>
      <c r="E82" s="9" t="n">
        <v>366500</v>
      </c>
    </row>
    <row r="83" customFormat="false" ht="15" hidden="false" customHeight="false" outlineLevel="0" collapsed="false">
      <c r="A83" s="7" t="s">
        <v>11</v>
      </c>
      <c r="B83" s="8" t="s">
        <v>126</v>
      </c>
      <c r="C83" s="9" t="n">
        <f aca="false">190000+15000+100000+61500</f>
        <v>366500</v>
      </c>
      <c r="D83" s="9" t="n">
        <f aca="false">E83-C83</f>
        <v>0</v>
      </c>
      <c r="E83" s="9" t="n">
        <v>366500</v>
      </c>
    </row>
    <row r="84" customFormat="false" ht="15" hidden="false" customHeight="false" outlineLevel="0" collapsed="false">
      <c r="A84" s="7" t="s">
        <v>13</v>
      </c>
      <c r="B84" s="8" t="s">
        <v>127</v>
      </c>
      <c r="C84" s="9" t="n">
        <f aca="false">200000+100000+30000+36500</f>
        <v>366500</v>
      </c>
      <c r="D84" s="9" t="n">
        <f aca="false">E84-C84</f>
        <v>0</v>
      </c>
      <c r="E84" s="9" t="n">
        <v>366500</v>
      </c>
    </row>
    <row r="85" customFormat="false" ht="15" hidden="false" customHeight="false" outlineLevel="0" collapsed="false">
      <c r="A85" s="7" t="s">
        <v>15</v>
      </c>
      <c r="B85" s="8" t="s">
        <v>128</v>
      </c>
      <c r="C85" s="9" t="n">
        <f aca="false">100000+50000+16500+170000+30000</f>
        <v>366500</v>
      </c>
      <c r="D85" s="9" t="n">
        <f aca="false">E85-C85</f>
        <v>0</v>
      </c>
      <c r="E85" s="9" t="n">
        <v>366500</v>
      </c>
    </row>
    <row r="86" customFormat="false" ht="15" hidden="false" customHeight="false" outlineLevel="0" collapsed="false">
      <c r="A86" s="7" t="s">
        <v>17</v>
      </c>
      <c r="B86" s="8" t="s">
        <v>129</v>
      </c>
      <c r="C86" s="9" t="n">
        <f aca="false">200000+15000+151500</f>
        <v>366500</v>
      </c>
      <c r="D86" s="9" t="n">
        <f aca="false">E86-C86</f>
        <v>0</v>
      </c>
      <c r="E86" s="9" t="n">
        <v>366500</v>
      </c>
    </row>
    <row r="87" customFormat="false" ht="15" hidden="false" customHeight="false" outlineLevel="0" collapsed="false">
      <c r="A87" s="7" t="s">
        <v>19</v>
      </c>
      <c r="B87" s="8" t="s">
        <v>130</v>
      </c>
      <c r="C87" s="9" t="n">
        <v>100000</v>
      </c>
      <c r="D87" s="9" t="n">
        <f aca="false">E87-C87</f>
        <v>266500</v>
      </c>
      <c r="E87" s="9" t="n">
        <v>366500</v>
      </c>
    </row>
    <row r="88" customFormat="false" ht="15" hidden="false" customHeight="false" outlineLevel="0" collapsed="false">
      <c r="A88" s="7" t="s">
        <v>21</v>
      </c>
      <c r="B88" s="8" t="s">
        <v>131</v>
      </c>
      <c r="C88" s="9" t="n">
        <f aca="false">100000+150000+100000+16500</f>
        <v>366500</v>
      </c>
      <c r="D88" s="9" t="n">
        <f aca="false">E88-C88</f>
        <v>0</v>
      </c>
      <c r="E88" s="9" t="n">
        <v>366500</v>
      </c>
    </row>
    <row r="89" customFormat="false" ht="15" hidden="false" customHeight="false" outlineLevel="0" collapsed="false">
      <c r="A89" s="7" t="s">
        <v>23</v>
      </c>
      <c r="B89" s="8" t="s">
        <v>132</v>
      </c>
      <c r="C89" s="9" t="n">
        <f aca="false">70000+100000+16500+180000</f>
        <v>366500</v>
      </c>
      <c r="D89" s="9" t="n">
        <f aca="false">E89-C89</f>
        <v>0</v>
      </c>
      <c r="E89" s="9" t="n">
        <v>366500</v>
      </c>
    </row>
    <row r="90" customFormat="false" ht="15" hidden="false" customHeight="false" outlineLevel="0" collapsed="false">
      <c r="A90" s="7" t="s">
        <v>25</v>
      </c>
      <c r="B90" s="8" t="s">
        <v>133</v>
      </c>
      <c r="C90" s="9" t="n">
        <f aca="false">16500+20000</f>
        <v>36500</v>
      </c>
      <c r="D90" s="9" t="n">
        <f aca="false">E90-C90</f>
        <v>330000</v>
      </c>
      <c r="E90" s="9" t="n">
        <v>366500</v>
      </c>
    </row>
    <row r="91" customFormat="false" ht="15" hidden="false" customHeight="false" outlineLevel="0" collapsed="false">
      <c r="A91" s="7" t="s">
        <v>27</v>
      </c>
      <c r="B91" s="8" t="s">
        <v>134</v>
      </c>
      <c r="C91" s="9" t="n">
        <f aca="false">150000+15000+130000+72000</f>
        <v>367000</v>
      </c>
      <c r="D91" s="9" t="n">
        <f aca="false">E91-C91</f>
        <v>-500</v>
      </c>
      <c r="E91" s="9" t="n">
        <v>366500</v>
      </c>
    </row>
    <row r="92" customFormat="false" ht="15" hidden="false" customHeight="false" outlineLevel="0" collapsed="false">
      <c r="A92" s="7" t="s">
        <v>29</v>
      </c>
      <c r="B92" s="8" t="s">
        <v>135</v>
      </c>
      <c r="C92" s="9" t="n">
        <f aca="false">130000+70000+15000+150000+1500</f>
        <v>366500</v>
      </c>
      <c r="D92" s="9" t="n">
        <f aca="false">E92-C92</f>
        <v>0</v>
      </c>
      <c r="E92" s="9" t="n">
        <v>366500</v>
      </c>
    </row>
    <row r="93" customFormat="false" ht="15" hidden="false" customHeight="false" outlineLevel="0" collapsed="false">
      <c r="A93" s="7" t="s">
        <v>31</v>
      </c>
      <c r="B93" s="8" t="s">
        <v>136</v>
      </c>
      <c r="C93" s="9" t="n">
        <f aca="false">70000+30000+16500+250000</f>
        <v>366500</v>
      </c>
      <c r="D93" s="9" t="n">
        <f aca="false">E93-C93</f>
        <v>0</v>
      </c>
      <c r="E93" s="9" t="n">
        <v>366500</v>
      </c>
    </row>
    <row r="94" customFormat="false" ht="15" hidden="false" customHeight="false" outlineLevel="0" collapsed="false">
      <c r="A94" s="7" t="s">
        <v>33</v>
      </c>
      <c r="B94" s="8" t="s">
        <v>137</v>
      </c>
      <c r="C94" s="9" t="n">
        <f aca="false">100000+16600+50000+40400+143000+16500</f>
        <v>366500</v>
      </c>
      <c r="D94" s="9" t="n">
        <f aca="false">E94-C94</f>
        <v>0</v>
      </c>
      <c r="E94" s="9" t="n">
        <v>366500</v>
      </c>
    </row>
    <row r="95" customFormat="false" ht="15" hidden="false" customHeight="false" outlineLevel="0" collapsed="false">
      <c r="A95" s="7" t="s">
        <v>35</v>
      </c>
      <c r="B95" s="8" t="s">
        <v>138</v>
      </c>
      <c r="C95" s="9" t="n">
        <f aca="false">116500+15000+100000+50000+85000</f>
        <v>366500</v>
      </c>
      <c r="D95" s="9" t="n">
        <f aca="false">E95-C95</f>
        <v>0</v>
      </c>
      <c r="E95" s="9" t="n">
        <v>366500</v>
      </c>
    </row>
    <row r="96" customFormat="false" ht="15" hidden="false" customHeight="false" outlineLevel="0" collapsed="false">
      <c r="A96" s="7" t="s">
        <v>37</v>
      </c>
      <c r="B96" s="8" t="s">
        <v>139</v>
      </c>
      <c r="C96" s="9" t="n">
        <f aca="false">100000+80000+120000+15000+35000+16500</f>
        <v>366500</v>
      </c>
      <c r="D96" s="9" t="n">
        <f aca="false">E96-C96</f>
        <v>0</v>
      </c>
      <c r="E96" s="9" t="n">
        <v>366500</v>
      </c>
    </row>
    <row r="97" customFormat="false" ht="15" hidden="false" customHeight="false" outlineLevel="0" collapsed="false">
      <c r="A97" s="7" t="s">
        <v>39</v>
      </c>
      <c r="B97" s="8" t="s">
        <v>140</v>
      </c>
      <c r="C97" s="9" t="n">
        <v>100000</v>
      </c>
      <c r="D97" s="9" t="n">
        <f aca="false">E97-C97</f>
        <v>266500</v>
      </c>
      <c r="E97" s="9" t="n">
        <v>366500</v>
      </c>
    </row>
    <row r="98" customFormat="false" ht="15" hidden="false" customHeight="false" outlineLevel="0" collapsed="false">
      <c r="A98" s="7" t="s">
        <v>41</v>
      </c>
      <c r="B98" s="8" t="s">
        <v>141</v>
      </c>
      <c r="C98" s="9" t="n">
        <f aca="false">100000+100000+150000+16500</f>
        <v>366500</v>
      </c>
      <c r="D98" s="9" t="n">
        <f aca="false">E98-C98</f>
        <v>0</v>
      </c>
      <c r="E98" s="9" t="n">
        <v>366500</v>
      </c>
    </row>
    <row r="99" customFormat="false" ht="15" hidden="false" customHeight="false" outlineLevel="0" collapsed="false">
      <c r="A99" s="5" t="s">
        <v>101</v>
      </c>
      <c r="B99" s="5"/>
      <c r="C99" s="6" t="n">
        <f aca="false">SUM(C81:C98)</f>
        <v>5166500</v>
      </c>
      <c r="D99" s="6" t="n">
        <f aca="false">SUM(D81:D98)</f>
        <v>1430500</v>
      </c>
      <c r="E99" s="6" t="n">
        <f aca="false">SUM(E81:E98)</f>
        <v>6597000</v>
      </c>
    </row>
    <row r="100" customFormat="false" ht="15" hidden="false" customHeight="false" outlineLevel="0" collapsed="false">
      <c r="A100" s="13"/>
      <c r="B100" s="13"/>
      <c r="C100" s="14"/>
      <c r="D100" s="14"/>
      <c r="E100" s="14"/>
    </row>
    <row r="101" customFormat="false" ht="8.25" hidden="false" customHeight="true" outlineLevel="0" collapsed="false">
      <c r="A101" s="13"/>
      <c r="B101" s="13"/>
      <c r="C101" s="14"/>
      <c r="D101" s="14"/>
      <c r="E101" s="14"/>
    </row>
    <row r="102" customFormat="false" ht="17.35" hidden="false" customHeight="false" outlineLevel="0" collapsed="false">
      <c r="A102" s="2"/>
      <c r="B102" s="4" t="s">
        <v>142</v>
      </c>
      <c r="C102" s="4"/>
      <c r="D102" s="4"/>
      <c r="E102" s="4"/>
    </row>
    <row r="103" customFormat="false" ht="15" hidden="false" customHeight="false" outlineLevel="0" collapsed="false">
      <c r="A103" s="5" t="s">
        <v>2</v>
      </c>
      <c r="B103" s="5" t="s">
        <v>3</v>
      </c>
      <c r="C103" s="6" t="s">
        <v>4</v>
      </c>
      <c r="D103" s="5" t="s">
        <v>5</v>
      </c>
      <c r="E103" s="6" t="s">
        <v>6</v>
      </c>
    </row>
    <row r="104" customFormat="false" ht="15" hidden="false" customHeight="false" outlineLevel="0" collapsed="false">
      <c r="A104" s="7" t="s">
        <v>7</v>
      </c>
      <c r="B104" s="8" t="s">
        <v>143</v>
      </c>
      <c r="C104" s="9" t="n">
        <f aca="false">80000+15000+50000+100000+121500</f>
        <v>366500</v>
      </c>
      <c r="D104" s="9" t="n">
        <f aca="false">E104-C104</f>
        <v>0</v>
      </c>
      <c r="E104" s="9" t="n">
        <v>366500</v>
      </c>
    </row>
    <row r="105" customFormat="false" ht="15" hidden="false" customHeight="false" outlineLevel="0" collapsed="false">
      <c r="A105" s="7" t="s">
        <v>9</v>
      </c>
      <c r="B105" s="8" t="s">
        <v>144</v>
      </c>
      <c r="C105" s="9" t="n">
        <f aca="false">60000+15000+1500+50000+80000+160000</f>
        <v>366500</v>
      </c>
      <c r="D105" s="9" t="n">
        <f aca="false">E105-C105</f>
        <v>0</v>
      </c>
      <c r="E105" s="9" t="n">
        <v>366500</v>
      </c>
    </row>
    <row r="106" customFormat="false" ht="15" hidden="false" customHeight="false" outlineLevel="0" collapsed="false">
      <c r="A106" s="7" t="s">
        <v>11</v>
      </c>
      <c r="B106" s="8" t="s">
        <v>145</v>
      </c>
      <c r="C106" s="9" t="n">
        <f aca="false">150000+40000+50000+50000+31000+25000+20000+500</f>
        <v>366500</v>
      </c>
      <c r="D106" s="9" t="n">
        <f aca="false">E106-C106</f>
        <v>0</v>
      </c>
      <c r="E106" s="9" t="n">
        <v>366500</v>
      </c>
    </row>
    <row r="107" customFormat="false" ht="15" hidden="false" customHeight="false" outlineLevel="0" collapsed="false">
      <c r="A107" s="7" t="s">
        <v>13</v>
      </c>
      <c r="B107" s="8" t="s">
        <v>146</v>
      </c>
      <c r="C107" s="9" t="n">
        <f aca="false">100000+80000+50000+70000+66500</f>
        <v>366500</v>
      </c>
      <c r="D107" s="9" t="n">
        <f aca="false">E107-C107</f>
        <v>0</v>
      </c>
      <c r="E107" s="9" t="n">
        <v>366500</v>
      </c>
    </row>
    <row r="108" customFormat="false" ht="15" hidden="false" customHeight="false" outlineLevel="0" collapsed="false">
      <c r="A108" s="7" t="s">
        <v>15</v>
      </c>
      <c r="B108" s="8" t="s">
        <v>147</v>
      </c>
      <c r="C108" s="9" t="n">
        <f aca="false">100000+250000+16500</f>
        <v>366500</v>
      </c>
      <c r="D108" s="9" t="n">
        <f aca="false">E108-C108</f>
        <v>0</v>
      </c>
      <c r="E108" s="9" t="n">
        <v>366500</v>
      </c>
    </row>
    <row r="109" customFormat="false" ht="15" hidden="false" customHeight="false" outlineLevel="0" collapsed="false">
      <c r="A109" s="7" t="s">
        <v>17</v>
      </c>
      <c r="B109" s="8" t="s">
        <v>148</v>
      </c>
      <c r="C109" s="9" t="n">
        <f aca="false">100000+1500+15000+50000+200000</f>
        <v>366500</v>
      </c>
      <c r="D109" s="9" t="n">
        <f aca="false">E109-C109</f>
        <v>0</v>
      </c>
      <c r="E109" s="9" t="n">
        <v>366500</v>
      </c>
    </row>
    <row r="110" customFormat="false" ht="15" hidden="false" customHeight="false" outlineLevel="0" collapsed="false">
      <c r="A110" s="7" t="s">
        <v>19</v>
      </c>
      <c r="B110" s="8" t="s">
        <v>149</v>
      </c>
      <c r="C110" s="9" t="n">
        <f aca="false">180000+171500+15000</f>
        <v>366500</v>
      </c>
      <c r="D110" s="9" t="n">
        <f aca="false">E110-C110</f>
        <v>0</v>
      </c>
      <c r="E110" s="9" t="n">
        <v>366500</v>
      </c>
    </row>
    <row r="111" customFormat="false" ht="15" hidden="false" customHeight="false" outlineLevel="0" collapsed="false">
      <c r="A111" s="7" t="s">
        <v>21</v>
      </c>
      <c r="B111" s="8" t="s">
        <v>150</v>
      </c>
      <c r="C111" s="9" t="n">
        <f aca="false">100000+100000+166500</f>
        <v>366500</v>
      </c>
      <c r="D111" s="9" t="n">
        <f aca="false">E111-C111</f>
        <v>0</v>
      </c>
      <c r="E111" s="9" t="n">
        <v>366500</v>
      </c>
    </row>
    <row r="112" customFormat="false" ht="15" hidden="false" customHeight="false" outlineLevel="0" collapsed="false">
      <c r="A112" s="7" t="s">
        <v>23</v>
      </c>
      <c r="B112" s="8" t="s">
        <v>151</v>
      </c>
      <c r="C112" s="9" t="n">
        <f aca="false">120000+230000+15000+1500</f>
        <v>366500</v>
      </c>
      <c r="D112" s="9" t="n">
        <f aca="false">E112-C112</f>
        <v>0</v>
      </c>
      <c r="E112" s="9" t="n">
        <v>366500</v>
      </c>
    </row>
    <row r="113" customFormat="false" ht="15" hidden="false" customHeight="false" outlineLevel="0" collapsed="false">
      <c r="A113" s="7" t="s">
        <v>25</v>
      </c>
      <c r="B113" s="8" t="s">
        <v>152</v>
      </c>
      <c r="C113" s="9" t="n">
        <f aca="false">170000+15000+181500</f>
        <v>366500</v>
      </c>
      <c r="D113" s="9" t="n">
        <f aca="false">E113-C113</f>
        <v>0</v>
      </c>
      <c r="E113" s="9" t="n">
        <v>366500</v>
      </c>
    </row>
    <row r="114" customFormat="false" ht="15" hidden="false" customHeight="false" outlineLevel="0" collapsed="false">
      <c r="A114" s="7" t="s">
        <v>27</v>
      </c>
      <c r="B114" s="8" t="s">
        <v>153</v>
      </c>
      <c r="C114" s="9" t="n">
        <f aca="false">150000+100000+50000+66500</f>
        <v>366500</v>
      </c>
      <c r="D114" s="9" t="n">
        <f aca="false">E114-C114</f>
        <v>0</v>
      </c>
      <c r="E114" s="9" t="n">
        <v>366500</v>
      </c>
    </row>
    <row r="115" customFormat="false" ht="15" hidden="false" customHeight="false" outlineLevel="0" collapsed="false">
      <c r="A115" s="7" t="s">
        <v>29</v>
      </c>
      <c r="B115" s="8" t="s">
        <v>154</v>
      </c>
      <c r="C115" s="9" t="n">
        <f aca="false">50000+100000+15000+100000+65000+36500</f>
        <v>366500</v>
      </c>
      <c r="D115" s="9" t="n">
        <f aca="false">E115-C115</f>
        <v>0</v>
      </c>
      <c r="E115" s="9" t="n">
        <v>366500</v>
      </c>
    </row>
    <row r="116" customFormat="false" ht="15" hidden="false" customHeight="false" outlineLevel="0" collapsed="false">
      <c r="A116" s="7" t="s">
        <v>31</v>
      </c>
      <c r="B116" s="8" t="s">
        <v>155</v>
      </c>
      <c r="C116" s="9" t="n">
        <f aca="false">191500+140000+35000</f>
        <v>366500</v>
      </c>
      <c r="D116" s="9" t="n">
        <f aca="false">E116-C116</f>
        <v>0</v>
      </c>
      <c r="E116" s="9" t="n">
        <v>366500</v>
      </c>
    </row>
    <row r="117" customFormat="false" ht="15" hidden="false" customHeight="false" outlineLevel="0" collapsed="false">
      <c r="A117" s="7" t="s">
        <v>33</v>
      </c>
      <c r="B117" s="8" t="s">
        <v>156</v>
      </c>
      <c r="C117" s="9" t="n">
        <f aca="false">180000+15000+171500</f>
        <v>366500</v>
      </c>
      <c r="D117" s="9" t="n">
        <f aca="false">E117-C117</f>
        <v>0</v>
      </c>
      <c r="E117" s="9" t="n">
        <v>366500</v>
      </c>
    </row>
    <row r="118" customFormat="false" ht="15" hidden="false" customHeight="false" outlineLevel="0" collapsed="false">
      <c r="A118" s="7" t="s">
        <v>35</v>
      </c>
      <c r="B118" s="8" t="s">
        <v>157</v>
      </c>
      <c r="C118" s="9" t="n">
        <f aca="false">93500+55000+200000</f>
        <v>348500</v>
      </c>
      <c r="D118" s="9" t="n">
        <f aca="false">E118-C118</f>
        <v>18000</v>
      </c>
      <c r="E118" s="9" t="n">
        <v>366500</v>
      </c>
    </row>
    <row r="119" customFormat="false" ht="15" hidden="false" customHeight="false" outlineLevel="0" collapsed="false">
      <c r="A119" s="7" t="s">
        <v>37</v>
      </c>
      <c r="B119" s="8" t="s">
        <v>158</v>
      </c>
      <c r="C119" s="9" t="n">
        <f aca="false">199000+165000+2500</f>
        <v>366500</v>
      </c>
      <c r="D119" s="9" t="n">
        <f aca="false">E119-C119</f>
        <v>0</v>
      </c>
      <c r="E119" s="9" t="n">
        <v>366500</v>
      </c>
    </row>
    <row r="120" customFormat="false" ht="15" hidden="false" customHeight="false" outlineLevel="0" collapsed="false">
      <c r="A120" s="7" t="s">
        <v>39</v>
      </c>
      <c r="B120" s="8" t="s">
        <v>159</v>
      </c>
      <c r="C120" s="9" t="n">
        <f aca="false">15000+85000+130000+70000+30000+36500</f>
        <v>366500</v>
      </c>
      <c r="D120" s="9" t="n">
        <f aca="false">E120-C120</f>
        <v>0</v>
      </c>
      <c r="E120" s="9" t="n">
        <v>366500</v>
      </c>
    </row>
    <row r="121" customFormat="false" ht="15" hidden="false" customHeight="false" outlineLevel="0" collapsed="false">
      <c r="A121" s="7" t="s">
        <v>41</v>
      </c>
      <c r="B121" s="8" t="s">
        <v>160</v>
      </c>
      <c r="C121" s="9" t="n">
        <f aca="false">100000+76000+180000+10500</f>
        <v>366500</v>
      </c>
      <c r="D121" s="9" t="n">
        <f aca="false">E121-C121</f>
        <v>0</v>
      </c>
      <c r="E121" s="9" t="n">
        <v>366500</v>
      </c>
    </row>
    <row r="122" customFormat="false" ht="15" hidden="false" customHeight="false" outlineLevel="0" collapsed="false">
      <c r="A122" s="7" t="s">
        <v>43</v>
      </c>
      <c r="B122" s="8" t="s">
        <v>161</v>
      </c>
      <c r="C122" s="9" t="n">
        <f aca="false">50000+55000+45000+211500+5000</f>
        <v>366500</v>
      </c>
      <c r="D122" s="9" t="n">
        <f aca="false">E122-C122</f>
        <v>0</v>
      </c>
      <c r="E122" s="9" t="n">
        <v>366500</v>
      </c>
    </row>
    <row r="123" customFormat="false" ht="15" hidden="false" customHeight="false" outlineLevel="0" collapsed="false">
      <c r="A123" s="7" t="s">
        <v>45</v>
      </c>
      <c r="B123" s="8" t="s">
        <v>162</v>
      </c>
      <c r="C123" s="9" t="n">
        <f aca="false">50000+50000+115000+151500</f>
        <v>366500</v>
      </c>
      <c r="D123" s="9" t="n">
        <f aca="false">E123-C123</f>
        <v>0</v>
      </c>
      <c r="E123" s="9" t="n">
        <v>366500</v>
      </c>
    </row>
    <row r="124" customFormat="false" ht="15" hidden="false" customHeight="false" outlineLevel="0" collapsed="false">
      <c r="A124" s="7" t="s">
        <v>47</v>
      </c>
      <c r="B124" s="8" t="s">
        <v>163</v>
      </c>
      <c r="C124" s="9" t="n">
        <f aca="false">40000+245000+15000+50000+16500</f>
        <v>366500</v>
      </c>
      <c r="D124" s="9" t="n">
        <f aca="false">E124-C124</f>
        <v>0</v>
      </c>
      <c r="E124" s="9" t="n">
        <v>366500</v>
      </c>
    </row>
    <row r="125" customFormat="false" ht="15" hidden="false" customHeight="false" outlineLevel="0" collapsed="false">
      <c r="A125" s="5" t="s">
        <v>101</v>
      </c>
      <c r="B125" s="5"/>
      <c r="C125" s="6" t="n">
        <f aca="false">SUM(C104:C124)</f>
        <v>7678500</v>
      </c>
      <c r="D125" s="6" t="n">
        <f aca="false">SUM(D104:D124)</f>
        <v>18000</v>
      </c>
      <c r="E125" s="6" t="n">
        <f aca="false">SUM(E104:E124)</f>
        <v>7696500</v>
      </c>
    </row>
    <row r="126" customFormat="false" ht="15" hidden="false" customHeight="false" outlineLevel="0" collapsed="false">
      <c r="A126" s="13"/>
      <c r="B126" s="13"/>
      <c r="C126" s="14"/>
      <c r="D126" s="14"/>
      <c r="E126" s="14"/>
    </row>
    <row r="127" customFormat="false" ht="9" hidden="false" customHeight="true" outlineLevel="0" collapsed="false">
      <c r="A127" s="2"/>
      <c r="B127" s="2"/>
      <c r="C127" s="11"/>
      <c r="D127" s="2"/>
      <c r="E127" s="2"/>
    </row>
    <row r="128" customFormat="false" ht="17.35" hidden="false" customHeight="false" outlineLevel="0" collapsed="false">
      <c r="A128" s="4" t="s">
        <v>164</v>
      </c>
      <c r="B128" s="2"/>
      <c r="C128" s="4"/>
      <c r="D128" s="4"/>
      <c r="E128" s="4"/>
    </row>
    <row r="129" customFormat="false" ht="15" hidden="false" customHeight="false" outlineLevel="0" collapsed="false">
      <c r="A129" s="5" t="s">
        <v>2</v>
      </c>
      <c r="B129" s="5" t="s">
        <v>3</v>
      </c>
      <c r="C129" s="6" t="s">
        <v>4</v>
      </c>
      <c r="D129" s="5" t="s">
        <v>5</v>
      </c>
      <c r="E129" s="6" t="s">
        <v>6</v>
      </c>
    </row>
    <row r="130" customFormat="false" ht="15" hidden="false" customHeight="false" outlineLevel="0" collapsed="false">
      <c r="A130" s="7" t="s">
        <v>7</v>
      </c>
      <c r="B130" s="8" t="s">
        <v>165</v>
      </c>
      <c r="C130" s="9" t="n">
        <f aca="false">130000+20000+130000+70000+16500</f>
        <v>366500</v>
      </c>
      <c r="D130" s="9" t="n">
        <f aca="false">E130-C130</f>
        <v>0</v>
      </c>
      <c r="E130" s="9" t="n">
        <v>366500</v>
      </c>
    </row>
    <row r="131" customFormat="false" ht="15" hidden="false" customHeight="false" outlineLevel="0" collapsed="false">
      <c r="A131" s="7" t="s">
        <v>9</v>
      </c>
      <c r="B131" s="8" t="s">
        <v>166</v>
      </c>
      <c r="C131" s="9" t="n">
        <f aca="false">150000+40000+80000+96500</f>
        <v>366500</v>
      </c>
      <c r="D131" s="9" t="n">
        <f aca="false">E131-C131</f>
        <v>0</v>
      </c>
      <c r="E131" s="9" t="n">
        <v>366500</v>
      </c>
    </row>
    <row r="132" customFormat="false" ht="15" hidden="false" customHeight="false" outlineLevel="0" collapsed="false">
      <c r="A132" s="7" t="s">
        <v>11</v>
      </c>
      <c r="B132" s="8" t="s">
        <v>167</v>
      </c>
      <c r="C132" s="9" t="n">
        <f aca="false">50000+50000+100000+15000+151500</f>
        <v>366500</v>
      </c>
      <c r="D132" s="9" t="n">
        <f aca="false">E132-C132</f>
        <v>0</v>
      </c>
      <c r="E132" s="9" t="n">
        <v>366500</v>
      </c>
    </row>
    <row r="133" customFormat="false" ht="15" hidden="false" customHeight="false" outlineLevel="0" collapsed="false">
      <c r="A133" s="7" t="s">
        <v>13</v>
      </c>
      <c r="B133" s="8" t="s">
        <v>168</v>
      </c>
      <c r="C133" s="9" t="n">
        <f aca="false">60000+100000+190500+16000</f>
        <v>366500</v>
      </c>
      <c r="D133" s="9" t="n">
        <f aca="false">E133-C133</f>
        <v>0</v>
      </c>
      <c r="E133" s="9" t="n">
        <v>366500</v>
      </c>
    </row>
    <row r="134" customFormat="false" ht="15" hidden="false" customHeight="false" outlineLevel="0" collapsed="false">
      <c r="A134" s="7" t="s">
        <v>15</v>
      </c>
      <c r="B134" s="8" t="s">
        <v>169</v>
      </c>
      <c r="C134" s="9" t="n">
        <f aca="false">150000+33250+75000+50000+55000+4000</f>
        <v>367250</v>
      </c>
      <c r="D134" s="9" t="n">
        <f aca="false">E134-C134</f>
        <v>-750</v>
      </c>
      <c r="E134" s="9" t="n">
        <v>366500</v>
      </c>
    </row>
    <row r="135" customFormat="false" ht="15" hidden="false" customHeight="false" outlineLevel="0" collapsed="false">
      <c r="A135" s="7" t="s">
        <v>17</v>
      </c>
      <c r="B135" s="8" t="s">
        <v>170</v>
      </c>
      <c r="C135" s="9" t="n">
        <f aca="false">160000+15000+191500</f>
        <v>366500</v>
      </c>
      <c r="D135" s="9" t="n">
        <f aca="false">E135-C135</f>
        <v>0</v>
      </c>
      <c r="E135" s="9" t="n">
        <v>366500</v>
      </c>
    </row>
    <row r="136" customFormat="false" ht="15" hidden="false" customHeight="false" outlineLevel="0" collapsed="false">
      <c r="A136" s="7" t="s">
        <v>19</v>
      </c>
      <c r="B136" s="8" t="s">
        <v>171</v>
      </c>
      <c r="C136" s="9" t="n">
        <f aca="false">100000+50000+150000+50000+15500+1000</f>
        <v>366500</v>
      </c>
      <c r="D136" s="9" t="n">
        <f aca="false">E136-C136</f>
        <v>0</v>
      </c>
      <c r="E136" s="9" t="n">
        <v>366500</v>
      </c>
    </row>
    <row r="137" customFormat="false" ht="15" hidden="false" customHeight="false" outlineLevel="0" collapsed="false">
      <c r="A137" s="7" t="s">
        <v>21</v>
      </c>
      <c r="B137" s="8" t="s">
        <v>172</v>
      </c>
      <c r="C137" s="9" t="n">
        <f aca="false">120000+80000+150000+15000+1500</f>
        <v>366500</v>
      </c>
      <c r="D137" s="9" t="n">
        <f aca="false">E137-C137</f>
        <v>0</v>
      </c>
      <c r="E137" s="9" t="n">
        <v>366500</v>
      </c>
    </row>
    <row r="138" customFormat="false" ht="15" hidden="false" customHeight="false" outlineLevel="0" collapsed="false">
      <c r="A138" s="7" t="s">
        <v>23</v>
      </c>
      <c r="B138" s="8" t="s">
        <v>173</v>
      </c>
      <c r="C138" s="9" t="n">
        <f aca="false">50000+125000+15000+125000+51500</f>
        <v>366500</v>
      </c>
      <c r="D138" s="9" t="n">
        <f aca="false">E138-C138</f>
        <v>0</v>
      </c>
      <c r="E138" s="9" t="n">
        <v>366500</v>
      </c>
    </row>
    <row r="139" customFormat="false" ht="15" hidden="false" customHeight="false" outlineLevel="0" collapsed="false">
      <c r="A139" s="7" t="s">
        <v>25</v>
      </c>
      <c r="B139" s="8" t="s">
        <v>174</v>
      </c>
      <c r="C139" s="9" t="n">
        <f aca="false">50000+150000+15000+151500</f>
        <v>366500</v>
      </c>
      <c r="D139" s="9" t="n">
        <f aca="false">E139-C139</f>
        <v>0</v>
      </c>
      <c r="E139" s="9" t="n">
        <v>366500</v>
      </c>
    </row>
    <row r="140" customFormat="false" ht="15" hidden="false" customHeight="false" outlineLevel="0" collapsed="false">
      <c r="A140" s="7" t="s">
        <v>27</v>
      </c>
      <c r="B140" s="8" t="s">
        <v>175</v>
      </c>
      <c r="C140" s="9" t="n">
        <f aca="false">100000+16500+250000</f>
        <v>366500</v>
      </c>
      <c r="D140" s="9" t="n">
        <f aca="false">E140-C140</f>
        <v>0</v>
      </c>
      <c r="E140" s="9" t="n">
        <v>366500</v>
      </c>
    </row>
    <row r="141" customFormat="false" ht="15" hidden="false" customHeight="false" outlineLevel="0" collapsed="false">
      <c r="A141" s="7" t="s">
        <v>29</v>
      </c>
      <c r="B141" s="8" t="s">
        <v>176</v>
      </c>
      <c r="C141" s="9" t="n">
        <f aca="false">100000+100000+166500</f>
        <v>366500</v>
      </c>
      <c r="D141" s="9" t="n">
        <f aca="false">E141-C141</f>
        <v>0</v>
      </c>
      <c r="E141" s="9" t="n">
        <v>366500</v>
      </c>
    </row>
    <row r="142" customFormat="false" ht="15" hidden="false" customHeight="false" outlineLevel="0" collapsed="false">
      <c r="A142" s="7" t="s">
        <v>31</v>
      </c>
      <c r="B142" s="8" t="s">
        <v>177</v>
      </c>
      <c r="C142" s="9" t="n">
        <f aca="false">120000+80000+15000+150000+1500</f>
        <v>366500</v>
      </c>
      <c r="D142" s="9" t="n">
        <f aca="false">E142-C142</f>
        <v>0</v>
      </c>
      <c r="E142" s="9" t="n">
        <v>366500</v>
      </c>
    </row>
    <row r="143" customFormat="false" ht="15" hidden="false" customHeight="false" outlineLevel="0" collapsed="false">
      <c r="A143" s="7" t="s">
        <v>33</v>
      </c>
      <c r="B143" s="8" t="s">
        <v>178</v>
      </c>
      <c r="C143" s="9" t="n">
        <f aca="false">100000+100000+15000+151500</f>
        <v>366500</v>
      </c>
      <c r="D143" s="9" t="n">
        <f aca="false">E143-C143</f>
        <v>0</v>
      </c>
      <c r="E143" s="9" t="n">
        <v>366500</v>
      </c>
    </row>
    <row r="144" customFormat="false" ht="15" hidden="false" customHeight="false" outlineLevel="0" collapsed="false">
      <c r="A144" s="7" t="s">
        <v>35</v>
      </c>
      <c r="B144" s="8" t="s">
        <v>179</v>
      </c>
      <c r="C144" s="9" t="n">
        <f aca="false">140000+15000+50000+161500</f>
        <v>366500</v>
      </c>
      <c r="D144" s="9" t="n">
        <f aca="false">E144-C144</f>
        <v>0</v>
      </c>
      <c r="E144" s="9" t="n">
        <v>366500</v>
      </c>
    </row>
    <row r="145" customFormat="false" ht="15" hidden="false" customHeight="false" outlineLevel="0" collapsed="false">
      <c r="A145" s="7" t="s">
        <v>37</v>
      </c>
      <c r="B145" s="8" t="s">
        <v>180</v>
      </c>
      <c r="C145" s="9" t="n">
        <f aca="false">100000+80000+70000+45000+16500+55000</f>
        <v>366500</v>
      </c>
      <c r="D145" s="9" t="n">
        <f aca="false">E145-C145</f>
        <v>0</v>
      </c>
      <c r="E145" s="9" t="n">
        <v>366500</v>
      </c>
    </row>
    <row r="146" customFormat="false" ht="15" hidden="false" customHeight="false" outlineLevel="0" collapsed="false">
      <c r="A146" s="7" t="s">
        <v>39</v>
      </c>
      <c r="B146" s="8" t="s">
        <v>181</v>
      </c>
      <c r="C146" s="9" t="n">
        <f aca="false">200000+166500</f>
        <v>366500</v>
      </c>
      <c r="D146" s="9" t="n">
        <f aca="false">E146-C146</f>
        <v>0</v>
      </c>
      <c r="E146" s="9" t="n">
        <v>366500</v>
      </c>
    </row>
    <row r="147" customFormat="false" ht="15" hidden="false" customHeight="false" outlineLevel="0" collapsed="false">
      <c r="A147" s="15"/>
      <c r="B147" s="16" t="s">
        <v>182</v>
      </c>
      <c r="C147" s="6" t="n">
        <f aca="false">SUM(C130:C146)</f>
        <v>6231250</v>
      </c>
      <c r="D147" s="6" t="n">
        <f aca="false">SUM(D130:D146)</f>
        <v>-750</v>
      </c>
      <c r="E147" s="6" t="n">
        <f aca="false">SUM(E130:E146)</f>
        <v>6230500</v>
      </c>
    </row>
    <row r="148" customFormat="false" ht="8.25" hidden="false" customHeight="true" outlineLevel="0" collapsed="false">
      <c r="A148" s="2"/>
      <c r="B148" s="2"/>
      <c r="C148" s="11"/>
      <c r="D148" s="2"/>
      <c r="E148" s="2"/>
    </row>
    <row r="149" customFormat="false" ht="17.35" hidden="false" customHeight="false" outlineLevel="0" collapsed="false">
      <c r="A149" s="4" t="s">
        <v>183</v>
      </c>
      <c r="B149" s="2"/>
      <c r="C149" s="4"/>
      <c r="D149" s="4"/>
      <c r="E149" s="4"/>
    </row>
    <row r="150" customFormat="false" ht="15" hidden="false" customHeight="false" outlineLevel="0" collapsed="false">
      <c r="A150" s="5" t="s">
        <v>2</v>
      </c>
      <c r="B150" s="5" t="s">
        <v>3</v>
      </c>
      <c r="C150" s="6" t="s">
        <v>4</v>
      </c>
      <c r="D150" s="5" t="s">
        <v>5</v>
      </c>
      <c r="E150" s="6" t="s">
        <v>6</v>
      </c>
    </row>
    <row r="151" customFormat="false" ht="15" hidden="false" customHeight="false" outlineLevel="0" collapsed="false">
      <c r="A151" s="7" t="s">
        <v>7</v>
      </c>
      <c r="B151" s="8" t="s">
        <v>184</v>
      </c>
      <c r="C151" s="9" t="n">
        <f aca="false">175000+191500</f>
        <v>366500</v>
      </c>
      <c r="D151" s="9" t="n">
        <f aca="false">E151-C151</f>
        <v>0</v>
      </c>
      <c r="E151" s="9" t="n">
        <v>366500</v>
      </c>
    </row>
    <row r="152" customFormat="false" ht="15" hidden="false" customHeight="false" outlineLevel="0" collapsed="false">
      <c r="A152" s="7" t="s">
        <v>7</v>
      </c>
      <c r="B152" s="8" t="s">
        <v>185</v>
      </c>
      <c r="C152" s="9" t="n">
        <f aca="false">185000+165500+16500</f>
        <v>367000</v>
      </c>
      <c r="D152" s="17" t="n">
        <f aca="false">E152-C152</f>
        <v>-500</v>
      </c>
      <c r="E152" s="9" t="n">
        <v>366500</v>
      </c>
    </row>
    <row r="153" customFormat="false" ht="15" hidden="false" customHeight="false" outlineLevel="0" collapsed="false">
      <c r="A153" s="7" t="s">
        <v>9</v>
      </c>
      <c r="B153" s="8" t="s">
        <v>186</v>
      </c>
      <c r="C153" s="9" t="n">
        <f aca="false">150000+50000+50000+116500</f>
        <v>366500</v>
      </c>
      <c r="D153" s="9" t="n">
        <f aca="false">E153-C153</f>
        <v>0</v>
      </c>
      <c r="E153" s="9" t="n">
        <v>366500</v>
      </c>
    </row>
    <row r="154" customFormat="false" ht="15" hidden="false" customHeight="false" outlineLevel="0" collapsed="false">
      <c r="A154" s="7" t="s">
        <v>11</v>
      </c>
      <c r="B154" s="8" t="s">
        <v>187</v>
      </c>
      <c r="C154" s="9" t="n">
        <f aca="false">200000+160500+6000</f>
        <v>366500</v>
      </c>
      <c r="D154" s="9" t="n">
        <f aca="false">E154-C154</f>
        <v>0</v>
      </c>
      <c r="E154" s="9" t="n">
        <v>366500</v>
      </c>
    </row>
    <row r="155" customFormat="false" ht="15" hidden="false" customHeight="false" outlineLevel="0" collapsed="false">
      <c r="A155" s="7" t="s">
        <v>13</v>
      </c>
      <c r="B155" s="8" t="s">
        <v>188</v>
      </c>
      <c r="C155" s="9" t="n">
        <f aca="false">175000+76500+100000+15000</f>
        <v>366500</v>
      </c>
      <c r="D155" s="9" t="n">
        <f aca="false">E155-C155</f>
        <v>0</v>
      </c>
      <c r="E155" s="9" t="n">
        <v>366500</v>
      </c>
    </row>
    <row r="156" customFormat="false" ht="15" hidden="false" customHeight="false" outlineLevel="0" collapsed="false">
      <c r="A156" s="7" t="s">
        <v>15</v>
      </c>
      <c r="B156" s="8" t="s">
        <v>189</v>
      </c>
      <c r="C156" s="9" t="n">
        <f aca="false">100000+50000+216500</f>
        <v>366500</v>
      </c>
      <c r="D156" s="9" t="n">
        <f aca="false">E156-C156</f>
        <v>0</v>
      </c>
      <c r="E156" s="9" t="n">
        <v>366500</v>
      </c>
    </row>
    <row r="157" customFormat="false" ht="15" hidden="false" customHeight="false" outlineLevel="0" collapsed="false">
      <c r="A157" s="7" t="s">
        <v>17</v>
      </c>
      <c r="B157" s="8" t="s">
        <v>190</v>
      </c>
      <c r="C157" s="9" t="n">
        <f aca="false">176500+15000+175000</f>
        <v>366500</v>
      </c>
      <c r="D157" s="9" t="n">
        <f aca="false">E157-C157</f>
        <v>0</v>
      </c>
      <c r="E157" s="9" t="n">
        <v>366500</v>
      </c>
    </row>
    <row r="158" customFormat="false" ht="15" hidden="false" customHeight="false" outlineLevel="0" collapsed="false">
      <c r="A158" s="7" t="s">
        <v>19</v>
      </c>
      <c r="B158" s="8" t="s">
        <v>191</v>
      </c>
      <c r="C158" s="9" t="n">
        <f aca="false">176500+15000+175000</f>
        <v>366500</v>
      </c>
      <c r="D158" s="9" t="n">
        <f aca="false">E158-C158</f>
        <v>0</v>
      </c>
      <c r="E158" s="9" t="n">
        <v>366500</v>
      </c>
    </row>
    <row r="159" customFormat="false" ht="15" hidden="false" customHeight="false" outlineLevel="0" collapsed="false">
      <c r="A159" s="7" t="s">
        <v>21</v>
      </c>
      <c r="B159" s="8" t="s">
        <v>192</v>
      </c>
      <c r="C159" s="9" t="n">
        <f aca="false">180000+171500+15000</f>
        <v>366500</v>
      </c>
      <c r="D159" s="9" t="n">
        <f aca="false">E159-C159</f>
        <v>0</v>
      </c>
      <c r="E159" s="9" t="n">
        <v>366500</v>
      </c>
    </row>
    <row r="160" customFormat="false" ht="15" hidden="false" customHeight="false" outlineLevel="0" collapsed="false">
      <c r="A160" s="7" t="s">
        <v>23</v>
      </c>
      <c r="B160" s="8" t="s">
        <v>193</v>
      </c>
      <c r="C160" s="9" t="n">
        <f aca="false">200000+166500</f>
        <v>366500</v>
      </c>
      <c r="D160" s="9" t="n">
        <f aca="false">E160-C160</f>
        <v>0</v>
      </c>
      <c r="E160" s="9" t="n">
        <v>366500</v>
      </c>
    </row>
    <row r="161" customFormat="false" ht="15" hidden="false" customHeight="false" outlineLevel="0" collapsed="false">
      <c r="A161" s="7" t="s">
        <v>25</v>
      </c>
      <c r="B161" s="8" t="s">
        <v>194</v>
      </c>
      <c r="C161" s="9" t="n">
        <f aca="false">100000+100000+15000+151500</f>
        <v>366500</v>
      </c>
      <c r="D161" s="9" t="n">
        <f aca="false">E161-C161</f>
        <v>0</v>
      </c>
      <c r="E161" s="9" t="n">
        <v>366500</v>
      </c>
    </row>
    <row r="162" customFormat="false" ht="15" hidden="false" customHeight="false" outlineLevel="0" collapsed="false">
      <c r="A162" s="7" t="s">
        <v>27</v>
      </c>
      <c r="B162" s="8" t="s">
        <v>195</v>
      </c>
      <c r="C162" s="9" t="n">
        <f aca="false">200000+100000+65000+16500</f>
        <v>381500</v>
      </c>
      <c r="D162" s="17" t="n">
        <f aca="false">E162-C162</f>
        <v>-15000</v>
      </c>
      <c r="E162" s="9" t="n">
        <v>366500</v>
      </c>
    </row>
    <row r="163" customFormat="false" ht="15" hidden="false" customHeight="false" outlineLevel="0" collapsed="false">
      <c r="A163" s="7" t="s">
        <v>29</v>
      </c>
      <c r="B163" s="8" t="s">
        <v>196</v>
      </c>
      <c r="C163" s="9" t="n">
        <f aca="false">190000+176500</f>
        <v>366500</v>
      </c>
      <c r="D163" s="9" t="n">
        <f aca="false">E163-C163</f>
        <v>0</v>
      </c>
      <c r="E163" s="9" t="n">
        <v>366500</v>
      </c>
    </row>
    <row r="164" customFormat="false" ht="15" hidden="false" customHeight="false" outlineLevel="0" collapsed="false">
      <c r="A164" s="7" t="s">
        <v>31</v>
      </c>
      <c r="B164" s="8" t="s">
        <v>197</v>
      </c>
      <c r="C164" s="9" t="n">
        <f aca="false">100000+16500+130000+70000+50000</f>
        <v>366500</v>
      </c>
      <c r="D164" s="9" t="n">
        <f aca="false">E164-C164</f>
        <v>0</v>
      </c>
      <c r="E164" s="9" t="n">
        <v>366500</v>
      </c>
    </row>
    <row r="165" customFormat="false" ht="15" hidden="false" customHeight="false" outlineLevel="0" collapsed="false">
      <c r="A165" s="7" t="s">
        <v>33</v>
      </c>
      <c r="B165" s="8" t="s">
        <v>198</v>
      </c>
      <c r="C165" s="9" t="n">
        <f aca="false">160000+186500+15000+5000</f>
        <v>366500</v>
      </c>
      <c r="D165" s="9" t="n">
        <f aca="false">E165-C165</f>
        <v>0</v>
      </c>
      <c r="E165" s="9" t="n">
        <v>366500</v>
      </c>
    </row>
    <row r="166" customFormat="false" ht="15" hidden="false" customHeight="false" outlineLevel="0" collapsed="false">
      <c r="A166" s="7" t="s">
        <v>35</v>
      </c>
      <c r="B166" s="8" t="s">
        <v>199</v>
      </c>
      <c r="C166" s="9" t="n">
        <f aca="false">120000+231500</f>
        <v>351500</v>
      </c>
      <c r="D166" s="9" t="n">
        <f aca="false">E166-C166</f>
        <v>15000</v>
      </c>
      <c r="E166" s="9" t="n">
        <v>366500</v>
      </c>
    </row>
    <row r="167" customFormat="false" ht="15" hidden="false" customHeight="false" outlineLevel="0" collapsed="false">
      <c r="A167" s="7" t="s">
        <v>37</v>
      </c>
      <c r="B167" s="8" t="s">
        <v>200</v>
      </c>
      <c r="C167" s="9" t="n">
        <f aca="false">290000+15000+50000+11500</f>
        <v>366500</v>
      </c>
      <c r="D167" s="9" t="n">
        <f aca="false">E167-C167</f>
        <v>0</v>
      </c>
      <c r="E167" s="9" t="n">
        <v>366500</v>
      </c>
    </row>
    <row r="168" customFormat="false" ht="15" hidden="false" customHeight="false" outlineLevel="0" collapsed="false">
      <c r="A168" s="7" t="s">
        <v>39</v>
      </c>
      <c r="B168" s="8" t="s">
        <v>201</v>
      </c>
      <c r="C168" s="9" t="n">
        <f aca="false">175000+190000+1500</f>
        <v>366500</v>
      </c>
      <c r="D168" s="9" t="n">
        <f aca="false">E168-C168</f>
        <v>0</v>
      </c>
      <c r="E168" s="9" t="n">
        <v>366500</v>
      </c>
    </row>
    <row r="169" customFormat="false" ht="15" hidden="false" customHeight="false" outlineLevel="0" collapsed="false">
      <c r="A169" s="7" t="s">
        <v>41</v>
      </c>
      <c r="B169" s="8" t="s">
        <v>202</v>
      </c>
      <c r="C169" s="9" t="n">
        <f aca="false">100000+16500+40000+216500</f>
        <v>373000</v>
      </c>
      <c r="D169" s="17" t="n">
        <f aca="false">E169-C169</f>
        <v>-6500</v>
      </c>
      <c r="E169" s="9" t="n">
        <v>366500</v>
      </c>
    </row>
    <row r="170" customFormat="false" ht="15" hidden="false" customHeight="false" outlineLevel="0" collapsed="false">
      <c r="A170" s="7" t="s">
        <v>43</v>
      </c>
      <c r="B170" s="8" t="s">
        <v>203</v>
      </c>
      <c r="C170" s="9" t="n">
        <f aca="false">100000+60000+40000+15000+100000+20000+31500</f>
        <v>366500</v>
      </c>
      <c r="D170" s="9" t="n">
        <f aca="false">E170-C170</f>
        <v>0</v>
      </c>
      <c r="E170" s="9" t="n">
        <v>366500</v>
      </c>
    </row>
    <row r="171" customFormat="false" ht="15" hidden="false" customHeight="false" outlineLevel="0" collapsed="false">
      <c r="A171" s="7" t="s">
        <v>45</v>
      </c>
      <c r="B171" s="8" t="s">
        <v>204</v>
      </c>
      <c r="C171" s="9" t="n">
        <f aca="false">100000+80000+15000+170000+1500</f>
        <v>366500</v>
      </c>
      <c r="D171" s="9" t="n">
        <f aca="false">E171-C171</f>
        <v>0</v>
      </c>
      <c r="E171" s="9" t="n">
        <v>366500</v>
      </c>
    </row>
    <row r="172" customFormat="false" ht="15" hidden="false" customHeight="false" outlineLevel="0" collapsed="false">
      <c r="A172" s="7" t="s">
        <v>47</v>
      </c>
      <c r="B172" s="8" t="s">
        <v>205</v>
      </c>
      <c r="C172" s="9" t="n">
        <f aca="false">100000+16500+200000+50000</f>
        <v>366500</v>
      </c>
      <c r="D172" s="9" t="n">
        <f aca="false">E172-C172</f>
        <v>0</v>
      </c>
      <c r="E172" s="9" t="n">
        <v>366500</v>
      </c>
    </row>
    <row r="173" customFormat="false" ht="15" hidden="false" customHeight="false" outlineLevel="0" collapsed="false">
      <c r="A173" s="7" t="s">
        <v>49</v>
      </c>
      <c r="B173" s="8" t="s">
        <v>206</v>
      </c>
      <c r="C173" s="9" t="n">
        <f aca="false">100000+70000+90000+16500+90000</f>
        <v>366500</v>
      </c>
      <c r="D173" s="9" t="n">
        <f aca="false">E173-C173</f>
        <v>0</v>
      </c>
      <c r="E173" s="9" t="n">
        <v>366500</v>
      </c>
    </row>
    <row r="174" customFormat="false" ht="15" hidden="false" customHeight="false" outlineLevel="0" collapsed="false">
      <c r="A174" s="7" t="s">
        <v>51</v>
      </c>
      <c r="B174" s="8" t="s">
        <v>207</v>
      </c>
      <c r="C174" s="9" t="n">
        <f aca="false">25000+15000+25000+100000+100000+25000</f>
        <v>290000</v>
      </c>
      <c r="D174" s="9" t="n">
        <f aca="false">E174-C174</f>
        <v>76500</v>
      </c>
      <c r="E174" s="9" t="n">
        <v>366500</v>
      </c>
    </row>
    <row r="175" customFormat="false" ht="15" hidden="false" customHeight="false" outlineLevel="0" collapsed="false">
      <c r="A175" s="7" t="s">
        <v>53</v>
      </c>
      <c r="B175" s="8" t="s">
        <v>208</v>
      </c>
      <c r="C175" s="9" t="n">
        <f aca="false">100000+15000+135000+116500</f>
        <v>366500</v>
      </c>
      <c r="D175" s="9" t="n">
        <f aca="false">E175-C175</f>
        <v>0</v>
      </c>
      <c r="E175" s="9" t="n">
        <v>366500</v>
      </c>
    </row>
    <row r="176" customFormat="false" ht="15" hidden="false" customHeight="false" outlineLevel="0" collapsed="false">
      <c r="A176" s="7" t="s">
        <v>55</v>
      </c>
      <c r="B176" s="8" t="s">
        <v>209</v>
      </c>
      <c r="C176" s="9" t="n">
        <f aca="false">150000+15000+1500+100000+100000</f>
        <v>366500</v>
      </c>
      <c r="D176" s="9" t="n">
        <f aca="false">E176-C176</f>
        <v>0</v>
      </c>
      <c r="E176" s="9" t="n">
        <v>366500</v>
      </c>
    </row>
    <row r="177" customFormat="false" ht="15" hidden="false" customHeight="false" outlineLevel="0" collapsed="false">
      <c r="A177" s="7" t="s">
        <v>57</v>
      </c>
      <c r="B177" s="8" t="s">
        <v>210</v>
      </c>
      <c r="C177" s="9" t="n">
        <f aca="false">100000+200000+66500</f>
        <v>366500</v>
      </c>
      <c r="D177" s="9" t="n">
        <f aca="false">E177-C177</f>
        <v>0</v>
      </c>
      <c r="E177" s="9" t="n">
        <v>366500</v>
      </c>
    </row>
    <row r="178" customFormat="false" ht="15" hidden="false" customHeight="false" outlineLevel="0" collapsed="false">
      <c r="A178" s="7" t="s">
        <v>59</v>
      </c>
      <c r="B178" s="8" t="s">
        <v>211</v>
      </c>
      <c r="C178" s="9" t="n">
        <f aca="false">140000+10000+196000</f>
        <v>346000</v>
      </c>
      <c r="D178" s="9" t="n">
        <f aca="false">E178-C178</f>
        <v>20500</v>
      </c>
      <c r="E178" s="9" t="n">
        <v>366500</v>
      </c>
    </row>
    <row r="179" customFormat="false" ht="15" hidden="false" customHeight="false" outlineLevel="0" collapsed="false">
      <c r="A179" s="7" t="s">
        <v>61</v>
      </c>
      <c r="B179" s="8" t="s">
        <v>212</v>
      </c>
      <c r="C179" s="9" t="n">
        <f aca="false">50000+15000+100000+50000+50000+50000+50000+1500</f>
        <v>366500</v>
      </c>
      <c r="D179" s="9" t="n">
        <f aca="false">E179-C179</f>
        <v>0</v>
      </c>
      <c r="E179" s="9" t="n">
        <v>366500</v>
      </c>
    </row>
    <row r="180" customFormat="false" ht="15" hidden="false" customHeight="false" outlineLevel="0" collapsed="false">
      <c r="A180" s="7" t="s">
        <v>63</v>
      </c>
      <c r="B180" s="8" t="s">
        <v>213</v>
      </c>
      <c r="C180" s="9" t="n">
        <f aca="false">366500</f>
        <v>366500</v>
      </c>
      <c r="D180" s="9" t="n">
        <f aca="false">E180-C180</f>
        <v>0</v>
      </c>
      <c r="E180" s="9" t="n">
        <v>366500</v>
      </c>
    </row>
    <row r="181" customFormat="false" ht="15" hidden="false" customHeight="false" outlineLevel="0" collapsed="false">
      <c r="A181" s="7" t="s">
        <v>65</v>
      </c>
      <c r="B181" s="8" t="s">
        <v>214</v>
      </c>
      <c r="C181" s="9" t="n">
        <f aca="false">300000+66500</f>
        <v>366500</v>
      </c>
      <c r="D181" s="9" t="n">
        <f aca="false">E181-C181</f>
        <v>0</v>
      </c>
      <c r="E181" s="9" t="n">
        <v>366500</v>
      </c>
    </row>
    <row r="182" customFormat="false" ht="15" hidden="false" customHeight="false" outlineLevel="0" collapsed="false">
      <c r="A182" s="7" t="s">
        <v>67</v>
      </c>
      <c r="B182" s="8" t="s">
        <v>215</v>
      </c>
      <c r="C182" s="9" t="n">
        <f aca="false">100000+50000+200000+16500</f>
        <v>366500</v>
      </c>
      <c r="D182" s="9" t="n">
        <f aca="false">E182-C182</f>
        <v>0</v>
      </c>
      <c r="E182" s="9" t="n">
        <v>366500</v>
      </c>
    </row>
    <row r="183" customFormat="false" ht="15" hidden="false" customHeight="false" outlineLevel="0" collapsed="false">
      <c r="A183" s="7" t="s">
        <v>69</v>
      </c>
      <c r="B183" s="8" t="s">
        <v>216</v>
      </c>
      <c r="C183" s="9" t="n">
        <f aca="false">100000+50000+15000+165000+36500</f>
        <v>366500</v>
      </c>
      <c r="D183" s="9" t="n">
        <f aca="false">E183-C183</f>
        <v>0</v>
      </c>
      <c r="E183" s="9" t="n">
        <v>366500</v>
      </c>
    </row>
    <row r="184" customFormat="false" ht="15" hidden="false" customHeight="false" outlineLevel="0" collapsed="false">
      <c r="A184" s="7" t="s">
        <v>71</v>
      </c>
      <c r="B184" s="8" t="s">
        <v>217</v>
      </c>
      <c r="C184" s="9" t="n">
        <f aca="false">200000+166000+500</f>
        <v>366500</v>
      </c>
      <c r="D184" s="9" t="n">
        <f aca="false">E184-C184</f>
        <v>0</v>
      </c>
      <c r="E184" s="9" t="n">
        <v>366500</v>
      </c>
    </row>
    <row r="185" customFormat="false" ht="15" hidden="false" customHeight="false" outlineLevel="0" collapsed="false">
      <c r="A185" s="15"/>
      <c r="B185" s="16" t="s">
        <v>182</v>
      </c>
      <c r="C185" s="6" t="n">
        <f aca="false">SUM(C152:C184)</f>
        <v>12004500</v>
      </c>
      <c r="D185" s="6" t="n">
        <f aca="false">SUM(D152:D184)</f>
        <v>90000</v>
      </c>
      <c r="E185" s="6" t="n">
        <f aca="false">SUM(E152:E184)</f>
        <v>12094500</v>
      </c>
    </row>
    <row r="186" customFormat="false" ht="12.75" hidden="false" customHeight="false" outlineLevel="0" collapsed="false">
      <c r="A186" s="2"/>
      <c r="B186" s="2"/>
      <c r="C186" s="2"/>
      <c r="D186" s="2"/>
      <c r="E186" s="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53:B53"/>
    <mergeCell ref="A77:B77"/>
    <mergeCell ref="A99:B99"/>
    <mergeCell ref="A125:B125"/>
  </mergeCells>
  <printOptions headings="false" gridLines="false" gridLinesSet="true" horizontalCentered="false" verticalCentered="false"/>
  <pageMargins left="0.7875" right="0.7875" top="0.220138888888889" bottom="0.459722222222222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4" manualBreakCount="4">
    <brk id="53" man="true" max="16383" min="0"/>
    <brk id="77" man="true" max="16383" min="0"/>
    <brk id="126" man="true" max="16383" min="0"/>
    <brk id="147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1" activeCellId="0" sqref="F181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29.41"/>
    <col collapsed="false" customWidth="true" hidden="false" outlineLevel="0" max="5" min="3" style="1" width="14.41"/>
    <col collapsed="false" customWidth="true" hidden="false" outlineLevel="0" max="16384" min="16383" style="0" width="11.53"/>
  </cols>
  <sheetData>
    <row r="2" customFormat="false" ht="17.35" hidden="false" customHeight="false" outlineLevel="0" collapsed="false">
      <c r="A2" s="2"/>
      <c r="B2" s="18" t="s">
        <v>218</v>
      </c>
      <c r="C2" s="2"/>
      <c r="D2" s="2"/>
      <c r="E2" s="2"/>
    </row>
    <row r="3" customFormat="false" ht="17.35" hidden="false" customHeight="false" outlineLevel="0" collapsed="false">
      <c r="A3" s="2"/>
      <c r="B3" s="2"/>
      <c r="C3" s="19" t="s">
        <v>219</v>
      </c>
      <c r="D3" s="2"/>
      <c r="E3" s="2"/>
    </row>
    <row r="4" customFormat="false" ht="12.75" hidden="false" customHeight="false" outlineLevel="0" collapsed="false">
      <c r="A4" s="2"/>
      <c r="B4" s="2"/>
      <c r="C4" s="2"/>
      <c r="D4" s="2"/>
      <c r="E4" s="2"/>
    </row>
    <row r="5" customFormat="false" ht="17.35" hidden="false" customHeight="false" outlineLevel="0" collapsed="false">
      <c r="A5" s="4" t="s">
        <v>220</v>
      </c>
      <c r="B5" s="4"/>
      <c r="C5" s="4"/>
      <c r="D5" s="4"/>
      <c r="E5" s="4"/>
    </row>
    <row r="6" customFormat="false" ht="15" hidden="false" customHeight="false" outlineLevel="0" collapsed="false">
      <c r="A6" s="5" t="s">
        <v>2</v>
      </c>
      <c r="B6" s="5" t="s">
        <v>3</v>
      </c>
      <c r="C6" s="6" t="s">
        <v>4</v>
      </c>
      <c r="D6" s="5" t="s">
        <v>5</v>
      </c>
      <c r="E6" s="6" t="s">
        <v>6</v>
      </c>
    </row>
    <row r="7" customFormat="false" ht="15" hidden="false" customHeight="false" outlineLevel="0" collapsed="false">
      <c r="A7" s="7" t="s">
        <v>7</v>
      </c>
      <c r="B7" s="8" t="s">
        <v>221</v>
      </c>
      <c r="C7" s="9" t="n">
        <f aca="false">20000+15000+5000+30000+100000+130000+20000+20000+10000+16500</f>
        <v>366500</v>
      </c>
      <c r="D7" s="9" t="n">
        <f aca="false">E7-C7</f>
        <v>0</v>
      </c>
      <c r="E7" s="9" t="n">
        <v>366500</v>
      </c>
    </row>
    <row r="8" customFormat="false" ht="15" hidden="false" customHeight="false" outlineLevel="0" collapsed="false">
      <c r="A8" s="7" t="s">
        <v>9</v>
      </c>
      <c r="B8" s="8" t="s">
        <v>222</v>
      </c>
      <c r="C8" s="9" t="n">
        <f aca="false">3500+115500</f>
        <v>119000</v>
      </c>
      <c r="D8" s="9" t="n">
        <f aca="false">E8-C8</f>
        <v>247500</v>
      </c>
      <c r="E8" s="9" t="n">
        <v>366500</v>
      </c>
    </row>
    <row r="9" customFormat="false" ht="15" hidden="false" customHeight="false" outlineLevel="0" collapsed="false">
      <c r="A9" s="7" t="s">
        <v>11</v>
      </c>
      <c r="B9" s="8" t="s">
        <v>223</v>
      </c>
      <c r="C9" s="9" t="n">
        <f aca="false">40000+60000+20000+100000+15000+25000+80000+12000+14500</f>
        <v>366500</v>
      </c>
      <c r="D9" s="9" t="n">
        <f aca="false">E9-C9</f>
        <v>0</v>
      </c>
      <c r="E9" s="9" t="n">
        <v>366500</v>
      </c>
    </row>
    <row r="10" customFormat="false" ht="15" hidden="false" customHeight="false" outlineLevel="0" collapsed="false">
      <c r="A10" s="7" t="s">
        <v>13</v>
      </c>
      <c r="B10" s="8" t="s">
        <v>224</v>
      </c>
      <c r="C10" s="9" t="n">
        <f aca="false">100000+50000+150000+66500</f>
        <v>366500</v>
      </c>
      <c r="D10" s="9" t="n">
        <f aca="false">E10-C10</f>
        <v>0</v>
      </c>
      <c r="E10" s="9" t="n">
        <v>366500</v>
      </c>
    </row>
    <row r="11" customFormat="false" ht="15" hidden="false" customHeight="false" outlineLevel="0" collapsed="false">
      <c r="A11" s="7" t="s">
        <v>15</v>
      </c>
      <c r="B11" s="8" t="s">
        <v>225</v>
      </c>
      <c r="C11" s="9" t="n">
        <f aca="false">200000+130000+36500</f>
        <v>366500</v>
      </c>
      <c r="D11" s="9" t="n">
        <f aca="false">E11-C11</f>
        <v>0</v>
      </c>
      <c r="E11" s="9" t="n">
        <v>366500</v>
      </c>
    </row>
    <row r="12" customFormat="false" ht="15" hidden="false" customHeight="false" outlineLevel="0" collapsed="false">
      <c r="A12" s="7" t="s">
        <v>17</v>
      </c>
      <c r="B12" s="8" t="s">
        <v>226</v>
      </c>
      <c r="C12" s="9" t="n">
        <f aca="false">83500+15000+210000+58000</f>
        <v>366500</v>
      </c>
      <c r="D12" s="9" t="n">
        <f aca="false">E12-C12</f>
        <v>0</v>
      </c>
      <c r="E12" s="9" t="n">
        <v>366500</v>
      </c>
    </row>
    <row r="13" customFormat="false" ht="15" hidden="false" customHeight="false" outlineLevel="0" collapsed="false">
      <c r="A13" s="7" t="s">
        <v>19</v>
      </c>
      <c r="B13" s="8" t="s">
        <v>227</v>
      </c>
      <c r="C13" s="9" t="n">
        <f aca="false">100000+26500+15000+160000+65000</f>
        <v>366500</v>
      </c>
      <c r="D13" s="9" t="n">
        <f aca="false">E13-C13</f>
        <v>0</v>
      </c>
      <c r="E13" s="9" t="n">
        <v>366500</v>
      </c>
    </row>
    <row r="14" customFormat="false" ht="15" hidden="false" customHeight="false" outlineLevel="0" collapsed="false">
      <c r="A14" s="7" t="s">
        <v>21</v>
      </c>
      <c r="B14" s="8" t="s">
        <v>228</v>
      </c>
      <c r="C14" s="9" t="n">
        <f aca="false">300000+66500</f>
        <v>366500</v>
      </c>
      <c r="D14" s="9" t="n">
        <f aca="false">E14-C14</f>
        <v>0</v>
      </c>
      <c r="E14" s="9" t="n">
        <v>366500</v>
      </c>
    </row>
    <row r="15" customFormat="false" ht="15" hidden="false" customHeight="false" outlineLevel="0" collapsed="false">
      <c r="A15" s="7" t="s">
        <v>23</v>
      </c>
      <c r="B15" s="8" t="s">
        <v>229</v>
      </c>
      <c r="C15" s="9" t="n">
        <f aca="false">150000+150000+66500</f>
        <v>366500</v>
      </c>
      <c r="D15" s="9" t="n">
        <f aca="false">E15-C15</f>
        <v>0</v>
      </c>
      <c r="E15" s="9" t="n">
        <v>366500</v>
      </c>
    </row>
    <row r="16" customFormat="false" ht="15" hidden="false" customHeight="false" outlineLevel="0" collapsed="false">
      <c r="A16" s="7" t="s">
        <v>25</v>
      </c>
      <c r="B16" s="8" t="s">
        <v>230</v>
      </c>
      <c r="C16" s="9" t="n">
        <f aca="false">58500+41500+60000+60000+25000+121500</f>
        <v>366500</v>
      </c>
      <c r="D16" s="9" t="n">
        <f aca="false">E16-C16</f>
        <v>0</v>
      </c>
      <c r="E16" s="9" t="n">
        <v>366500</v>
      </c>
    </row>
    <row r="17" customFormat="false" ht="15" hidden="false" customHeight="false" outlineLevel="0" collapsed="false">
      <c r="A17" s="7" t="s">
        <v>27</v>
      </c>
      <c r="B17" s="8" t="s">
        <v>231</v>
      </c>
      <c r="C17" s="9" t="n">
        <f aca="false">33500+16500+150000</f>
        <v>200000</v>
      </c>
      <c r="D17" s="9" t="n">
        <f aca="false">E17-C17</f>
        <v>166500</v>
      </c>
      <c r="E17" s="9" t="n">
        <v>366500</v>
      </c>
    </row>
    <row r="18" customFormat="false" ht="15" hidden="false" customHeight="false" outlineLevel="0" collapsed="false">
      <c r="A18" s="7" t="s">
        <v>29</v>
      </c>
      <c r="B18" s="8" t="s">
        <v>232</v>
      </c>
      <c r="C18" s="9" t="n">
        <v>366500</v>
      </c>
      <c r="D18" s="9" t="n">
        <f aca="false">E18-C18</f>
        <v>0</v>
      </c>
      <c r="E18" s="9" t="n">
        <v>366500</v>
      </c>
    </row>
    <row r="19" customFormat="false" ht="15" hidden="false" customHeight="false" outlineLevel="0" collapsed="false">
      <c r="A19" s="7" t="s">
        <v>31</v>
      </c>
      <c r="B19" s="8" t="s">
        <v>233</v>
      </c>
      <c r="C19" s="9" t="n">
        <f aca="false">170000</f>
        <v>170000</v>
      </c>
      <c r="D19" s="9" t="n">
        <f aca="false">E19-C19</f>
        <v>196500</v>
      </c>
      <c r="E19" s="9" t="n">
        <v>366500</v>
      </c>
    </row>
    <row r="20" customFormat="false" ht="15" hidden="false" customHeight="false" outlineLevel="0" collapsed="false">
      <c r="A20" s="7" t="s">
        <v>33</v>
      </c>
      <c r="B20" s="8" t="s">
        <v>234</v>
      </c>
      <c r="C20" s="9" t="n">
        <f aca="false">150000+100000+35000+15000+65000+1500</f>
        <v>366500</v>
      </c>
      <c r="D20" s="9" t="n">
        <f aca="false">E20-C20</f>
        <v>0</v>
      </c>
      <c r="E20" s="9" t="n">
        <v>366500</v>
      </c>
    </row>
    <row r="21" customFormat="false" ht="15" hidden="false" customHeight="false" outlineLevel="0" collapsed="false">
      <c r="A21" s="7" t="s">
        <v>35</v>
      </c>
      <c r="B21" s="8" t="s">
        <v>235</v>
      </c>
      <c r="C21" s="9" t="n">
        <f aca="false">90000+30000+200000+15000+31500</f>
        <v>366500</v>
      </c>
      <c r="D21" s="9" t="n">
        <f aca="false">E21-C21</f>
        <v>0</v>
      </c>
      <c r="E21" s="9" t="n">
        <v>366500</v>
      </c>
    </row>
    <row r="22" customFormat="false" ht="15" hidden="false" customHeight="false" outlineLevel="0" collapsed="false">
      <c r="A22" s="7" t="s">
        <v>37</v>
      </c>
      <c r="B22" s="8" t="s">
        <v>236</v>
      </c>
      <c r="C22" s="9" t="n">
        <f aca="false">15000+35000+316500</f>
        <v>366500</v>
      </c>
      <c r="D22" s="9" t="n">
        <f aca="false">E22-C22</f>
        <v>0</v>
      </c>
      <c r="E22" s="9" t="n">
        <v>366500</v>
      </c>
    </row>
    <row r="23" customFormat="false" ht="15" hidden="false" customHeight="false" outlineLevel="0" collapsed="false">
      <c r="A23" s="7" t="s">
        <v>39</v>
      </c>
      <c r="B23" s="8" t="s">
        <v>237</v>
      </c>
      <c r="C23" s="9" t="n">
        <f aca="false">60000+25000+15000+85000+15000+166500</f>
        <v>366500</v>
      </c>
      <c r="D23" s="9" t="n">
        <f aca="false">E23-C23</f>
        <v>0</v>
      </c>
      <c r="E23" s="9" t="n">
        <v>366500</v>
      </c>
    </row>
    <row r="24" customFormat="false" ht="15" hidden="false" customHeight="false" outlineLevel="0" collapsed="false">
      <c r="A24" s="7" t="s">
        <v>41</v>
      </c>
      <c r="B24" s="8" t="s">
        <v>238</v>
      </c>
      <c r="C24" s="9" t="n">
        <f aca="false">33500+15500+80500+200000+37000</f>
        <v>366500</v>
      </c>
      <c r="D24" s="9" t="n">
        <f aca="false">E24-C24</f>
        <v>0</v>
      </c>
      <c r="E24" s="9" t="n">
        <v>366500</v>
      </c>
    </row>
    <row r="25" customFormat="false" ht="15" hidden="false" customHeight="false" outlineLevel="0" collapsed="false">
      <c r="A25" s="7" t="s">
        <v>43</v>
      </c>
      <c r="B25" s="8" t="s">
        <v>239</v>
      </c>
      <c r="C25" s="9" t="n">
        <f aca="false">100000+100000+166500</f>
        <v>366500</v>
      </c>
      <c r="D25" s="9" t="n">
        <f aca="false">E25-C25</f>
        <v>0</v>
      </c>
      <c r="E25" s="9" t="n">
        <v>366500</v>
      </c>
    </row>
    <row r="26" customFormat="false" ht="15" hidden="false" customHeight="false" outlineLevel="0" collapsed="false">
      <c r="A26" s="7" t="s">
        <v>45</v>
      </c>
      <c r="B26" s="8" t="s">
        <v>240</v>
      </c>
      <c r="C26" s="9" t="n">
        <f aca="false">115000+121500+110000+20000</f>
        <v>366500</v>
      </c>
      <c r="D26" s="9" t="n">
        <f aca="false">E26-C26</f>
        <v>0</v>
      </c>
      <c r="E26" s="9" t="n">
        <v>366500</v>
      </c>
    </row>
    <row r="27" customFormat="false" ht="15" hidden="false" customHeight="false" outlineLevel="0" collapsed="false">
      <c r="A27" s="7" t="s">
        <v>47</v>
      </c>
      <c r="B27" s="8" t="s">
        <v>241</v>
      </c>
      <c r="C27" s="9" t="n">
        <f aca="false">30000+150000+105000+15000+66500</f>
        <v>366500</v>
      </c>
      <c r="D27" s="9" t="n">
        <f aca="false">E27-C27</f>
        <v>0</v>
      </c>
      <c r="E27" s="9" t="n">
        <v>366500</v>
      </c>
    </row>
    <row r="28" customFormat="false" ht="15" hidden="false" customHeight="false" outlineLevel="0" collapsed="false">
      <c r="A28" s="7" t="s">
        <v>49</v>
      </c>
      <c r="B28" s="8" t="s">
        <v>242</v>
      </c>
      <c r="C28" s="9" t="n">
        <f aca="false">70000+15000+75000+100000+20000+25000+5000+40000+16500</f>
        <v>366500</v>
      </c>
      <c r="D28" s="9" t="n">
        <f aca="false">E28-C28</f>
        <v>0</v>
      </c>
      <c r="E28" s="9" t="n">
        <v>366500</v>
      </c>
    </row>
    <row r="29" customFormat="false" ht="15" hidden="false" customHeight="false" outlineLevel="0" collapsed="false">
      <c r="A29" s="7" t="s">
        <v>51</v>
      </c>
      <c r="B29" s="8" t="s">
        <v>243</v>
      </c>
      <c r="C29" s="9" t="n">
        <f aca="false">185000+181500</f>
        <v>366500</v>
      </c>
      <c r="D29" s="9" t="n">
        <f aca="false">E29-C29</f>
        <v>0</v>
      </c>
      <c r="E29" s="9" t="n">
        <v>366500</v>
      </c>
    </row>
    <row r="30" customFormat="false" ht="15" hidden="false" customHeight="false" outlineLevel="0" collapsed="false">
      <c r="A30" s="7" t="s">
        <v>53</v>
      </c>
      <c r="B30" s="8" t="s">
        <v>244</v>
      </c>
      <c r="C30" s="9" t="n">
        <f aca="false">100000+15000+100000+100000+50000+1500</f>
        <v>366500</v>
      </c>
      <c r="D30" s="9" t="n">
        <f aca="false">E30-C30</f>
        <v>0</v>
      </c>
      <c r="E30" s="9" t="n">
        <v>366500</v>
      </c>
    </row>
    <row r="31" customFormat="false" ht="15" hidden="false" customHeight="false" outlineLevel="0" collapsed="false">
      <c r="A31" s="7" t="s">
        <v>55</v>
      </c>
      <c r="B31" s="8" t="s">
        <v>245</v>
      </c>
      <c r="C31" s="9" t="n">
        <f aca="false">100000+200000+66500</f>
        <v>366500</v>
      </c>
      <c r="D31" s="9" t="n">
        <f aca="false">E31-C31</f>
        <v>0</v>
      </c>
      <c r="E31" s="9" t="n">
        <v>366500</v>
      </c>
    </row>
    <row r="32" customFormat="false" ht="15" hidden="false" customHeight="false" outlineLevel="0" collapsed="false">
      <c r="A32" s="7" t="s">
        <v>57</v>
      </c>
      <c r="B32" s="8" t="s">
        <v>246</v>
      </c>
      <c r="C32" s="9" t="n">
        <f aca="false">100000+50000+50000+120000+45000+1500</f>
        <v>366500</v>
      </c>
      <c r="D32" s="9" t="n">
        <f aca="false">E32-C32</f>
        <v>0</v>
      </c>
      <c r="E32" s="9" t="n">
        <v>366500</v>
      </c>
    </row>
    <row r="33" customFormat="false" ht="15" hidden="false" customHeight="false" outlineLevel="0" collapsed="false">
      <c r="A33" s="7" t="s">
        <v>59</v>
      </c>
      <c r="B33" s="8" t="s">
        <v>247</v>
      </c>
      <c r="C33" s="9" t="n">
        <f aca="false">134500+15000+155000+62000</f>
        <v>366500</v>
      </c>
      <c r="D33" s="9" t="n">
        <f aca="false">E33-C33</f>
        <v>0</v>
      </c>
      <c r="E33" s="9" t="n">
        <v>366500</v>
      </c>
    </row>
    <row r="34" customFormat="false" ht="15" hidden="false" customHeight="false" outlineLevel="0" collapsed="false">
      <c r="A34" s="7" t="s">
        <v>61</v>
      </c>
      <c r="B34" s="8" t="s">
        <v>248</v>
      </c>
      <c r="C34" s="9" t="n">
        <v>51500</v>
      </c>
      <c r="D34" s="9" t="n">
        <f aca="false">E34-C34</f>
        <v>315000</v>
      </c>
      <c r="E34" s="9" t="n">
        <v>366500</v>
      </c>
    </row>
    <row r="35" customFormat="false" ht="15" hidden="false" customHeight="false" outlineLevel="0" collapsed="false">
      <c r="A35" s="7" t="s">
        <v>63</v>
      </c>
      <c r="B35" s="8" t="s">
        <v>249</v>
      </c>
      <c r="C35" s="9" t="n">
        <f aca="false">100000+35000+15000+80000+136000+500</f>
        <v>366500</v>
      </c>
      <c r="D35" s="9" t="n">
        <f aca="false">E35-C35</f>
        <v>0</v>
      </c>
      <c r="E35" s="9" t="n">
        <v>366500</v>
      </c>
    </row>
    <row r="36" customFormat="false" ht="15" hidden="false" customHeight="false" outlineLevel="0" collapsed="false">
      <c r="A36" s="7" t="s">
        <v>65</v>
      </c>
      <c r="B36" s="8" t="s">
        <v>250</v>
      </c>
      <c r="C36" s="9" t="n">
        <f aca="false">150000+50000+15000+151500</f>
        <v>366500</v>
      </c>
      <c r="D36" s="9" t="n">
        <f aca="false">E36-C36</f>
        <v>0</v>
      </c>
      <c r="E36" s="9" t="n">
        <v>366500</v>
      </c>
    </row>
    <row r="37" customFormat="false" ht="15" hidden="false" customHeight="false" outlineLevel="0" collapsed="false">
      <c r="A37" s="7" t="s">
        <v>67</v>
      </c>
      <c r="B37" s="8" t="s">
        <v>251</v>
      </c>
      <c r="C37" s="9" t="n">
        <v>0</v>
      </c>
      <c r="D37" s="9" t="n">
        <f aca="false">E37-C37</f>
        <v>366500</v>
      </c>
      <c r="E37" s="9" t="n">
        <v>366500</v>
      </c>
    </row>
    <row r="38" customFormat="false" ht="15" hidden="false" customHeight="false" outlineLevel="0" collapsed="false">
      <c r="A38" s="7" t="s">
        <v>69</v>
      </c>
      <c r="B38" s="8" t="s">
        <v>252</v>
      </c>
      <c r="C38" s="9" t="n">
        <f aca="false">25000+75000+200000+66500</f>
        <v>366500</v>
      </c>
      <c r="D38" s="9" t="n">
        <f aca="false">E38-C38</f>
        <v>0</v>
      </c>
      <c r="E38" s="9" t="n">
        <v>366500</v>
      </c>
    </row>
    <row r="39" customFormat="false" ht="15" hidden="false" customHeight="false" outlineLevel="0" collapsed="false">
      <c r="A39" s="7" t="s">
        <v>71</v>
      </c>
      <c r="B39" s="8" t="s">
        <v>253</v>
      </c>
      <c r="C39" s="9" t="n">
        <f aca="false">100000+80000+15500+171000</f>
        <v>366500</v>
      </c>
      <c r="D39" s="9" t="n">
        <f aca="false">E39-C39</f>
        <v>0</v>
      </c>
      <c r="E39" s="9" t="n">
        <v>366500</v>
      </c>
    </row>
    <row r="40" customFormat="false" ht="15" hidden="false" customHeight="false" outlineLevel="0" collapsed="false">
      <c r="A40" s="7" t="s">
        <v>73</v>
      </c>
      <c r="B40" s="8" t="s">
        <v>254</v>
      </c>
      <c r="C40" s="9" t="n">
        <f aca="false">15000+300000+51500</f>
        <v>366500</v>
      </c>
      <c r="D40" s="9" t="n">
        <f aca="false">E40-C40</f>
        <v>0</v>
      </c>
      <c r="E40" s="9" t="n">
        <v>366500</v>
      </c>
    </row>
    <row r="41" customFormat="false" ht="15" hidden="false" customHeight="false" outlineLevel="0" collapsed="false">
      <c r="A41" s="5" t="s">
        <v>101</v>
      </c>
      <c r="B41" s="5"/>
      <c r="C41" s="6" t="n">
        <f aca="false">SUM(C7:C40)</f>
        <v>11169000</v>
      </c>
      <c r="D41" s="6" t="n">
        <f aca="false">SUM(D7:D40)</f>
        <v>1292000</v>
      </c>
      <c r="E41" s="6" t="n">
        <f aca="false">SUM(E7:E40)</f>
        <v>12461000</v>
      </c>
    </row>
    <row r="42" customFormat="false" ht="12.75" hidden="false" customHeight="false" outlineLevel="0" collapsed="false">
      <c r="A42" s="2"/>
      <c r="B42" s="2"/>
      <c r="C42" s="2"/>
      <c r="D42" s="2"/>
      <c r="E42" s="2"/>
    </row>
    <row r="43" customFormat="false" ht="17.35" hidden="false" customHeight="false" outlineLevel="0" collapsed="false">
      <c r="A43" s="4" t="s">
        <v>255</v>
      </c>
      <c r="B43" s="4"/>
      <c r="C43" s="4"/>
      <c r="D43" s="4"/>
      <c r="E43" s="4"/>
    </row>
    <row r="44" customFormat="false" ht="15" hidden="false" customHeight="false" outlineLevel="0" collapsed="false">
      <c r="A44" s="5" t="s">
        <v>2</v>
      </c>
      <c r="B44" s="5" t="s">
        <v>3</v>
      </c>
      <c r="C44" s="6" t="s">
        <v>4</v>
      </c>
      <c r="D44" s="5" t="s">
        <v>5</v>
      </c>
      <c r="E44" s="6" t="s">
        <v>6</v>
      </c>
    </row>
    <row r="45" customFormat="false" ht="15" hidden="false" customHeight="false" outlineLevel="0" collapsed="false">
      <c r="A45" s="7" t="s">
        <v>7</v>
      </c>
      <c r="B45" s="8" t="s">
        <v>256</v>
      </c>
      <c r="C45" s="9" t="n">
        <f aca="false">150000+15000+150000+51500</f>
        <v>366500</v>
      </c>
      <c r="D45" s="9" t="n">
        <f aca="false">E45-C45</f>
        <v>0</v>
      </c>
      <c r="E45" s="9" t="n">
        <v>366500</v>
      </c>
    </row>
    <row r="46" customFormat="false" ht="15" hidden="false" customHeight="false" outlineLevel="0" collapsed="false">
      <c r="A46" s="7" t="s">
        <v>9</v>
      </c>
      <c r="B46" s="8" t="s">
        <v>257</v>
      </c>
      <c r="C46" s="9" t="n">
        <f aca="false">100000+50000+15000+145000+56500</f>
        <v>366500</v>
      </c>
      <c r="D46" s="9" t="n">
        <f aca="false">E46-C46</f>
        <v>0</v>
      </c>
      <c r="E46" s="9" t="n">
        <v>366500</v>
      </c>
    </row>
    <row r="47" customFormat="false" ht="15" hidden="false" customHeight="false" outlineLevel="0" collapsed="false">
      <c r="A47" s="7" t="s">
        <v>11</v>
      </c>
      <c r="B47" s="8" t="s">
        <v>258</v>
      </c>
      <c r="C47" s="9" t="n">
        <f aca="false">200000+15000+100000+51500</f>
        <v>366500</v>
      </c>
      <c r="D47" s="9" t="n">
        <f aca="false">E47-C47</f>
        <v>0</v>
      </c>
      <c r="E47" s="9" t="n">
        <v>366500</v>
      </c>
    </row>
    <row r="48" customFormat="false" ht="15" hidden="false" customHeight="false" outlineLevel="0" collapsed="false">
      <c r="A48" s="7" t="s">
        <v>13</v>
      </c>
      <c r="B48" s="8" t="s">
        <v>259</v>
      </c>
      <c r="C48" s="9" t="n">
        <f aca="false">100000+15000+135000+50000+36500+30000</f>
        <v>366500</v>
      </c>
      <c r="D48" s="9" t="n">
        <f aca="false">E48-C48</f>
        <v>0</v>
      </c>
      <c r="E48" s="9" t="n">
        <v>366500</v>
      </c>
    </row>
    <row r="49" customFormat="false" ht="15" hidden="false" customHeight="false" outlineLevel="0" collapsed="false">
      <c r="A49" s="7" t="s">
        <v>15</v>
      </c>
      <c r="B49" s="8" t="s">
        <v>260</v>
      </c>
      <c r="C49" s="9" t="n">
        <f aca="false">93500+20000+15000+190000+48000</f>
        <v>366500</v>
      </c>
      <c r="D49" s="9" t="n">
        <f aca="false">E49-C49</f>
        <v>0</v>
      </c>
      <c r="E49" s="9" t="n">
        <v>366500</v>
      </c>
    </row>
    <row r="50" customFormat="false" ht="15" hidden="false" customHeight="false" outlineLevel="0" collapsed="false">
      <c r="A50" s="7" t="s">
        <v>17</v>
      </c>
      <c r="B50" s="8" t="s">
        <v>261</v>
      </c>
      <c r="C50" s="9" t="n">
        <f aca="false">50000+15000+20000+165000+50000+66500</f>
        <v>366500</v>
      </c>
      <c r="D50" s="9" t="n">
        <f aca="false">E50-C50</f>
        <v>0</v>
      </c>
      <c r="E50" s="9" t="n">
        <v>366500</v>
      </c>
    </row>
    <row r="51" customFormat="false" ht="15" hidden="false" customHeight="false" outlineLevel="0" collapsed="false">
      <c r="A51" s="7" t="s">
        <v>19</v>
      </c>
      <c r="B51" s="8" t="s">
        <v>262</v>
      </c>
      <c r="C51" s="9" t="n">
        <f aca="false">50000+100000+100000+15000+101500</f>
        <v>366500</v>
      </c>
      <c r="D51" s="9" t="n">
        <f aca="false">E51-C51</f>
        <v>0</v>
      </c>
      <c r="E51" s="9" t="n">
        <v>366500</v>
      </c>
    </row>
    <row r="52" customFormat="false" ht="15" hidden="false" customHeight="false" outlineLevel="0" collapsed="false">
      <c r="A52" s="7" t="s">
        <v>21</v>
      </c>
      <c r="B52" s="8" t="s">
        <v>263</v>
      </c>
      <c r="C52" s="9" t="n">
        <f aca="false">100000+15000+185000+66500</f>
        <v>366500</v>
      </c>
      <c r="D52" s="9" t="n">
        <f aca="false">E52-C52</f>
        <v>0</v>
      </c>
      <c r="E52" s="9" t="n">
        <v>366500</v>
      </c>
    </row>
    <row r="53" customFormat="false" ht="15" hidden="false" customHeight="false" outlineLevel="0" collapsed="false">
      <c r="A53" s="7" t="s">
        <v>23</v>
      </c>
      <c r="B53" s="8" t="s">
        <v>264</v>
      </c>
      <c r="C53" s="9" t="n">
        <f aca="false">100000+15000+35000+216500</f>
        <v>366500</v>
      </c>
      <c r="D53" s="9" t="n">
        <f aca="false">E53-C53</f>
        <v>0</v>
      </c>
      <c r="E53" s="9" t="n">
        <v>366500</v>
      </c>
    </row>
    <row r="54" customFormat="false" ht="15" hidden="false" customHeight="false" outlineLevel="0" collapsed="false">
      <c r="A54" s="7" t="s">
        <v>25</v>
      </c>
      <c r="B54" s="8" t="s">
        <v>265</v>
      </c>
      <c r="C54" s="9" t="n">
        <f aca="false">100000+15000+50000+135000+20000+46000+500</f>
        <v>366500</v>
      </c>
      <c r="D54" s="9" t="n">
        <f aca="false">E54-C54</f>
        <v>0</v>
      </c>
      <c r="E54" s="9" t="n">
        <v>366500</v>
      </c>
    </row>
    <row r="55" customFormat="false" ht="15" hidden="false" customHeight="false" outlineLevel="0" collapsed="false">
      <c r="A55" s="7" t="s">
        <v>27</v>
      </c>
      <c r="B55" s="8" t="s">
        <v>266</v>
      </c>
      <c r="C55" s="9" t="n">
        <f aca="false">129000+15000+100000+100000+22500</f>
        <v>366500</v>
      </c>
      <c r="D55" s="9" t="n">
        <f aca="false">E55-C55</f>
        <v>0</v>
      </c>
      <c r="E55" s="9" t="n">
        <v>366500</v>
      </c>
    </row>
    <row r="56" customFormat="false" ht="15" hidden="false" customHeight="false" outlineLevel="0" collapsed="false">
      <c r="A56" s="7" t="s">
        <v>29</v>
      </c>
      <c r="B56" s="8" t="s">
        <v>267</v>
      </c>
      <c r="C56" s="9" t="n">
        <f aca="false">15000+135000+201500+15000</f>
        <v>366500</v>
      </c>
      <c r="D56" s="9" t="n">
        <f aca="false">E56-C56</f>
        <v>0</v>
      </c>
      <c r="E56" s="9" t="n">
        <v>366500</v>
      </c>
    </row>
    <row r="57" customFormat="false" ht="15" hidden="false" customHeight="false" outlineLevel="0" collapsed="false">
      <c r="A57" s="7" t="s">
        <v>31</v>
      </c>
      <c r="B57" s="8" t="s">
        <v>268</v>
      </c>
      <c r="C57" s="9" t="n">
        <f aca="false">100000+160000+40000+66500</f>
        <v>366500</v>
      </c>
      <c r="D57" s="9" t="n">
        <f aca="false">E57-C57</f>
        <v>0</v>
      </c>
      <c r="E57" s="9" t="n">
        <v>366500</v>
      </c>
    </row>
    <row r="58" customFormat="false" ht="15" hidden="false" customHeight="false" outlineLevel="0" collapsed="false">
      <c r="A58" s="7" t="s">
        <v>33</v>
      </c>
      <c r="B58" s="8" t="s">
        <v>269</v>
      </c>
      <c r="C58" s="9" t="n">
        <f aca="false">50000+50000+130000+15000+70000+51500</f>
        <v>366500</v>
      </c>
      <c r="D58" s="9" t="n">
        <f aca="false">E58-C58</f>
        <v>0</v>
      </c>
      <c r="E58" s="9" t="n">
        <v>366500</v>
      </c>
    </row>
    <row r="59" customFormat="false" ht="15" hidden="false" customHeight="false" outlineLevel="0" collapsed="false">
      <c r="A59" s="7" t="s">
        <v>35</v>
      </c>
      <c r="B59" s="8" t="s">
        <v>270</v>
      </c>
      <c r="C59" s="9" t="n">
        <f aca="false">28500+51500+15000+220000+51500</f>
        <v>366500</v>
      </c>
      <c r="D59" s="9" t="n">
        <f aca="false">E59-C59</f>
        <v>0</v>
      </c>
      <c r="E59" s="9" t="n">
        <v>366500</v>
      </c>
    </row>
    <row r="60" customFormat="false" ht="15" hidden="false" customHeight="false" outlineLevel="0" collapsed="false">
      <c r="A60" s="7" t="s">
        <v>37</v>
      </c>
      <c r="B60" s="8" t="s">
        <v>271</v>
      </c>
      <c r="C60" s="9" t="n">
        <f aca="false">100000+50000+15000+151500+50000</f>
        <v>366500</v>
      </c>
      <c r="D60" s="9" t="n">
        <f aca="false">E60-C60</f>
        <v>0</v>
      </c>
      <c r="E60" s="9" t="n">
        <v>366500</v>
      </c>
    </row>
    <row r="61" customFormat="false" ht="15" hidden="false" customHeight="false" outlineLevel="0" collapsed="false">
      <c r="A61" s="7" t="s">
        <v>41</v>
      </c>
      <c r="B61" s="8" t="s">
        <v>272</v>
      </c>
      <c r="C61" s="9" t="n">
        <f aca="false">35000+15000+280000+36500</f>
        <v>366500</v>
      </c>
      <c r="D61" s="9" t="n">
        <f aca="false">E61-C61</f>
        <v>0</v>
      </c>
      <c r="E61" s="9" t="n">
        <v>366500</v>
      </c>
    </row>
    <row r="62" customFormat="false" ht="15" hidden="false" customHeight="false" outlineLevel="0" collapsed="false">
      <c r="A62" s="7" t="s">
        <v>43</v>
      </c>
      <c r="B62" s="8" t="s">
        <v>273</v>
      </c>
      <c r="C62" s="9" t="n">
        <f aca="false">160000+15000+150000+41500</f>
        <v>366500</v>
      </c>
      <c r="D62" s="9" t="n">
        <f aca="false">E62-C62</f>
        <v>0</v>
      </c>
      <c r="E62" s="9" t="n">
        <v>366500</v>
      </c>
    </row>
    <row r="63" customFormat="false" ht="15" hidden="false" customHeight="false" outlineLevel="0" collapsed="false">
      <c r="A63" s="7" t="s">
        <v>45</v>
      </c>
      <c r="B63" s="8" t="s">
        <v>274</v>
      </c>
      <c r="C63" s="9" t="n">
        <f aca="false">100000+15000+35000+140000+10000+66500</f>
        <v>366500</v>
      </c>
      <c r="D63" s="9" t="n">
        <f aca="false">E63-C63</f>
        <v>0</v>
      </c>
      <c r="E63" s="9" t="n">
        <v>366500</v>
      </c>
    </row>
    <row r="64" customFormat="false" ht="15" hidden="false" customHeight="false" outlineLevel="0" collapsed="false">
      <c r="A64" s="7" t="s">
        <v>47</v>
      </c>
      <c r="B64" s="8" t="s">
        <v>275</v>
      </c>
      <c r="C64" s="9" t="n">
        <f aca="false">100000+15000+35000+150000+66500</f>
        <v>366500</v>
      </c>
      <c r="D64" s="9" t="n">
        <f aca="false">E64-C64</f>
        <v>0</v>
      </c>
      <c r="E64" s="9" t="n">
        <v>366500</v>
      </c>
    </row>
    <row r="65" customFormat="false" ht="15" hidden="false" customHeight="false" outlineLevel="0" collapsed="false">
      <c r="A65" s="7" t="s">
        <v>49</v>
      </c>
      <c r="B65" s="8" t="s">
        <v>276</v>
      </c>
      <c r="C65" s="9" t="n">
        <f aca="false">80000+15000+1500+60000+150000+60000</f>
        <v>366500</v>
      </c>
      <c r="D65" s="9" t="n">
        <f aca="false">E65-C65</f>
        <v>0</v>
      </c>
      <c r="E65" s="9" t="n">
        <v>366500</v>
      </c>
    </row>
    <row r="66" customFormat="false" ht="15" hidden="false" customHeight="false" outlineLevel="0" collapsed="false">
      <c r="A66" s="7" t="s">
        <v>51</v>
      </c>
      <c r="B66" s="8" t="s">
        <v>277</v>
      </c>
      <c r="C66" s="9" t="n">
        <f aca="false">15000+15000+170000+166500</f>
        <v>366500</v>
      </c>
      <c r="D66" s="9" t="n">
        <f aca="false">E66-C66</f>
        <v>0</v>
      </c>
      <c r="E66" s="9" t="n">
        <v>366500</v>
      </c>
    </row>
    <row r="67" customFormat="false" ht="15" hidden="false" customHeight="false" outlineLevel="0" collapsed="false">
      <c r="A67" s="7" t="s">
        <v>53</v>
      </c>
      <c r="B67" s="8" t="s">
        <v>278</v>
      </c>
      <c r="C67" s="9" t="n">
        <f aca="false">100000+15000+251500</f>
        <v>366500</v>
      </c>
      <c r="D67" s="9" t="n">
        <f aca="false">E67-C67</f>
        <v>0</v>
      </c>
      <c r="E67" s="9" t="n">
        <v>366500</v>
      </c>
    </row>
    <row r="68" customFormat="false" ht="15" hidden="false" customHeight="false" outlineLevel="0" collapsed="false">
      <c r="A68" s="7" t="s">
        <v>55</v>
      </c>
      <c r="B68" s="8" t="s">
        <v>279</v>
      </c>
      <c r="C68" s="9" t="n">
        <f aca="false">70000+15000</f>
        <v>85000</v>
      </c>
      <c r="D68" s="9" t="n">
        <f aca="false">E68-C68</f>
        <v>281500</v>
      </c>
      <c r="E68" s="9" t="n">
        <v>366500</v>
      </c>
    </row>
    <row r="69" customFormat="false" ht="15" hidden="false" customHeight="false" outlineLevel="0" collapsed="false">
      <c r="A69" s="7" t="s">
        <v>57</v>
      </c>
      <c r="B69" s="8" t="s">
        <v>280</v>
      </c>
      <c r="C69" s="9" t="n">
        <f aca="false">116500+15000+50000+120000+65000</f>
        <v>366500</v>
      </c>
      <c r="D69" s="9" t="n">
        <f aca="false">E69-C69</f>
        <v>0</v>
      </c>
      <c r="E69" s="9" t="n">
        <v>366500</v>
      </c>
    </row>
    <row r="70" customFormat="false" ht="15" hidden="false" customHeight="false" outlineLevel="0" collapsed="false">
      <c r="A70" s="7" t="s">
        <v>59</v>
      </c>
      <c r="B70" s="8" t="s">
        <v>281</v>
      </c>
      <c r="C70" s="9" t="n">
        <f aca="false">500+116500+75000+15000+159500</f>
        <v>366500</v>
      </c>
      <c r="D70" s="9" t="n">
        <f aca="false">E70-C70</f>
        <v>0</v>
      </c>
      <c r="E70" s="9" t="n">
        <v>366500</v>
      </c>
    </row>
    <row r="71" customFormat="false" ht="15" hidden="false" customHeight="false" outlineLevel="0" collapsed="false">
      <c r="A71" s="7" t="s">
        <v>61</v>
      </c>
      <c r="B71" s="8" t="s">
        <v>282</v>
      </c>
      <c r="C71" s="9" t="n">
        <f aca="false">50000+50000+50000+100000+50000+66500</f>
        <v>366500</v>
      </c>
      <c r="D71" s="9" t="n">
        <f aca="false">E71-C71</f>
        <v>0</v>
      </c>
      <c r="E71" s="9" t="n">
        <v>366500</v>
      </c>
    </row>
    <row r="72" customFormat="false" ht="15" hidden="false" customHeight="false" outlineLevel="0" collapsed="false">
      <c r="A72" s="5" t="s">
        <v>101</v>
      </c>
      <c r="B72" s="5"/>
      <c r="C72" s="6" t="n">
        <f aca="false">SUM(C45:C71)</f>
        <v>9614000</v>
      </c>
      <c r="D72" s="6" t="n">
        <f aca="false">SUM(D45:D71)</f>
        <v>281500</v>
      </c>
      <c r="E72" s="6" t="n">
        <f aca="false">SUM(E45:E71)</f>
        <v>9895500</v>
      </c>
    </row>
    <row r="73" customFormat="false" ht="12.75" hidden="false" customHeight="false" outlineLevel="0" collapsed="false">
      <c r="A73" s="2"/>
      <c r="B73" s="2"/>
      <c r="C73" s="2"/>
      <c r="D73" s="2"/>
      <c r="E73" s="2"/>
    </row>
    <row r="74" customFormat="false" ht="17.35" hidden="false" customHeight="false" outlineLevel="0" collapsed="false">
      <c r="A74" s="4" t="s">
        <v>283</v>
      </c>
      <c r="B74" s="4"/>
      <c r="C74" s="4"/>
      <c r="D74" s="4"/>
      <c r="E74" s="4"/>
    </row>
    <row r="75" customFormat="false" ht="15" hidden="false" customHeight="false" outlineLevel="0" collapsed="false">
      <c r="A75" s="5" t="s">
        <v>2</v>
      </c>
      <c r="B75" s="5" t="s">
        <v>3</v>
      </c>
      <c r="C75" s="6" t="s">
        <v>4</v>
      </c>
      <c r="D75" s="5" t="s">
        <v>5</v>
      </c>
      <c r="E75" s="6" t="s">
        <v>6</v>
      </c>
    </row>
    <row r="76" customFormat="false" ht="15" hidden="false" customHeight="false" outlineLevel="0" collapsed="false">
      <c r="A76" s="7" t="s">
        <v>7</v>
      </c>
      <c r="B76" s="8" t="s">
        <v>284</v>
      </c>
      <c r="C76" s="9" t="n">
        <f aca="false">150000+50000+15000+50000+35000+66500</f>
        <v>366500</v>
      </c>
      <c r="D76" s="9" t="n">
        <f aca="false">E76-C76</f>
        <v>0</v>
      </c>
      <c r="E76" s="9" t="n">
        <v>366500</v>
      </c>
    </row>
    <row r="77" customFormat="false" ht="15" hidden="false" customHeight="false" outlineLevel="0" collapsed="false">
      <c r="A77" s="7" t="s">
        <v>9</v>
      </c>
      <c r="B77" s="8" t="s">
        <v>285</v>
      </c>
      <c r="C77" s="9" t="n">
        <f aca="false">40000+99500+120000+50000+50000+7000</f>
        <v>366500</v>
      </c>
      <c r="D77" s="9" t="n">
        <f aca="false">E77-C77</f>
        <v>0</v>
      </c>
      <c r="E77" s="9" t="n">
        <v>366500</v>
      </c>
    </row>
    <row r="78" customFormat="false" ht="15" hidden="false" customHeight="false" outlineLevel="0" collapsed="false">
      <c r="A78" s="7" t="s">
        <v>11</v>
      </c>
      <c r="B78" s="8" t="s">
        <v>286</v>
      </c>
      <c r="C78" s="9" t="n">
        <f aca="false">15000+86500+150000+50000+65000</f>
        <v>366500</v>
      </c>
      <c r="D78" s="9" t="n">
        <f aca="false">E78-C78</f>
        <v>0</v>
      </c>
      <c r="E78" s="9" t="n">
        <v>366500</v>
      </c>
    </row>
    <row r="79" customFormat="false" ht="15" hidden="false" customHeight="false" outlineLevel="0" collapsed="false">
      <c r="A79" s="7" t="s">
        <v>13</v>
      </c>
      <c r="B79" s="8" t="s">
        <v>287</v>
      </c>
      <c r="C79" s="9" t="n">
        <f aca="false">150000+35000+15000+1000+165500</f>
        <v>366500</v>
      </c>
      <c r="D79" s="9" t="n">
        <f aca="false">E79-C79</f>
        <v>0</v>
      </c>
      <c r="E79" s="9" t="n">
        <v>366500</v>
      </c>
    </row>
    <row r="80" customFormat="false" ht="15" hidden="false" customHeight="false" outlineLevel="0" collapsed="false">
      <c r="A80" s="7" t="s">
        <v>15</v>
      </c>
      <c r="B80" s="8" t="s">
        <v>288</v>
      </c>
      <c r="C80" s="9" t="n">
        <f aca="false">50000+205000+15000+50000+46500</f>
        <v>366500</v>
      </c>
      <c r="D80" s="9" t="n">
        <f aca="false">E80-C80</f>
        <v>0</v>
      </c>
      <c r="E80" s="9" t="n">
        <v>366500</v>
      </c>
    </row>
    <row r="81" customFormat="false" ht="15" hidden="false" customHeight="false" outlineLevel="0" collapsed="false">
      <c r="A81" s="7" t="s">
        <v>17</v>
      </c>
      <c r="B81" s="8" t="s">
        <v>289</v>
      </c>
      <c r="C81" s="9" t="n">
        <f aca="false">80000+65000+15000+205000+1500</f>
        <v>366500</v>
      </c>
      <c r="D81" s="9" t="n">
        <f aca="false">E81-C81</f>
        <v>0</v>
      </c>
      <c r="E81" s="9" t="n">
        <v>366500</v>
      </c>
    </row>
    <row r="82" customFormat="false" ht="15" hidden="false" customHeight="false" outlineLevel="0" collapsed="false">
      <c r="A82" s="7" t="s">
        <v>19</v>
      </c>
      <c r="B82" s="8" t="s">
        <v>290</v>
      </c>
      <c r="C82" s="9" t="n">
        <f aca="false">15000+135000+216000+500</f>
        <v>366500</v>
      </c>
      <c r="D82" s="9" t="n">
        <f aca="false">E82-C82</f>
        <v>0</v>
      </c>
      <c r="E82" s="9" t="n">
        <v>366500</v>
      </c>
    </row>
    <row r="83" customFormat="false" ht="15" hidden="false" customHeight="false" outlineLevel="0" collapsed="false">
      <c r="A83" s="7" t="s">
        <v>21</v>
      </c>
      <c r="B83" s="8" t="s">
        <v>291</v>
      </c>
      <c r="C83" s="9" t="n">
        <f aca="false">100000+50000+15000+160000+41600</f>
        <v>366600</v>
      </c>
      <c r="D83" s="9" t="n">
        <f aca="false">E83-C83</f>
        <v>-100</v>
      </c>
      <c r="E83" s="9" t="n">
        <v>366500</v>
      </c>
    </row>
    <row r="84" customFormat="false" ht="15" hidden="false" customHeight="false" outlineLevel="0" collapsed="false">
      <c r="A84" s="7" t="s">
        <v>23</v>
      </c>
      <c r="B84" s="8" t="s">
        <v>292</v>
      </c>
      <c r="C84" s="9" t="n">
        <f aca="false">116500+135000+115000</f>
        <v>366500</v>
      </c>
      <c r="D84" s="9" t="n">
        <f aca="false">E84-C84</f>
        <v>0</v>
      </c>
      <c r="E84" s="9" t="n">
        <v>366500</v>
      </c>
    </row>
    <row r="85" customFormat="false" ht="15" hidden="false" customHeight="false" outlineLevel="0" collapsed="false">
      <c r="A85" s="7" t="s">
        <v>25</v>
      </c>
      <c r="B85" s="8" t="s">
        <v>293</v>
      </c>
      <c r="C85" s="9" t="n">
        <f aca="false">18500+32000+30000+150000+30000+61000+45000</f>
        <v>366500</v>
      </c>
      <c r="D85" s="9" t="n">
        <f aca="false">E85-C85</f>
        <v>0</v>
      </c>
      <c r="E85" s="9" t="n">
        <v>366500</v>
      </c>
    </row>
    <row r="86" customFormat="false" ht="15" hidden="false" customHeight="false" outlineLevel="0" collapsed="false">
      <c r="A86" s="7" t="s">
        <v>27</v>
      </c>
      <c r="B86" s="8" t="s">
        <v>294</v>
      </c>
      <c r="C86" s="9" t="n">
        <f aca="false">20000+50000+200000+80000+16500</f>
        <v>366500</v>
      </c>
      <c r="D86" s="9" t="n">
        <f aca="false">E86-C86</f>
        <v>0</v>
      </c>
      <c r="E86" s="9" t="n">
        <v>366500</v>
      </c>
    </row>
    <row r="87" customFormat="false" ht="15" hidden="false" customHeight="false" outlineLevel="0" collapsed="false">
      <c r="A87" s="7" t="s">
        <v>29</v>
      </c>
      <c r="B87" s="8" t="s">
        <v>295</v>
      </c>
      <c r="C87" s="9" t="n">
        <f aca="false">100000+266500</f>
        <v>366500</v>
      </c>
      <c r="D87" s="9" t="n">
        <f aca="false">E87-C87</f>
        <v>0</v>
      </c>
      <c r="E87" s="9" t="n">
        <v>366500</v>
      </c>
    </row>
    <row r="88" customFormat="false" ht="15" hidden="false" customHeight="false" outlineLevel="0" collapsed="false">
      <c r="A88" s="7" t="s">
        <v>31</v>
      </c>
      <c r="B88" s="8" t="s">
        <v>296</v>
      </c>
      <c r="C88" s="9" t="n">
        <f aca="false">20000+15000+50000+100000+115000+66500</f>
        <v>366500</v>
      </c>
      <c r="D88" s="9" t="n">
        <f aca="false">E88-C88</f>
        <v>0</v>
      </c>
      <c r="E88" s="9" t="n">
        <v>366500</v>
      </c>
    </row>
    <row r="89" customFormat="false" ht="15" hidden="false" customHeight="false" outlineLevel="0" collapsed="false">
      <c r="A89" s="7" t="s">
        <v>33</v>
      </c>
      <c r="B89" s="8" t="s">
        <v>297</v>
      </c>
      <c r="C89" s="9" t="n">
        <f aca="false">16000+250500+100000</f>
        <v>366500</v>
      </c>
      <c r="D89" s="9" t="n">
        <f aca="false">E89-C89</f>
        <v>0</v>
      </c>
      <c r="E89" s="9" t="n">
        <v>366500</v>
      </c>
    </row>
    <row r="90" customFormat="false" ht="15" hidden="false" customHeight="false" outlineLevel="0" collapsed="false">
      <c r="A90" s="7" t="s">
        <v>35</v>
      </c>
      <c r="B90" s="8" t="s">
        <v>298</v>
      </c>
      <c r="C90" s="9" t="n">
        <f aca="false">13500+20000+50000+100000+50000+50000+83000</f>
        <v>366500</v>
      </c>
      <c r="D90" s="9" t="n">
        <f aca="false">E90-C90</f>
        <v>0</v>
      </c>
      <c r="E90" s="9" t="n">
        <v>366500</v>
      </c>
    </row>
    <row r="91" customFormat="false" ht="15" hidden="false" customHeight="false" outlineLevel="0" collapsed="false">
      <c r="A91" s="7" t="s">
        <v>37</v>
      </c>
      <c r="B91" s="8" t="s">
        <v>299</v>
      </c>
      <c r="C91" s="9" t="n">
        <f aca="false">500+50000+135000+100000+81000</f>
        <v>366500</v>
      </c>
      <c r="D91" s="9" t="n">
        <f aca="false">E91-C91</f>
        <v>0</v>
      </c>
      <c r="E91" s="9" t="n">
        <v>366500</v>
      </c>
    </row>
    <row r="92" customFormat="false" ht="15" hidden="false" customHeight="false" outlineLevel="0" collapsed="false">
      <c r="A92" s="7" t="s">
        <v>39</v>
      </c>
      <c r="B92" s="8" t="s">
        <v>300</v>
      </c>
      <c r="C92" s="9" t="n">
        <f aca="false">3500+15000+200000+120000+28000</f>
        <v>366500</v>
      </c>
      <c r="D92" s="9" t="n">
        <f aca="false">E92-C92</f>
        <v>0</v>
      </c>
      <c r="E92" s="9" t="n">
        <v>366500</v>
      </c>
    </row>
    <row r="93" customFormat="false" ht="15" hidden="false" customHeight="false" outlineLevel="0" collapsed="false">
      <c r="A93" s="7" t="s">
        <v>41</v>
      </c>
      <c r="B93" s="8" t="s">
        <v>301</v>
      </c>
      <c r="C93" s="9" t="n">
        <f aca="false">100000+200000+30000+36500</f>
        <v>366500</v>
      </c>
      <c r="D93" s="9" t="n">
        <f aca="false">E93-C93</f>
        <v>0</v>
      </c>
      <c r="E93" s="9" t="n">
        <v>366500</v>
      </c>
    </row>
    <row r="94" customFormat="false" ht="15" hidden="false" customHeight="false" outlineLevel="0" collapsed="false">
      <c r="A94" s="5" t="s">
        <v>101</v>
      </c>
      <c r="B94" s="5"/>
      <c r="C94" s="6" t="n">
        <f aca="false">SUM(C76:C93)</f>
        <v>6597100</v>
      </c>
      <c r="D94" s="6" t="n">
        <f aca="false">SUM(D76:D93)</f>
        <v>-100</v>
      </c>
      <c r="E94" s="6" t="n">
        <f aca="false">SUM(E76:E93)</f>
        <v>6597000</v>
      </c>
    </row>
    <row r="95" customFormat="false" ht="15" hidden="false" customHeight="false" outlineLevel="0" collapsed="false">
      <c r="A95" s="13"/>
      <c r="B95" s="13"/>
      <c r="C95" s="14"/>
      <c r="D95" s="14"/>
      <c r="E95" s="14"/>
    </row>
    <row r="96" customFormat="false" ht="12.75" hidden="false" customHeight="false" outlineLevel="0" collapsed="false">
      <c r="A96" s="2"/>
      <c r="B96" s="2"/>
      <c r="C96" s="2"/>
      <c r="D96" s="2"/>
      <c r="E96" s="2"/>
    </row>
    <row r="97" customFormat="false" ht="17.35" hidden="false" customHeight="false" outlineLevel="0" collapsed="false">
      <c r="A97" s="2"/>
      <c r="B97" s="4" t="s">
        <v>302</v>
      </c>
      <c r="C97" s="4"/>
      <c r="D97" s="4"/>
      <c r="E97" s="4"/>
    </row>
    <row r="98" customFormat="false" ht="15" hidden="false" customHeight="false" outlineLevel="0" collapsed="false">
      <c r="A98" s="5" t="s">
        <v>2</v>
      </c>
      <c r="B98" s="5" t="s">
        <v>3</v>
      </c>
      <c r="C98" s="6" t="s">
        <v>4</v>
      </c>
      <c r="D98" s="5" t="s">
        <v>5</v>
      </c>
      <c r="E98" s="6" t="s">
        <v>6</v>
      </c>
    </row>
    <row r="99" customFormat="false" ht="15" hidden="false" customHeight="false" outlineLevel="0" collapsed="false">
      <c r="A99" s="7" t="s">
        <v>7</v>
      </c>
      <c r="B99" s="8" t="s">
        <v>303</v>
      </c>
      <c r="C99" s="9" t="n">
        <v>366500</v>
      </c>
      <c r="D99" s="9" t="n">
        <f aca="false">E99-C99</f>
        <v>0</v>
      </c>
      <c r="E99" s="9" t="n">
        <v>366500</v>
      </c>
    </row>
    <row r="100" customFormat="false" ht="15" hidden="false" customHeight="false" outlineLevel="0" collapsed="false">
      <c r="A100" s="7" t="s">
        <v>9</v>
      </c>
      <c r="B100" s="8" t="s">
        <v>304</v>
      </c>
      <c r="C100" s="9" t="n">
        <v>40000</v>
      </c>
      <c r="D100" s="9" t="n">
        <f aca="false">E100-C100</f>
        <v>326500</v>
      </c>
      <c r="E100" s="9" t="n">
        <v>366500</v>
      </c>
    </row>
    <row r="101" customFormat="false" ht="15" hidden="false" customHeight="false" outlineLevel="0" collapsed="false">
      <c r="A101" s="7" t="s">
        <v>11</v>
      </c>
      <c r="B101" s="8" t="s">
        <v>305</v>
      </c>
      <c r="C101" s="9" t="n">
        <f aca="false">50000+250000+66500</f>
        <v>366500</v>
      </c>
      <c r="D101" s="9" t="n">
        <f aca="false">E101-C101</f>
        <v>0</v>
      </c>
      <c r="E101" s="9" t="n">
        <v>366500</v>
      </c>
    </row>
    <row r="102" customFormat="false" ht="15" hidden="false" customHeight="false" outlineLevel="0" collapsed="false">
      <c r="A102" s="7" t="s">
        <v>13</v>
      </c>
      <c r="B102" s="8" t="s">
        <v>306</v>
      </c>
      <c r="C102" s="9" t="n">
        <f aca="false">50000+160000+156500</f>
        <v>366500</v>
      </c>
      <c r="D102" s="9" t="n">
        <f aca="false">E102-C102</f>
        <v>0</v>
      </c>
      <c r="E102" s="9" t="n">
        <v>366500</v>
      </c>
    </row>
    <row r="103" customFormat="false" ht="15" hidden="false" customHeight="false" outlineLevel="0" collapsed="false">
      <c r="A103" s="7" t="s">
        <v>15</v>
      </c>
      <c r="B103" s="8" t="s">
        <v>307</v>
      </c>
      <c r="C103" s="9" t="n">
        <f aca="false">57500+63000+15000+110000+121000</f>
        <v>366500</v>
      </c>
      <c r="D103" s="9" t="n">
        <f aca="false">E103-C103</f>
        <v>0</v>
      </c>
      <c r="E103" s="9" t="n">
        <v>366500</v>
      </c>
    </row>
    <row r="104" customFormat="false" ht="15" hidden="false" customHeight="false" outlineLevel="0" collapsed="false">
      <c r="A104" s="7" t="s">
        <v>17</v>
      </c>
      <c r="B104" s="8" t="s">
        <v>308</v>
      </c>
      <c r="C104" s="9" t="n">
        <f aca="false">50000+250000+20000+46500</f>
        <v>366500</v>
      </c>
      <c r="D104" s="9" t="n">
        <f aca="false">E104-C104</f>
        <v>0</v>
      </c>
      <c r="E104" s="9" t="n">
        <v>366500</v>
      </c>
    </row>
    <row r="105" customFormat="false" ht="15" hidden="false" customHeight="false" outlineLevel="0" collapsed="false">
      <c r="A105" s="7" t="s">
        <v>19</v>
      </c>
      <c r="B105" s="8" t="s">
        <v>309</v>
      </c>
      <c r="C105" s="9" t="n">
        <f aca="false">15000+100000+100000+151500</f>
        <v>366500</v>
      </c>
      <c r="D105" s="9" t="n">
        <f aca="false">E105-C105</f>
        <v>0</v>
      </c>
      <c r="E105" s="9" t="n">
        <v>366500</v>
      </c>
    </row>
    <row r="106" customFormat="false" ht="15" hidden="false" customHeight="false" outlineLevel="0" collapsed="false">
      <c r="A106" s="7" t="s">
        <v>21</v>
      </c>
      <c r="B106" s="8" t="s">
        <v>310</v>
      </c>
      <c r="C106" s="9" t="n">
        <f aca="false">70000+15000+200000+15000+66500</f>
        <v>366500</v>
      </c>
      <c r="D106" s="9" t="n">
        <f aca="false">E106-C106</f>
        <v>0</v>
      </c>
      <c r="E106" s="9" t="n">
        <v>366500</v>
      </c>
    </row>
    <row r="107" customFormat="false" ht="15" hidden="false" customHeight="false" outlineLevel="0" collapsed="false">
      <c r="A107" s="7" t="s">
        <v>23</v>
      </c>
      <c r="B107" s="8" t="s">
        <v>311</v>
      </c>
      <c r="C107" s="9" t="n">
        <f aca="false">100000+20000+15000+100000+100000+31500</f>
        <v>366500</v>
      </c>
      <c r="D107" s="9" t="n">
        <f aca="false">E107-C107</f>
        <v>0</v>
      </c>
      <c r="E107" s="9" t="n">
        <v>366500</v>
      </c>
    </row>
    <row r="108" customFormat="false" ht="15" hidden="false" customHeight="false" outlineLevel="0" collapsed="false">
      <c r="A108" s="7" t="s">
        <v>25</v>
      </c>
      <c r="B108" s="8" t="s">
        <v>312</v>
      </c>
      <c r="C108" s="9" t="n">
        <f aca="false">170000+15000+181500</f>
        <v>366500</v>
      </c>
      <c r="D108" s="9" t="n">
        <f aca="false">E108-C108</f>
        <v>0</v>
      </c>
      <c r="E108" s="9" t="n">
        <v>366500</v>
      </c>
    </row>
    <row r="109" customFormat="false" ht="15" hidden="false" customHeight="false" outlineLevel="0" collapsed="false">
      <c r="A109" s="7" t="s">
        <v>27</v>
      </c>
      <c r="B109" s="8" t="s">
        <v>313</v>
      </c>
      <c r="C109" s="9" t="n">
        <v>16500</v>
      </c>
      <c r="D109" s="9" t="n">
        <f aca="false">E109-C109</f>
        <v>350000</v>
      </c>
      <c r="E109" s="9" t="n">
        <v>366500</v>
      </c>
    </row>
    <row r="110" customFormat="false" ht="15" hidden="false" customHeight="false" outlineLevel="0" collapsed="false">
      <c r="A110" s="7" t="s">
        <v>29</v>
      </c>
      <c r="B110" s="8" t="s">
        <v>314</v>
      </c>
      <c r="C110" s="9" t="n">
        <f aca="false">63500+15000+100000+150000+38000</f>
        <v>366500</v>
      </c>
      <c r="D110" s="9" t="n">
        <f aca="false">E110-C110</f>
        <v>0</v>
      </c>
      <c r="E110" s="9" t="n">
        <v>366500</v>
      </c>
    </row>
    <row r="111" customFormat="false" ht="15" hidden="false" customHeight="false" outlineLevel="0" collapsed="false">
      <c r="A111" s="7" t="s">
        <v>31</v>
      </c>
      <c r="B111" s="8" t="s">
        <v>315</v>
      </c>
      <c r="C111" s="9" t="n">
        <f aca="false">56750+150000+50000+109750</f>
        <v>366500</v>
      </c>
      <c r="D111" s="9" t="n">
        <f aca="false">E111-C111</f>
        <v>0</v>
      </c>
      <c r="E111" s="9" t="n">
        <v>366500</v>
      </c>
    </row>
    <row r="112" customFormat="false" ht="15" hidden="false" customHeight="false" outlineLevel="0" collapsed="false">
      <c r="A112" s="7" t="s">
        <v>33</v>
      </c>
      <c r="B112" s="8" t="s">
        <v>316</v>
      </c>
      <c r="C112" s="9" t="n">
        <v>58500</v>
      </c>
      <c r="D112" s="9" t="n">
        <f aca="false">E112-C112</f>
        <v>308000</v>
      </c>
      <c r="E112" s="9" t="n">
        <v>366500</v>
      </c>
    </row>
    <row r="113" customFormat="false" ht="15" hidden="false" customHeight="false" outlineLevel="0" collapsed="false">
      <c r="A113" s="7" t="s">
        <v>35</v>
      </c>
      <c r="B113" s="8" t="s">
        <v>317</v>
      </c>
      <c r="C113" s="9" t="n">
        <f aca="false">150000+150000+66500</f>
        <v>366500</v>
      </c>
      <c r="D113" s="9" t="n">
        <f aca="false">E113-C113</f>
        <v>0</v>
      </c>
      <c r="E113" s="9" t="n">
        <v>366500</v>
      </c>
    </row>
    <row r="114" customFormat="false" ht="15" hidden="false" customHeight="false" outlineLevel="0" collapsed="false">
      <c r="A114" s="7" t="s">
        <v>37</v>
      </c>
      <c r="B114" s="8" t="s">
        <v>318</v>
      </c>
      <c r="C114" s="9" t="n">
        <f aca="false">79000+21000+250000+15000+1500</f>
        <v>366500</v>
      </c>
      <c r="D114" s="9" t="n">
        <f aca="false">E114-C114</f>
        <v>0</v>
      </c>
      <c r="E114" s="9" t="n">
        <v>366500</v>
      </c>
    </row>
    <row r="115" customFormat="false" ht="15" hidden="false" customHeight="false" outlineLevel="0" collapsed="false">
      <c r="A115" s="7" t="s">
        <v>39</v>
      </c>
      <c r="B115" s="8" t="s">
        <v>319</v>
      </c>
      <c r="C115" s="9" t="n">
        <f aca="false">170000+15000+48500+100000+13000+20000</f>
        <v>366500</v>
      </c>
      <c r="D115" s="9" t="n">
        <f aca="false">E115-C115</f>
        <v>0</v>
      </c>
      <c r="E115" s="9" t="n">
        <v>366500</v>
      </c>
    </row>
    <row r="116" customFormat="false" ht="15" hidden="false" customHeight="false" outlineLevel="0" collapsed="false">
      <c r="A116" s="7" t="s">
        <v>41</v>
      </c>
      <c r="B116" s="8" t="s">
        <v>320</v>
      </c>
      <c r="C116" s="9" t="n">
        <v>100000</v>
      </c>
      <c r="D116" s="9" t="n">
        <f aca="false">E116-C116</f>
        <v>266500</v>
      </c>
      <c r="E116" s="9" t="n">
        <v>366500</v>
      </c>
    </row>
    <row r="117" customFormat="false" ht="15" hidden="false" customHeight="false" outlineLevel="0" collapsed="false">
      <c r="A117" s="5" t="s">
        <v>101</v>
      </c>
      <c r="B117" s="5"/>
      <c r="C117" s="6" t="n">
        <f aca="false">SUM(C99:C116)</f>
        <v>5346000</v>
      </c>
      <c r="D117" s="6" t="n">
        <f aca="false">SUM(D100:D116)</f>
        <v>1251000</v>
      </c>
      <c r="E117" s="6" t="n">
        <f aca="false">SUM(E100:E116)</f>
        <v>6230500</v>
      </c>
    </row>
    <row r="118" customFormat="false" ht="12.75" hidden="false" customHeight="false" outlineLevel="0" collapsed="false">
      <c r="A118" s="2"/>
      <c r="B118" s="2"/>
      <c r="C118" s="2"/>
      <c r="D118" s="2"/>
      <c r="E118" s="2"/>
    </row>
    <row r="119" customFormat="false" ht="17.35" hidden="false" customHeight="false" outlineLevel="0" collapsed="false">
      <c r="A119" s="4" t="s">
        <v>321</v>
      </c>
      <c r="B119" s="2"/>
      <c r="C119" s="4"/>
      <c r="D119" s="4"/>
      <c r="E119" s="4"/>
    </row>
    <row r="120" customFormat="false" ht="15" hidden="false" customHeight="false" outlineLevel="0" collapsed="false">
      <c r="A120" s="5" t="s">
        <v>2</v>
      </c>
      <c r="B120" s="5" t="s">
        <v>3</v>
      </c>
      <c r="C120" s="6" t="s">
        <v>4</v>
      </c>
      <c r="D120" s="5" t="s">
        <v>5</v>
      </c>
      <c r="E120" s="6" t="s">
        <v>6</v>
      </c>
    </row>
    <row r="121" customFormat="false" ht="15" hidden="false" customHeight="false" outlineLevel="0" collapsed="false">
      <c r="A121" s="7" t="s">
        <v>7</v>
      </c>
      <c r="B121" s="8" t="s">
        <v>322</v>
      </c>
      <c r="C121" s="9" t="n">
        <f aca="false">16500+70000+280000</f>
        <v>366500</v>
      </c>
      <c r="D121" s="9" t="n">
        <f aca="false">E121-C121</f>
        <v>0</v>
      </c>
      <c r="E121" s="9" t="n">
        <v>366500</v>
      </c>
    </row>
    <row r="122" customFormat="false" ht="15" hidden="false" customHeight="false" outlineLevel="0" collapsed="false">
      <c r="A122" s="7" t="s">
        <v>9</v>
      </c>
      <c r="B122" s="8" t="s">
        <v>323</v>
      </c>
      <c r="C122" s="9" t="n">
        <f aca="false">200000+100000+66500</f>
        <v>366500</v>
      </c>
      <c r="D122" s="9" t="n">
        <f aca="false">E122-C122</f>
        <v>0</v>
      </c>
      <c r="E122" s="9" t="n">
        <v>366500</v>
      </c>
    </row>
    <row r="123" customFormat="false" ht="15" hidden="false" customHeight="false" outlineLevel="0" collapsed="false">
      <c r="A123" s="7" t="s">
        <v>11</v>
      </c>
      <c r="B123" s="8" t="s">
        <v>324</v>
      </c>
      <c r="C123" s="9" t="n">
        <f aca="false">100000+100000+100000+66500</f>
        <v>366500</v>
      </c>
      <c r="D123" s="9" t="n">
        <f aca="false">E123-C123</f>
        <v>0</v>
      </c>
      <c r="E123" s="9" t="n">
        <v>366500</v>
      </c>
    </row>
    <row r="124" customFormat="false" ht="15" hidden="false" customHeight="false" outlineLevel="0" collapsed="false">
      <c r="A124" s="7" t="s">
        <v>13</v>
      </c>
      <c r="B124" s="8" t="s">
        <v>325</v>
      </c>
      <c r="C124" s="9" t="n">
        <f aca="false">16500+50000</f>
        <v>66500</v>
      </c>
      <c r="D124" s="9" t="n">
        <f aca="false">E124-C124</f>
        <v>300000</v>
      </c>
      <c r="E124" s="9" t="n">
        <v>366500</v>
      </c>
    </row>
    <row r="125" customFormat="false" ht="15" hidden="false" customHeight="false" outlineLevel="0" collapsed="false">
      <c r="A125" s="7" t="s">
        <v>15</v>
      </c>
      <c r="B125" s="8" t="s">
        <v>326</v>
      </c>
      <c r="C125" s="9" t="n">
        <f aca="false">100000+266500</f>
        <v>366500</v>
      </c>
      <c r="D125" s="9" t="n">
        <f aca="false">E125-C125</f>
        <v>0</v>
      </c>
      <c r="E125" s="9" t="n">
        <v>366500</v>
      </c>
    </row>
    <row r="126" customFormat="false" ht="15" hidden="false" customHeight="false" outlineLevel="0" collapsed="false">
      <c r="A126" s="7" t="s">
        <v>17</v>
      </c>
      <c r="B126" s="8" t="s">
        <v>327</v>
      </c>
      <c r="C126" s="9" t="n">
        <f aca="false">150000+216500</f>
        <v>366500</v>
      </c>
      <c r="D126" s="9" t="n">
        <f aca="false">E126-C126</f>
        <v>0</v>
      </c>
      <c r="E126" s="9" t="n">
        <v>366500</v>
      </c>
    </row>
    <row r="127" customFormat="false" ht="15" hidden="false" customHeight="false" outlineLevel="0" collapsed="false">
      <c r="A127" s="7" t="s">
        <v>19</v>
      </c>
      <c r="B127" s="8" t="s">
        <v>328</v>
      </c>
      <c r="C127" s="9" t="n">
        <f aca="false">200000+50000+50000</f>
        <v>300000</v>
      </c>
      <c r="D127" s="9" t="n">
        <f aca="false">E127-C127</f>
        <v>66500</v>
      </c>
      <c r="E127" s="9" t="n">
        <v>366500</v>
      </c>
    </row>
    <row r="128" customFormat="false" ht="15" hidden="false" customHeight="false" outlineLevel="0" collapsed="false">
      <c r="A128" s="7" t="s">
        <v>21</v>
      </c>
      <c r="B128" s="8" t="s">
        <v>329</v>
      </c>
      <c r="C128" s="9" t="n">
        <f aca="false">16500+120000+220000+10000</f>
        <v>366500</v>
      </c>
      <c r="D128" s="9" t="n">
        <f aca="false">E128-C128</f>
        <v>0</v>
      </c>
      <c r="E128" s="9" t="n">
        <v>366500</v>
      </c>
    </row>
    <row r="129" customFormat="false" ht="15" hidden="false" customHeight="false" outlineLevel="0" collapsed="false">
      <c r="A129" s="7" t="s">
        <v>23</v>
      </c>
      <c r="B129" s="8" t="s">
        <v>330</v>
      </c>
      <c r="C129" s="9" t="n">
        <f aca="false">16500+200000+150000</f>
        <v>366500</v>
      </c>
      <c r="D129" s="9" t="n">
        <f aca="false">E129-C129</f>
        <v>0</v>
      </c>
      <c r="E129" s="9" t="n">
        <v>366500</v>
      </c>
    </row>
    <row r="130" customFormat="false" ht="15" hidden="false" customHeight="false" outlineLevel="0" collapsed="false">
      <c r="A130" s="15"/>
      <c r="B130" s="16" t="s">
        <v>182</v>
      </c>
      <c r="C130" s="6" t="n">
        <f aca="false">SUM(C121:C129)</f>
        <v>2932000</v>
      </c>
      <c r="D130" s="6" t="n">
        <f aca="false">SUM(D121:D129)</f>
        <v>366500</v>
      </c>
      <c r="E130" s="6" t="n">
        <f aca="false">SUM(E121:E129)</f>
        <v>3298500</v>
      </c>
    </row>
    <row r="131" customFormat="false" ht="12.75" hidden="false" customHeight="false" outlineLevel="0" collapsed="false">
      <c r="A131" s="2"/>
      <c r="B131" s="2"/>
      <c r="C131" s="2"/>
      <c r="D131" s="2"/>
      <c r="E131" s="2"/>
    </row>
    <row r="135" customFormat="false" ht="9" hidden="false" customHeight="true" outlineLevel="0" collapsed="false"/>
    <row r="136" customFormat="false" ht="17.35" hidden="false" customHeight="false" outlineLevel="0" collapsed="false">
      <c r="A136" s="4" t="s">
        <v>331</v>
      </c>
      <c r="B136" s="4"/>
      <c r="C136" s="4"/>
      <c r="D136" s="4"/>
      <c r="E136" s="4"/>
    </row>
    <row r="137" customFormat="false" ht="15" hidden="false" customHeight="false" outlineLevel="0" collapsed="false">
      <c r="A137" s="5" t="s">
        <v>332</v>
      </c>
      <c r="B137" s="5" t="s">
        <v>3</v>
      </c>
      <c r="C137" s="6" t="s">
        <v>4</v>
      </c>
      <c r="D137" s="5" t="s">
        <v>5</v>
      </c>
      <c r="E137" s="6" t="s">
        <v>6</v>
      </c>
    </row>
    <row r="138" customFormat="false" ht="15" hidden="false" customHeight="false" outlineLevel="0" collapsed="false">
      <c r="A138" s="7" t="s">
        <v>333</v>
      </c>
      <c r="B138" s="8" t="s">
        <v>221</v>
      </c>
      <c r="C138" s="9" t="n">
        <f aca="false">20000+15000+5000+30000+100000+130000</f>
        <v>300000</v>
      </c>
      <c r="D138" s="9" t="n">
        <f aca="false">E138-C138</f>
        <v>66500</v>
      </c>
      <c r="E138" s="9" t="n">
        <v>366500</v>
      </c>
    </row>
    <row r="139" customFormat="false" ht="15" hidden="false" customHeight="false" outlineLevel="0" collapsed="false">
      <c r="A139" s="7" t="s">
        <v>334</v>
      </c>
      <c r="B139" s="8" t="s">
        <v>222</v>
      </c>
      <c r="C139" s="9" t="n">
        <f aca="false">3500+115500</f>
        <v>119000</v>
      </c>
      <c r="D139" s="9" t="n">
        <f aca="false">E139-C139</f>
        <v>247500</v>
      </c>
      <c r="E139" s="9" t="n">
        <v>366500</v>
      </c>
    </row>
    <row r="140" customFormat="false" ht="15" hidden="false" customHeight="false" outlineLevel="0" collapsed="false">
      <c r="A140" s="7" t="s">
        <v>335</v>
      </c>
      <c r="B140" s="8" t="s">
        <v>228</v>
      </c>
      <c r="C140" s="9" t="n">
        <v>300000</v>
      </c>
      <c r="D140" s="9" t="n">
        <f aca="false">E140-C140</f>
        <v>66500</v>
      </c>
      <c r="E140" s="9" t="n">
        <v>366500</v>
      </c>
    </row>
    <row r="141" customFormat="false" ht="15" hidden="false" customHeight="false" outlineLevel="0" collapsed="false">
      <c r="A141" s="7" t="s">
        <v>336</v>
      </c>
      <c r="B141" s="8" t="s">
        <v>230</v>
      </c>
      <c r="C141" s="9" t="n">
        <f aca="false">58500+41500+60000+60000+25000</f>
        <v>245000</v>
      </c>
      <c r="D141" s="9" t="n">
        <f aca="false">E141-C141</f>
        <v>121500</v>
      </c>
      <c r="E141" s="9" t="n">
        <v>366500</v>
      </c>
    </row>
    <row r="142" customFormat="false" ht="15" hidden="false" customHeight="false" outlineLevel="0" collapsed="false">
      <c r="A142" s="7" t="s">
        <v>337</v>
      </c>
      <c r="B142" s="8" t="s">
        <v>231</v>
      </c>
      <c r="C142" s="9" t="n">
        <f aca="false">33500+16500+150000</f>
        <v>200000</v>
      </c>
      <c r="D142" s="9" t="n">
        <f aca="false">E142-C142</f>
        <v>166500</v>
      </c>
      <c r="E142" s="9" t="n">
        <v>366500</v>
      </c>
    </row>
    <row r="143" customFormat="false" ht="15" hidden="false" customHeight="false" outlineLevel="0" collapsed="false">
      <c r="A143" s="7" t="s">
        <v>338</v>
      </c>
      <c r="B143" s="8" t="s">
        <v>236</v>
      </c>
      <c r="C143" s="9" t="n">
        <f aca="false">15000+35000</f>
        <v>50000</v>
      </c>
      <c r="D143" s="9" t="n">
        <f aca="false">E143-C143</f>
        <v>316500</v>
      </c>
      <c r="E143" s="9" t="n">
        <v>366500</v>
      </c>
    </row>
    <row r="144" customFormat="false" ht="15" hidden="false" customHeight="false" outlineLevel="0" collapsed="false">
      <c r="A144" s="7" t="s">
        <v>339</v>
      </c>
      <c r="B144" s="8" t="s">
        <v>237</v>
      </c>
      <c r="C144" s="9" t="n">
        <f aca="false">60000+25000+15000+85000+15000</f>
        <v>200000</v>
      </c>
      <c r="D144" s="9" t="n">
        <f aca="false">E144-C144</f>
        <v>166500</v>
      </c>
      <c r="E144" s="9" t="n">
        <v>366500</v>
      </c>
    </row>
    <row r="145" customFormat="false" ht="15" hidden="false" customHeight="false" outlineLevel="0" collapsed="false">
      <c r="A145" s="7" t="s">
        <v>340</v>
      </c>
      <c r="B145" s="8" t="s">
        <v>239</v>
      </c>
      <c r="C145" s="9" t="n">
        <f aca="false">100000+100000</f>
        <v>200000</v>
      </c>
      <c r="D145" s="9" t="n">
        <f aca="false">E145-C145</f>
        <v>166500</v>
      </c>
      <c r="E145" s="9" t="n">
        <v>366500</v>
      </c>
    </row>
    <row r="146" customFormat="false" ht="15" hidden="false" customHeight="false" outlineLevel="0" collapsed="false">
      <c r="A146" s="7" t="s">
        <v>341</v>
      </c>
      <c r="B146" s="8" t="s">
        <v>242</v>
      </c>
      <c r="C146" s="9" t="n">
        <f aca="false">70000+15000+75000+100000+20000+25000+5000+40000</f>
        <v>350000</v>
      </c>
      <c r="D146" s="9" t="n">
        <f aca="false">E146-C146</f>
        <v>16500</v>
      </c>
      <c r="E146" s="9" t="n">
        <v>366500</v>
      </c>
    </row>
    <row r="147" customFormat="false" ht="15" hidden="false" customHeight="false" outlineLevel="0" collapsed="false">
      <c r="A147" s="7" t="s">
        <v>342</v>
      </c>
      <c r="B147" s="8" t="s">
        <v>248</v>
      </c>
      <c r="C147" s="9" t="n">
        <v>51500</v>
      </c>
      <c r="D147" s="9" t="n">
        <f aca="false">E147-C147</f>
        <v>315000</v>
      </c>
      <c r="E147" s="9" t="n">
        <v>366500</v>
      </c>
    </row>
    <row r="148" customFormat="false" ht="15" hidden="false" customHeight="false" outlineLevel="0" collapsed="false">
      <c r="A148" s="7" t="s">
        <v>343</v>
      </c>
      <c r="B148" s="8" t="s">
        <v>249</v>
      </c>
      <c r="C148" s="9" t="n">
        <f aca="false">100000+35000+15000+80000</f>
        <v>230000</v>
      </c>
      <c r="D148" s="9" t="n">
        <f aca="false">E148-C148</f>
        <v>136500</v>
      </c>
      <c r="E148" s="9" t="n">
        <v>366500</v>
      </c>
    </row>
    <row r="149" customFormat="false" ht="15" hidden="false" customHeight="false" outlineLevel="0" collapsed="false">
      <c r="A149" s="7" t="s">
        <v>344</v>
      </c>
      <c r="B149" s="8" t="s">
        <v>251</v>
      </c>
      <c r="C149" s="9"/>
      <c r="D149" s="9" t="n">
        <f aca="false">E149-C149</f>
        <v>366500</v>
      </c>
      <c r="E149" s="9" t="n">
        <v>366500</v>
      </c>
    </row>
    <row r="150" customFormat="false" ht="7.5" hidden="false" customHeight="true" outlineLevel="0" collapsed="false">
      <c r="A150" s="2"/>
      <c r="B150" s="2"/>
      <c r="C150" s="2"/>
      <c r="D150" s="2"/>
      <c r="E150" s="2"/>
    </row>
    <row r="151" customFormat="false" ht="17.35" hidden="false" customHeight="false" outlineLevel="0" collapsed="false">
      <c r="A151" s="4" t="s">
        <v>345</v>
      </c>
      <c r="B151" s="4"/>
      <c r="C151" s="4"/>
      <c r="D151" s="4"/>
      <c r="E151" s="4"/>
    </row>
    <row r="152" customFormat="false" ht="15" hidden="false" customHeight="false" outlineLevel="0" collapsed="false">
      <c r="A152" s="5" t="s">
        <v>332</v>
      </c>
      <c r="B152" s="5" t="s">
        <v>3</v>
      </c>
      <c r="C152" s="6" t="s">
        <v>4</v>
      </c>
      <c r="D152" s="5" t="s">
        <v>5</v>
      </c>
      <c r="E152" s="6" t="s">
        <v>6</v>
      </c>
    </row>
    <row r="153" customFormat="false" ht="15" hidden="false" customHeight="false" outlineLevel="0" collapsed="false">
      <c r="A153" s="7" t="s">
        <v>333</v>
      </c>
      <c r="B153" s="8" t="s">
        <v>256</v>
      </c>
      <c r="C153" s="9" t="n">
        <f aca="false">150000+15000+150000</f>
        <v>315000</v>
      </c>
      <c r="D153" s="9" t="n">
        <f aca="false">E153-C153</f>
        <v>51500</v>
      </c>
      <c r="E153" s="9" t="n">
        <v>366500</v>
      </c>
    </row>
    <row r="154" customFormat="false" ht="15" hidden="false" customHeight="false" outlineLevel="0" collapsed="false">
      <c r="A154" s="7" t="s">
        <v>334</v>
      </c>
      <c r="B154" s="8" t="s">
        <v>265</v>
      </c>
      <c r="C154" s="9" t="n">
        <f aca="false">100000+15000+50000+135000+20000+46000</f>
        <v>366000</v>
      </c>
      <c r="D154" s="9" t="n">
        <f aca="false">E154-C154</f>
        <v>500</v>
      </c>
      <c r="E154" s="9" t="n">
        <v>366500</v>
      </c>
    </row>
    <row r="155" customFormat="false" ht="15" hidden="false" customHeight="false" outlineLevel="0" collapsed="false">
      <c r="A155" s="7" t="s">
        <v>335</v>
      </c>
      <c r="B155" s="8" t="s">
        <v>275</v>
      </c>
      <c r="C155" s="9" t="n">
        <f aca="false">100000+15000+35000+150000</f>
        <v>300000</v>
      </c>
      <c r="D155" s="9" t="n">
        <f aca="false">E155-C155</f>
        <v>66500</v>
      </c>
      <c r="E155" s="9" t="n">
        <v>366500</v>
      </c>
    </row>
    <row r="156" customFormat="false" ht="15" hidden="false" customHeight="false" outlineLevel="0" collapsed="false">
      <c r="A156" s="7" t="s">
        <v>336</v>
      </c>
      <c r="B156" s="8" t="s">
        <v>279</v>
      </c>
      <c r="C156" s="9" t="n">
        <f aca="false">70000+15000</f>
        <v>85000</v>
      </c>
      <c r="D156" s="9" t="n">
        <f aca="false">E156-C156</f>
        <v>281500</v>
      </c>
      <c r="E156" s="9" t="n">
        <v>366500</v>
      </c>
    </row>
    <row r="157" customFormat="false" ht="8.25" hidden="false" customHeight="true" outlineLevel="0" collapsed="false">
      <c r="A157" s="2"/>
      <c r="B157" s="2"/>
      <c r="C157" s="2"/>
      <c r="D157" s="2"/>
      <c r="E157" s="2"/>
    </row>
    <row r="158" customFormat="false" ht="17.35" hidden="false" customHeight="false" outlineLevel="0" collapsed="false">
      <c r="A158" s="4" t="s">
        <v>346</v>
      </c>
      <c r="B158" s="4"/>
      <c r="C158" s="4"/>
      <c r="D158" s="4"/>
      <c r="E158" s="4"/>
    </row>
    <row r="159" customFormat="false" ht="15" hidden="false" customHeight="false" outlineLevel="0" collapsed="false">
      <c r="A159" s="5" t="s">
        <v>332</v>
      </c>
      <c r="B159" s="5" t="s">
        <v>3</v>
      </c>
      <c r="C159" s="6" t="s">
        <v>4</v>
      </c>
      <c r="D159" s="5" t="s">
        <v>5</v>
      </c>
      <c r="E159" s="6" t="s">
        <v>6</v>
      </c>
    </row>
    <row r="160" customFormat="false" ht="15" hidden="false" customHeight="false" outlineLevel="0" collapsed="false">
      <c r="A160" s="7" t="s">
        <v>333</v>
      </c>
      <c r="B160" s="8" t="s">
        <v>290</v>
      </c>
      <c r="C160" s="9" t="n">
        <f aca="false">15000+135000+216000</f>
        <v>366000</v>
      </c>
      <c r="D160" s="9" t="n">
        <f aca="false">E160-C160</f>
        <v>500</v>
      </c>
      <c r="E160" s="9" t="n">
        <v>366500</v>
      </c>
    </row>
    <row r="161" customFormat="false" ht="15" hidden="false" customHeight="false" outlineLevel="0" collapsed="false">
      <c r="A161" s="7" t="s">
        <v>334</v>
      </c>
      <c r="B161" s="8" t="s">
        <v>294</v>
      </c>
      <c r="C161" s="9" t="n">
        <f aca="false">20000+50000+200000+80000</f>
        <v>350000</v>
      </c>
      <c r="D161" s="9" t="n">
        <f aca="false">E161-C161</f>
        <v>16500</v>
      </c>
      <c r="E161" s="9" t="n">
        <v>366500</v>
      </c>
    </row>
    <row r="162" customFormat="false" ht="15" hidden="false" customHeight="false" outlineLevel="0" collapsed="false">
      <c r="A162" s="7" t="s">
        <v>335</v>
      </c>
      <c r="B162" s="8" t="s">
        <v>299</v>
      </c>
      <c r="C162" s="9" t="n">
        <f aca="false">500+50000+135000</f>
        <v>185500</v>
      </c>
      <c r="D162" s="9" t="n">
        <f aca="false">E162-C162</f>
        <v>181000</v>
      </c>
      <c r="E162" s="9" t="n">
        <v>366500</v>
      </c>
    </row>
    <row r="163" customFormat="false" ht="9" hidden="false" customHeight="true" outlineLevel="0" collapsed="false">
      <c r="A163" s="2"/>
      <c r="B163" s="2"/>
      <c r="C163" s="2"/>
      <c r="D163" s="2"/>
      <c r="E163" s="2"/>
    </row>
    <row r="164" customFormat="false" ht="17.35" hidden="false" customHeight="false" outlineLevel="0" collapsed="false">
      <c r="A164" s="2"/>
      <c r="B164" s="4" t="s">
        <v>347</v>
      </c>
      <c r="C164" s="4"/>
      <c r="D164" s="4"/>
      <c r="E164" s="4"/>
    </row>
    <row r="165" customFormat="false" ht="15" hidden="false" customHeight="false" outlineLevel="0" collapsed="false">
      <c r="A165" s="5" t="s">
        <v>332</v>
      </c>
      <c r="B165" s="5" t="s">
        <v>3</v>
      </c>
      <c r="C165" s="6" t="s">
        <v>4</v>
      </c>
      <c r="D165" s="5" t="s">
        <v>5</v>
      </c>
      <c r="E165" s="6" t="s">
        <v>6</v>
      </c>
    </row>
    <row r="166" customFormat="false" ht="15" hidden="false" customHeight="false" outlineLevel="0" collapsed="false">
      <c r="A166" s="7" t="s">
        <v>333</v>
      </c>
      <c r="B166" s="8" t="s">
        <v>304</v>
      </c>
      <c r="C166" s="9" t="n">
        <v>40000</v>
      </c>
      <c r="D166" s="9" t="n">
        <f aca="false">E166-C166</f>
        <v>326500</v>
      </c>
      <c r="E166" s="9" t="n">
        <v>366500</v>
      </c>
    </row>
    <row r="167" customFormat="false" ht="15" hidden="false" customHeight="false" outlineLevel="0" collapsed="false">
      <c r="A167" s="7" t="s">
        <v>334</v>
      </c>
      <c r="B167" s="8" t="s">
        <v>306</v>
      </c>
      <c r="C167" s="9" t="n">
        <f aca="false">50000+160000</f>
        <v>210000</v>
      </c>
      <c r="D167" s="9" t="n">
        <f aca="false">E167-C167</f>
        <v>156500</v>
      </c>
      <c r="E167" s="9" t="n">
        <v>366500</v>
      </c>
    </row>
    <row r="168" customFormat="false" ht="15" hidden="false" customHeight="false" outlineLevel="0" collapsed="false">
      <c r="A168" s="7" t="s">
        <v>335</v>
      </c>
      <c r="B168" s="8" t="s">
        <v>308</v>
      </c>
      <c r="C168" s="9" t="n">
        <f aca="false">50000+250000+20000</f>
        <v>320000</v>
      </c>
      <c r="D168" s="9" t="n">
        <f aca="false">E168-C168</f>
        <v>46500</v>
      </c>
      <c r="E168" s="9" t="n">
        <v>366500</v>
      </c>
    </row>
    <row r="169" customFormat="false" ht="15" hidden="false" customHeight="false" outlineLevel="0" collapsed="false">
      <c r="A169" s="7" t="s">
        <v>336</v>
      </c>
      <c r="B169" s="8" t="s">
        <v>313</v>
      </c>
      <c r="C169" s="9" t="n">
        <v>16500</v>
      </c>
      <c r="D169" s="9" t="n">
        <f aca="false">E169-C169</f>
        <v>350000</v>
      </c>
      <c r="E169" s="9" t="n">
        <v>366500</v>
      </c>
    </row>
    <row r="170" customFormat="false" ht="15" hidden="false" customHeight="false" outlineLevel="0" collapsed="false">
      <c r="A170" s="7" t="s">
        <v>337</v>
      </c>
      <c r="B170" s="8" t="s">
        <v>314</v>
      </c>
      <c r="C170" s="9" t="n">
        <f aca="false">63500+15000+100000+150000</f>
        <v>328500</v>
      </c>
      <c r="D170" s="9" t="n">
        <f aca="false">E170-C170</f>
        <v>38000</v>
      </c>
      <c r="E170" s="9" t="n">
        <v>366500</v>
      </c>
    </row>
    <row r="171" customFormat="false" ht="15" hidden="false" customHeight="false" outlineLevel="0" collapsed="false">
      <c r="A171" s="7" t="s">
        <v>338</v>
      </c>
      <c r="B171" s="8" t="s">
        <v>315</v>
      </c>
      <c r="C171" s="9" t="n">
        <f aca="false">56750+150000+50000</f>
        <v>256750</v>
      </c>
      <c r="D171" s="9" t="n">
        <f aca="false">E171-C171</f>
        <v>109750</v>
      </c>
      <c r="E171" s="9" t="n">
        <v>366500</v>
      </c>
    </row>
    <row r="172" customFormat="false" ht="15" hidden="false" customHeight="false" outlineLevel="0" collapsed="false">
      <c r="A172" s="7" t="s">
        <v>339</v>
      </c>
      <c r="B172" s="8" t="s">
        <v>316</v>
      </c>
      <c r="C172" s="9" t="n">
        <v>58500</v>
      </c>
      <c r="D172" s="9" t="n">
        <f aca="false">E172-C172</f>
        <v>308000</v>
      </c>
      <c r="E172" s="9" t="n">
        <v>366500</v>
      </c>
    </row>
    <row r="173" customFormat="false" ht="15" hidden="false" customHeight="false" outlineLevel="0" collapsed="false">
      <c r="A173" s="7" t="s">
        <v>340</v>
      </c>
      <c r="B173" s="8" t="s">
        <v>320</v>
      </c>
      <c r="C173" s="9" t="n">
        <v>100000</v>
      </c>
      <c r="D173" s="9" t="n">
        <f aca="false">E173-C173</f>
        <v>266500</v>
      </c>
      <c r="E173" s="9" t="n">
        <v>366500</v>
      </c>
    </row>
    <row r="174" customFormat="false" ht="17.35" hidden="false" customHeight="false" outlineLevel="0" collapsed="false">
      <c r="A174" s="4" t="s">
        <v>321</v>
      </c>
      <c r="B174" s="2"/>
      <c r="C174" s="4"/>
      <c r="D174" s="4"/>
      <c r="E174" s="4"/>
    </row>
    <row r="175" customFormat="false" ht="15" hidden="false" customHeight="false" outlineLevel="0" collapsed="false">
      <c r="A175" s="5" t="s">
        <v>332</v>
      </c>
      <c r="B175" s="5" t="s">
        <v>3</v>
      </c>
      <c r="C175" s="6" t="s">
        <v>4</v>
      </c>
      <c r="D175" s="5" t="s">
        <v>5</v>
      </c>
      <c r="E175" s="6" t="s">
        <v>6</v>
      </c>
    </row>
    <row r="176" customFormat="false" ht="15" hidden="false" customHeight="false" outlineLevel="0" collapsed="false">
      <c r="A176" s="7" t="s">
        <v>333</v>
      </c>
      <c r="B176" s="8" t="s">
        <v>322</v>
      </c>
      <c r="C176" s="9" t="n">
        <f aca="false">16500+70000</f>
        <v>86500</v>
      </c>
      <c r="D176" s="9" t="n">
        <f aca="false">E176-C176</f>
        <v>280000</v>
      </c>
      <c r="E176" s="9" t="n">
        <v>366500</v>
      </c>
    </row>
    <row r="177" customFormat="false" ht="15" hidden="false" customHeight="false" outlineLevel="0" collapsed="false">
      <c r="A177" s="7" t="s">
        <v>334</v>
      </c>
      <c r="B177" s="8" t="s">
        <v>325</v>
      </c>
      <c r="C177" s="9" t="n">
        <f aca="false">16500+50000</f>
        <v>66500</v>
      </c>
      <c r="D177" s="9" t="n">
        <f aca="false">E177-C177</f>
        <v>300000</v>
      </c>
      <c r="E177" s="9" t="n">
        <v>366500</v>
      </c>
    </row>
    <row r="178" customFormat="false" ht="15" hidden="false" customHeight="false" outlineLevel="0" collapsed="false">
      <c r="A178" s="7" t="s">
        <v>335</v>
      </c>
      <c r="B178" s="8" t="s">
        <v>328</v>
      </c>
      <c r="C178" s="9" t="n">
        <f aca="false">200000+50000+50000</f>
        <v>300000</v>
      </c>
      <c r="D178" s="9" t="n">
        <f aca="false">E178-C178</f>
        <v>66500</v>
      </c>
      <c r="E178" s="9" t="n">
        <v>366500</v>
      </c>
    </row>
    <row r="179" customFormat="false" ht="15" hidden="false" customHeight="false" outlineLevel="0" collapsed="false">
      <c r="A179" s="7" t="s">
        <v>336</v>
      </c>
      <c r="B179" s="8" t="s">
        <v>329</v>
      </c>
      <c r="C179" s="9" t="n">
        <v>16500</v>
      </c>
      <c r="D179" s="9" t="n">
        <f aca="false">E179-C179</f>
        <v>350000</v>
      </c>
      <c r="E179" s="9" t="n">
        <v>366500</v>
      </c>
    </row>
    <row r="180" customFormat="false" ht="15" hidden="false" customHeight="false" outlineLevel="0" collapsed="false">
      <c r="A180" s="7" t="s">
        <v>337</v>
      </c>
      <c r="B180" s="8" t="s">
        <v>330</v>
      </c>
      <c r="C180" s="9" t="n">
        <f aca="false">16500+200000</f>
        <v>216500</v>
      </c>
      <c r="D180" s="9" t="n">
        <f aca="false">E180-C180</f>
        <v>150000</v>
      </c>
      <c r="E180" s="9" t="n">
        <v>366500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41:B41"/>
    <mergeCell ref="A72:B72"/>
    <mergeCell ref="A94:B94"/>
    <mergeCell ref="A117:B117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4" activeCellId="0" sqref="G134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15"/>
    <col collapsed="false" customWidth="true" hidden="false" outlineLevel="0" max="2" min="2" style="1" width="29.41"/>
    <col collapsed="false" customWidth="true" hidden="false" outlineLevel="0" max="5" min="3" style="1" width="14.41"/>
    <col collapsed="false" customWidth="true" hidden="false" outlineLevel="0" max="16384" min="16380" style="0" width="11.53"/>
  </cols>
  <sheetData>
    <row r="1" customFormat="false" ht="12.75" hidden="false" customHeight="false" outlineLevel="0" collapsed="false">
      <c r="A1" s="20"/>
      <c r="B1" s="20"/>
      <c r="C1" s="20"/>
      <c r="D1" s="20"/>
      <c r="E1" s="20"/>
    </row>
    <row r="2" customFormat="false" ht="17.35" hidden="false" customHeight="false" outlineLevel="0" collapsed="false">
      <c r="A2" s="2"/>
      <c r="B2" s="18" t="s">
        <v>218</v>
      </c>
      <c r="C2" s="2"/>
      <c r="D2" s="2"/>
      <c r="E2" s="2"/>
    </row>
    <row r="3" customFormat="false" ht="17.35" hidden="false" customHeight="false" outlineLevel="0" collapsed="false">
      <c r="A3" s="2"/>
      <c r="B3" s="2"/>
      <c r="C3" s="19" t="s">
        <v>348</v>
      </c>
      <c r="D3" s="2"/>
      <c r="E3" s="2"/>
    </row>
    <row r="4" customFormat="false" ht="17.35" hidden="false" customHeight="false" outlineLevel="0" collapsed="false">
      <c r="A4" s="4" t="s">
        <v>349</v>
      </c>
      <c r="B4" s="4"/>
      <c r="C4" s="4"/>
      <c r="D4" s="4"/>
      <c r="E4" s="4"/>
    </row>
    <row r="5" customFormat="false" ht="15" hidden="false" customHeight="false" outlineLevel="0" collapsed="false">
      <c r="A5" s="5" t="s">
        <v>2</v>
      </c>
      <c r="B5" s="5" t="s">
        <v>3</v>
      </c>
      <c r="C5" s="6" t="s">
        <v>4</v>
      </c>
      <c r="D5" s="5" t="s">
        <v>5</v>
      </c>
      <c r="E5" s="6" t="s">
        <v>6</v>
      </c>
    </row>
    <row r="6" customFormat="false" ht="15" hidden="false" customHeight="false" outlineLevel="0" collapsed="false">
      <c r="A6" s="7" t="s">
        <v>7</v>
      </c>
      <c r="B6" s="8" t="s">
        <v>350</v>
      </c>
      <c r="C6" s="9" t="n">
        <f aca="false">100000+100000+50000+50000+15000+51500</f>
        <v>366500</v>
      </c>
      <c r="D6" s="9" t="n">
        <f aca="false">E6-C6</f>
        <v>0</v>
      </c>
      <c r="E6" s="9" t="n">
        <v>366500</v>
      </c>
    </row>
    <row r="7" customFormat="false" ht="15" hidden="false" customHeight="false" outlineLevel="0" collapsed="false">
      <c r="A7" s="7" t="s">
        <v>9</v>
      </c>
      <c r="B7" s="21" t="s">
        <v>351</v>
      </c>
      <c r="C7" s="9" t="n">
        <f aca="false">2000+150000+100000</f>
        <v>252000</v>
      </c>
      <c r="D7" s="9" t="n">
        <f aca="false">E7-C7</f>
        <v>114500</v>
      </c>
      <c r="E7" s="9" t="n">
        <v>366500</v>
      </c>
    </row>
    <row r="8" customFormat="false" ht="15" hidden="false" customHeight="false" outlineLevel="0" collapsed="false">
      <c r="A8" s="7" t="s">
        <v>11</v>
      </c>
      <c r="B8" s="8" t="s">
        <v>352</v>
      </c>
      <c r="C8" s="9" t="n">
        <f aca="false">30000+40000+36500+15000+100000+15000+20000+110000</f>
        <v>366500</v>
      </c>
      <c r="D8" s="9" t="n">
        <f aca="false">E8-C8</f>
        <v>0</v>
      </c>
      <c r="E8" s="9" t="n">
        <v>366500</v>
      </c>
    </row>
    <row r="9" customFormat="false" ht="15" hidden="false" customHeight="false" outlineLevel="0" collapsed="false">
      <c r="A9" s="7" t="s">
        <v>13</v>
      </c>
      <c r="B9" s="8" t="s">
        <v>353</v>
      </c>
      <c r="C9" s="9" t="n">
        <f aca="false">20000+15000+55000+20500+36000</f>
        <v>146500</v>
      </c>
      <c r="D9" s="9" t="n">
        <f aca="false">E9-C9</f>
        <v>220000</v>
      </c>
      <c r="E9" s="9" t="n">
        <v>366500</v>
      </c>
    </row>
    <row r="10" customFormat="false" ht="15" hidden="false" customHeight="false" outlineLevel="0" collapsed="false">
      <c r="A10" s="7" t="s">
        <v>15</v>
      </c>
      <c r="B10" s="8" t="s">
        <v>354</v>
      </c>
      <c r="C10" s="9" t="n">
        <f aca="false">50000+35000+15000+100000+100000+66500</f>
        <v>366500</v>
      </c>
      <c r="D10" s="9" t="n">
        <f aca="false">E10-C10</f>
        <v>0</v>
      </c>
      <c r="E10" s="9" t="n">
        <v>366500</v>
      </c>
    </row>
    <row r="11" customFormat="false" ht="15" hidden="false" customHeight="false" outlineLevel="0" collapsed="false">
      <c r="A11" s="7" t="s">
        <v>17</v>
      </c>
      <c r="B11" s="8" t="s">
        <v>355</v>
      </c>
      <c r="C11" s="9" t="n">
        <f aca="false">50000+15000+50000+120000+131500</f>
        <v>366500</v>
      </c>
      <c r="D11" s="9" t="n">
        <f aca="false">E11-C11</f>
        <v>0</v>
      </c>
      <c r="E11" s="9" t="n">
        <v>366500</v>
      </c>
    </row>
    <row r="12" customFormat="false" ht="15" hidden="false" customHeight="false" outlineLevel="0" collapsed="false">
      <c r="A12" s="7" t="s">
        <v>19</v>
      </c>
      <c r="B12" s="8" t="s">
        <v>356</v>
      </c>
      <c r="C12" s="9" t="n">
        <f aca="false">5500+60000+80000+25000+50000+90000+50000</f>
        <v>360500</v>
      </c>
      <c r="D12" s="9" t="n">
        <f aca="false">E12-C12</f>
        <v>6000</v>
      </c>
      <c r="E12" s="9" t="n">
        <v>366500</v>
      </c>
    </row>
    <row r="13" customFormat="false" ht="15" hidden="false" customHeight="false" outlineLevel="0" collapsed="false">
      <c r="A13" s="7" t="s">
        <v>21</v>
      </c>
      <c r="B13" s="8" t="s">
        <v>357</v>
      </c>
      <c r="C13" s="9" t="n">
        <f aca="false">43500+15000+200000+108000</f>
        <v>366500</v>
      </c>
      <c r="D13" s="9" t="n">
        <f aca="false">E13-C13</f>
        <v>0</v>
      </c>
      <c r="E13" s="9" t="n">
        <v>366500</v>
      </c>
    </row>
    <row r="14" customFormat="false" ht="15" hidden="false" customHeight="false" outlineLevel="0" collapsed="false">
      <c r="A14" s="7" t="s">
        <v>23</v>
      </c>
      <c r="B14" s="8" t="s">
        <v>358</v>
      </c>
      <c r="C14" s="9" t="n">
        <f aca="false">3500+100000+250000+15000</f>
        <v>368500</v>
      </c>
      <c r="D14" s="9" t="n">
        <f aca="false">E14-C14</f>
        <v>-2000</v>
      </c>
      <c r="E14" s="9" t="n">
        <v>366500</v>
      </c>
    </row>
    <row r="15" customFormat="false" ht="15" hidden="false" customHeight="false" outlineLevel="0" collapsed="false">
      <c r="A15" s="7" t="s">
        <v>25</v>
      </c>
      <c r="B15" s="8" t="s">
        <v>359</v>
      </c>
      <c r="C15" s="9" t="n">
        <v>366500</v>
      </c>
      <c r="D15" s="9" t="n">
        <f aca="false">E15-C15</f>
        <v>0</v>
      </c>
      <c r="E15" s="9" t="n">
        <v>366500</v>
      </c>
    </row>
    <row r="16" customFormat="false" ht="15" hidden="false" customHeight="false" outlineLevel="0" collapsed="false">
      <c r="A16" s="7" t="s">
        <v>27</v>
      </c>
      <c r="B16" s="8" t="s">
        <v>360</v>
      </c>
      <c r="C16" s="9" t="n">
        <f aca="false">44000+70000+30000+70000+60000+92500</f>
        <v>366500</v>
      </c>
      <c r="D16" s="9" t="n">
        <f aca="false">E16-C16</f>
        <v>0</v>
      </c>
      <c r="E16" s="9" t="n">
        <v>366500</v>
      </c>
    </row>
    <row r="17" customFormat="false" ht="15" hidden="false" customHeight="false" outlineLevel="0" collapsed="false">
      <c r="A17" s="7" t="s">
        <v>29</v>
      </c>
      <c r="B17" s="8" t="s">
        <v>361</v>
      </c>
      <c r="C17" s="9" t="n">
        <f aca="false">20000+46500+100000+200000</f>
        <v>366500</v>
      </c>
      <c r="D17" s="9" t="n">
        <f aca="false">E17-C17</f>
        <v>0</v>
      </c>
      <c r="E17" s="9" t="n">
        <v>366500</v>
      </c>
    </row>
    <row r="18" customFormat="false" ht="15" hidden="false" customHeight="false" outlineLevel="0" collapsed="false">
      <c r="A18" s="7" t="s">
        <v>31</v>
      </c>
      <c r="B18" s="22" t="s">
        <v>362</v>
      </c>
      <c r="C18" s="9" t="n">
        <f aca="false">150000+200000+16500</f>
        <v>366500</v>
      </c>
      <c r="D18" s="9" t="n">
        <f aca="false">E18-C18</f>
        <v>0</v>
      </c>
      <c r="E18" s="9" t="n">
        <v>366500</v>
      </c>
    </row>
    <row r="19" customFormat="false" ht="15" hidden="false" customHeight="false" outlineLevel="0" collapsed="false">
      <c r="A19" s="7" t="s">
        <v>33</v>
      </c>
      <c r="B19" s="8" t="s">
        <v>363</v>
      </c>
      <c r="C19" s="9" t="n">
        <v>366500</v>
      </c>
      <c r="D19" s="9" t="n">
        <f aca="false">E19-C19</f>
        <v>0</v>
      </c>
      <c r="E19" s="9" t="n">
        <v>366500</v>
      </c>
    </row>
    <row r="20" customFormat="false" ht="15" hidden="false" customHeight="false" outlineLevel="0" collapsed="false">
      <c r="A20" s="7" t="s">
        <v>35</v>
      </c>
      <c r="B20" s="8" t="s">
        <v>364</v>
      </c>
      <c r="C20" s="9" t="n">
        <f aca="false">20000+100000+80000</f>
        <v>200000</v>
      </c>
      <c r="D20" s="9" t="n">
        <f aca="false">E20-C20</f>
        <v>166500</v>
      </c>
      <c r="E20" s="9" t="n">
        <v>366500</v>
      </c>
    </row>
    <row r="21" customFormat="false" ht="15" hidden="false" customHeight="false" outlineLevel="0" collapsed="false">
      <c r="A21" s="7" t="s">
        <v>37</v>
      </c>
      <c r="B21" s="21" t="s">
        <v>365</v>
      </c>
      <c r="C21" s="9" t="n">
        <f aca="false">50000+80000+50000+100000</f>
        <v>280000</v>
      </c>
      <c r="D21" s="9" t="n">
        <f aca="false">E21-C21</f>
        <v>86500</v>
      </c>
      <c r="E21" s="9" t="n">
        <v>366500</v>
      </c>
    </row>
    <row r="22" customFormat="false" ht="15" hidden="false" customHeight="false" outlineLevel="0" collapsed="false">
      <c r="A22" s="7" t="s">
        <v>39</v>
      </c>
      <c r="B22" s="8" t="s">
        <v>366</v>
      </c>
      <c r="C22" s="9" t="n">
        <f aca="false">200000+166500</f>
        <v>366500</v>
      </c>
      <c r="D22" s="9" t="n">
        <f aca="false">E22-C22</f>
        <v>0</v>
      </c>
      <c r="E22" s="9" t="n">
        <v>366500</v>
      </c>
    </row>
    <row r="23" customFormat="false" ht="15" hidden="false" customHeight="false" outlineLevel="0" collapsed="false">
      <c r="A23" s="7" t="s">
        <v>41</v>
      </c>
      <c r="B23" s="8" t="s">
        <v>367</v>
      </c>
      <c r="C23" s="9" t="n">
        <f aca="false">3000+105000+15000+100000+120000</f>
        <v>343000</v>
      </c>
      <c r="D23" s="9" t="n">
        <f aca="false">E23-C23</f>
        <v>23500</v>
      </c>
      <c r="E23" s="9" t="n">
        <v>366500</v>
      </c>
    </row>
    <row r="24" customFormat="false" ht="15" hidden="false" customHeight="false" outlineLevel="0" collapsed="false">
      <c r="A24" s="7" t="s">
        <v>43</v>
      </c>
      <c r="B24" s="8" t="s">
        <v>368</v>
      </c>
      <c r="C24" s="9" t="n">
        <f aca="false">60000+15000+15000+210000+66500</f>
        <v>366500</v>
      </c>
      <c r="D24" s="9" t="n">
        <f aca="false">E24-C24</f>
        <v>0</v>
      </c>
      <c r="E24" s="9" t="n">
        <v>366500</v>
      </c>
    </row>
    <row r="25" customFormat="false" ht="15" hidden="false" customHeight="false" outlineLevel="0" collapsed="false">
      <c r="A25" s="7" t="s">
        <v>45</v>
      </c>
      <c r="B25" s="8" t="s">
        <v>369</v>
      </c>
      <c r="C25" s="9" t="n">
        <f aca="false">500+15000+15000+120000+100000+50000+25000+40000+1000</f>
        <v>366500</v>
      </c>
      <c r="D25" s="9" t="n">
        <f aca="false">E25-C25</f>
        <v>0</v>
      </c>
      <c r="E25" s="9" t="n">
        <v>366500</v>
      </c>
    </row>
    <row r="26" customFormat="false" ht="15" hidden="false" customHeight="false" outlineLevel="0" collapsed="false">
      <c r="A26" s="7" t="s">
        <v>47</v>
      </c>
      <c r="B26" s="8" t="s">
        <v>370</v>
      </c>
      <c r="C26" s="9" t="n">
        <f aca="false">50000+100000+100000+100000+16500</f>
        <v>366500</v>
      </c>
      <c r="D26" s="9" t="n">
        <f aca="false">E26-C26</f>
        <v>0</v>
      </c>
      <c r="E26" s="9" t="n">
        <v>366500</v>
      </c>
    </row>
    <row r="27" customFormat="false" ht="15" hidden="false" customHeight="false" outlineLevel="0" collapsed="false">
      <c r="A27" s="7" t="s">
        <v>49</v>
      </c>
      <c r="B27" s="21" t="s">
        <v>371</v>
      </c>
      <c r="C27" s="9" t="n">
        <v>0</v>
      </c>
      <c r="D27" s="9" t="n">
        <f aca="false">E27-C27</f>
        <v>366500</v>
      </c>
      <c r="E27" s="9" t="n">
        <v>366500</v>
      </c>
    </row>
    <row r="28" customFormat="false" ht="15" hidden="false" customHeight="false" outlineLevel="0" collapsed="false">
      <c r="A28" s="7" t="s">
        <v>51</v>
      </c>
      <c r="B28" s="22" t="s">
        <v>372</v>
      </c>
      <c r="C28" s="9" t="n">
        <f aca="false">150000+200000+16500</f>
        <v>366500</v>
      </c>
      <c r="D28" s="9" t="n">
        <f aca="false">E28-C28</f>
        <v>0</v>
      </c>
      <c r="E28" s="9" t="n">
        <v>366500</v>
      </c>
    </row>
    <row r="29" customFormat="false" ht="15" hidden="false" customHeight="false" outlineLevel="0" collapsed="false">
      <c r="A29" s="7" t="s">
        <v>53</v>
      </c>
      <c r="B29" s="8" t="s">
        <v>373</v>
      </c>
      <c r="C29" s="9" t="n">
        <f aca="false">50000+15000+100000+150000+51500</f>
        <v>366500</v>
      </c>
      <c r="D29" s="9" t="n">
        <f aca="false">E29-C29</f>
        <v>0</v>
      </c>
      <c r="E29" s="9" t="n">
        <v>366500</v>
      </c>
    </row>
    <row r="30" customFormat="false" ht="15" hidden="false" customHeight="false" outlineLevel="0" collapsed="false">
      <c r="A30" s="7" t="s">
        <v>55</v>
      </c>
      <c r="B30" s="8" t="s">
        <v>374</v>
      </c>
      <c r="C30" s="9" t="n">
        <f aca="false">50000+15000+100000+100000+20000+50000+31500</f>
        <v>366500</v>
      </c>
      <c r="D30" s="9" t="n">
        <f aca="false">E30-C30</f>
        <v>0</v>
      </c>
      <c r="E30" s="9" t="n">
        <v>366500</v>
      </c>
    </row>
    <row r="31" customFormat="false" ht="15" hidden="false" customHeight="false" outlineLevel="0" collapsed="false">
      <c r="A31" s="7" t="s">
        <v>57</v>
      </c>
      <c r="B31" s="8" t="s">
        <v>375</v>
      </c>
      <c r="C31" s="9" t="n">
        <f aca="false">3500+20000+100000+15000+78000+150000</f>
        <v>366500</v>
      </c>
      <c r="D31" s="9" t="n">
        <f aca="false">E31-C31</f>
        <v>0</v>
      </c>
      <c r="E31" s="9" t="n">
        <v>366500</v>
      </c>
    </row>
    <row r="32" customFormat="false" ht="15" hidden="false" customHeight="false" outlineLevel="0" collapsed="false">
      <c r="A32" s="7" t="s">
        <v>59</v>
      </c>
      <c r="B32" s="8" t="s">
        <v>376</v>
      </c>
      <c r="C32" s="9" t="n">
        <f aca="false">15000+65000+50000+50000+120000+66500</f>
        <v>366500</v>
      </c>
      <c r="D32" s="9" t="n">
        <f aca="false">E32-C32</f>
        <v>0</v>
      </c>
      <c r="E32" s="9" t="n">
        <v>366500</v>
      </c>
    </row>
    <row r="33" customFormat="false" ht="15" hidden="false" customHeight="false" outlineLevel="0" collapsed="false">
      <c r="A33" s="7" t="s">
        <v>63</v>
      </c>
      <c r="B33" s="8" t="s">
        <v>377</v>
      </c>
      <c r="C33" s="9" t="n">
        <f aca="false">53500+15500</f>
        <v>69000</v>
      </c>
      <c r="D33" s="9" t="n">
        <f aca="false">E33-C33</f>
        <v>297500</v>
      </c>
      <c r="E33" s="9" t="n">
        <v>366500</v>
      </c>
    </row>
    <row r="34" customFormat="false" ht="15" hidden="false" customHeight="false" outlineLevel="0" collapsed="false">
      <c r="A34" s="5" t="s">
        <v>101</v>
      </c>
      <c r="B34" s="5"/>
      <c r="C34" s="6" t="n">
        <f aca="false">SUM(C6:C33)</f>
        <v>8983000</v>
      </c>
      <c r="D34" s="6" t="n">
        <f aca="false">SUM(D6:D33)</f>
        <v>1279000</v>
      </c>
      <c r="E34" s="6" t="n">
        <f aca="false">SUM(E6:E33)</f>
        <v>10262000</v>
      </c>
    </row>
    <row r="35" customFormat="false" ht="12.75" hidden="false" customHeight="false" outlineLevel="0" collapsed="false">
      <c r="A35" s="2"/>
      <c r="B35" s="2"/>
      <c r="C35" s="2"/>
      <c r="D35" s="2"/>
      <c r="E35" s="2"/>
    </row>
    <row r="36" customFormat="false" ht="17.35" hidden="false" customHeight="false" outlineLevel="0" collapsed="false">
      <c r="A36" s="4" t="s">
        <v>255</v>
      </c>
      <c r="B36" s="4"/>
      <c r="C36" s="4"/>
      <c r="D36" s="4"/>
      <c r="E36" s="4"/>
    </row>
    <row r="37" customFormat="false" ht="15" hidden="false" customHeight="false" outlineLevel="0" collapsed="false">
      <c r="A37" s="5" t="s">
        <v>2</v>
      </c>
      <c r="B37" s="5" t="s">
        <v>3</v>
      </c>
      <c r="C37" s="6" t="s">
        <v>4</v>
      </c>
      <c r="D37" s="5" t="s">
        <v>5</v>
      </c>
      <c r="E37" s="6" t="s">
        <v>6</v>
      </c>
    </row>
    <row r="38" customFormat="false" ht="15" hidden="false" customHeight="false" outlineLevel="0" collapsed="false">
      <c r="A38" s="7" t="s">
        <v>7</v>
      </c>
      <c r="B38" s="8" t="s">
        <v>378</v>
      </c>
      <c r="C38" s="9" t="n">
        <f aca="false">26500+80000+90000+30000+80000+60000</f>
        <v>366500</v>
      </c>
      <c r="D38" s="9" t="n">
        <f aca="false">E38-C38</f>
        <v>0</v>
      </c>
      <c r="E38" s="9" t="n">
        <v>366500</v>
      </c>
    </row>
    <row r="39" customFormat="false" ht="15" hidden="false" customHeight="false" outlineLevel="0" collapsed="false">
      <c r="A39" s="7" t="s">
        <v>9</v>
      </c>
      <c r="B39" s="23" t="s">
        <v>379</v>
      </c>
      <c r="C39" s="9" t="n">
        <f aca="false">5000+45000+216500+100000</f>
        <v>366500</v>
      </c>
      <c r="D39" s="9" t="n">
        <f aca="false">E39-C39</f>
        <v>0</v>
      </c>
      <c r="E39" s="9" t="n">
        <v>366500</v>
      </c>
    </row>
    <row r="40" customFormat="false" ht="15" hidden="false" customHeight="false" outlineLevel="0" collapsed="false">
      <c r="A40" s="7" t="s">
        <v>11</v>
      </c>
      <c r="B40" s="8" t="s">
        <v>380</v>
      </c>
      <c r="C40" s="9" t="n">
        <f aca="false">100000+100000+60000+40000+66500</f>
        <v>366500</v>
      </c>
      <c r="D40" s="9" t="n">
        <f aca="false">E40-C40</f>
        <v>0</v>
      </c>
      <c r="E40" s="9" t="n">
        <v>366500</v>
      </c>
    </row>
    <row r="41" customFormat="false" ht="15" hidden="false" customHeight="false" outlineLevel="0" collapsed="false">
      <c r="A41" s="7" t="s">
        <v>13</v>
      </c>
      <c r="B41" s="8" t="s">
        <v>381</v>
      </c>
      <c r="C41" s="9" t="n">
        <f aca="false">66500+45000+205000+50000</f>
        <v>366500</v>
      </c>
      <c r="D41" s="9" t="n">
        <f aca="false">E41-C41</f>
        <v>0</v>
      </c>
      <c r="E41" s="9" t="n">
        <v>366500</v>
      </c>
    </row>
    <row r="42" customFormat="false" ht="15" hidden="false" customHeight="false" outlineLevel="0" collapsed="false">
      <c r="A42" s="7" t="s">
        <v>15</v>
      </c>
      <c r="B42" s="8" t="s">
        <v>382</v>
      </c>
      <c r="C42" s="9" t="n">
        <f aca="false">100000+166500+50000+50000</f>
        <v>366500</v>
      </c>
      <c r="D42" s="9" t="n">
        <f aca="false">E42-C42</f>
        <v>0</v>
      </c>
      <c r="E42" s="9" t="n">
        <v>366500</v>
      </c>
    </row>
    <row r="43" customFormat="false" ht="15" hidden="false" customHeight="false" outlineLevel="0" collapsed="false">
      <c r="A43" s="7" t="s">
        <v>17</v>
      </c>
      <c r="B43" s="8" t="s">
        <v>383</v>
      </c>
      <c r="C43" s="9" t="n">
        <f aca="false">15000+200000+151500</f>
        <v>366500</v>
      </c>
      <c r="D43" s="9" t="n">
        <f aca="false">E43-C43</f>
        <v>0</v>
      </c>
      <c r="E43" s="9" t="n">
        <v>366500</v>
      </c>
    </row>
    <row r="44" customFormat="false" ht="15" hidden="false" customHeight="false" outlineLevel="0" collapsed="false">
      <c r="A44" s="7" t="s">
        <v>19</v>
      </c>
      <c r="B44" s="8" t="s">
        <v>384</v>
      </c>
      <c r="C44" s="9" t="n">
        <f aca="false">100000+266500</f>
        <v>366500</v>
      </c>
      <c r="D44" s="9" t="n">
        <f aca="false">E44-C44</f>
        <v>0</v>
      </c>
      <c r="E44" s="9" t="n">
        <v>366500</v>
      </c>
    </row>
    <row r="45" customFormat="false" ht="15" hidden="false" customHeight="false" outlineLevel="0" collapsed="false">
      <c r="A45" s="7" t="s">
        <v>21</v>
      </c>
      <c r="B45" s="8" t="s">
        <v>385</v>
      </c>
      <c r="C45" s="9" t="n">
        <f aca="false">150650+50000+50000+56000+60000</f>
        <v>366650</v>
      </c>
      <c r="D45" s="9" t="n">
        <f aca="false">E45-C45</f>
        <v>-150</v>
      </c>
      <c r="E45" s="9" t="n">
        <v>366500</v>
      </c>
    </row>
    <row r="46" customFormat="false" ht="15" hidden="false" customHeight="false" outlineLevel="0" collapsed="false">
      <c r="A46" s="7" t="s">
        <v>23</v>
      </c>
      <c r="B46" s="8" t="s">
        <v>386</v>
      </c>
      <c r="C46" s="9" t="n">
        <f aca="false">65000+110000+191500</f>
        <v>366500</v>
      </c>
      <c r="D46" s="9" t="n">
        <f aca="false">E46-C46</f>
        <v>0</v>
      </c>
      <c r="E46" s="9" t="n">
        <v>366500</v>
      </c>
    </row>
    <row r="47" customFormat="false" ht="15" hidden="false" customHeight="false" outlineLevel="0" collapsed="false">
      <c r="A47" s="7" t="s">
        <v>25</v>
      </c>
      <c r="B47" s="8" t="s">
        <v>387</v>
      </c>
      <c r="C47" s="9" t="n">
        <f aca="false">200000+166500</f>
        <v>366500</v>
      </c>
      <c r="D47" s="9" t="n">
        <f aca="false">E47-C47</f>
        <v>0</v>
      </c>
      <c r="E47" s="9" t="n">
        <v>366500</v>
      </c>
    </row>
    <row r="48" customFormat="false" ht="15" hidden="false" customHeight="false" outlineLevel="0" collapsed="false">
      <c r="A48" s="7" t="s">
        <v>27</v>
      </c>
      <c r="B48" s="8" t="s">
        <v>388</v>
      </c>
      <c r="C48" s="9" t="n">
        <f aca="false">203500+38000+25000+100000</f>
        <v>366500</v>
      </c>
      <c r="D48" s="9" t="n">
        <f aca="false">E48-C48</f>
        <v>0</v>
      </c>
      <c r="E48" s="9" t="n">
        <v>366500</v>
      </c>
    </row>
    <row r="49" customFormat="false" ht="15" hidden="false" customHeight="false" outlineLevel="0" collapsed="false">
      <c r="A49" s="7" t="s">
        <v>29</v>
      </c>
      <c r="B49" s="8" t="s">
        <v>389</v>
      </c>
      <c r="C49" s="9" t="n">
        <f aca="false">156500+110000+100000</f>
        <v>366500</v>
      </c>
      <c r="D49" s="9" t="n">
        <f aca="false">E49-C49</f>
        <v>0</v>
      </c>
      <c r="E49" s="9" t="n">
        <v>366500</v>
      </c>
    </row>
    <row r="50" customFormat="false" ht="15" hidden="false" customHeight="false" outlineLevel="0" collapsed="false">
      <c r="A50" s="7" t="s">
        <v>31</v>
      </c>
      <c r="B50" s="8" t="s">
        <v>390</v>
      </c>
      <c r="C50" s="9" t="n">
        <f aca="false">160000+206500</f>
        <v>366500</v>
      </c>
      <c r="D50" s="9" t="n">
        <f aca="false">E50-C50</f>
        <v>0</v>
      </c>
      <c r="E50" s="9" t="n">
        <v>366500</v>
      </c>
    </row>
    <row r="51" customFormat="false" ht="15" hidden="false" customHeight="false" outlineLevel="0" collapsed="false">
      <c r="A51" s="7" t="s">
        <v>33</v>
      </c>
      <c r="B51" s="8" t="s">
        <v>391</v>
      </c>
      <c r="C51" s="9" t="n">
        <f aca="false">366500</f>
        <v>366500</v>
      </c>
      <c r="D51" s="9" t="n">
        <f aca="false">E51-C51</f>
        <v>0</v>
      </c>
      <c r="E51" s="9" t="n">
        <v>366500</v>
      </c>
    </row>
    <row r="52" customFormat="false" ht="15" hidden="false" customHeight="false" outlineLevel="0" collapsed="false">
      <c r="A52" s="7" t="s">
        <v>35</v>
      </c>
      <c r="B52" s="8" t="s">
        <v>392</v>
      </c>
      <c r="C52" s="9" t="n">
        <f aca="false">33500+285000+48000</f>
        <v>366500</v>
      </c>
      <c r="D52" s="9" t="n">
        <f aca="false">E52-C52</f>
        <v>0</v>
      </c>
      <c r="E52" s="9" t="n">
        <v>366500</v>
      </c>
    </row>
    <row r="53" customFormat="false" ht="15" hidden="false" customHeight="false" outlineLevel="0" collapsed="false">
      <c r="A53" s="7" t="s">
        <v>37</v>
      </c>
      <c r="B53" s="8" t="s">
        <v>393</v>
      </c>
      <c r="C53" s="9" t="n">
        <f aca="false">8500+100000+30000+180000+48000</f>
        <v>366500</v>
      </c>
      <c r="D53" s="9" t="n">
        <f aca="false">E53-C53</f>
        <v>0</v>
      </c>
      <c r="E53" s="9" t="n">
        <v>366500</v>
      </c>
    </row>
    <row r="54" customFormat="false" ht="15" hidden="false" customHeight="false" outlineLevel="0" collapsed="false">
      <c r="A54" s="7" t="s">
        <v>39</v>
      </c>
      <c r="B54" s="8" t="s">
        <v>394</v>
      </c>
      <c r="C54" s="9" t="n">
        <f aca="false">85000+15000+226500+40000</f>
        <v>366500</v>
      </c>
      <c r="D54" s="9" t="n">
        <f aca="false">E54-C54</f>
        <v>0</v>
      </c>
      <c r="E54" s="9" t="n">
        <v>366500</v>
      </c>
    </row>
    <row r="55" customFormat="false" ht="15" hidden="false" customHeight="false" outlineLevel="0" collapsed="false">
      <c r="A55" s="7" t="s">
        <v>41</v>
      </c>
      <c r="B55" s="8" t="s">
        <v>395</v>
      </c>
      <c r="C55" s="9" t="n">
        <f aca="false">30000+40000</f>
        <v>70000</v>
      </c>
      <c r="D55" s="9" t="n">
        <f aca="false">E55-C55</f>
        <v>296500</v>
      </c>
      <c r="E55" s="9" t="n">
        <v>366500</v>
      </c>
    </row>
    <row r="56" customFormat="false" ht="15" hidden="false" customHeight="false" outlineLevel="0" collapsed="false">
      <c r="A56" s="7" t="s">
        <v>43</v>
      </c>
      <c r="B56" s="8" t="s">
        <v>396</v>
      </c>
      <c r="C56" s="9" t="n">
        <f aca="false">100000+266500</f>
        <v>366500</v>
      </c>
      <c r="D56" s="9" t="n">
        <f aca="false">E56-C56</f>
        <v>0</v>
      </c>
      <c r="E56" s="9" t="n">
        <v>366500</v>
      </c>
    </row>
    <row r="57" customFormat="false" ht="15" hidden="false" customHeight="false" outlineLevel="0" collapsed="false">
      <c r="A57" s="5" t="s">
        <v>101</v>
      </c>
      <c r="B57" s="5"/>
      <c r="C57" s="6" t="n">
        <f aca="false">SUM(C38:C56)</f>
        <v>6667150</v>
      </c>
      <c r="D57" s="6" t="n">
        <f aca="false">SUM(D38:D56)</f>
        <v>296350</v>
      </c>
      <c r="E57" s="6" t="n">
        <f aca="false">SUM(E38:E56)</f>
        <v>6963500</v>
      </c>
    </row>
    <row r="58" customFormat="false" ht="12.75" hidden="false" customHeight="false" outlineLevel="0" collapsed="false">
      <c r="A58" s="2"/>
      <c r="B58" s="2"/>
      <c r="C58" s="2"/>
      <c r="D58" s="2"/>
      <c r="E58" s="2"/>
    </row>
    <row r="59" customFormat="false" ht="17.35" hidden="false" customHeight="false" outlineLevel="0" collapsed="false">
      <c r="A59" s="4" t="s">
        <v>283</v>
      </c>
      <c r="B59" s="4"/>
      <c r="C59" s="4"/>
      <c r="D59" s="4"/>
      <c r="E59" s="4"/>
    </row>
    <row r="60" customFormat="false" ht="15" hidden="false" customHeight="false" outlineLevel="0" collapsed="false">
      <c r="A60" s="5" t="s">
        <v>2</v>
      </c>
      <c r="B60" s="5" t="s">
        <v>3</v>
      </c>
      <c r="C60" s="6" t="s">
        <v>4</v>
      </c>
      <c r="D60" s="5" t="s">
        <v>5</v>
      </c>
      <c r="E60" s="6" t="s">
        <v>6</v>
      </c>
    </row>
    <row r="61" customFormat="false" ht="15" hidden="false" customHeight="false" outlineLevel="0" collapsed="false">
      <c r="A61" s="7" t="s">
        <v>7</v>
      </c>
      <c r="B61" s="8" t="s">
        <v>397</v>
      </c>
      <c r="C61" s="9" t="n">
        <f aca="false">100000+26500+240000</f>
        <v>366500</v>
      </c>
      <c r="D61" s="9" t="n">
        <f aca="false">E61-C61</f>
        <v>0</v>
      </c>
      <c r="E61" s="9" t="n">
        <v>366500</v>
      </c>
    </row>
    <row r="62" customFormat="false" ht="15" hidden="false" customHeight="false" outlineLevel="0" collapsed="false">
      <c r="A62" s="7" t="s">
        <v>9</v>
      </c>
      <c r="B62" s="8" t="s">
        <v>398</v>
      </c>
      <c r="C62" s="9" t="n">
        <f aca="false">50000+50000+267000</f>
        <v>367000</v>
      </c>
      <c r="D62" s="9" t="n">
        <f aca="false">E62-C62</f>
        <v>-500</v>
      </c>
      <c r="E62" s="9" t="n">
        <v>366500</v>
      </c>
    </row>
    <row r="63" customFormat="false" ht="15" hidden="false" customHeight="false" outlineLevel="0" collapsed="false">
      <c r="A63" s="7" t="s">
        <v>11</v>
      </c>
      <c r="B63" s="8" t="s">
        <v>399</v>
      </c>
      <c r="C63" s="9" t="n">
        <f aca="false">50000+50000+50000+50000+50000+100000+16500</f>
        <v>366500</v>
      </c>
      <c r="D63" s="9" t="n">
        <f aca="false">E63-C63</f>
        <v>0</v>
      </c>
      <c r="E63" s="9" t="n">
        <v>366500</v>
      </c>
    </row>
    <row r="64" customFormat="false" ht="15" hidden="false" customHeight="false" outlineLevel="0" collapsed="false">
      <c r="A64" s="7" t="s">
        <v>13</v>
      </c>
      <c r="B64" s="8" t="s">
        <v>400</v>
      </c>
      <c r="C64" s="9" t="n">
        <f aca="false">100000+200000+66500</f>
        <v>366500</v>
      </c>
      <c r="D64" s="9" t="n">
        <f aca="false">E64-C64</f>
        <v>0</v>
      </c>
      <c r="E64" s="9" t="n">
        <v>366500</v>
      </c>
    </row>
    <row r="65" customFormat="false" ht="15" hidden="false" customHeight="false" outlineLevel="0" collapsed="false">
      <c r="A65" s="7" t="s">
        <v>19</v>
      </c>
      <c r="B65" s="8" t="s">
        <v>401</v>
      </c>
      <c r="C65" s="9" t="n">
        <f aca="false">33500+67000+200000+50000+16000</f>
        <v>366500</v>
      </c>
      <c r="D65" s="9" t="n">
        <f aca="false">E65-C65</f>
        <v>0</v>
      </c>
      <c r="E65" s="9" t="n">
        <v>366500</v>
      </c>
    </row>
    <row r="66" customFormat="false" ht="15" hidden="false" customHeight="false" outlineLevel="0" collapsed="false">
      <c r="A66" s="7" t="s">
        <v>21</v>
      </c>
      <c r="B66" s="8" t="s">
        <v>402</v>
      </c>
      <c r="C66" s="9" t="n">
        <f aca="false">500+50000+70000+200000+46000</f>
        <v>366500</v>
      </c>
      <c r="D66" s="9" t="n">
        <f aca="false">E66-C66</f>
        <v>0</v>
      </c>
      <c r="E66" s="9" t="n">
        <v>366500</v>
      </c>
    </row>
    <row r="67" customFormat="false" ht="15" hidden="false" customHeight="false" outlineLevel="0" collapsed="false">
      <c r="A67" s="7" t="s">
        <v>23</v>
      </c>
      <c r="B67" s="8" t="s">
        <v>403</v>
      </c>
      <c r="C67" s="9" t="n">
        <f aca="false">148500+132500+15000+11000+59500</f>
        <v>366500</v>
      </c>
      <c r="D67" s="9" t="n">
        <f aca="false">E67-C67</f>
        <v>0</v>
      </c>
      <c r="E67" s="9" t="n">
        <v>366500</v>
      </c>
    </row>
    <row r="68" customFormat="false" ht="15" hidden="false" customHeight="false" outlineLevel="0" collapsed="false">
      <c r="A68" s="7" t="s">
        <v>25</v>
      </c>
      <c r="B68" s="8" t="s">
        <v>404</v>
      </c>
      <c r="C68" s="9" t="n">
        <f aca="false">50000+250000+66500</f>
        <v>366500</v>
      </c>
      <c r="D68" s="9" t="n">
        <f aca="false">E68-C68</f>
        <v>0</v>
      </c>
      <c r="E68" s="9" t="n">
        <v>366500</v>
      </c>
    </row>
    <row r="69" customFormat="false" ht="15" hidden="false" customHeight="false" outlineLevel="0" collapsed="false">
      <c r="A69" s="7" t="s">
        <v>27</v>
      </c>
      <c r="B69" s="8" t="s">
        <v>405</v>
      </c>
      <c r="C69" s="9" t="n">
        <f aca="false">20000+346500</f>
        <v>366500</v>
      </c>
      <c r="D69" s="9" t="n">
        <f aca="false">E69-C69</f>
        <v>0</v>
      </c>
      <c r="E69" s="9" t="n">
        <v>366500</v>
      </c>
    </row>
    <row r="70" customFormat="false" ht="15" hidden="false" customHeight="false" outlineLevel="0" collapsed="false">
      <c r="A70" s="7" t="s">
        <v>29</v>
      </c>
      <c r="B70" s="8" t="s">
        <v>406</v>
      </c>
      <c r="C70" s="9" t="n">
        <f aca="false">4000+20000+50000+40000+100000+50000+50000+52500</f>
        <v>366500</v>
      </c>
      <c r="D70" s="9" t="n">
        <f aca="false">E70-C70</f>
        <v>0</v>
      </c>
      <c r="E70" s="9" t="n">
        <v>366500</v>
      </c>
    </row>
    <row r="71" customFormat="false" ht="15" hidden="false" customHeight="false" outlineLevel="0" collapsed="false">
      <c r="A71" s="7" t="s">
        <v>31</v>
      </c>
      <c r="B71" s="8" t="s">
        <v>407</v>
      </c>
      <c r="C71" s="9" t="n">
        <f aca="false">20000+200000+146500</f>
        <v>366500</v>
      </c>
      <c r="D71" s="9" t="n">
        <f aca="false">E71-C71</f>
        <v>0</v>
      </c>
      <c r="E71" s="9" t="n">
        <v>366500</v>
      </c>
    </row>
    <row r="72" customFormat="false" ht="15" hidden="false" customHeight="false" outlineLevel="0" collapsed="false">
      <c r="A72" s="7" t="s">
        <v>33</v>
      </c>
      <c r="B72" s="8" t="s">
        <v>408</v>
      </c>
      <c r="C72" s="9" t="n">
        <f aca="false">73500+20000+140000+15000+15000+100000+3000</f>
        <v>366500</v>
      </c>
      <c r="D72" s="9" t="n">
        <f aca="false">E72-C72</f>
        <v>0</v>
      </c>
      <c r="E72" s="9" t="n">
        <v>366500</v>
      </c>
    </row>
    <row r="73" customFormat="false" ht="15" hidden="false" customHeight="false" outlineLevel="0" collapsed="false">
      <c r="A73" s="7" t="s">
        <v>37</v>
      </c>
      <c r="B73" s="8" t="s">
        <v>409</v>
      </c>
      <c r="C73" s="9" t="n">
        <f aca="false">40500+120000+45000+161000</f>
        <v>366500</v>
      </c>
      <c r="D73" s="9" t="n">
        <f aca="false">E73-C73</f>
        <v>0</v>
      </c>
      <c r="E73" s="9" t="n">
        <v>366500</v>
      </c>
    </row>
    <row r="74" customFormat="false" ht="15" hidden="false" customHeight="false" outlineLevel="0" collapsed="false">
      <c r="A74" s="7" t="s">
        <v>39</v>
      </c>
      <c r="B74" s="8" t="s">
        <v>410</v>
      </c>
      <c r="C74" s="9" t="n">
        <f aca="false">60000+80000+60000+166500</f>
        <v>366500</v>
      </c>
      <c r="D74" s="9" t="n">
        <f aca="false">E74-C74</f>
        <v>0</v>
      </c>
      <c r="E74" s="9" t="n">
        <v>366500</v>
      </c>
    </row>
    <row r="75" customFormat="false" ht="15" hidden="false" customHeight="false" outlineLevel="0" collapsed="false">
      <c r="A75" s="7" t="s">
        <v>41</v>
      </c>
      <c r="B75" s="8" t="s">
        <v>411</v>
      </c>
      <c r="C75" s="9" t="n">
        <f aca="false">60000+100000+50000+100000+56500</f>
        <v>366500</v>
      </c>
      <c r="D75" s="9" t="n">
        <f aca="false">E75-C75</f>
        <v>0</v>
      </c>
      <c r="E75" s="9" t="n">
        <v>366500</v>
      </c>
    </row>
    <row r="76" customFormat="false" ht="15" hidden="false" customHeight="false" outlineLevel="0" collapsed="false">
      <c r="A76" s="7" t="s">
        <v>43</v>
      </c>
      <c r="B76" s="8" t="s">
        <v>412</v>
      </c>
      <c r="C76" s="9" t="n">
        <f aca="false">33500+50000+166500+60000+56500</f>
        <v>366500</v>
      </c>
      <c r="D76" s="9" t="n">
        <f aca="false">E76-C76</f>
        <v>0</v>
      </c>
      <c r="E76" s="9" t="n">
        <v>366500</v>
      </c>
    </row>
    <row r="77" customFormat="false" ht="15" hidden="false" customHeight="false" outlineLevel="0" collapsed="false">
      <c r="A77" s="5" t="s">
        <v>101</v>
      </c>
      <c r="B77" s="5"/>
      <c r="C77" s="6" t="n">
        <f aca="false">SUM(C61:C76)</f>
        <v>5864500</v>
      </c>
      <c r="D77" s="6" t="n">
        <f aca="false">SUM(D61:D76)</f>
        <v>-500</v>
      </c>
      <c r="E77" s="6" t="n">
        <f aca="false">SUM(E61:E76)</f>
        <v>5864000</v>
      </c>
    </row>
    <row r="78" customFormat="false" ht="17.35" hidden="false" customHeight="false" outlineLevel="0" collapsed="false">
      <c r="A78" s="4" t="s">
        <v>413</v>
      </c>
      <c r="B78" s="4"/>
      <c r="C78" s="4"/>
      <c r="D78" s="4"/>
      <c r="E78" s="4"/>
    </row>
    <row r="79" customFormat="false" ht="15" hidden="false" customHeight="false" outlineLevel="0" collapsed="false">
      <c r="A79" s="5" t="s">
        <v>2</v>
      </c>
      <c r="B79" s="5" t="s">
        <v>3</v>
      </c>
      <c r="C79" s="6" t="s">
        <v>4</v>
      </c>
      <c r="D79" s="5" t="s">
        <v>5</v>
      </c>
      <c r="E79" s="6" t="s">
        <v>6</v>
      </c>
    </row>
    <row r="80" customFormat="false" ht="15" hidden="false" customHeight="false" outlineLevel="0" collapsed="false">
      <c r="A80" s="7" t="s">
        <v>7</v>
      </c>
      <c r="B80" s="8" t="s">
        <v>414</v>
      </c>
      <c r="C80" s="9" t="n">
        <v>200000</v>
      </c>
      <c r="D80" s="9" t="n">
        <f aca="false">E80-C80</f>
        <v>166500</v>
      </c>
      <c r="E80" s="9" t="n">
        <v>366500</v>
      </c>
    </row>
    <row r="81" customFormat="false" ht="15" hidden="false" customHeight="false" outlineLevel="0" collapsed="false">
      <c r="A81" s="7" t="s">
        <v>11</v>
      </c>
      <c r="B81" s="8" t="s">
        <v>415</v>
      </c>
      <c r="C81" s="9" t="n">
        <f aca="false">186500+180000</f>
        <v>366500</v>
      </c>
      <c r="D81" s="9" t="n">
        <f aca="false">E81-C81</f>
        <v>0</v>
      </c>
      <c r="E81" s="9" t="n">
        <v>366500</v>
      </c>
    </row>
    <row r="82" customFormat="false" ht="15" hidden="false" customHeight="false" outlineLevel="0" collapsed="false">
      <c r="A82" s="7" t="s">
        <v>13</v>
      </c>
      <c r="B82" s="8" t="s">
        <v>416</v>
      </c>
      <c r="C82" s="9" t="n">
        <f aca="false">60000+150000+156500</f>
        <v>366500</v>
      </c>
      <c r="D82" s="9" t="n">
        <f aca="false">E82-C82</f>
        <v>0</v>
      </c>
      <c r="E82" s="9" t="n">
        <v>366500</v>
      </c>
    </row>
    <row r="83" customFormat="false" ht="15" hidden="false" customHeight="false" outlineLevel="0" collapsed="false">
      <c r="A83" s="7" t="s">
        <v>15</v>
      </c>
      <c r="B83" s="8" t="s">
        <v>417</v>
      </c>
      <c r="C83" s="9" t="n">
        <f aca="false">220000+146500</f>
        <v>366500</v>
      </c>
      <c r="D83" s="9" t="n">
        <f aca="false">E83-C83</f>
        <v>0</v>
      </c>
      <c r="E83" s="9" t="n">
        <v>366500</v>
      </c>
    </row>
    <row r="84" customFormat="false" ht="15" hidden="false" customHeight="false" outlineLevel="0" collapsed="false">
      <c r="A84" s="7" t="s">
        <v>17</v>
      </c>
      <c r="B84" s="8" t="s">
        <v>418</v>
      </c>
      <c r="C84" s="9" t="n">
        <f aca="false">170000+196500</f>
        <v>366500</v>
      </c>
      <c r="D84" s="9" t="n">
        <f aca="false">E84-C84</f>
        <v>0</v>
      </c>
      <c r="E84" s="9" t="n">
        <v>366500</v>
      </c>
    </row>
    <row r="85" customFormat="false" ht="15" hidden="false" customHeight="false" outlineLevel="0" collapsed="false">
      <c r="A85" s="7" t="s">
        <v>19</v>
      </c>
      <c r="B85" s="8" t="s">
        <v>419</v>
      </c>
      <c r="C85" s="9" t="n">
        <f aca="false">101500+40000+20000+140000+40000+25000</f>
        <v>366500</v>
      </c>
      <c r="D85" s="9" t="n">
        <f aca="false">E85-C85</f>
        <v>0</v>
      </c>
      <c r="E85" s="9" t="n">
        <v>366500</v>
      </c>
    </row>
    <row r="86" customFormat="false" ht="15" hidden="false" customHeight="false" outlineLevel="0" collapsed="false">
      <c r="A86" s="7" t="s">
        <v>21</v>
      </c>
      <c r="B86" s="8" t="s">
        <v>420</v>
      </c>
      <c r="C86" s="9" t="n">
        <f aca="false">115000+211500+40000</f>
        <v>366500</v>
      </c>
      <c r="D86" s="9" t="n">
        <f aca="false">E86-C86</f>
        <v>0</v>
      </c>
      <c r="E86" s="9" t="n">
        <v>366500</v>
      </c>
    </row>
    <row r="87" customFormat="false" ht="15" hidden="false" customHeight="false" outlineLevel="0" collapsed="false">
      <c r="A87" s="7" t="s">
        <v>23</v>
      </c>
      <c r="B87" s="8" t="s">
        <v>421</v>
      </c>
      <c r="C87" s="9" t="n">
        <v>366500</v>
      </c>
      <c r="D87" s="9" t="n">
        <f aca="false">E87-C87</f>
        <v>0</v>
      </c>
      <c r="E87" s="9" t="n">
        <v>366500</v>
      </c>
    </row>
    <row r="88" customFormat="false" ht="15" hidden="false" customHeight="false" outlineLevel="0" collapsed="false">
      <c r="A88" s="7" t="s">
        <v>25</v>
      </c>
      <c r="B88" s="8" t="s">
        <v>422</v>
      </c>
      <c r="C88" s="9" t="n">
        <v>366500</v>
      </c>
      <c r="D88" s="9" t="n">
        <f aca="false">E88-C88</f>
        <v>0</v>
      </c>
      <c r="E88" s="9" t="n">
        <v>366500</v>
      </c>
    </row>
    <row r="89" customFormat="false" ht="15" hidden="false" customHeight="false" outlineLevel="0" collapsed="false">
      <c r="A89" s="7" t="s">
        <v>27</v>
      </c>
      <c r="B89" s="8" t="s">
        <v>423</v>
      </c>
      <c r="C89" s="9"/>
      <c r="D89" s="9" t="n">
        <f aca="false">E89-C89</f>
        <v>366500</v>
      </c>
      <c r="E89" s="9" t="n">
        <v>366500</v>
      </c>
    </row>
    <row r="90" customFormat="false" ht="15" hidden="false" customHeight="false" outlineLevel="0" collapsed="false">
      <c r="A90" s="7" t="s">
        <v>29</v>
      </c>
      <c r="B90" s="8" t="s">
        <v>424</v>
      </c>
      <c r="C90" s="9" t="n">
        <f aca="false">250000+65500+50000+1000</f>
        <v>366500</v>
      </c>
      <c r="D90" s="9" t="n">
        <f aca="false">E90-C90</f>
        <v>0</v>
      </c>
      <c r="E90" s="9" t="n">
        <v>366500</v>
      </c>
    </row>
    <row r="91" customFormat="false" ht="15" hidden="false" customHeight="false" outlineLevel="0" collapsed="false">
      <c r="A91" s="7" t="s">
        <v>31</v>
      </c>
      <c r="B91" s="8" t="s">
        <v>425</v>
      </c>
      <c r="C91" s="9" t="n">
        <v>366500</v>
      </c>
      <c r="D91" s="9" t="n">
        <f aca="false">E91-C91</f>
        <v>0</v>
      </c>
      <c r="E91" s="9" t="n">
        <v>366500</v>
      </c>
    </row>
    <row r="92" customFormat="false" ht="15" hidden="false" customHeight="false" outlineLevel="0" collapsed="false">
      <c r="A92" s="5" t="s">
        <v>101</v>
      </c>
      <c r="B92" s="5"/>
      <c r="C92" s="6" t="n">
        <f aca="false">SUM(C80:C91)</f>
        <v>3865000</v>
      </c>
      <c r="D92" s="6" t="n">
        <f aca="false">SUM(D80:D91)</f>
        <v>533000</v>
      </c>
      <c r="E92" s="6" t="n">
        <f aca="false">SUM(E80:E91)</f>
        <v>4398000</v>
      </c>
    </row>
    <row r="93" customFormat="false" ht="12.75" hidden="false" customHeight="false" outlineLevel="0" collapsed="false">
      <c r="A93" s="20"/>
      <c r="B93" s="20"/>
      <c r="C93" s="20"/>
      <c r="D93" s="20"/>
      <c r="E93" s="20"/>
    </row>
    <row r="96" customFormat="false" ht="17.35" hidden="false" customHeight="false" outlineLevel="0" collapsed="false">
      <c r="A96" s="2"/>
      <c r="B96" s="18" t="s">
        <v>218</v>
      </c>
      <c r="C96" s="2"/>
      <c r="D96" s="2"/>
      <c r="E96" s="2"/>
    </row>
    <row r="97" customFormat="false" ht="17.35" hidden="false" customHeight="false" outlineLevel="0" collapsed="false">
      <c r="A97" s="4" t="s">
        <v>426</v>
      </c>
      <c r="B97" s="4"/>
      <c r="C97" s="4"/>
      <c r="D97" s="4"/>
      <c r="E97" s="4"/>
    </row>
    <row r="98" customFormat="false" ht="15" hidden="false" customHeight="false" outlineLevel="0" collapsed="false">
      <c r="A98" s="5" t="s">
        <v>2</v>
      </c>
      <c r="B98" s="5" t="s">
        <v>3</v>
      </c>
      <c r="C98" s="6" t="s">
        <v>4</v>
      </c>
      <c r="D98" s="5" t="s">
        <v>5</v>
      </c>
      <c r="E98" s="6" t="s">
        <v>6</v>
      </c>
    </row>
    <row r="99" customFormat="false" ht="15" hidden="false" customHeight="false" outlineLevel="0" collapsed="false">
      <c r="A99" s="7" t="s">
        <v>7</v>
      </c>
      <c r="B99" s="8" t="s">
        <v>351</v>
      </c>
      <c r="C99" s="9" t="n">
        <f aca="false">2000+150000+100000</f>
        <v>252000</v>
      </c>
      <c r="D99" s="9" t="n">
        <f aca="false">E99-C99</f>
        <v>114500</v>
      </c>
      <c r="E99" s="9" t="n">
        <v>366500</v>
      </c>
    </row>
    <row r="100" customFormat="false" ht="15" hidden="false" customHeight="false" outlineLevel="0" collapsed="false">
      <c r="A100" s="7" t="s">
        <v>11</v>
      </c>
      <c r="B100" s="8" t="s">
        <v>353</v>
      </c>
      <c r="C100" s="9" t="n">
        <f aca="false">20000+15000+55000+20500</f>
        <v>110500</v>
      </c>
      <c r="D100" s="9" t="n">
        <f aca="false">E100-C100</f>
        <v>256000</v>
      </c>
      <c r="E100" s="9" t="n">
        <v>366500</v>
      </c>
    </row>
    <row r="101" customFormat="false" ht="15" hidden="false" customHeight="false" outlineLevel="0" collapsed="false">
      <c r="A101" s="7" t="s">
        <v>13</v>
      </c>
      <c r="B101" s="8" t="s">
        <v>355</v>
      </c>
      <c r="C101" s="9" t="n">
        <f aca="false">50000+15000+50000+120000+131500</f>
        <v>366500</v>
      </c>
      <c r="D101" s="9" t="n">
        <f aca="false">E101-C101</f>
        <v>0</v>
      </c>
      <c r="E101" s="9" t="n">
        <v>366500</v>
      </c>
    </row>
    <row r="102" customFormat="false" ht="15" hidden="false" customHeight="false" outlineLevel="0" collapsed="false">
      <c r="A102" s="7" t="s">
        <v>15</v>
      </c>
      <c r="B102" s="8" t="s">
        <v>356</v>
      </c>
      <c r="C102" s="9" t="n">
        <f aca="false">5500+60000+80000+25000+50000</f>
        <v>220500</v>
      </c>
      <c r="D102" s="9" t="n">
        <f aca="false">E102-C102</f>
        <v>146000</v>
      </c>
      <c r="E102" s="9" t="n">
        <v>366500</v>
      </c>
    </row>
    <row r="103" customFormat="false" ht="15" hidden="false" customHeight="false" outlineLevel="0" collapsed="false">
      <c r="A103" s="7" t="s">
        <v>17</v>
      </c>
      <c r="B103" s="8" t="s">
        <v>362</v>
      </c>
      <c r="C103" s="9" t="n">
        <f aca="false">150000+200000</f>
        <v>350000</v>
      </c>
      <c r="D103" s="9" t="n">
        <f aca="false">E103-C103</f>
        <v>16500</v>
      </c>
      <c r="E103" s="9" t="n">
        <v>366500</v>
      </c>
    </row>
    <row r="104" customFormat="false" ht="15" hidden="false" customHeight="false" outlineLevel="0" collapsed="false">
      <c r="A104" s="7" t="s">
        <v>19</v>
      </c>
      <c r="B104" s="8" t="s">
        <v>364</v>
      </c>
      <c r="C104" s="9" t="n">
        <f aca="false">20000+100000+80000</f>
        <v>200000</v>
      </c>
      <c r="D104" s="9" t="n">
        <f aca="false">E104-C104</f>
        <v>166500</v>
      </c>
      <c r="E104" s="9" t="n">
        <v>366500</v>
      </c>
    </row>
    <row r="105" customFormat="false" ht="15" hidden="false" customHeight="false" outlineLevel="0" collapsed="false">
      <c r="A105" s="7" t="s">
        <v>21</v>
      </c>
      <c r="B105" s="8" t="s">
        <v>365</v>
      </c>
      <c r="C105" s="9" t="n">
        <f aca="false">50000+80000+50000</f>
        <v>180000</v>
      </c>
      <c r="D105" s="9" t="n">
        <f aca="false">E105-C105</f>
        <v>186500</v>
      </c>
      <c r="E105" s="9" t="n">
        <v>366500</v>
      </c>
    </row>
    <row r="106" customFormat="false" ht="15" hidden="false" customHeight="false" outlineLevel="0" collapsed="false">
      <c r="A106" s="7" t="s">
        <v>23</v>
      </c>
      <c r="B106" s="8" t="s">
        <v>366</v>
      </c>
      <c r="C106" s="9" t="n">
        <f aca="false">200000</f>
        <v>200000</v>
      </c>
      <c r="D106" s="9" t="n">
        <f aca="false">E106-C106</f>
        <v>166500</v>
      </c>
      <c r="E106" s="9" t="n">
        <v>366500</v>
      </c>
    </row>
    <row r="107" customFormat="false" ht="15" hidden="false" customHeight="false" outlineLevel="0" collapsed="false">
      <c r="A107" s="7" t="s">
        <v>25</v>
      </c>
      <c r="B107" s="8" t="s">
        <v>367</v>
      </c>
      <c r="C107" s="9" t="n">
        <f aca="false">3000+105000+15000</f>
        <v>123000</v>
      </c>
      <c r="D107" s="9" t="n">
        <f aca="false">E107-C107</f>
        <v>243500</v>
      </c>
      <c r="E107" s="9" t="n">
        <v>366500</v>
      </c>
    </row>
    <row r="108" customFormat="false" ht="15" hidden="false" customHeight="false" outlineLevel="0" collapsed="false">
      <c r="A108" s="7" t="s">
        <v>27</v>
      </c>
      <c r="B108" s="8" t="s">
        <v>370</v>
      </c>
      <c r="C108" s="9" t="n">
        <f aca="false">50000+100000+100000+100000</f>
        <v>350000</v>
      </c>
      <c r="D108" s="9" t="n">
        <f aca="false">E108-C108</f>
        <v>16500</v>
      </c>
      <c r="E108" s="9" t="n">
        <v>366500</v>
      </c>
    </row>
    <row r="109" customFormat="false" ht="15" hidden="false" customHeight="false" outlineLevel="0" collapsed="false">
      <c r="A109" s="7" t="s">
        <v>29</v>
      </c>
      <c r="B109" s="8" t="s">
        <v>371</v>
      </c>
      <c r="C109" s="9" t="n">
        <f aca="false">360000</f>
        <v>360000</v>
      </c>
      <c r="D109" s="9" t="n">
        <f aca="false">E109-C109</f>
        <v>6500</v>
      </c>
      <c r="E109" s="9" t="n">
        <v>366500</v>
      </c>
    </row>
    <row r="110" customFormat="false" ht="15" hidden="false" customHeight="false" outlineLevel="0" collapsed="false">
      <c r="A110" s="7" t="s">
        <v>31</v>
      </c>
      <c r="B110" s="8" t="s">
        <v>372</v>
      </c>
      <c r="C110" s="9" t="n">
        <f aca="false">150000+200000</f>
        <v>350000</v>
      </c>
      <c r="D110" s="9" t="n">
        <f aca="false">E110-C110</f>
        <v>16500</v>
      </c>
      <c r="E110" s="9" t="n">
        <v>366500</v>
      </c>
    </row>
    <row r="111" customFormat="false" ht="15" hidden="false" customHeight="false" outlineLevel="0" collapsed="false">
      <c r="A111" s="7" t="s">
        <v>33</v>
      </c>
      <c r="B111" s="8" t="s">
        <v>374</v>
      </c>
      <c r="C111" s="9" t="n">
        <f aca="false">50000+15000+100000+100000+20000+50000</f>
        <v>335000</v>
      </c>
      <c r="D111" s="9" t="n">
        <f aca="false">E111-C111</f>
        <v>31500</v>
      </c>
      <c r="E111" s="9" t="n">
        <v>366500</v>
      </c>
    </row>
    <row r="112" customFormat="false" ht="15" hidden="false" customHeight="false" outlineLevel="0" collapsed="false">
      <c r="A112" s="7" t="s">
        <v>35</v>
      </c>
      <c r="B112" s="8" t="s">
        <v>377</v>
      </c>
      <c r="C112" s="9" t="n">
        <f aca="false">53500+15500</f>
        <v>69000</v>
      </c>
      <c r="D112" s="9" t="n">
        <f aca="false">E112-C112</f>
        <v>297500</v>
      </c>
      <c r="E112" s="9" t="n">
        <v>366500</v>
      </c>
    </row>
    <row r="113" customFormat="false" ht="12.75" hidden="false" customHeight="false" outlineLevel="0" collapsed="false">
      <c r="A113" s="2"/>
      <c r="B113" s="2"/>
      <c r="C113" s="2"/>
      <c r="D113" s="2"/>
      <c r="E113" s="2"/>
    </row>
    <row r="114" customFormat="false" ht="17.35" hidden="false" customHeight="false" outlineLevel="0" collapsed="false">
      <c r="A114" s="2"/>
      <c r="B114" s="2"/>
      <c r="C114" s="19" t="s">
        <v>348</v>
      </c>
      <c r="D114" s="2"/>
      <c r="E114" s="2"/>
    </row>
    <row r="115" customFormat="false" ht="17.35" hidden="false" customHeight="false" outlineLevel="0" collapsed="false">
      <c r="A115" s="4" t="s">
        <v>255</v>
      </c>
      <c r="B115" s="4"/>
      <c r="C115" s="4"/>
      <c r="D115" s="4"/>
      <c r="E115" s="4"/>
    </row>
    <row r="116" customFormat="false" ht="12.75" hidden="false" customHeight="false" outlineLevel="0" collapsed="false">
      <c r="A116" s="2"/>
      <c r="B116" s="2"/>
      <c r="C116" s="24"/>
      <c r="D116" s="2"/>
      <c r="E116" s="2"/>
    </row>
    <row r="117" customFormat="false" ht="12.75" hidden="false" customHeight="false" outlineLevel="0" collapsed="false">
      <c r="A117" s="2"/>
      <c r="B117" s="2"/>
      <c r="C117" s="24"/>
      <c r="D117" s="2"/>
      <c r="E117" s="2"/>
    </row>
    <row r="118" customFormat="false" ht="15" hidden="false" customHeight="false" outlineLevel="0" collapsed="false">
      <c r="A118" s="5" t="s">
        <v>2</v>
      </c>
      <c r="B118" s="5" t="s">
        <v>3</v>
      </c>
      <c r="C118" s="6" t="s">
        <v>4</v>
      </c>
      <c r="D118" s="5" t="s">
        <v>5</v>
      </c>
      <c r="E118" s="6" t="s">
        <v>6</v>
      </c>
    </row>
    <row r="119" customFormat="false" ht="15" hidden="false" customHeight="false" outlineLevel="0" collapsed="false">
      <c r="A119" s="7" t="s">
        <v>7</v>
      </c>
      <c r="B119" s="8" t="s">
        <v>386</v>
      </c>
      <c r="C119" s="9" t="n">
        <f aca="false">65000+110000</f>
        <v>175000</v>
      </c>
      <c r="D119" s="9" t="n">
        <f aca="false">E119-C119</f>
        <v>191500</v>
      </c>
      <c r="E119" s="9" t="n">
        <v>366500</v>
      </c>
    </row>
    <row r="120" customFormat="false" ht="15" hidden="false" customHeight="false" outlineLevel="0" collapsed="false">
      <c r="A120" s="7" t="s">
        <v>11</v>
      </c>
      <c r="B120" s="8" t="s">
        <v>391</v>
      </c>
      <c r="C120" s="9" t="n">
        <f aca="false">50000</f>
        <v>50000</v>
      </c>
      <c r="D120" s="9" t="n">
        <f aca="false">E120-C120</f>
        <v>316500</v>
      </c>
      <c r="E120" s="9" t="n">
        <v>366500</v>
      </c>
    </row>
    <row r="121" customFormat="false" ht="15" hidden="false" customHeight="false" outlineLevel="0" collapsed="false">
      <c r="A121" s="7" t="s">
        <v>13</v>
      </c>
      <c r="B121" s="8" t="s">
        <v>392</v>
      </c>
      <c r="C121" s="9" t="n">
        <f aca="false">33500+285000</f>
        <v>318500</v>
      </c>
      <c r="D121" s="9" t="n">
        <f aca="false">E121-C121</f>
        <v>48000</v>
      </c>
      <c r="E121" s="9" t="n">
        <v>366500</v>
      </c>
    </row>
    <row r="122" customFormat="false" ht="15" hidden="false" customHeight="false" outlineLevel="0" collapsed="false">
      <c r="A122" s="5" t="s">
        <v>427</v>
      </c>
      <c r="B122" s="8" t="s">
        <v>395</v>
      </c>
      <c r="C122" s="9" t="n">
        <f aca="false">30000+40000</f>
        <v>70000</v>
      </c>
      <c r="D122" s="9" t="n">
        <f aca="false">E122-C122</f>
        <v>296500</v>
      </c>
      <c r="E122" s="9" t="n">
        <v>366500</v>
      </c>
    </row>
    <row r="123" customFormat="false" ht="12.75" hidden="false" customHeight="false" outlineLevel="0" collapsed="false">
      <c r="A123" s="2"/>
      <c r="B123" s="2"/>
      <c r="C123" s="2"/>
      <c r="D123" s="2"/>
      <c r="E123" s="2"/>
    </row>
    <row r="124" customFormat="false" ht="17.35" hidden="false" customHeight="false" outlineLevel="0" collapsed="false">
      <c r="A124" s="2"/>
      <c r="B124" s="2"/>
      <c r="C124" s="19" t="s">
        <v>348</v>
      </c>
      <c r="D124" s="2"/>
      <c r="E124" s="2"/>
    </row>
    <row r="125" customFormat="false" ht="17.35" hidden="false" customHeight="false" outlineLevel="0" collapsed="false">
      <c r="A125" s="4" t="s">
        <v>283</v>
      </c>
      <c r="B125" s="4"/>
      <c r="C125" s="4"/>
      <c r="D125" s="4"/>
      <c r="E125" s="4"/>
    </row>
    <row r="126" customFormat="false" ht="12.75" hidden="false" customHeight="false" outlineLevel="0" collapsed="false">
      <c r="A126" s="2"/>
      <c r="B126" s="2"/>
      <c r="C126" s="24"/>
      <c r="D126" s="2"/>
      <c r="E126" s="2"/>
    </row>
    <row r="127" customFormat="false" ht="12.75" hidden="false" customHeight="false" outlineLevel="0" collapsed="false">
      <c r="A127" s="2"/>
      <c r="B127" s="2"/>
      <c r="C127" s="24"/>
      <c r="D127" s="2"/>
      <c r="E127" s="2"/>
    </row>
    <row r="128" customFormat="false" ht="15" hidden="false" customHeight="false" outlineLevel="0" collapsed="false">
      <c r="A128" s="5" t="s">
        <v>2</v>
      </c>
      <c r="B128" s="5" t="s">
        <v>3</v>
      </c>
      <c r="C128" s="6" t="s">
        <v>4</v>
      </c>
      <c r="D128" s="5" t="s">
        <v>5</v>
      </c>
      <c r="E128" s="6" t="s">
        <v>6</v>
      </c>
    </row>
    <row r="129" customFormat="false" ht="15" hidden="false" customHeight="false" outlineLevel="0" collapsed="false">
      <c r="A129" s="7" t="s">
        <v>7</v>
      </c>
      <c r="B129" s="8" t="s">
        <v>404</v>
      </c>
      <c r="C129" s="9" t="n">
        <f aca="false">50000+250000</f>
        <v>300000</v>
      </c>
      <c r="D129" s="9" t="n">
        <f aca="false">E129-C129</f>
        <v>66500</v>
      </c>
      <c r="E129" s="9" t="n">
        <v>366500</v>
      </c>
    </row>
    <row r="130" customFormat="false" ht="15" hidden="false" customHeight="false" outlineLevel="0" collapsed="false">
      <c r="A130" s="7" t="s">
        <v>11</v>
      </c>
      <c r="B130" s="8" t="s">
        <v>406</v>
      </c>
      <c r="C130" s="9" t="n">
        <f aca="false">4000+20000+50000+40000+100000</f>
        <v>214000</v>
      </c>
      <c r="D130" s="9" t="n">
        <f aca="false">E130-C130</f>
        <v>152500</v>
      </c>
      <c r="E130" s="9" t="n">
        <v>366500</v>
      </c>
    </row>
    <row r="131" customFormat="false" ht="15" hidden="false" customHeight="false" outlineLevel="0" collapsed="false">
      <c r="A131" s="7" t="s">
        <v>13</v>
      </c>
      <c r="B131" s="8" t="s">
        <v>412</v>
      </c>
      <c r="C131" s="9" t="n">
        <f aca="false">33500+50000+166500+60000</f>
        <v>310000</v>
      </c>
      <c r="D131" s="9" t="n">
        <f aca="false">E131-C131</f>
        <v>56500</v>
      </c>
      <c r="E131" s="9" t="n">
        <v>366500</v>
      </c>
    </row>
    <row r="132" customFormat="false" ht="15" hidden="false" customHeight="false" outlineLevel="0" collapsed="false">
      <c r="A132" s="25"/>
      <c r="B132" s="26"/>
      <c r="C132" s="27"/>
      <c r="D132" s="27"/>
      <c r="E132" s="27"/>
    </row>
    <row r="133" customFormat="false" ht="17.35" hidden="false" customHeight="false" outlineLevel="0" collapsed="false">
      <c r="A133" s="2"/>
      <c r="B133" s="2"/>
      <c r="C133" s="19" t="s">
        <v>348</v>
      </c>
      <c r="D133" s="2"/>
      <c r="E133" s="2"/>
    </row>
    <row r="134" customFormat="false" ht="17.35" hidden="false" customHeight="false" outlineLevel="0" collapsed="false">
      <c r="A134" s="4" t="s">
        <v>347</v>
      </c>
      <c r="B134" s="4"/>
      <c r="C134" s="4"/>
      <c r="D134" s="4"/>
      <c r="E134" s="4"/>
    </row>
    <row r="135" customFormat="false" ht="15" hidden="false" customHeight="false" outlineLevel="0" collapsed="false">
      <c r="A135" s="5" t="s">
        <v>332</v>
      </c>
      <c r="B135" s="5" t="s">
        <v>3</v>
      </c>
      <c r="C135" s="6" t="s">
        <v>4</v>
      </c>
      <c r="D135" s="5" t="s">
        <v>5</v>
      </c>
      <c r="E135" s="6" t="s">
        <v>6</v>
      </c>
    </row>
    <row r="136" customFormat="false" ht="15" hidden="false" customHeight="false" outlineLevel="0" collapsed="false">
      <c r="A136" s="7" t="s">
        <v>7</v>
      </c>
      <c r="B136" s="8" t="s">
        <v>414</v>
      </c>
      <c r="C136" s="9" t="n">
        <v>200000</v>
      </c>
      <c r="D136" s="9" t="n">
        <f aca="false">E136-C136</f>
        <v>166500</v>
      </c>
      <c r="E136" s="9" t="n">
        <v>366500</v>
      </c>
    </row>
    <row r="137" customFormat="false" ht="15" hidden="false" customHeight="false" outlineLevel="0" collapsed="false">
      <c r="A137" s="7" t="s">
        <v>11</v>
      </c>
      <c r="B137" s="8" t="s">
        <v>419</v>
      </c>
      <c r="C137" s="9" t="n">
        <f aca="false">101500+40000</f>
        <v>141500</v>
      </c>
      <c r="D137" s="9" t="n">
        <f aca="false">E137-C137</f>
        <v>225000</v>
      </c>
      <c r="E137" s="9" t="n">
        <v>366500</v>
      </c>
    </row>
    <row r="138" customFormat="false" ht="15" hidden="false" customHeight="false" outlineLevel="0" collapsed="false">
      <c r="A138" s="7" t="s">
        <v>13</v>
      </c>
      <c r="B138" s="8" t="s">
        <v>423</v>
      </c>
      <c r="C138" s="9"/>
      <c r="D138" s="9" t="n">
        <f aca="false">E138-C138</f>
        <v>366500</v>
      </c>
      <c r="E138" s="9" t="n">
        <v>366500</v>
      </c>
    </row>
    <row r="139" customFormat="false" ht="15" hidden="false" customHeight="false" outlineLevel="0" collapsed="false">
      <c r="A139" s="7" t="s">
        <v>9</v>
      </c>
      <c r="B139" s="8" t="s">
        <v>424</v>
      </c>
      <c r="C139" s="9" t="n">
        <f aca="false">250000+65500+50000</f>
        <v>365500</v>
      </c>
      <c r="D139" s="9" t="n">
        <f aca="false">E139-C139</f>
        <v>1000</v>
      </c>
      <c r="E139" s="9" t="n">
        <v>366500</v>
      </c>
    </row>
    <row r="140" customFormat="false" ht="12.75" hidden="false" customHeight="false" outlineLevel="0" collapsed="false">
      <c r="A140" s="20"/>
      <c r="B140" s="20"/>
      <c r="C140" s="20"/>
      <c r="D140" s="20"/>
      <c r="E140" s="2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34:B34"/>
    <mergeCell ref="A57:B57"/>
    <mergeCell ref="A77:B77"/>
    <mergeCell ref="A92:B92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1048576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1" activeCellId="0" sqref="D71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41"/>
    <col collapsed="false" customWidth="true" hidden="false" outlineLevel="0" max="2" min="2" style="1" width="29.28"/>
    <col collapsed="false" customWidth="true" hidden="false" outlineLevel="0" max="3" min="3" style="1" width="14.41"/>
    <col collapsed="false" customWidth="true" hidden="false" outlineLevel="0" max="4" min="4" style="1" width="14.28"/>
    <col collapsed="false" customWidth="true" hidden="false" outlineLevel="0" max="5" min="5" style="1" width="14.14"/>
    <col collapsed="false" customWidth="true" hidden="false" outlineLevel="0" max="16384" min="16384" style="0" width="11.53"/>
  </cols>
  <sheetData>
    <row r="2" customFormat="false" ht="17.35" hidden="false" customHeight="false" outlineLevel="0" collapsed="false">
      <c r="A2" s="2"/>
      <c r="B2" s="18" t="s">
        <v>428</v>
      </c>
      <c r="C2" s="2"/>
      <c r="D2" s="2"/>
      <c r="E2" s="2"/>
    </row>
    <row r="3" customFormat="false" ht="17.35" hidden="false" customHeight="false" outlineLevel="0" collapsed="false">
      <c r="A3" s="2"/>
      <c r="B3" s="28" t="s">
        <v>429</v>
      </c>
      <c r="C3" s="2"/>
      <c r="D3" s="2"/>
      <c r="E3" s="2"/>
    </row>
    <row r="4" customFormat="false" ht="12.75" hidden="false" customHeight="false" outlineLevel="0" collapsed="false">
      <c r="A4" s="2"/>
      <c r="B4" s="2"/>
      <c r="C4" s="2"/>
      <c r="D4" s="2"/>
      <c r="E4" s="2"/>
    </row>
    <row r="5" customFormat="false" ht="17.35" hidden="false" customHeight="false" outlineLevel="0" collapsed="false">
      <c r="A5" s="4" t="s">
        <v>430</v>
      </c>
      <c r="B5" s="4"/>
      <c r="C5" s="4"/>
      <c r="D5" s="4"/>
      <c r="E5" s="4"/>
    </row>
    <row r="6" customFormat="false" ht="15" hidden="false" customHeight="false" outlineLevel="0" collapsed="false">
      <c r="A6" s="5" t="s">
        <v>2</v>
      </c>
      <c r="B6" s="5" t="s">
        <v>3</v>
      </c>
      <c r="C6" s="6" t="s">
        <v>4</v>
      </c>
      <c r="D6" s="5" t="s">
        <v>5</v>
      </c>
      <c r="E6" s="6" t="s">
        <v>6</v>
      </c>
    </row>
    <row r="7" customFormat="false" ht="15" hidden="false" customHeight="false" outlineLevel="0" collapsed="false">
      <c r="A7" s="7" t="s">
        <v>7</v>
      </c>
      <c r="B7" s="8" t="s">
        <v>431</v>
      </c>
      <c r="C7" s="9" t="n">
        <f aca="false">100000+85000+15000+166500</f>
        <v>366500</v>
      </c>
      <c r="D7" s="9" t="n">
        <f aca="false">E7-C7</f>
        <v>0</v>
      </c>
      <c r="E7" s="9" t="n">
        <v>366500</v>
      </c>
    </row>
    <row r="8" customFormat="false" ht="15" hidden="false" customHeight="false" outlineLevel="0" collapsed="false">
      <c r="A8" s="7" t="s">
        <v>9</v>
      </c>
      <c r="B8" s="8" t="s">
        <v>432</v>
      </c>
      <c r="C8" s="9" t="n">
        <f aca="false">100000+50000+90000+15000+21500+90000</f>
        <v>366500</v>
      </c>
      <c r="D8" s="9" t="n">
        <f aca="false">E8-C8</f>
        <v>0</v>
      </c>
      <c r="E8" s="9" t="n">
        <v>366500</v>
      </c>
    </row>
    <row r="9" customFormat="false" ht="15" hidden="false" customHeight="false" outlineLevel="0" collapsed="false">
      <c r="A9" s="7" t="s">
        <v>11</v>
      </c>
      <c r="B9" s="8" t="s">
        <v>433</v>
      </c>
      <c r="C9" s="9" t="n">
        <f aca="false">60000+125000+181500</f>
        <v>366500</v>
      </c>
      <c r="D9" s="9" t="n">
        <f aca="false">E9-C9</f>
        <v>0</v>
      </c>
      <c r="E9" s="9" t="n">
        <v>366500</v>
      </c>
    </row>
    <row r="10" customFormat="false" ht="15" hidden="false" customHeight="false" outlineLevel="0" collapsed="false">
      <c r="A10" s="7" t="s">
        <v>13</v>
      </c>
      <c r="B10" s="8" t="s">
        <v>434</v>
      </c>
      <c r="C10" s="9" t="n">
        <f aca="false">200000+15000+151500</f>
        <v>366500</v>
      </c>
      <c r="D10" s="9" t="n">
        <f aca="false">E10-C10</f>
        <v>0</v>
      </c>
      <c r="E10" s="9" t="n">
        <v>366500</v>
      </c>
    </row>
    <row r="11" customFormat="false" ht="15" hidden="false" customHeight="false" outlineLevel="0" collapsed="false">
      <c r="A11" s="7" t="s">
        <v>15</v>
      </c>
      <c r="B11" s="8" t="s">
        <v>435</v>
      </c>
      <c r="C11" s="9" t="n">
        <f aca="false">115000+100000+40000+15000+30000+65000</f>
        <v>365000</v>
      </c>
      <c r="D11" s="9" t="n">
        <f aca="false">E11-C11</f>
        <v>1500</v>
      </c>
      <c r="E11" s="9" t="n">
        <v>366500</v>
      </c>
    </row>
    <row r="12" customFormat="false" ht="15" hidden="false" customHeight="false" outlineLevel="0" collapsed="false">
      <c r="A12" s="7" t="s">
        <v>17</v>
      </c>
      <c r="B12" s="8" t="s">
        <v>436</v>
      </c>
      <c r="C12" s="9" t="n">
        <f aca="false">100000+80000+15000+70000+101500</f>
        <v>366500</v>
      </c>
      <c r="D12" s="9" t="n">
        <f aca="false">E12-C12</f>
        <v>0</v>
      </c>
      <c r="E12" s="9" t="n">
        <v>366500</v>
      </c>
    </row>
    <row r="13" customFormat="false" ht="15" hidden="false" customHeight="false" outlineLevel="0" collapsed="false">
      <c r="A13" s="7" t="s">
        <v>19</v>
      </c>
      <c r="B13" s="8" t="s">
        <v>437</v>
      </c>
      <c r="C13" s="9" t="n">
        <f aca="false">50000+250000+50000+16500</f>
        <v>366500</v>
      </c>
      <c r="D13" s="9" t="n">
        <f aca="false">E13-C13</f>
        <v>0</v>
      </c>
      <c r="E13" s="9" t="n">
        <v>366500</v>
      </c>
    </row>
    <row r="14" customFormat="false" ht="15" hidden="false" customHeight="false" outlineLevel="0" collapsed="false">
      <c r="A14" s="7" t="s">
        <v>21</v>
      </c>
      <c r="B14" s="8" t="s">
        <v>438</v>
      </c>
      <c r="C14" s="9" t="n">
        <f aca="false">175000+15000+176500</f>
        <v>366500</v>
      </c>
      <c r="D14" s="9" t="n">
        <f aca="false">E14-C14</f>
        <v>0</v>
      </c>
      <c r="E14" s="9" t="n">
        <v>366500</v>
      </c>
    </row>
    <row r="15" customFormat="false" ht="15" hidden="false" customHeight="false" outlineLevel="0" collapsed="false">
      <c r="A15" s="7" t="s">
        <v>23</v>
      </c>
      <c r="B15" s="8" t="s">
        <v>439</v>
      </c>
      <c r="C15" s="9" t="n">
        <f aca="false">65000+250000+51500</f>
        <v>366500</v>
      </c>
      <c r="D15" s="9" t="n">
        <f aca="false">E15-C15</f>
        <v>0</v>
      </c>
      <c r="E15" s="9" t="n">
        <v>366500</v>
      </c>
    </row>
    <row r="16" customFormat="false" ht="15" hidden="false" customHeight="false" outlineLevel="0" collapsed="false">
      <c r="A16" s="7" t="s">
        <v>25</v>
      </c>
      <c r="B16" s="8" t="s">
        <v>440</v>
      </c>
      <c r="C16" s="9" t="n">
        <f aca="false">20000+150000+25000+146500+25000</f>
        <v>366500</v>
      </c>
      <c r="D16" s="9" t="n">
        <f aca="false">E16-C16</f>
        <v>0</v>
      </c>
      <c r="E16" s="9" t="n">
        <v>366500</v>
      </c>
    </row>
    <row r="17" customFormat="false" ht="15" hidden="false" customHeight="false" outlineLevel="0" collapsed="false">
      <c r="A17" s="7" t="s">
        <v>27</v>
      </c>
      <c r="B17" s="8" t="s">
        <v>441</v>
      </c>
      <c r="C17" s="9" t="n">
        <f aca="false">83500+15000+150000+103000+15000</f>
        <v>366500</v>
      </c>
      <c r="D17" s="9" t="n">
        <f aca="false">E17-C17</f>
        <v>0</v>
      </c>
      <c r="E17" s="9" t="n">
        <v>366500</v>
      </c>
    </row>
    <row r="18" customFormat="false" ht="15" hidden="false" customHeight="false" outlineLevel="0" collapsed="false">
      <c r="A18" s="7" t="s">
        <v>29</v>
      </c>
      <c r="B18" s="8" t="s">
        <v>442</v>
      </c>
      <c r="C18" s="9" t="n">
        <f aca="false">180000+155000</f>
        <v>335000</v>
      </c>
      <c r="D18" s="9" t="n">
        <f aca="false">E18-C18</f>
        <v>31500</v>
      </c>
      <c r="E18" s="9" t="n">
        <v>366500</v>
      </c>
    </row>
    <row r="19" customFormat="false" ht="15" hidden="false" customHeight="false" outlineLevel="0" collapsed="false">
      <c r="A19" s="7" t="s">
        <v>31</v>
      </c>
      <c r="B19" s="8" t="s">
        <v>443</v>
      </c>
      <c r="C19" s="9" t="n">
        <f aca="false">66500+125000+175000</f>
        <v>366500</v>
      </c>
      <c r="D19" s="9" t="n">
        <f aca="false">E19-C19</f>
        <v>0</v>
      </c>
      <c r="E19" s="9" t="n">
        <v>366500</v>
      </c>
    </row>
    <row r="20" customFormat="false" ht="15" hidden="false" customHeight="false" outlineLevel="0" collapsed="false">
      <c r="A20" s="7" t="s">
        <v>33</v>
      </c>
      <c r="B20" s="8" t="s">
        <v>444</v>
      </c>
      <c r="C20" s="9" t="n">
        <f aca="false">166500+35000+85000+15000+65000</f>
        <v>366500</v>
      </c>
      <c r="D20" s="9" t="n">
        <f aca="false">E20-C20</f>
        <v>0</v>
      </c>
      <c r="E20" s="9" t="n">
        <v>366500</v>
      </c>
    </row>
    <row r="21" customFormat="false" ht="15" hidden="false" customHeight="false" outlineLevel="0" collapsed="false">
      <c r="A21" s="7" t="s">
        <v>35</v>
      </c>
      <c r="B21" s="8" t="s">
        <v>445</v>
      </c>
      <c r="C21" s="9" t="n">
        <f aca="false">150000+100000+100000+16500</f>
        <v>366500</v>
      </c>
      <c r="D21" s="9" t="n">
        <f aca="false">E21-C21</f>
        <v>0</v>
      </c>
      <c r="E21" s="9" t="n">
        <v>366500</v>
      </c>
    </row>
    <row r="22" customFormat="false" ht="15" hidden="false" customHeight="false" outlineLevel="0" collapsed="false">
      <c r="A22" s="7" t="s">
        <v>37</v>
      </c>
      <c r="B22" s="8" t="s">
        <v>446</v>
      </c>
      <c r="C22" s="9" t="n">
        <f aca="false">120000+40000+15000+190000+1500</f>
        <v>366500</v>
      </c>
      <c r="D22" s="9" t="n">
        <f aca="false">E22-C22</f>
        <v>0</v>
      </c>
      <c r="E22" s="9" t="n">
        <v>366500</v>
      </c>
    </row>
    <row r="23" customFormat="false" ht="15" hidden="false" customHeight="false" outlineLevel="0" collapsed="false">
      <c r="A23" s="7" t="s">
        <v>39</v>
      </c>
      <c r="B23" s="8" t="s">
        <v>447</v>
      </c>
      <c r="C23" s="9" t="n">
        <f aca="false">100000+70000+70000+40000+86500</f>
        <v>366500</v>
      </c>
      <c r="D23" s="9" t="n">
        <f aca="false">E23-C23</f>
        <v>0</v>
      </c>
      <c r="E23" s="9" t="n">
        <v>366500</v>
      </c>
    </row>
    <row r="24" customFormat="false" ht="15" hidden="false" customHeight="false" outlineLevel="0" collapsed="false">
      <c r="A24" s="7" t="s">
        <v>41</v>
      </c>
      <c r="B24" s="8" t="s">
        <v>448</v>
      </c>
      <c r="C24" s="9" t="n">
        <f aca="false">180000+15000+100000+65000</f>
        <v>360000</v>
      </c>
      <c r="D24" s="9" t="n">
        <f aca="false">E24-C24</f>
        <v>6500</v>
      </c>
      <c r="E24" s="9" t="n">
        <v>366500</v>
      </c>
    </row>
    <row r="25" customFormat="false" ht="15" hidden="false" customHeight="false" outlineLevel="0" collapsed="false">
      <c r="A25" s="7" t="s">
        <v>43</v>
      </c>
      <c r="B25" s="8" t="s">
        <v>449</v>
      </c>
      <c r="C25" s="9" t="n">
        <f aca="false">25000+75000+100000+166500</f>
        <v>366500</v>
      </c>
      <c r="D25" s="9" t="n">
        <f aca="false">E25-C25</f>
        <v>0</v>
      </c>
      <c r="E25" s="9" t="n">
        <v>366500</v>
      </c>
    </row>
    <row r="26" customFormat="false" ht="15" hidden="false" customHeight="false" outlineLevel="0" collapsed="false">
      <c r="A26" s="7" t="s">
        <v>45</v>
      </c>
      <c r="B26" s="8" t="s">
        <v>450</v>
      </c>
      <c r="C26" s="9" t="n">
        <f aca="false">185000+40000+15000+50000+76500</f>
        <v>366500</v>
      </c>
      <c r="D26" s="9" t="n">
        <f aca="false">E26-C26</f>
        <v>0</v>
      </c>
      <c r="E26" s="9" t="n">
        <v>366500</v>
      </c>
    </row>
    <row r="27" customFormat="false" ht="15" hidden="false" customHeight="false" outlineLevel="0" collapsed="false">
      <c r="A27" s="7" t="s">
        <v>47</v>
      </c>
      <c r="B27" s="8" t="s">
        <v>451</v>
      </c>
      <c r="C27" s="9" t="n">
        <f aca="false">15000+250000+40000</f>
        <v>305000</v>
      </c>
      <c r="D27" s="9" t="n">
        <f aca="false">E27-C27</f>
        <v>61500</v>
      </c>
      <c r="E27" s="9" t="n">
        <v>366500</v>
      </c>
    </row>
    <row r="28" customFormat="false" ht="15" hidden="false" customHeight="false" outlineLevel="0" collapsed="false">
      <c r="A28" s="7" t="s">
        <v>49</v>
      </c>
      <c r="B28" s="8" t="s">
        <v>452</v>
      </c>
      <c r="C28" s="9" t="n">
        <f aca="false">100000+40000+15000+30000+20000+50000+60000+30000+21500</f>
        <v>366500</v>
      </c>
      <c r="D28" s="9" t="n">
        <f aca="false">E28-C28</f>
        <v>0</v>
      </c>
      <c r="E28" s="9" t="n">
        <v>366500</v>
      </c>
    </row>
    <row r="29" customFormat="false" ht="15" hidden="false" customHeight="false" outlineLevel="0" collapsed="false">
      <c r="A29" s="7" t="s">
        <v>51</v>
      </c>
      <c r="B29" s="8" t="s">
        <v>453</v>
      </c>
      <c r="C29" s="9" t="n">
        <f aca="false">200000+15000+100000+51500</f>
        <v>366500</v>
      </c>
      <c r="D29" s="9" t="n">
        <f aca="false">E29-C29</f>
        <v>0</v>
      </c>
      <c r="E29" s="9" t="n">
        <v>366500</v>
      </c>
    </row>
    <row r="30" customFormat="false" ht="15" hidden="false" customHeight="false" outlineLevel="0" collapsed="false">
      <c r="A30" s="7" t="s">
        <v>53</v>
      </c>
      <c r="B30" s="8" t="s">
        <v>454</v>
      </c>
      <c r="C30" s="9" t="n">
        <f aca="false">16500+100000+250000</f>
        <v>366500</v>
      </c>
      <c r="D30" s="9" t="n">
        <f aca="false">E30-C30</f>
        <v>0</v>
      </c>
      <c r="E30" s="9" t="n">
        <v>366500</v>
      </c>
    </row>
    <row r="31" customFormat="false" ht="15" hidden="false" customHeight="false" outlineLevel="0" collapsed="false">
      <c r="A31" s="7" t="s">
        <v>55</v>
      </c>
      <c r="B31" s="8" t="s">
        <v>455</v>
      </c>
      <c r="C31" s="9" t="n">
        <f aca="false">100000+35000+15000+168000+48500</f>
        <v>366500</v>
      </c>
      <c r="D31" s="9" t="n">
        <f aca="false">E31-C31</f>
        <v>0</v>
      </c>
      <c r="E31" s="9" t="n">
        <v>366500</v>
      </c>
    </row>
    <row r="32" customFormat="false" ht="15" hidden="false" customHeight="false" outlineLevel="0" collapsed="false">
      <c r="A32" s="7" t="s">
        <v>57</v>
      </c>
      <c r="B32" s="8" t="s">
        <v>456</v>
      </c>
      <c r="C32" s="9" t="n">
        <f aca="false">100000+15000+150000+50000</f>
        <v>315000</v>
      </c>
      <c r="D32" s="9" t="n">
        <f aca="false">E32-C32</f>
        <v>51500</v>
      </c>
      <c r="E32" s="9" t="n">
        <v>366500</v>
      </c>
    </row>
    <row r="33" customFormat="false" ht="15" hidden="false" customHeight="false" outlineLevel="0" collapsed="false">
      <c r="A33" s="7" t="s">
        <v>59</v>
      </c>
      <c r="B33" s="8" t="s">
        <v>457</v>
      </c>
      <c r="C33" s="9" t="n">
        <f aca="false">183250+15000+168250</f>
        <v>366500</v>
      </c>
      <c r="D33" s="9" t="n">
        <f aca="false">E33-C33</f>
        <v>0</v>
      </c>
      <c r="E33" s="9" t="n">
        <v>366500</v>
      </c>
    </row>
    <row r="34" customFormat="false" ht="15" hidden="false" customHeight="false" outlineLevel="0" collapsed="false">
      <c r="A34" s="7" t="s">
        <v>61</v>
      </c>
      <c r="B34" s="8" t="s">
        <v>458</v>
      </c>
      <c r="C34" s="9" t="n">
        <f aca="false">150000+35000+181500</f>
        <v>366500</v>
      </c>
      <c r="D34" s="9" t="n">
        <f aca="false">E34-C34</f>
        <v>0</v>
      </c>
      <c r="E34" s="9" t="n">
        <v>366500</v>
      </c>
    </row>
    <row r="35" customFormat="false" ht="15" hidden="false" customHeight="false" outlineLevel="0" collapsed="false">
      <c r="A35" s="7" t="s">
        <v>63</v>
      </c>
      <c r="B35" s="8" t="s">
        <v>459</v>
      </c>
      <c r="C35" s="9" t="n">
        <f aca="false">200000+15000+151500</f>
        <v>366500</v>
      </c>
      <c r="D35" s="9" t="n">
        <f aca="false">E35-C35</f>
        <v>0</v>
      </c>
      <c r="E35" s="9" t="n">
        <v>366500</v>
      </c>
    </row>
    <row r="36" customFormat="false" ht="15" hidden="false" customHeight="false" outlineLevel="0" collapsed="false">
      <c r="A36" s="5" t="s">
        <v>101</v>
      </c>
      <c r="B36" s="5"/>
      <c r="C36" s="6" t="n">
        <f aca="false">SUM(C7:C35)</f>
        <v>10476000</v>
      </c>
      <c r="D36" s="6" t="n">
        <f aca="false">SUM(D7:D35)</f>
        <v>152500</v>
      </c>
      <c r="E36" s="6" t="n">
        <f aca="false">SUM(E7:E35)</f>
        <v>10628500</v>
      </c>
    </row>
    <row r="37" customFormat="false" ht="12.75" hidden="false" customHeight="false" outlineLevel="0" collapsed="false">
      <c r="A37" s="2"/>
      <c r="B37" s="2"/>
      <c r="C37" s="2"/>
      <c r="D37" s="2"/>
      <c r="E37" s="2"/>
    </row>
    <row r="38" customFormat="false" ht="17.35" hidden="false" customHeight="false" outlineLevel="0" collapsed="false">
      <c r="A38" s="2"/>
      <c r="B38" s="28" t="s">
        <v>460</v>
      </c>
      <c r="C38" s="2"/>
      <c r="D38" s="2"/>
      <c r="E38" s="2"/>
    </row>
    <row r="39" customFormat="false" ht="17.35" hidden="false" customHeight="false" outlineLevel="0" collapsed="false">
      <c r="A39" s="4" t="s">
        <v>461</v>
      </c>
      <c r="B39" s="4"/>
      <c r="C39" s="4"/>
      <c r="D39" s="4"/>
      <c r="E39" s="4"/>
    </row>
    <row r="40" customFormat="false" ht="15" hidden="false" customHeight="false" outlineLevel="0" collapsed="false">
      <c r="A40" s="5" t="s">
        <v>2</v>
      </c>
      <c r="B40" s="5" t="s">
        <v>3</v>
      </c>
      <c r="C40" s="6" t="s">
        <v>4</v>
      </c>
      <c r="D40" s="5" t="s">
        <v>5</v>
      </c>
      <c r="E40" s="6" t="s">
        <v>6</v>
      </c>
    </row>
    <row r="41" customFormat="false" ht="15" hidden="false" customHeight="false" outlineLevel="0" collapsed="false">
      <c r="A41" s="7" t="s">
        <v>7</v>
      </c>
      <c r="B41" s="8" t="s">
        <v>462</v>
      </c>
      <c r="C41" s="9" t="n">
        <f aca="false">150000+150000</f>
        <v>300000</v>
      </c>
      <c r="D41" s="9" t="n">
        <f aca="false">E41-C41</f>
        <v>66500</v>
      </c>
      <c r="E41" s="9" t="n">
        <v>366500</v>
      </c>
    </row>
    <row r="42" customFormat="false" ht="15" hidden="false" customHeight="false" outlineLevel="0" collapsed="false">
      <c r="A42" s="7" t="s">
        <v>9</v>
      </c>
      <c r="B42" s="8" t="s">
        <v>463</v>
      </c>
      <c r="C42" s="9" t="n">
        <f aca="false">100000</f>
        <v>100000</v>
      </c>
      <c r="D42" s="9" t="n">
        <f aca="false">E42-C42</f>
        <v>266500</v>
      </c>
      <c r="E42" s="9" t="n">
        <v>366500</v>
      </c>
    </row>
    <row r="43" customFormat="false" ht="15" hidden="false" customHeight="false" outlineLevel="0" collapsed="false">
      <c r="A43" s="7" t="s">
        <v>11</v>
      </c>
      <c r="B43" s="8" t="s">
        <v>464</v>
      </c>
      <c r="C43" s="9" t="n">
        <f aca="false">100000+60000+40000+166500</f>
        <v>366500</v>
      </c>
      <c r="D43" s="9" t="n">
        <f aca="false">E43-C43</f>
        <v>0</v>
      </c>
      <c r="E43" s="9" t="n">
        <v>366500</v>
      </c>
    </row>
    <row r="44" customFormat="false" ht="15" hidden="false" customHeight="false" outlineLevel="0" collapsed="false">
      <c r="A44" s="7" t="s">
        <v>13</v>
      </c>
      <c r="B44" s="8" t="s">
        <v>465</v>
      </c>
      <c r="C44" s="9" t="n">
        <f aca="false">100000+100000+60000+40000+20000+20000+26500</f>
        <v>366500</v>
      </c>
      <c r="D44" s="9" t="n">
        <f aca="false">E44-C44</f>
        <v>0</v>
      </c>
      <c r="E44" s="9" t="n">
        <v>366500</v>
      </c>
    </row>
    <row r="45" customFormat="false" ht="15" hidden="false" customHeight="false" outlineLevel="0" collapsed="false">
      <c r="A45" s="7" t="s">
        <v>15</v>
      </c>
      <c r="B45" s="8" t="s">
        <v>466</v>
      </c>
      <c r="C45" s="9" t="n">
        <f aca="false">133500+100000+100000+33000</f>
        <v>366500</v>
      </c>
      <c r="D45" s="9" t="n">
        <f aca="false">E45-C45</f>
        <v>0</v>
      </c>
      <c r="E45" s="9" t="n">
        <v>366500</v>
      </c>
    </row>
    <row r="46" customFormat="false" ht="15" hidden="false" customHeight="false" outlineLevel="0" collapsed="false">
      <c r="A46" s="7" t="s">
        <v>17</v>
      </c>
      <c r="B46" s="8" t="s">
        <v>467</v>
      </c>
      <c r="C46" s="9" t="n">
        <v>366500</v>
      </c>
      <c r="D46" s="9" t="n">
        <f aca="false">E46-C46</f>
        <v>0</v>
      </c>
      <c r="E46" s="9" t="n">
        <v>366500</v>
      </c>
    </row>
    <row r="47" customFormat="false" ht="15" hidden="false" customHeight="false" outlineLevel="0" collapsed="false">
      <c r="A47" s="7" t="s">
        <v>19</v>
      </c>
      <c r="B47" s="8" t="s">
        <v>468</v>
      </c>
      <c r="C47" s="9" t="n">
        <f aca="false">21500+40000+261000+24000+20000</f>
        <v>366500</v>
      </c>
      <c r="D47" s="9" t="n">
        <f aca="false">E47-C47</f>
        <v>0</v>
      </c>
      <c r="E47" s="9" t="n">
        <v>366500</v>
      </c>
    </row>
    <row r="48" customFormat="false" ht="15" hidden="false" customHeight="false" outlineLevel="0" collapsed="false">
      <c r="A48" s="7" t="s">
        <v>21</v>
      </c>
      <c r="B48" s="8" t="s">
        <v>469</v>
      </c>
      <c r="C48" s="9" t="n">
        <f aca="false">33500+100000</f>
        <v>133500</v>
      </c>
      <c r="D48" s="9" t="n">
        <f aca="false">E48-C48</f>
        <v>233000</v>
      </c>
      <c r="E48" s="9" t="n">
        <v>366500</v>
      </c>
    </row>
    <row r="49" customFormat="false" ht="15" hidden="false" customHeight="false" outlineLevel="0" collapsed="false">
      <c r="A49" s="7" t="s">
        <v>23</v>
      </c>
      <c r="B49" s="8" t="s">
        <v>470</v>
      </c>
      <c r="C49" s="9" t="n">
        <f aca="false">140000+225000+1500</f>
        <v>366500</v>
      </c>
      <c r="D49" s="9" t="n">
        <f aca="false">E49-C49</f>
        <v>0</v>
      </c>
      <c r="E49" s="9" t="n">
        <v>366500</v>
      </c>
    </row>
    <row r="50" customFormat="false" ht="15" hidden="false" customHeight="false" outlineLevel="0" collapsed="false">
      <c r="A50" s="7" t="s">
        <v>25</v>
      </c>
      <c r="B50" s="8" t="s">
        <v>471</v>
      </c>
      <c r="C50" s="9" t="n">
        <f aca="false">250000+50000+66500</f>
        <v>366500</v>
      </c>
      <c r="D50" s="9" t="n">
        <f aca="false">E50-C50</f>
        <v>0</v>
      </c>
      <c r="E50" s="9" t="n">
        <v>366500</v>
      </c>
    </row>
    <row r="51" customFormat="false" ht="15" hidden="false" customHeight="false" outlineLevel="0" collapsed="false">
      <c r="A51" s="7" t="s">
        <v>27</v>
      </c>
      <c r="B51" s="8" t="s">
        <v>472</v>
      </c>
      <c r="C51" s="9" t="n">
        <f aca="false">150000+201500+15000</f>
        <v>366500</v>
      </c>
      <c r="D51" s="9" t="n">
        <f aca="false">E51-C51</f>
        <v>0</v>
      </c>
      <c r="E51" s="9" t="n">
        <v>366500</v>
      </c>
    </row>
    <row r="52" customFormat="false" ht="15" hidden="false" customHeight="false" outlineLevel="0" collapsed="false">
      <c r="A52" s="7" t="s">
        <v>29</v>
      </c>
      <c r="B52" s="8" t="s">
        <v>473</v>
      </c>
      <c r="C52" s="9" t="n">
        <f aca="false">150000+216500</f>
        <v>366500</v>
      </c>
      <c r="D52" s="9" t="n">
        <f aca="false">E52-C52</f>
        <v>0</v>
      </c>
      <c r="E52" s="9" t="n">
        <v>366500</v>
      </c>
    </row>
    <row r="53" customFormat="false" ht="15" hidden="false" customHeight="false" outlineLevel="0" collapsed="false">
      <c r="A53" s="7" t="s">
        <v>31</v>
      </c>
      <c r="B53" s="8" t="s">
        <v>474</v>
      </c>
      <c r="C53" s="9" t="n">
        <v>0</v>
      </c>
      <c r="D53" s="9" t="n">
        <f aca="false">E53-C53</f>
        <v>366500</v>
      </c>
      <c r="E53" s="9" t="n">
        <v>366500</v>
      </c>
    </row>
    <row r="54" customFormat="false" ht="15" hidden="false" customHeight="false" outlineLevel="0" collapsed="false">
      <c r="A54" s="7" t="s">
        <v>33</v>
      </c>
      <c r="B54" s="8" t="s">
        <v>475</v>
      </c>
      <c r="C54" s="9" t="n">
        <f aca="false">70000+230000+65000</f>
        <v>365000</v>
      </c>
      <c r="D54" s="9" t="n">
        <f aca="false">E54-C54</f>
        <v>1500</v>
      </c>
      <c r="E54" s="9" t="n">
        <v>366500</v>
      </c>
    </row>
    <row r="55" customFormat="false" ht="15" hidden="false" customHeight="false" outlineLevel="0" collapsed="false">
      <c r="A55" s="7" t="s">
        <v>35</v>
      </c>
      <c r="B55" s="8" t="s">
        <v>476</v>
      </c>
      <c r="C55" s="9" t="n">
        <f aca="false">110000+100000+156500</f>
        <v>366500</v>
      </c>
      <c r="D55" s="9" t="n">
        <f aca="false">E55-C55</f>
        <v>0</v>
      </c>
      <c r="E55" s="9" t="n">
        <v>366500</v>
      </c>
    </row>
    <row r="56" customFormat="false" ht="15" hidden="false" customHeight="false" outlineLevel="0" collapsed="false">
      <c r="A56" s="7" t="s">
        <v>37</v>
      </c>
      <c r="B56" s="8" t="s">
        <v>477</v>
      </c>
      <c r="C56" s="9" t="n">
        <f aca="false">53500+90000+70000+100000+53000</f>
        <v>366500</v>
      </c>
      <c r="D56" s="9" t="n">
        <f aca="false">E56-C56</f>
        <v>0</v>
      </c>
      <c r="E56" s="9" t="n">
        <v>366500</v>
      </c>
    </row>
    <row r="57" customFormat="false" ht="15" hidden="false" customHeight="false" outlineLevel="0" collapsed="false">
      <c r="A57" s="7" t="s">
        <v>39</v>
      </c>
      <c r="B57" s="8" t="s">
        <v>478</v>
      </c>
      <c r="C57" s="9" t="n">
        <f aca="false">50000+100000+130000+30000</f>
        <v>310000</v>
      </c>
      <c r="D57" s="9" t="n">
        <f aca="false">E57-C57</f>
        <v>56500</v>
      </c>
      <c r="E57" s="9" t="n">
        <v>366500</v>
      </c>
    </row>
    <row r="58" customFormat="false" ht="15" hidden="false" customHeight="false" outlineLevel="0" collapsed="false">
      <c r="A58" s="7" t="s">
        <v>41</v>
      </c>
      <c r="B58" s="8" t="s">
        <v>479</v>
      </c>
      <c r="C58" s="9" t="n">
        <f aca="false">100000+50000+100000</f>
        <v>250000</v>
      </c>
      <c r="D58" s="9" t="n">
        <f aca="false">E58-C58</f>
        <v>116500</v>
      </c>
      <c r="E58" s="9" t="n">
        <v>366500</v>
      </c>
    </row>
    <row r="59" customFormat="false" ht="15" hidden="false" customHeight="false" outlineLevel="0" collapsed="false">
      <c r="A59" s="7" t="s">
        <v>43</v>
      </c>
      <c r="B59" s="8" t="s">
        <v>480</v>
      </c>
      <c r="C59" s="9" t="n">
        <f aca="false">100000+150000</f>
        <v>250000</v>
      </c>
      <c r="D59" s="9" t="n">
        <f aca="false">E59-C59</f>
        <v>116500</v>
      </c>
      <c r="E59" s="9" t="n">
        <v>366500</v>
      </c>
    </row>
    <row r="60" customFormat="false" ht="15" hidden="false" customHeight="false" outlineLevel="0" collapsed="false">
      <c r="A60" s="7" t="s">
        <v>45</v>
      </c>
      <c r="B60" s="8" t="s">
        <v>481</v>
      </c>
      <c r="C60" s="9" t="n">
        <f aca="false">100000+50000+50000+166500</f>
        <v>366500</v>
      </c>
      <c r="D60" s="9" t="n">
        <f aca="false">E60-C60</f>
        <v>0</v>
      </c>
      <c r="E60" s="9" t="n">
        <v>366500</v>
      </c>
    </row>
    <row r="61" customFormat="false" ht="15" hidden="false" customHeight="false" outlineLevel="0" collapsed="false">
      <c r="A61" s="7" t="s">
        <v>47</v>
      </c>
      <c r="B61" s="8" t="s">
        <v>482</v>
      </c>
      <c r="C61" s="9" t="n">
        <f aca="false">80000+250000+36500</f>
        <v>366500</v>
      </c>
      <c r="D61" s="9" t="n">
        <f aca="false">E61-C61</f>
        <v>0</v>
      </c>
      <c r="E61" s="9" t="n">
        <v>366500</v>
      </c>
    </row>
    <row r="62" customFormat="false" ht="15" hidden="false" customHeight="false" outlineLevel="0" collapsed="false">
      <c r="A62" s="7" t="s">
        <v>49</v>
      </c>
      <c r="B62" s="8" t="s">
        <v>483</v>
      </c>
      <c r="C62" s="9" t="n">
        <f aca="false">100000+50000+50000+166500</f>
        <v>366500</v>
      </c>
      <c r="D62" s="9" t="n">
        <f aca="false">E62-C62</f>
        <v>0</v>
      </c>
      <c r="E62" s="9" t="n">
        <v>366500</v>
      </c>
    </row>
    <row r="63" customFormat="false" ht="15" hidden="false" customHeight="false" outlineLevel="0" collapsed="false">
      <c r="A63" s="7" t="s">
        <v>51</v>
      </c>
      <c r="B63" s="8" t="s">
        <v>484</v>
      </c>
      <c r="C63" s="9" t="n">
        <f aca="false">200000+166500</f>
        <v>366500</v>
      </c>
      <c r="D63" s="9" t="n">
        <f aca="false">E63-C63</f>
        <v>0</v>
      </c>
      <c r="E63" s="9" t="n">
        <v>366500</v>
      </c>
    </row>
    <row r="64" customFormat="false" ht="15" hidden="false" customHeight="false" outlineLevel="0" collapsed="false">
      <c r="A64" s="7" t="s">
        <v>53</v>
      </c>
      <c r="B64" s="8" t="s">
        <v>485</v>
      </c>
      <c r="C64" s="9" t="n">
        <f aca="false">100000+150000+116500</f>
        <v>366500</v>
      </c>
      <c r="D64" s="9" t="n">
        <f aca="false">E64-C64</f>
        <v>0</v>
      </c>
      <c r="E64" s="9" t="n">
        <v>366500</v>
      </c>
    </row>
    <row r="65" customFormat="false" ht="15" hidden="false" customHeight="false" outlineLevel="0" collapsed="false">
      <c r="A65" s="7" t="s">
        <v>55</v>
      </c>
      <c r="B65" s="8" t="s">
        <v>486</v>
      </c>
      <c r="C65" s="9" t="n">
        <f aca="false">100000+150000+50000+66500</f>
        <v>366500</v>
      </c>
      <c r="D65" s="9" t="n">
        <f aca="false">E65-C65</f>
        <v>0</v>
      </c>
      <c r="E65" s="9" t="n">
        <v>366500</v>
      </c>
    </row>
    <row r="66" customFormat="false" ht="15" hidden="false" customHeight="false" outlineLevel="0" collapsed="false">
      <c r="A66" s="7" t="s">
        <v>57</v>
      </c>
      <c r="B66" s="8" t="s">
        <v>487</v>
      </c>
      <c r="C66" s="9" t="n">
        <f aca="false">100000</f>
        <v>100000</v>
      </c>
      <c r="D66" s="9" t="n">
        <f aca="false">E66-C66</f>
        <v>266500</v>
      </c>
      <c r="E66" s="9" t="n">
        <v>366500</v>
      </c>
    </row>
    <row r="67" customFormat="false" ht="15" hidden="false" customHeight="false" outlineLevel="0" collapsed="false">
      <c r="A67" s="7" t="s">
        <v>59</v>
      </c>
      <c r="B67" s="8" t="s">
        <v>488</v>
      </c>
      <c r="C67" s="9" t="n">
        <f aca="false">200000+100000+66500</f>
        <v>366500</v>
      </c>
      <c r="D67" s="9" t="n">
        <f aca="false">E67-C67</f>
        <v>0</v>
      </c>
      <c r="E67" s="9" t="n">
        <v>366500</v>
      </c>
    </row>
    <row r="68" customFormat="false" ht="15" hidden="false" customHeight="false" outlineLevel="0" collapsed="false">
      <c r="A68" s="5" t="s">
        <v>101</v>
      </c>
      <c r="B68" s="5"/>
      <c r="C68" s="6" t="n">
        <f aca="false">SUM(C41:C67)</f>
        <v>8405500</v>
      </c>
      <c r="D68" s="6" t="n">
        <f aca="false">SUM(D41:D67)</f>
        <v>1490000</v>
      </c>
      <c r="E68" s="6" t="n">
        <f aca="false">SUM(E41:E67)</f>
        <v>9895500</v>
      </c>
    </row>
    <row r="74" customFormat="false" ht="17.35" hidden="false" customHeight="false" outlineLevel="0" collapsed="false">
      <c r="B74" s="18" t="s">
        <v>428</v>
      </c>
      <c r="C74" s="2"/>
      <c r="D74" s="2"/>
      <c r="E74" s="2"/>
    </row>
    <row r="75" customFormat="false" ht="12.75" hidden="false" customHeight="false" outlineLevel="0" collapsed="false">
      <c r="B75" s="2"/>
      <c r="C75" s="2"/>
      <c r="D75" s="2"/>
      <c r="E75" s="2"/>
    </row>
    <row r="76" customFormat="false" ht="17.35" hidden="false" customHeight="false" outlineLevel="0" collapsed="false">
      <c r="B76" s="28" t="s">
        <v>429</v>
      </c>
      <c r="C76" s="2"/>
      <c r="D76" s="2"/>
      <c r="E76" s="2"/>
    </row>
    <row r="77" customFormat="false" ht="12.75" hidden="false" customHeight="false" outlineLevel="0" collapsed="false">
      <c r="B77" s="2"/>
      <c r="C77" s="24"/>
      <c r="D77" s="2"/>
      <c r="E77" s="2"/>
    </row>
    <row r="78" customFormat="false" ht="15" hidden="false" customHeight="false" outlineLevel="0" collapsed="false">
      <c r="A78" s="5" t="s">
        <v>2</v>
      </c>
      <c r="B78" s="5" t="s">
        <v>3</v>
      </c>
      <c r="C78" s="6" t="s">
        <v>4</v>
      </c>
      <c r="D78" s="5" t="s">
        <v>5</v>
      </c>
      <c r="E78" s="6" t="s">
        <v>6</v>
      </c>
    </row>
    <row r="79" customFormat="false" ht="15" hidden="false" customHeight="false" outlineLevel="0" collapsed="false">
      <c r="A79" s="7" t="s">
        <v>7</v>
      </c>
      <c r="B79" s="8" t="s">
        <v>435</v>
      </c>
      <c r="C79" s="9" t="n">
        <f aca="false">115000+100000+40000+15000+30000+65000</f>
        <v>365000</v>
      </c>
      <c r="D79" s="9" t="n">
        <f aca="false">E79-C79</f>
        <v>1500</v>
      </c>
      <c r="E79" s="9" t="n">
        <v>366500</v>
      </c>
    </row>
    <row r="80" customFormat="false" ht="15" hidden="false" customHeight="false" outlineLevel="0" collapsed="false">
      <c r="A80" s="7" t="s">
        <v>9</v>
      </c>
      <c r="B80" s="8" t="s">
        <v>437</v>
      </c>
      <c r="C80" s="9" t="n">
        <f aca="false">50000+250000+50000</f>
        <v>350000</v>
      </c>
      <c r="D80" s="9" t="n">
        <f aca="false">E80-C80</f>
        <v>16500</v>
      </c>
      <c r="E80" s="9" t="n">
        <v>366500</v>
      </c>
    </row>
    <row r="81" customFormat="false" ht="15" hidden="false" customHeight="false" outlineLevel="0" collapsed="false">
      <c r="A81" s="7" t="s">
        <v>11</v>
      </c>
      <c r="B81" s="8" t="s">
        <v>442</v>
      </c>
      <c r="C81" s="9" t="n">
        <f aca="false">180000+155000</f>
        <v>335000</v>
      </c>
      <c r="D81" s="9" t="n">
        <f aca="false">E81-C81</f>
        <v>31500</v>
      </c>
      <c r="E81" s="9" t="n">
        <v>366500</v>
      </c>
    </row>
    <row r="82" customFormat="false" ht="15" hidden="false" customHeight="false" outlineLevel="0" collapsed="false">
      <c r="A82" s="7" t="s">
        <v>13</v>
      </c>
      <c r="B82" s="8" t="s">
        <v>444</v>
      </c>
      <c r="C82" s="9" t="n">
        <f aca="false">166500+35000+85000+15000</f>
        <v>301500</v>
      </c>
      <c r="D82" s="9" t="n">
        <f aca="false">E82-C82</f>
        <v>65000</v>
      </c>
      <c r="E82" s="9" t="n">
        <v>366500</v>
      </c>
    </row>
    <row r="83" customFormat="false" ht="15" hidden="false" customHeight="false" outlineLevel="0" collapsed="false">
      <c r="A83" s="7" t="s">
        <v>15</v>
      </c>
      <c r="B83" s="8" t="s">
        <v>448</v>
      </c>
      <c r="C83" s="9" t="n">
        <f aca="false">180000+15000+100000+65000</f>
        <v>360000</v>
      </c>
      <c r="D83" s="9" t="n">
        <f aca="false">E83-C83</f>
        <v>6500</v>
      </c>
      <c r="E83" s="9" t="n">
        <v>366500</v>
      </c>
    </row>
    <row r="84" customFormat="false" ht="15" hidden="false" customHeight="false" outlineLevel="0" collapsed="false">
      <c r="A84" s="7" t="s">
        <v>17</v>
      </c>
      <c r="B84" s="8" t="s">
        <v>451</v>
      </c>
      <c r="C84" s="9" t="n">
        <f aca="false">15000+250000+40000</f>
        <v>305000</v>
      </c>
      <c r="D84" s="9" t="n">
        <f aca="false">E84-C84</f>
        <v>61500</v>
      </c>
      <c r="E84" s="9" t="n">
        <v>366500</v>
      </c>
    </row>
    <row r="85" customFormat="false" ht="15" hidden="false" customHeight="false" outlineLevel="0" collapsed="false">
      <c r="A85" s="7" t="s">
        <v>19</v>
      </c>
      <c r="B85" s="8" t="s">
        <v>456</v>
      </c>
      <c r="C85" s="9" t="n">
        <f aca="false">100000+15000+150000+50000</f>
        <v>315000</v>
      </c>
      <c r="D85" s="9" t="n">
        <f aca="false">E85-C85</f>
        <v>51500</v>
      </c>
      <c r="E85" s="9" t="n">
        <v>366500</v>
      </c>
    </row>
    <row r="87" customFormat="false" ht="17.35" hidden="false" customHeight="false" outlineLevel="0" collapsed="false">
      <c r="A87" s="4" t="s">
        <v>489</v>
      </c>
      <c r="B87" s="4"/>
      <c r="C87" s="4"/>
      <c r="D87" s="4"/>
      <c r="E87" s="4"/>
    </row>
    <row r="88" customFormat="false" ht="15" hidden="false" customHeight="false" outlineLevel="0" collapsed="false">
      <c r="A88" s="5" t="s">
        <v>2</v>
      </c>
      <c r="B88" s="5" t="s">
        <v>3</v>
      </c>
      <c r="C88" s="6" t="s">
        <v>4</v>
      </c>
      <c r="D88" s="5" t="s">
        <v>5</v>
      </c>
      <c r="E88" s="6" t="s">
        <v>6</v>
      </c>
    </row>
    <row r="89" customFormat="false" ht="15" hidden="false" customHeight="false" outlineLevel="0" collapsed="false">
      <c r="A89" s="7" t="s">
        <v>7</v>
      </c>
      <c r="B89" s="8" t="s">
        <v>462</v>
      </c>
      <c r="C89" s="9" t="n">
        <f aca="false">150000+150000</f>
        <v>300000</v>
      </c>
      <c r="D89" s="9" t="n">
        <f aca="false">E89-C89</f>
        <v>66500</v>
      </c>
      <c r="E89" s="9" t="n">
        <v>366500</v>
      </c>
    </row>
    <row r="90" customFormat="false" ht="15" hidden="false" customHeight="false" outlineLevel="0" collapsed="false">
      <c r="A90" s="7" t="s">
        <v>9</v>
      </c>
      <c r="B90" s="8" t="s">
        <v>463</v>
      </c>
      <c r="C90" s="9" t="n">
        <f aca="false">100000</f>
        <v>100000</v>
      </c>
      <c r="D90" s="9" t="n">
        <f aca="false">E90-C90</f>
        <v>266500</v>
      </c>
      <c r="E90" s="9" t="n">
        <v>366500</v>
      </c>
    </row>
    <row r="91" customFormat="false" ht="15" hidden="false" customHeight="false" outlineLevel="0" collapsed="false">
      <c r="A91" s="7" t="s">
        <v>11</v>
      </c>
      <c r="B91" s="8" t="s">
        <v>464</v>
      </c>
      <c r="C91" s="9" t="n">
        <f aca="false">100000+60000+40000</f>
        <v>200000</v>
      </c>
      <c r="D91" s="9" t="n">
        <f aca="false">E91-C91</f>
        <v>166500</v>
      </c>
      <c r="E91" s="9" t="n">
        <v>366500</v>
      </c>
    </row>
    <row r="92" customFormat="false" ht="15" hidden="false" customHeight="false" outlineLevel="0" collapsed="false">
      <c r="A92" s="7" t="s">
        <v>13</v>
      </c>
      <c r="B92" s="8" t="s">
        <v>469</v>
      </c>
      <c r="C92" s="9" t="n">
        <f aca="false">33500+100000</f>
        <v>133500</v>
      </c>
      <c r="D92" s="9" t="n">
        <f aca="false">E92-C92</f>
        <v>233000</v>
      </c>
      <c r="E92" s="9" t="n">
        <v>366500</v>
      </c>
    </row>
    <row r="93" customFormat="false" ht="15" hidden="false" customHeight="false" outlineLevel="0" collapsed="false">
      <c r="A93" s="7" t="s">
        <v>15</v>
      </c>
      <c r="B93" s="8" t="s">
        <v>470</v>
      </c>
      <c r="C93" s="9" t="n">
        <f aca="false">140000+225000</f>
        <v>365000</v>
      </c>
      <c r="D93" s="9" t="n">
        <f aca="false">E93-C93</f>
        <v>1500</v>
      </c>
      <c r="E93" s="9" t="n">
        <v>366500</v>
      </c>
    </row>
    <row r="94" customFormat="false" ht="15" hidden="false" customHeight="false" outlineLevel="0" collapsed="false">
      <c r="A94" s="7" t="s">
        <v>17</v>
      </c>
      <c r="B94" s="8" t="s">
        <v>473</v>
      </c>
      <c r="C94" s="9" t="n">
        <v>150000</v>
      </c>
      <c r="D94" s="9" t="n">
        <f aca="false">E94-C94</f>
        <v>216500</v>
      </c>
      <c r="E94" s="9" t="n">
        <v>366500</v>
      </c>
    </row>
    <row r="95" customFormat="false" ht="15" hidden="false" customHeight="false" outlineLevel="0" collapsed="false">
      <c r="A95" s="7" t="s">
        <v>19</v>
      </c>
      <c r="B95" s="8" t="s">
        <v>474</v>
      </c>
      <c r="C95" s="9"/>
      <c r="D95" s="9" t="n">
        <f aca="false">E95-C95</f>
        <v>366500</v>
      </c>
      <c r="E95" s="9" t="n">
        <v>366500</v>
      </c>
    </row>
    <row r="96" customFormat="false" ht="15" hidden="false" customHeight="false" outlineLevel="0" collapsed="false">
      <c r="A96" s="7" t="s">
        <v>21</v>
      </c>
      <c r="B96" s="8" t="s">
        <v>475</v>
      </c>
      <c r="C96" s="9" t="n">
        <f aca="false">70000+230000+65000</f>
        <v>365000</v>
      </c>
      <c r="D96" s="9" t="n">
        <f aca="false">E96-C96</f>
        <v>1500</v>
      </c>
      <c r="E96" s="9" t="n">
        <v>366500</v>
      </c>
    </row>
    <row r="97" customFormat="false" ht="15" hidden="false" customHeight="false" outlineLevel="0" collapsed="false">
      <c r="A97" s="7" t="s">
        <v>23</v>
      </c>
      <c r="B97" s="8" t="s">
        <v>477</v>
      </c>
      <c r="C97" s="9" t="n">
        <f aca="false">53500+90000+70000+100000+53000</f>
        <v>366500</v>
      </c>
      <c r="D97" s="9" t="n">
        <f aca="false">E97-C97</f>
        <v>0</v>
      </c>
      <c r="E97" s="9" t="n">
        <v>366500</v>
      </c>
    </row>
    <row r="98" customFormat="false" ht="15" hidden="false" customHeight="false" outlineLevel="0" collapsed="false">
      <c r="A98" s="7" t="s">
        <v>25</v>
      </c>
      <c r="B98" s="8" t="s">
        <v>478</v>
      </c>
      <c r="C98" s="9" t="n">
        <f aca="false">50000+100000+130000+30000</f>
        <v>310000</v>
      </c>
      <c r="D98" s="9" t="n">
        <f aca="false">E98-C98</f>
        <v>56500</v>
      </c>
      <c r="E98" s="9" t="n">
        <v>366500</v>
      </c>
    </row>
    <row r="99" customFormat="false" ht="15" hidden="false" customHeight="false" outlineLevel="0" collapsed="false">
      <c r="A99" s="7" t="s">
        <v>27</v>
      </c>
      <c r="B99" s="8" t="s">
        <v>479</v>
      </c>
      <c r="C99" s="9" t="n">
        <f aca="false">100000+50000+100000</f>
        <v>250000</v>
      </c>
      <c r="D99" s="9" t="n">
        <f aca="false">E99-C99</f>
        <v>116500</v>
      </c>
      <c r="E99" s="9" t="n">
        <v>366500</v>
      </c>
    </row>
    <row r="100" customFormat="false" ht="15" hidden="false" customHeight="false" outlineLevel="0" collapsed="false">
      <c r="A100" s="7" t="s">
        <v>29</v>
      </c>
      <c r="B100" s="8" t="s">
        <v>480</v>
      </c>
      <c r="C100" s="9" t="n">
        <f aca="false">100000+150000</f>
        <v>250000</v>
      </c>
      <c r="D100" s="9" t="n">
        <f aca="false">E100-C100</f>
        <v>116500</v>
      </c>
      <c r="E100" s="9" t="n">
        <v>366500</v>
      </c>
    </row>
    <row r="101" customFormat="false" ht="15" hidden="false" customHeight="false" outlineLevel="0" collapsed="false">
      <c r="A101" s="7" t="s">
        <v>31</v>
      </c>
      <c r="B101" s="8" t="s">
        <v>481</v>
      </c>
      <c r="C101" s="9" t="n">
        <f aca="false">100000+50000+50000</f>
        <v>200000</v>
      </c>
      <c r="D101" s="9" t="n">
        <f aca="false">E101-C101</f>
        <v>166500</v>
      </c>
      <c r="E101" s="9" t="n">
        <v>366500</v>
      </c>
    </row>
    <row r="102" customFormat="false" ht="15" hidden="false" customHeight="false" outlineLevel="0" collapsed="false">
      <c r="A102" s="7" t="s">
        <v>33</v>
      </c>
      <c r="B102" s="8" t="s">
        <v>486</v>
      </c>
      <c r="C102" s="9" t="n">
        <f aca="false">100000+150000+50000+66500</f>
        <v>366500</v>
      </c>
      <c r="D102" s="9" t="n">
        <f aca="false">E102-C102</f>
        <v>0</v>
      </c>
      <c r="E102" s="9" t="n">
        <v>366500</v>
      </c>
    </row>
    <row r="103" customFormat="false" ht="15" hidden="false" customHeight="false" outlineLevel="0" collapsed="false">
      <c r="A103" s="7" t="s">
        <v>35</v>
      </c>
      <c r="B103" s="8" t="s">
        <v>487</v>
      </c>
      <c r="C103" s="9" t="n">
        <v>100000</v>
      </c>
      <c r="D103" s="9" t="n">
        <f aca="false">E103-C103</f>
        <v>266500</v>
      </c>
      <c r="E103" s="9" t="n">
        <v>366500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36:B36"/>
    <mergeCell ref="A68:B68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37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B104" activeCellId="0" sqref="B104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31.28"/>
    <col collapsed="false" customWidth="true" hidden="false" outlineLevel="0" max="4" min="3" style="1" width="14.41"/>
    <col collapsed="false" customWidth="true" hidden="false" outlineLevel="0" max="5" min="5" style="1" width="14.28"/>
    <col collapsed="false" customWidth="true" hidden="false" outlineLevel="0" max="16384" min="16383" style="0" width="11.53"/>
  </cols>
  <sheetData>
    <row r="1" customFormat="false" ht="12.75" hidden="false" customHeight="false" outlineLevel="0" collapsed="false">
      <c r="A1" s="1" t="n">
        <v>2</v>
      </c>
    </row>
    <row r="4" customFormat="false" ht="17.35" hidden="false" customHeight="false" outlineLevel="0" collapsed="false">
      <c r="A4" s="12" t="s">
        <v>490</v>
      </c>
      <c r="B4" s="12"/>
      <c r="C4" s="12"/>
      <c r="D4" s="12"/>
      <c r="E4" s="12"/>
    </row>
    <row r="5" customFormat="false" ht="12.75" hidden="false" customHeight="false" outlineLevel="0" collapsed="false">
      <c r="A5" s="2"/>
      <c r="B5" s="2"/>
      <c r="C5" s="24"/>
      <c r="D5" s="2"/>
      <c r="E5" s="2"/>
    </row>
    <row r="6" customFormat="false" ht="12.75" hidden="false" customHeight="false" outlineLevel="0" collapsed="false">
      <c r="A6" s="2"/>
      <c r="B6" s="2"/>
      <c r="C6" s="24"/>
      <c r="D6" s="2"/>
      <c r="E6" s="2"/>
    </row>
    <row r="7" customFormat="false" ht="15" hidden="false" customHeight="false" outlineLevel="0" collapsed="false">
      <c r="A7" s="5" t="s">
        <v>332</v>
      </c>
      <c r="B7" s="5" t="s">
        <v>3</v>
      </c>
      <c r="C7" s="6" t="s">
        <v>4</v>
      </c>
      <c r="D7" s="5" t="s">
        <v>5</v>
      </c>
      <c r="E7" s="6" t="s">
        <v>6</v>
      </c>
    </row>
    <row r="8" customFormat="false" ht="15" hidden="false" customHeight="false" outlineLevel="0" collapsed="false">
      <c r="A8" s="7" t="s">
        <v>7</v>
      </c>
      <c r="B8" s="8" t="s">
        <v>491</v>
      </c>
      <c r="C8" s="9" t="n">
        <f aca="false">30000+161500</f>
        <v>191500</v>
      </c>
      <c r="D8" s="9" t="n">
        <f aca="false">E8-C8</f>
        <v>0</v>
      </c>
      <c r="E8" s="9" t="n">
        <v>191500</v>
      </c>
    </row>
    <row r="9" customFormat="false" ht="15" hidden="false" customHeight="false" outlineLevel="0" collapsed="false">
      <c r="A9" s="7" t="s">
        <v>9</v>
      </c>
      <c r="B9" s="8" t="s">
        <v>492</v>
      </c>
      <c r="C9" s="9" t="n">
        <f aca="false">500+30000+160000+1000</f>
        <v>191500</v>
      </c>
      <c r="D9" s="9" t="n">
        <f aca="false">E9-C9</f>
        <v>0</v>
      </c>
      <c r="E9" s="9" t="n">
        <v>191500</v>
      </c>
    </row>
    <row r="10" customFormat="false" ht="15" hidden="false" customHeight="false" outlineLevel="0" collapsed="false">
      <c r="A10" s="7" t="s">
        <v>11</v>
      </c>
      <c r="B10" s="8" t="s">
        <v>493</v>
      </c>
      <c r="C10" s="9" t="n">
        <f aca="false">50000+50000</f>
        <v>100000</v>
      </c>
      <c r="D10" s="9" t="n">
        <f aca="false">E10-C10</f>
        <v>91500</v>
      </c>
      <c r="E10" s="9" t="n">
        <v>191500</v>
      </c>
    </row>
    <row r="11" customFormat="false" ht="15" hidden="false" customHeight="false" outlineLevel="0" collapsed="false">
      <c r="A11" s="7" t="s">
        <v>13</v>
      </c>
      <c r="B11" s="8" t="s">
        <v>494</v>
      </c>
      <c r="C11" s="9" t="n">
        <v>191500</v>
      </c>
      <c r="D11" s="9" t="n">
        <f aca="false">E11-C11</f>
        <v>0</v>
      </c>
      <c r="E11" s="9" t="n">
        <v>191500</v>
      </c>
      <c r="F11" s="29"/>
    </row>
    <row r="12" customFormat="false" ht="15" hidden="false" customHeight="false" outlineLevel="0" collapsed="false">
      <c r="A12" s="7" t="s">
        <v>15</v>
      </c>
      <c r="B12" s="8" t="s">
        <v>495</v>
      </c>
      <c r="C12" s="9" t="n">
        <f aca="false">30000+16500+50000+50000+45000</f>
        <v>191500</v>
      </c>
      <c r="D12" s="9" t="n">
        <f aca="false">E12-C12</f>
        <v>0</v>
      </c>
      <c r="E12" s="9" t="n">
        <v>191500</v>
      </c>
    </row>
    <row r="13" customFormat="false" ht="15" hidden="false" customHeight="false" outlineLevel="0" collapsed="false">
      <c r="A13" s="7" t="s">
        <v>17</v>
      </c>
      <c r="B13" s="8" t="s">
        <v>496</v>
      </c>
      <c r="C13" s="9" t="n">
        <f aca="false">16500+150000</f>
        <v>166500</v>
      </c>
      <c r="D13" s="9" t="n">
        <f aca="false">E13-C13</f>
        <v>25000</v>
      </c>
      <c r="E13" s="9" t="n">
        <v>191500</v>
      </c>
    </row>
    <row r="14" customFormat="false" ht="15" hidden="false" customHeight="false" outlineLevel="0" collapsed="false">
      <c r="A14" s="7" t="s">
        <v>19</v>
      </c>
      <c r="B14" s="8" t="s">
        <v>497</v>
      </c>
      <c r="C14" s="9" t="n">
        <f aca="false">80000+40000+50000+51500</f>
        <v>221500</v>
      </c>
      <c r="D14" s="9" t="n">
        <f aca="false">E14-C14</f>
        <v>-30000</v>
      </c>
      <c r="E14" s="9" t="n">
        <v>191500</v>
      </c>
    </row>
    <row r="15" customFormat="false" ht="15" hidden="false" customHeight="false" outlineLevel="0" collapsed="false">
      <c r="A15" s="7" t="s">
        <v>21</v>
      </c>
      <c r="B15" s="8" t="s">
        <v>498</v>
      </c>
      <c r="C15" s="9" t="n">
        <v>191500</v>
      </c>
      <c r="D15" s="9" t="n">
        <f aca="false">E15-C15</f>
        <v>0</v>
      </c>
      <c r="E15" s="9" t="n">
        <v>191500</v>
      </c>
    </row>
    <row r="16" customFormat="false" ht="15" hidden="false" customHeight="false" outlineLevel="0" collapsed="false">
      <c r="A16" s="7" t="s">
        <v>23</v>
      </c>
      <c r="B16" s="8" t="s">
        <v>499</v>
      </c>
      <c r="C16" s="9" t="n">
        <f aca="false">16500+33500+141500</f>
        <v>191500</v>
      </c>
      <c r="D16" s="9" t="n">
        <f aca="false">E16-C16</f>
        <v>0</v>
      </c>
      <c r="E16" s="9" t="n">
        <v>191500</v>
      </c>
    </row>
    <row r="17" customFormat="false" ht="15" hidden="false" customHeight="false" outlineLevel="0" collapsed="false">
      <c r="A17" s="7" t="s">
        <v>25</v>
      </c>
      <c r="B17" s="8" t="s">
        <v>500</v>
      </c>
      <c r="C17" s="9"/>
      <c r="D17" s="9" t="n">
        <f aca="false">E17-C17</f>
        <v>191500</v>
      </c>
      <c r="E17" s="9" t="n">
        <v>191500</v>
      </c>
    </row>
    <row r="18" customFormat="false" ht="15" hidden="false" customHeight="false" outlineLevel="0" collapsed="false">
      <c r="A18" s="7" t="s">
        <v>27</v>
      </c>
      <c r="B18" s="8" t="s">
        <v>501</v>
      </c>
      <c r="C18" s="9"/>
      <c r="D18" s="9" t="n">
        <f aca="false">E18-C18</f>
        <v>191500</v>
      </c>
      <c r="E18" s="9" t="n">
        <v>191500</v>
      </c>
    </row>
    <row r="19" customFormat="false" ht="15" hidden="false" customHeight="false" outlineLevel="0" collapsed="false">
      <c r="A19" s="7" t="s">
        <v>29</v>
      </c>
      <c r="B19" s="8" t="s">
        <v>502</v>
      </c>
      <c r="C19" s="9"/>
      <c r="D19" s="9" t="n">
        <f aca="false">E19-C19</f>
        <v>191500</v>
      </c>
      <c r="E19" s="9" t="n">
        <v>191500</v>
      </c>
    </row>
    <row r="20" customFormat="false" ht="15" hidden="false" customHeight="false" outlineLevel="0" collapsed="false">
      <c r="A20" s="7" t="s">
        <v>31</v>
      </c>
      <c r="B20" s="8" t="s">
        <v>503</v>
      </c>
      <c r="C20" s="9" t="n">
        <f aca="false">20000+160000+12000</f>
        <v>192000</v>
      </c>
      <c r="D20" s="9" t="n">
        <f aca="false">E20-C20</f>
        <v>-500</v>
      </c>
      <c r="E20" s="9" t="n">
        <v>191500</v>
      </c>
    </row>
    <row r="21" customFormat="false" ht="15" hidden="false" customHeight="false" outlineLevel="0" collapsed="false">
      <c r="A21" s="7" t="s">
        <v>33</v>
      </c>
      <c r="B21" s="8" t="s">
        <v>504</v>
      </c>
      <c r="C21" s="9" t="n">
        <v>191500</v>
      </c>
      <c r="D21" s="9" t="n">
        <f aca="false">E21-C21</f>
        <v>0</v>
      </c>
      <c r="E21" s="9" t="n">
        <v>191500</v>
      </c>
    </row>
    <row r="22" customFormat="false" ht="15" hidden="false" customHeight="false" outlineLevel="0" collapsed="false">
      <c r="A22" s="7" t="s">
        <v>35</v>
      </c>
      <c r="B22" s="8" t="s">
        <v>505</v>
      </c>
      <c r="C22" s="9"/>
      <c r="D22" s="9" t="n">
        <f aca="false">E22-C22</f>
        <v>191500</v>
      </c>
      <c r="E22" s="9" t="n">
        <v>191500</v>
      </c>
    </row>
    <row r="23" customFormat="false" ht="15" hidden="false" customHeight="false" outlineLevel="0" collapsed="false">
      <c r="A23" s="7" t="s">
        <v>37</v>
      </c>
      <c r="B23" s="8" t="s">
        <v>506</v>
      </c>
      <c r="C23" s="9" t="n">
        <f aca="false">25000+100000+66500</f>
        <v>191500</v>
      </c>
      <c r="D23" s="9" t="n">
        <f aca="false">E23-C23</f>
        <v>0</v>
      </c>
      <c r="E23" s="9" t="n">
        <v>191500</v>
      </c>
    </row>
    <row r="24" customFormat="false" ht="15" hidden="false" customHeight="false" outlineLevel="0" collapsed="false">
      <c r="A24" s="7" t="s">
        <v>39</v>
      </c>
      <c r="B24" s="8" t="s">
        <v>507</v>
      </c>
      <c r="C24" s="9" t="s">
        <v>508</v>
      </c>
      <c r="D24" s="9" t="n">
        <v>0</v>
      </c>
      <c r="E24" s="9" t="n">
        <v>191500</v>
      </c>
    </row>
    <row r="25" customFormat="false" ht="15" hidden="false" customHeight="false" outlineLevel="0" collapsed="false">
      <c r="A25" s="7" t="s">
        <v>41</v>
      </c>
      <c r="B25" s="8" t="s">
        <v>509</v>
      </c>
      <c r="C25" s="9"/>
      <c r="D25" s="9" t="n">
        <f aca="false">E25-C25</f>
        <v>191500</v>
      </c>
      <c r="E25" s="9" t="n">
        <v>191500</v>
      </c>
    </row>
    <row r="26" customFormat="false" ht="15" hidden="false" customHeight="false" outlineLevel="0" collapsed="false">
      <c r="A26" s="7" t="s">
        <v>43</v>
      </c>
      <c r="B26" s="8" t="s">
        <v>510</v>
      </c>
      <c r="C26" s="9" t="n">
        <f aca="false">16500+50000+125000</f>
        <v>191500</v>
      </c>
      <c r="D26" s="9" t="n">
        <f aca="false">E26-C26</f>
        <v>0</v>
      </c>
      <c r="E26" s="9" t="n">
        <v>191500</v>
      </c>
    </row>
    <row r="27" customFormat="false" ht="15" hidden="false" customHeight="false" outlineLevel="0" collapsed="false">
      <c r="A27" s="7" t="s">
        <v>45</v>
      </c>
      <c r="B27" s="8" t="s">
        <v>511</v>
      </c>
      <c r="C27" s="9" t="n">
        <f aca="false">16500+68500+106500</f>
        <v>191500</v>
      </c>
      <c r="D27" s="9" t="n">
        <f aca="false">E27-C27</f>
        <v>0</v>
      </c>
      <c r="E27" s="9" t="n">
        <v>191500</v>
      </c>
    </row>
    <row r="28" customFormat="false" ht="15" hidden="false" customHeight="false" outlineLevel="0" collapsed="false">
      <c r="A28" s="7" t="s">
        <v>47</v>
      </c>
      <c r="B28" s="8" t="s">
        <v>512</v>
      </c>
      <c r="C28" s="9" t="n">
        <f aca="false">100000+91500</f>
        <v>191500</v>
      </c>
      <c r="D28" s="9" t="n">
        <f aca="false">E28-C28</f>
        <v>0</v>
      </c>
      <c r="E28" s="9" t="n">
        <v>191500</v>
      </c>
    </row>
    <row r="29" customFormat="false" ht="15" hidden="false" customHeight="false" outlineLevel="0" collapsed="false">
      <c r="A29" s="7" t="s">
        <v>49</v>
      </c>
      <c r="B29" s="8" t="s">
        <v>513</v>
      </c>
      <c r="C29" s="9" t="n">
        <v>50000</v>
      </c>
      <c r="D29" s="9" t="n">
        <f aca="false">E29-C29</f>
        <v>141500</v>
      </c>
      <c r="E29" s="9" t="n">
        <v>191500</v>
      </c>
    </row>
    <row r="30" customFormat="false" ht="15" hidden="false" customHeight="false" outlineLevel="0" collapsed="false">
      <c r="A30" s="7" t="s">
        <v>51</v>
      </c>
      <c r="B30" s="8" t="s">
        <v>514</v>
      </c>
      <c r="C30" s="9" t="n">
        <f aca="false">60000</f>
        <v>60000</v>
      </c>
      <c r="D30" s="9" t="n">
        <f aca="false">E30-C30</f>
        <v>131500</v>
      </c>
      <c r="E30" s="9" t="n">
        <v>191500</v>
      </c>
    </row>
    <row r="31" customFormat="false" ht="15" hidden="false" customHeight="false" outlineLevel="0" collapsed="false">
      <c r="A31" s="7" t="s">
        <v>53</v>
      </c>
      <c r="B31" s="8" t="s">
        <v>515</v>
      </c>
      <c r="C31" s="9" t="n">
        <f aca="false">16500+30000+145000</f>
        <v>191500</v>
      </c>
      <c r="D31" s="9" t="n">
        <f aca="false">E31-C31</f>
        <v>0</v>
      </c>
      <c r="E31" s="9" t="n">
        <v>191500</v>
      </c>
    </row>
    <row r="32" customFormat="false" ht="15" hidden="false" customHeight="false" outlineLevel="0" collapsed="false">
      <c r="A32" s="7" t="s">
        <v>55</v>
      </c>
      <c r="B32" s="8" t="s">
        <v>516</v>
      </c>
      <c r="C32" s="9" t="n">
        <f aca="false">50000+141500</f>
        <v>191500</v>
      </c>
      <c r="D32" s="9" t="n">
        <f aca="false">E32-C32</f>
        <v>0</v>
      </c>
      <c r="E32" s="9" t="n">
        <v>191500</v>
      </c>
    </row>
    <row r="33" customFormat="false" ht="15" hidden="false" customHeight="false" outlineLevel="0" collapsed="false">
      <c r="A33" s="7" t="s">
        <v>57</v>
      </c>
      <c r="B33" s="8" t="s">
        <v>517</v>
      </c>
      <c r="C33" s="9" t="n">
        <f aca="false">50000+16500+125000</f>
        <v>191500</v>
      </c>
      <c r="D33" s="9" t="n">
        <f aca="false">E33-C33</f>
        <v>0</v>
      </c>
      <c r="E33" s="9" t="n">
        <v>191500</v>
      </c>
    </row>
    <row r="34" customFormat="false" ht="15" hidden="false" customHeight="false" outlineLevel="0" collapsed="false">
      <c r="A34" s="7" t="s">
        <v>59</v>
      </c>
      <c r="B34" s="8" t="s">
        <v>518</v>
      </c>
      <c r="C34" s="9"/>
      <c r="D34" s="9" t="n">
        <f aca="false">E34-C34</f>
        <v>191500</v>
      </c>
      <c r="E34" s="9" t="n">
        <v>191500</v>
      </c>
    </row>
    <row r="35" customFormat="false" ht="15" hidden="false" customHeight="false" outlineLevel="0" collapsed="false">
      <c r="A35" s="7" t="s">
        <v>61</v>
      </c>
      <c r="B35" s="8" t="s">
        <v>519</v>
      </c>
      <c r="C35" s="9"/>
      <c r="D35" s="9" t="n">
        <f aca="false">E35-C35</f>
        <v>191500</v>
      </c>
      <c r="E35" s="9" t="n">
        <v>191500</v>
      </c>
    </row>
    <row r="36" customFormat="false" ht="15" hidden="false" customHeight="false" outlineLevel="0" collapsed="false">
      <c r="A36" s="7" t="s">
        <v>63</v>
      </c>
      <c r="B36" s="8" t="s">
        <v>520</v>
      </c>
      <c r="C36" s="9" t="n">
        <f aca="false">100000+91500</f>
        <v>191500</v>
      </c>
      <c r="D36" s="9" t="n">
        <f aca="false">E36-C36</f>
        <v>0</v>
      </c>
      <c r="E36" s="9" t="n">
        <v>191500</v>
      </c>
    </row>
    <row r="37" customFormat="false" ht="15" hidden="false" customHeight="false" outlineLevel="0" collapsed="false">
      <c r="A37" s="7" t="s">
        <v>65</v>
      </c>
      <c r="B37" s="8" t="s">
        <v>521</v>
      </c>
      <c r="C37" s="9"/>
      <c r="D37" s="9" t="n">
        <f aca="false">E37-C37</f>
        <v>191500</v>
      </c>
      <c r="E37" s="9" t="n">
        <v>191500</v>
      </c>
    </row>
    <row r="38" customFormat="false" ht="15" hidden="false" customHeight="false" outlineLevel="0" collapsed="false">
      <c r="A38" s="5" t="s">
        <v>101</v>
      </c>
      <c r="B38" s="5"/>
      <c r="C38" s="6" t="n">
        <f aca="false">SUM(C8:C37)</f>
        <v>3662500</v>
      </c>
      <c r="D38" s="6" t="n">
        <f aca="false">SUM(D8:D37)</f>
        <v>1891000</v>
      </c>
      <c r="E38" s="6" t="n">
        <f aca="false">SUM(E8:E37)</f>
        <v>5745000</v>
      </c>
    </row>
    <row r="39" customFormat="false" ht="12.75" hidden="false" customHeight="false" outlineLevel="0" collapsed="false">
      <c r="A39" s="2"/>
      <c r="B39" s="2"/>
      <c r="C39" s="2"/>
      <c r="D39" s="2"/>
      <c r="E39" s="2"/>
    </row>
    <row r="40" customFormat="false" ht="12.75" hidden="false" customHeight="false" outlineLevel="0" collapsed="false">
      <c r="A40" s="2"/>
      <c r="B40" s="2"/>
      <c r="C40" s="24"/>
      <c r="D40" s="2"/>
      <c r="E40" s="2"/>
    </row>
    <row r="41" customFormat="false" ht="17.35" hidden="false" customHeight="false" outlineLevel="0" collapsed="false">
      <c r="A41" s="12" t="s">
        <v>522</v>
      </c>
      <c r="B41" s="12"/>
      <c r="C41" s="12"/>
      <c r="D41" s="12"/>
      <c r="E41" s="12"/>
    </row>
    <row r="42" customFormat="false" ht="12.75" hidden="false" customHeight="false" outlineLevel="0" collapsed="false">
      <c r="A42" s="2"/>
      <c r="B42" s="2"/>
      <c r="C42" s="2"/>
      <c r="D42" s="2"/>
      <c r="E42" s="2"/>
    </row>
    <row r="43" customFormat="false" ht="15" hidden="false" customHeight="false" outlineLevel="0" collapsed="false">
      <c r="A43" s="5" t="s">
        <v>332</v>
      </c>
      <c r="B43" s="5" t="s">
        <v>3</v>
      </c>
      <c r="C43" s="6" t="s">
        <v>4</v>
      </c>
      <c r="D43" s="5" t="s">
        <v>5</v>
      </c>
      <c r="E43" s="6" t="s">
        <v>6</v>
      </c>
    </row>
    <row r="44" customFormat="false" ht="15" hidden="false" customHeight="false" outlineLevel="0" collapsed="false">
      <c r="A44" s="7" t="s">
        <v>7</v>
      </c>
      <c r="B44" s="8" t="s">
        <v>523</v>
      </c>
      <c r="C44" s="9" t="n">
        <f aca="false">100000+91000+500</f>
        <v>191500</v>
      </c>
      <c r="D44" s="9" t="n">
        <f aca="false">E44-C44</f>
        <v>0</v>
      </c>
      <c r="E44" s="9" t="n">
        <v>191500</v>
      </c>
    </row>
    <row r="45" customFormat="false" ht="15" hidden="false" customHeight="false" outlineLevel="0" collapsed="false">
      <c r="A45" s="7" t="s">
        <v>11</v>
      </c>
      <c r="B45" s="8" t="s">
        <v>524</v>
      </c>
      <c r="C45" s="9" t="n">
        <f aca="false">160000+31000+500</f>
        <v>191500</v>
      </c>
      <c r="D45" s="9" t="n">
        <f aca="false">E45-C45</f>
        <v>0</v>
      </c>
      <c r="E45" s="9" t="n">
        <v>191500</v>
      </c>
    </row>
    <row r="46" customFormat="false" ht="15" hidden="false" customHeight="false" outlineLevel="0" collapsed="false">
      <c r="A46" s="7" t="s">
        <v>13</v>
      </c>
      <c r="B46" s="8" t="s">
        <v>525</v>
      </c>
      <c r="C46" s="9" t="n">
        <f aca="false">156500+38000</f>
        <v>194500</v>
      </c>
      <c r="D46" s="9" t="n">
        <f aca="false">E46-C46</f>
        <v>-3000</v>
      </c>
      <c r="E46" s="9" t="n">
        <v>191500</v>
      </c>
    </row>
    <row r="47" customFormat="false" ht="15" hidden="false" customHeight="false" outlineLevel="0" collapsed="false">
      <c r="A47" s="7" t="s">
        <v>17</v>
      </c>
      <c r="B47" s="8" t="s">
        <v>526</v>
      </c>
      <c r="C47" s="9" t="n">
        <f aca="false">160000+31000+500</f>
        <v>191500</v>
      </c>
      <c r="D47" s="9" t="n">
        <f aca="false">E47-C47</f>
        <v>0</v>
      </c>
      <c r="E47" s="9" t="n">
        <v>191500</v>
      </c>
    </row>
    <row r="48" customFormat="false" ht="15" hidden="false" customHeight="false" outlineLevel="0" collapsed="false">
      <c r="A48" s="7" t="s">
        <v>19</v>
      </c>
      <c r="B48" s="8" t="s">
        <v>527</v>
      </c>
      <c r="C48" s="9" t="n">
        <v>191500</v>
      </c>
      <c r="D48" s="9" t="n">
        <f aca="false">E48-C48</f>
        <v>0</v>
      </c>
      <c r="E48" s="9" t="n">
        <v>191500</v>
      </c>
    </row>
    <row r="49" customFormat="false" ht="15" hidden="false" customHeight="false" outlineLevel="0" collapsed="false">
      <c r="A49" s="7" t="s">
        <v>23</v>
      </c>
      <c r="B49" s="8" t="s">
        <v>528</v>
      </c>
      <c r="C49" s="9" t="n">
        <f aca="false">10000+30000+191500</f>
        <v>231500</v>
      </c>
      <c r="D49" s="9" t="n">
        <f aca="false">E49-C49</f>
        <v>-40000</v>
      </c>
      <c r="E49" s="9" t="n">
        <v>191500</v>
      </c>
    </row>
    <row r="50" customFormat="false" ht="15" hidden="false" customHeight="false" outlineLevel="0" collapsed="false">
      <c r="A50" s="7" t="s">
        <v>25</v>
      </c>
      <c r="B50" s="8" t="s">
        <v>529</v>
      </c>
      <c r="C50" s="9" t="n">
        <f aca="false">192000</f>
        <v>192000</v>
      </c>
      <c r="D50" s="9" t="n">
        <f aca="false">E50-C50</f>
        <v>-500</v>
      </c>
      <c r="E50" s="9" t="n">
        <v>191500</v>
      </c>
    </row>
    <row r="51" customFormat="false" ht="15" hidden="false" customHeight="false" outlineLevel="0" collapsed="false">
      <c r="A51" s="7" t="s">
        <v>27</v>
      </c>
      <c r="B51" s="8" t="s">
        <v>530</v>
      </c>
      <c r="C51" s="9" t="n">
        <v>191500</v>
      </c>
      <c r="D51" s="9" t="n">
        <f aca="false">E51-C51</f>
        <v>0</v>
      </c>
      <c r="E51" s="9" t="n">
        <v>191500</v>
      </c>
    </row>
    <row r="52" customFormat="false" ht="15" hidden="false" customHeight="false" outlineLevel="0" collapsed="false">
      <c r="A52" s="7" t="s">
        <v>29</v>
      </c>
      <c r="B52" s="8" t="s">
        <v>531</v>
      </c>
      <c r="C52" s="9" t="n">
        <f aca="false">98500+91500+1500</f>
        <v>191500</v>
      </c>
      <c r="D52" s="9" t="n">
        <f aca="false">E52-C52</f>
        <v>0</v>
      </c>
      <c r="E52" s="9" t="n">
        <v>191500</v>
      </c>
    </row>
    <row r="53" customFormat="false" ht="15" hidden="false" customHeight="false" outlineLevel="0" collapsed="false">
      <c r="A53" s="7" t="s">
        <v>31</v>
      </c>
      <c r="B53" s="8" t="s">
        <v>532</v>
      </c>
      <c r="C53" s="9" t="n">
        <f aca="false">153500</f>
        <v>153500</v>
      </c>
      <c r="D53" s="9" t="n">
        <f aca="false">E53-C53</f>
        <v>38000</v>
      </c>
      <c r="E53" s="9" t="n">
        <v>191500</v>
      </c>
    </row>
    <row r="54" customFormat="false" ht="15" hidden="false" customHeight="false" outlineLevel="0" collapsed="false">
      <c r="A54" s="7" t="s">
        <v>33</v>
      </c>
      <c r="B54" s="8" t="s">
        <v>533</v>
      </c>
      <c r="C54" s="9" t="n">
        <f aca="false">50000+100000+41500</f>
        <v>191500</v>
      </c>
      <c r="D54" s="9" t="n">
        <f aca="false">E54-C54</f>
        <v>0</v>
      </c>
      <c r="E54" s="9" t="n">
        <v>191500</v>
      </c>
    </row>
    <row r="55" customFormat="false" ht="15" hidden="false" customHeight="false" outlineLevel="0" collapsed="false">
      <c r="A55" s="7" t="s">
        <v>35</v>
      </c>
      <c r="B55" s="8" t="s">
        <v>534</v>
      </c>
      <c r="C55" s="9" t="n">
        <v>191500</v>
      </c>
      <c r="D55" s="9" t="n">
        <f aca="false">E55-C55</f>
        <v>0</v>
      </c>
      <c r="E55" s="9" t="n">
        <v>191500</v>
      </c>
    </row>
    <row r="56" customFormat="false" ht="15" hidden="false" customHeight="false" outlineLevel="0" collapsed="false">
      <c r="A56" s="7" t="s">
        <v>37</v>
      </c>
      <c r="B56" s="8" t="s">
        <v>535</v>
      </c>
      <c r="C56" s="9" t="n">
        <f aca="false">100000+76500+15000</f>
        <v>191500</v>
      </c>
      <c r="D56" s="9" t="n">
        <f aca="false">E56-C56</f>
        <v>0</v>
      </c>
      <c r="E56" s="9" t="n">
        <v>191500</v>
      </c>
    </row>
    <row r="57" customFormat="false" ht="15" hidden="false" customHeight="false" outlineLevel="0" collapsed="false">
      <c r="A57" s="7" t="s">
        <v>39</v>
      </c>
      <c r="B57" s="8" t="s">
        <v>536</v>
      </c>
      <c r="C57" s="9" t="n">
        <f aca="false">20000+171500</f>
        <v>191500</v>
      </c>
      <c r="D57" s="9" t="n">
        <f aca="false">E57-C57</f>
        <v>0</v>
      </c>
      <c r="E57" s="9" t="n">
        <v>191500</v>
      </c>
    </row>
    <row r="58" customFormat="false" ht="15" hidden="false" customHeight="false" outlineLevel="0" collapsed="false">
      <c r="A58" s="7" t="s">
        <v>41</v>
      </c>
      <c r="B58" s="8" t="s">
        <v>537</v>
      </c>
      <c r="C58" s="9" t="n">
        <f aca="false">50000</f>
        <v>50000</v>
      </c>
      <c r="D58" s="9" t="n">
        <f aca="false">E58-C58</f>
        <v>141500</v>
      </c>
      <c r="E58" s="9" t="n">
        <v>191500</v>
      </c>
    </row>
    <row r="59" customFormat="false" ht="15" hidden="false" customHeight="false" outlineLevel="0" collapsed="false">
      <c r="A59" s="7" t="s">
        <v>43</v>
      </c>
      <c r="B59" s="8" t="s">
        <v>538</v>
      </c>
      <c r="C59" s="9"/>
      <c r="D59" s="9" t="n">
        <f aca="false">E59-C59</f>
        <v>191500</v>
      </c>
      <c r="E59" s="9" t="n">
        <v>191500</v>
      </c>
    </row>
    <row r="60" customFormat="false" ht="15" hidden="false" customHeight="false" outlineLevel="0" collapsed="false">
      <c r="A60" s="7" t="s">
        <v>45</v>
      </c>
      <c r="B60" s="8" t="s">
        <v>539</v>
      </c>
      <c r="C60" s="9" t="n">
        <f aca="false">50000+140000+1500</f>
        <v>191500</v>
      </c>
      <c r="D60" s="9" t="n">
        <f aca="false">E60-C60</f>
        <v>0</v>
      </c>
      <c r="E60" s="9" t="n">
        <v>191500</v>
      </c>
    </row>
    <row r="61" customFormat="false" ht="15" hidden="false" customHeight="false" outlineLevel="0" collapsed="false">
      <c r="A61" s="7" t="s">
        <v>49</v>
      </c>
      <c r="B61" s="8" t="s">
        <v>540</v>
      </c>
      <c r="C61" s="9" t="n">
        <f aca="false">191500</f>
        <v>191500</v>
      </c>
      <c r="D61" s="9" t="n">
        <f aca="false">E61-C61</f>
        <v>0</v>
      </c>
      <c r="E61" s="9" t="n">
        <v>191500</v>
      </c>
    </row>
    <row r="62" customFormat="false" ht="24.75" hidden="false" customHeight="true" outlineLevel="0" collapsed="false">
      <c r="A62" s="5" t="s">
        <v>101</v>
      </c>
      <c r="B62" s="5"/>
      <c r="C62" s="6" t="n">
        <f aca="false">SUM(C44:C61)</f>
        <v>3119500</v>
      </c>
      <c r="D62" s="6" t="n">
        <f aca="false">SUM(D44:D61)</f>
        <v>327500</v>
      </c>
      <c r="E62" s="6" t="n">
        <f aca="false">SUM(E39:E61)</f>
        <v>3447000</v>
      </c>
    </row>
    <row r="63" customFormat="false" ht="12.75" hidden="false" customHeight="false" outlineLevel="0" collapsed="false">
      <c r="A63" s="2"/>
      <c r="B63" s="2"/>
      <c r="C63" s="2"/>
      <c r="D63" s="2"/>
      <c r="E63" s="2"/>
    </row>
    <row r="65" customFormat="false" ht="17.35" hidden="false" customHeight="false" outlineLevel="0" collapsed="false">
      <c r="A65" s="2"/>
      <c r="B65" s="12" t="s">
        <v>541</v>
      </c>
      <c r="C65" s="12"/>
      <c r="D65" s="12"/>
      <c r="E65" s="12"/>
    </row>
    <row r="66" customFormat="false" ht="12.75" hidden="false" customHeight="false" outlineLevel="0" collapsed="false">
      <c r="A66" s="2"/>
      <c r="B66" s="2"/>
      <c r="C66" s="24"/>
      <c r="D66" s="2"/>
      <c r="E66" s="2"/>
    </row>
    <row r="67" customFormat="false" ht="12.75" hidden="false" customHeight="false" outlineLevel="0" collapsed="false">
      <c r="A67" s="2"/>
      <c r="B67" s="2"/>
      <c r="C67" s="24"/>
      <c r="D67" s="2"/>
      <c r="E67" s="2"/>
    </row>
    <row r="68" customFormat="false" ht="15" hidden="false" customHeight="false" outlineLevel="0" collapsed="false">
      <c r="A68" s="5" t="s">
        <v>332</v>
      </c>
      <c r="B68" s="5" t="s">
        <v>3</v>
      </c>
      <c r="C68" s="6" t="s">
        <v>4</v>
      </c>
      <c r="D68" s="5" t="s">
        <v>5</v>
      </c>
      <c r="E68" s="6" t="s">
        <v>6</v>
      </c>
    </row>
    <row r="69" customFormat="false" ht="15" hidden="false" customHeight="false" outlineLevel="0" collapsed="false">
      <c r="A69" s="7" t="n">
        <v>1</v>
      </c>
      <c r="B69" s="8" t="s">
        <v>542</v>
      </c>
      <c r="C69" s="9"/>
      <c r="D69" s="9" t="n">
        <f aca="false">E69-C69</f>
        <v>191500</v>
      </c>
      <c r="E69" s="9" t="n">
        <v>191500</v>
      </c>
    </row>
    <row r="70" customFormat="false" ht="15" hidden="false" customHeight="false" outlineLevel="0" collapsed="false">
      <c r="A70" s="7" t="n">
        <v>2</v>
      </c>
      <c r="B70" s="8" t="s">
        <v>543</v>
      </c>
      <c r="C70" s="9" t="n">
        <f aca="false">191500+16500</f>
        <v>208000</v>
      </c>
      <c r="D70" s="9" t="n">
        <f aca="false">E70-C70</f>
        <v>-16500</v>
      </c>
      <c r="E70" s="9" t="n">
        <v>191500</v>
      </c>
    </row>
    <row r="71" customFormat="false" ht="15" hidden="false" customHeight="false" outlineLevel="0" collapsed="false">
      <c r="A71" s="7" t="n">
        <v>3</v>
      </c>
      <c r="B71" s="8" t="s">
        <v>544</v>
      </c>
      <c r="C71" s="9" t="n">
        <f aca="false">147750</f>
        <v>147750</v>
      </c>
      <c r="D71" s="9" t="n">
        <f aca="false">E71-C71</f>
        <v>0</v>
      </c>
      <c r="E71" s="9" t="n">
        <v>147750</v>
      </c>
    </row>
    <row r="72" customFormat="false" ht="15" hidden="false" customHeight="false" outlineLevel="0" collapsed="false">
      <c r="A72" s="7" t="n">
        <v>4</v>
      </c>
      <c r="B72" s="8" t="s">
        <v>545</v>
      </c>
      <c r="C72" s="9" t="n">
        <f aca="false">76500+100000+15000</f>
        <v>191500</v>
      </c>
      <c r="D72" s="9" t="n">
        <f aca="false">E72-C72</f>
        <v>0</v>
      </c>
      <c r="E72" s="9" t="n">
        <v>191500</v>
      </c>
    </row>
    <row r="73" customFormat="false" ht="15" hidden="false" customHeight="false" outlineLevel="0" collapsed="false">
      <c r="A73" s="7" t="n">
        <v>5</v>
      </c>
      <c r="B73" s="8" t="s">
        <v>546</v>
      </c>
      <c r="C73" s="9" t="n">
        <v>191500</v>
      </c>
      <c r="D73" s="9" t="n">
        <f aca="false">E73-C73</f>
        <v>0</v>
      </c>
      <c r="E73" s="9" t="n">
        <v>191500</v>
      </c>
    </row>
    <row r="74" customFormat="false" ht="15" hidden="false" customHeight="false" outlineLevel="0" collapsed="false">
      <c r="A74" s="7" t="n">
        <v>6</v>
      </c>
      <c r="B74" s="8" t="s">
        <v>547</v>
      </c>
      <c r="C74" s="9"/>
      <c r="D74" s="9" t="n">
        <f aca="false">E74-C74</f>
        <v>191500</v>
      </c>
      <c r="E74" s="9" t="n">
        <v>191500</v>
      </c>
    </row>
    <row r="75" customFormat="false" ht="15" hidden="false" customHeight="false" outlineLevel="0" collapsed="false">
      <c r="A75" s="5" t="s">
        <v>101</v>
      </c>
      <c r="B75" s="5"/>
      <c r="C75" s="6" t="n">
        <f aca="false">SUM(C69:C74)</f>
        <v>738750</v>
      </c>
      <c r="D75" s="6" t="n">
        <f aca="false">SUM(D69:D74)</f>
        <v>366500</v>
      </c>
      <c r="E75" s="6" t="n">
        <f aca="false">SUM(E69:E74)</f>
        <v>1105250</v>
      </c>
    </row>
    <row r="78" customFormat="false" ht="17.35" hidden="false" customHeight="false" outlineLevel="0" collapsed="false">
      <c r="A78" s="2"/>
      <c r="B78" s="28" t="s">
        <v>548</v>
      </c>
      <c r="C78" s="2"/>
      <c r="D78" s="2"/>
      <c r="E78" s="2"/>
    </row>
    <row r="79" customFormat="false" ht="12.75" hidden="false" customHeight="false" outlineLevel="0" collapsed="false">
      <c r="A79" s="2"/>
      <c r="B79" s="2"/>
      <c r="C79" s="2"/>
      <c r="D79" s="2"/>
      <c r="E79" s="2"/>
    </row>
    <row r="80" customFormat="false" ht="17.35" hidden="false" customHeight="false" outlineLevel="0" collapsed="false">
      <c r="A80" s="4" t="s">
        <v>549</v>
      </c>
      <c r="B80" s="4"/>
      <c r="C80" s="4"/>
      <c r="D80" s="4"/>
      <c r="E80" s="4"/>
    </row>
    <row r="81" customFormat="false" ht="12.75" hidden="false" customHeight="false" outlineLevel="0" collapsed="false">
      <c r="A81" s="2"/>
      <c r="B81" s="2"/>
      <c r="C81" s="24"/>
      <c r="D81" s="2"/>
      <c r="E81" s="2"/>
    </row>
    <row r="82" customFormat="false" ht="12.75" hidden="false" customHeight="false" outlineLevel="0" collapsed="false">
      <c r="A82" s="2"/>
      <c r="B82" s="2"/>
      <c r="C82" s="24"/>
      <c r="D82" s="2"/>
      <c r="E82" s="2"/>
    </row>
    <row r="83" customFormat="false" ht="15" hidden="false" customHeight="false" outlineLevel="0" collapsed="false">
      <c r="A83" s="5" t="s">
        <v>2</v>
      </c>
      <c r="B83" s="5" t="s">
        <v>3</v>
      </c>
      <c r="C83" s="6" t="s">
        <v>4</v>
      </c>
      <c r="D83" s="5" t="s">
        <v>5</v>
      </c>
      <c r="E83" s="6" t="s">
        <v>6</v>
      </c>
    </row>
    <row r="84" customFormat="false" ht="15" hidden="false" customHeight="false" outlineLevel="0" collapsed="false">
      <c r="A84" s="7" t="s">
        <v>333</v>
      </c>
      <c r="B84" s="8" t="s">
        <v>550</v>
      </c>
      <c r="C84" s="9" t="n">
        <f aca="false">17000+174500</f>
        <v>191500</v>
      </c>
      <c r="D84" s="9" t="n">
        <f aca="false">E84-C84</f>
        <v>0</v>
      </c>
      <c r="E84" s="9" t="n">
        <v>191500</v>
      </c>
    </row>
    <row r="85" customFormat="false" ht="15" hidden="false" customHeight="false" outlineLevel="0" collapsed="false">
      <c r="A85" s="7" t="s">
        <v>334</v>
      </c>
      <c r="B85" s="8" t="s">
        <v>551</v>
      </c>
      <c r="C85" s="9" t="n">
        <f aca="false">183250+8250</f>
        <v>191500</v>
      </c>
      <c r="D85" s="9" t="n">
        <f aca="false">E85-C85</f>
        <v>0</v>
      </c>
      <c r="E85" s="9" t="n">
        <v>191500</v>
      </c>
    </row>
    <row r="86" customFormat="false" ht="15" hidden="false" customHeight="false" outlineLevel="0" collapsed="false">
      <c r="A86" s="7" t="s">
        <v>335</v>
      </c>
      <c r="B86" s="8" t="s">
        <v>552</v>
      </c>
      <c r="C86" s="9" t="n">
        <v>191500</v>
      </c>
      <c r="D86" s="9" t="n">
        <f aca="false">E86-C86</f>
        <v>0</v>
      </c>
      <c r="E86" s="9" t="n">
        <v>191500</v>
      </c>
    </row>
    <row r="87" customFormat="false" ht="15" hidden="false" customHeight="false" outlineLevel="0" collapsed="false">
      <c r="A87" s="7" t="s">
        <v>336</v>
      </c>
      <c r="B87" s="8" t="s">
        <v>553</v>
      </c>
      <c r="C87" s="9" t="n">
        <f aca="false">16500+175000</f>
        <v>191500</v>
      </c>
      <c r="D87" s="9" t="n">
        <f aca="false">E87-C87</f>
        <v>0</v>
      </c>
      <c r="E87" s="9" t="n">
        <v>191500</v>
      </c>
    </row>
    <row r="88" customFormat="false" ht="15" hidden="false" customHeight="false" outlineLevel="0" collapsed="false">
      <c r="A88" s="7" t="s">
        <v>337</v>
      </c>
      <c r="B88" s="8" t="s">
        <v>554</v>
      </c>
      <c r="C88" s="9" t="n">
        <v>191500</v>
      </c>
      <c r="D88" s="9" t="n">
        <f aca="false">E88-C88</f>
        <v>0</v>
      </c>
      <c r="E88" s="9" t="n">
        <v>191500</v>
      </c>
    </row>
    <row r="89" customFormat="false" ht="15" hidden="false" customHeight="false" outlineLevel="0" collapsed="false">
      <c r="A89" s="7" t="s">
        <v>338</v>
      </c>
      <c r="B89" s="8" t="s">
        <v>555</v>
      </c>
      <c r="C89" s="9" t="n">
        <f aca="false">100000+1000+91000</f>
        <v>192000</v>
      </c>
      <c r="D89" s="9" t="n">
        <f aca="false">E89-C89</f>
        <v>-500</v>
      </c>
      <c r="E89" s="9" t="n">
        <v>191500</v>
      </c>
    </row>
    <row r="90" customFormat="false" ht="15" hidden="false" customHeight="false" outlineLevel="0" collapsed="false">
      <c r="A90" s="7" t="s">
        <v>339</v>
      </c>
      <c r="B90" s="8" t="s">
        <v>556</v>
      </c>
      <c r="C90" s="9" t="n">
        <f aca="false">20000+171000</f>
        <v>191000</v>
      </c>
      <c r="D90" s="9" t="n">
        <f aca="false">E90-C90</f>
        <v>500</v>
      </c>
      <c r="E90" s="9" t="n">
        <v>191500</v>
      </c>
    </row>
    <row r="91" customFormat="false" ht="15" hidden="false" customHeight="false" outlineLevel="0" collapsed="false">
      <c r="A91" s="7" t="s">
        <v>341</v>
      </c>
      <c r="B91" s="8" t="s">
        <v>557</v>
      </c>
      <c r="C91" s="9" t="n">
        <f aca="false">33500+158000</f>
        <v>191500</v>
      </c>
      <c r="D91" s="9" t="n">
        <f aca="false">E91-C91</f>
        <v>0</v>
      </c>
      <c r="E91" s="9" t="n">
        <v>191500</v>
      </c>
    </row>
    <row r="92" customFormat="false" ht="15" hidden="false" customHeight="false" outlineLevel="0" collapsed="false">
      <c r="A92" s="7" t="s">
        <v>342</v>
      </c>
      <c r="B92" s="8" t="s">
        <v>474</v>
      </c>
      <c r="C92" s="9"/>
      <c r="D92" s="9" t="n">
        <f aca="false">E92-C92</f>
        <v>191500</v>
      </c>
      <c r="E92" s="9" t="n">
        <v>191500</v>
      </c>
    </row>
    <row r="93" customFormat="false" ht="15" hidden="false" customHeight="false" outlineLevel="0" collapsed="false">
      <c r="A93" s="7" t="s">
        <v>343</v>
      </c>
      <c r="B93" s="8" t="s">
        <v>558</v>
      </c>
      <c r="C93" s="9"/>
      <c r="D93" s="9" t="n">
        <f aca="false">E93-C93</f>
        <v>191500</v>
      </c>
      <c r="E93" s="9" t="n">
        <v>191500</v>
      </c>
    </row>
    <row r="94" customFormat="false" ht="15" hidden="false" customHeight="false" outlineLevel="0" collapsed="false">
      <c r="A94" s="7" t="s">
        <v>344</v>
      </c>
      <c r="B94" s="8" t="s">
        <v>559</v>
      </c>
      <c r="C94" s="9" t="n">
        <v>191500</v>
      </c>
      <c r="D94" s="9" t="n">
        <f aca="false">E94-C94</f>
        <v>0</v>
      </c>
      <c r="E94" s="9" t="n">
        <v>191500</v>
      </c>
    </row>
    <row r="95" customFormat="false" ht="15" hidden="false" customHeight="false" outlineLevel="0" collapsed="false">
      <c r="A95" s="7" t="s">
        <v>560</v>
      </c>
      <c r="B95" s="8" t="s">
        <v>561</v>
      </c>
      <c r="C95" s="9" t="n">
        <f aca="false">150000+50000</f>
        <v>200000</v>
      </c>
      <c r="D95" s="9" t="n">
        <f aca="false">E95-C95</f>
        <v>-8500</v>
      </c>
      <c r="E95" s="9" t="n">
        <v>191500</v>
      </c>
    </row>
    <row r="96" customFormat="false" ht="15" hidden="false" customHeight="false" outlineLevel="0" collapsed="false">
      <c r="A96" s="7" t="s">
        <v>562</v>
      </c>
      <c r="B96" s="8" t="s">
        <v>563</v>
      </c>
      <c r="C96" s="9" t="n">
        <f aca="false">20000+171500</f>
        <v>191500</v>
      </c>
      <c r="D96" s="9" t="n">
        <f aca="false">E96-C96</f>
        <v>0</v>
      </c>
      <c r="E96" s="9" t="n">
        <v>191500</v>
      </c>
    </row>
    <row r="97" customFormat="false" ht="15" hidden="false" customHeight="false" outlineLevel="0" collapsed="false">
      <c r="A97" s="7" t="s">
        <v>564</v>
      </c>
      <c r="B97" s="8" t="s">
        <v>565</v>
      </c>
      <c r="C97" s="9" t="n">
        <f aca="false">183500+8000</f>
        <v>191500</v>
      </c>
      <c r="D97" s="9" t="n">
        <f aca="false">E97-C97</f>
        <v>0</v>
      </c>
      <c r="E97" s="9" t="n">
        <v>191500</v>
      </c>
    </row>
    <row r="98" customFormat="false" ht="15" hidden="false" customHeight="false" outlineLevel="0" collapsed="false">
      <c r="A98" s="7" t="s">
        <v>566</v>
      </c>
      <c r="B98" s="8" t="s">
        <v>567</v>
      </c>
      <c r="C98" s="9"/>
      <c r="D98" s="9" t="n">
        <f aca="false">E98-C98</f>
        <v>191500</v>
      </c>
      <c r="E98" s="9" t="n">
        <v>191500</v>
      </c>
    </row>
    <row r="99" customFormat="false" ht="15" hidden="false" customHeight="false" outlineLevel="0" collapsed="false">
      <c r="A99" s="7" t="s">
        <v>568</v>
      </c>
      <c r="B99" s="8" t="s">
        <v>569</v>
      </c>
      <c r="C99" s="9" t="n">
        <f aca="false">20000+40000+100000+31500</f>
        <v>191500</v>
      </c>
      <c r="D99" s="9" t="n">
        <f aca="false">E99-C99</f>
        <v>0</v>
      </c>
      <c r="E99" s="9" t="n">
        <v>191500</v>
      </c>
    </row>
    <row r="100" customFormat="false" ht="15" hidden="false" customHeight="false" outlineLevel="0" collapsed="false">
      <c r="A100" s="7" t="s">
        <v>570</v>
      </c>
      <c r="B100" s="8" t="s">
        <v>571</v>
      </c>
      <c r="C100" s="9" t="n">
        <f aca="false">70000</f>
        <v>70000</v>
      </c>
      <c r="D100" s="9" t="n">
        <f aca="false">E100-C100</f>
        <v>121500</v>
      </c>
      <c r="E100" s="9" t="n">
        <v>191500</v>
      </c>
    </row>
    <row r="101" customFormat="false" ht="15" hidden="false" customHeight="false" outlineLevel="0" collapsed="false">
      <c r="A101" s="7" t="s">
        <v>572</v>
      </c>
      <c r="B101" s="8" t="s">
        <v>573</v>
      </c>
      <c r="C101" s="9" t="n">
        <f aca="false">50000+40000+102000</f>
        <v>192000</v>
      </c>
      <c r="D101" s="9" t="n">
        <f aca="false">E101-C101</f>
        <v>-500</v>
      </c>
      <c r="E101" s="9" t="n">
        <v>191500</v>
      </c>
    </row>
    <row r="102" customFormat="false" ht="15" hidden="false" customHeight="false" outlineLevel="0" collapsed="false">
      <c r="A102" s="5" t="s">
        <v>101</v>
      </c>
      <c r="B102" s="5"/>
      <c r="C102" s="6" t="n">
        <f aca="false">SUM(C84:C101)</f>
        <v>2760000</v>
      </c>
      <c r="D102" s="6" t="n">
        <f aca="false">SUM(D84:D101)</f>
        <v>687000</v>
      </c>
      <c r="E102" s="6" t="n">
        <f aca="false">SUM(E84:E101)</f>
        <v>3447000</v>
      </c>
    </row>
    <row r="103" customFormat="false" ht="12.75" hidden="false" customHeight="false" outlineLevel="0" collapsed="false">
      <c r="A103" s="2"/>
      <c r="B103" s="2"/>
      <c r="C103" s="2"/>
      <c r="D103" s="2"/>
      <c r="E103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38:B38"/>
    <mergeCell ref="A102:B102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8.28"/>
    <col collapsed="false" customWidth="true" hidden="false" outlineLevel="0" max="2" min="2" style="1" width="29.41"/>
    <col collapsed="false" customWidth="true" hidden="false" outlineLevel="0" max="5" min="3" style="1" width="14.41"/>
    <col collapsed="false" customWidth="true" hidden="false" outlineLevel="0" max="16384" min="16382" style="0" width="11.53"/>
  </cols>
  <sheetData>
    <row r="2" customFormat="false" ht="17.35" hidden="false" customHeight="false" outlineLevel="0" collapsed="false">
      <c r="A2" s="4" t="s">
        <v>574</v>
      </c>
      <c r="B2" s="4"/>
      <c r="C2" s="4"/>
      <c r="D2" s="4"/>
      <c r="E2" s="4"/>
    </row>
    <row r="3" customFormat="false" ht="12.75" hidden="false" customHeight="false" outlineLevel="0" collapsed="false">
      <c r="A3" s="2"/>
      <c r="B3" s="2"/>
      <c r="C3" s="24"/>
      <c r="D3" s="2"/>
      <c r="E3" s="30"/>
    </row>
    <row r="4" customFormat="false" ht="12.75" hidden="false" customHeight="false" outlineLevel="0" collapsed="false">
      <c r="A4" s="2"/>
      <c r="B4" s="2"/>
      <c r="C4" s="24"/>
      <c r="D4" s="2"/>
      <c r="E4" s="30"/>
    </row>
    <row r="5" customFormat="false" ht="15" hidden="false" customHeight="false" outlineLevel="0" collapsed="false">
      <c r="A5" s="5" t="s">
        <v>2</v>
      </c>
      <c r="B5" s="5" t="s">
        <v>3</v>
      </c>
      <c r="C5" s="6" t="s">
        <v>4</v>
      </c>
      <c r="D5" s="5" t="s">
        <v>5</v>
      </c>
      <c r="E5" s="6" t="s">
        <v>6</v>
      </c>
    </row>
    <row r="6" customFormat="false" ht="15" hidden="false" customHeight="false" outlineLevel="0" collapsed="false">
      <c r="A6" s="7" t="n">
        <v>1</v>
      </c>
      <c r="B6" s="31" t="s">
        <v>575</v>
      </c>
      <c r="C6" s="9" t="n">
        <f aca="false">80000+250000+286500</f>
        <v>616500</v>
      </c>
      <c r="D6" s="9" t="n">
        <f aca="false">E6-C6</f>
        <v>0</v>
      </c>
      <c r="E6" s="9" t="n">
        <v>616500</v>
      </c>
    </row>
    <row r="7" customFormat="false" ht="15" hidden="false" customHeight="false" outlineLevel="0" collapsed="false">
      <c r="A7" s="7" t="n">
        <v>2</v>
      </c>
      <c r="B7" s="31" t="s">
        <v>576</v>
      </c>
      <c r="C7" s="9" t="n">
        <f aca="false">349975+200000+66525</f>
        <v>616500</v>
      </c>
      <c r="D7" s="9" t="n">
        <f aca="false">E7-C7</f>
        <v>0</v>
      </c>
      <c r="E7" s="9" t="n">
        <v>616500</v>
      </c>
    </row>
    <row r="8" customFormat="false" ht="15" hidden="false" customHeight="false" outlineLevel="0" collapsed="false">
      <c r="A8" s="7" t="n">
        <v>3</v>
      </c>
      <c r="B8" s="31" t="s">
        <v>577</v>
      </c>
      <c r="C8" s="9" t="n">
        <v>616500</v>
      </c>
      <c r="D8" s="9" t="n">
        <f aca="false">E8-C8</f>
        <v>0</v>
      </c>
      <c r="E8" s="9" t="n">
        <v>616500</v>
      </c>
    </row>
    <row r="9" customFormat="false" ht="15" hidden="false" customHeight="false" outlineLevel="0" collapsed="false">
      <c r="A9" s="7" t="n">
        <v>4</v>
      </c>
      <c r="B9" s="31" t="s">
        <v>578</v>
      </c>
      <c r="C9" s="9" t="n">
        <f aca="false">300000+316500</f>
        <v>616500</v>
      </c>
      <c r="D9" s="9" t="n">
        <f aca="false">E9-C9</f>
        <v>0</v>
      </c>
      <c r="E9" s="9" t="n">
        <v>616500</v>
      </c>
    </row>
    <row r="10" customFormat="false" ht="15" hidden="false" customHeight="false" outlineLevel="0" collapsed="false">
      <c r="A10" s="7" t="n">
        <v>5</v>
      </c>
      <c r="B10" s="31" t="s">
        <v>579</v>
      </c>
      <c r="C10" s="9" t="n">
        <f aca="false">16500+200000+400000</f>
        <v>616500</v>
      </c>
      <c r="D10" s="9" t="n">
        <f aca="false">E10-C10</f>
        <v>0</v>
      </c>
      <c r="E10" s="9" t="n">
        <v>616500</v>
      </c>
    </row>
    <row r="11" customFormat="false" ht="15" hidden="false" customHeight="false" outlineLevel="0" collapsed="false">
      <c r="A11" s="7" t="n">
        <v>6</v>
      </c>
      <c r="B11" s="31" t="s">
        <v>580</v>
      </c>
      <c r="C11" s="9" t="n">
        <f aca="false">316500+5000+295000</f>
        <v>616500</v>
      </c>
      <c r="D11" s="9" t="n">
        <f aca="false">E11-C11</f>
        <v>0</v>
      </c>
      <c r="E11" s="9" t="n">
        <v>616500</v>
      </c>
    </row>
    <row r="12" customFormat="false" ht="15" hidden="false" customHeight="false" outlineLevel="0" collapsed="false">
      <c r="A12" s="7" t="n">
        <v>7</v>
      </c>
      <c r="B12" s="31" t="s">
        <v>581</v>
      </c>
      <c r="C12" s="9" t="n">
        <f aca="false">20000+300000+296500</f>
        <v>616500</v>
      </c>
      <c r="D12" s="9" t="n">
        <f aca="false">E12-C12</f>
        <v>0</v>
      </c>
      <c r="E12" s="9" t="n">
        <v>616500</v>
      </c>
    </row>
    <row r="13" customFormat="false" ht="15" hidden="false" customHeight="false" outlineLevel="0" collapsed="false">
      <c r="A13" s="7" t="n">
        <v>8</v>
      </c>
      <c r="B13" s="31" t="s">
        <v>582</v>
      </c>
      <c r="C13" s="9" t="n">
        <f aca="false">16500+300000+300000</f>
        <v>616500</v>
      </c>
      <c r="D13" s="9" t="n">
        <f aca="false">E13-C13</f>
        <v>0</v>
      </c>
      <c r="E13" s="9" t="n">
        <v>616500</v>
      </c>
    </row>
    <row r="14" customFormat="false" ht="15" hidden="false" customHeight="false" outlineLevel="0" collapsed="false">
      <c r="A14" s="7" t="n">
        <v>9</v>
      </c>
      <c r="B14" s="31" t="s">
        <v>583</v>
      </c>
      <c r="C14" s="9" t="n">
        <f aca="false">300000+16500+300000</f>
        <v>616500</v>
      </c>
      <c r="D14" s="9" t="n">
        <f aca="false">E14-C14</f>
        <v>0</v>
      </c>
      <c r="E14" s="9" t="n">
        <v>616500</v>
      </c>
    </row>
    <row r="15" customFormat="false" ht="15" hidden="false" customHeight="false" outlineLevel="0" collapsed="false">
      <c r="A15" s="7" t="n">
        <v>10</v>
      </c>
      <c r="B15" s="8" t="s">
        <v>584</v>
      </c>
      <c r="C15" s="9" t="n">
        <f aca="false">16500+145000+280000+175000</f>
        <v>616500</v>
      </c>
      <c r="D15" s="9" t="n">
        <f aca="false">E15-C15</f>
        <v>0</v>
      </c>
      <c r="E15" s="9" t="n">
        <v>616500</v>
      </c>
    </row>
    <row r="16" customFormat="false" ht="15" hidden="false" customHeight="false" outlineLevel="0" collapsed="false">
      <c r="A16" s="7" t="n">
        <v>11</v>
      </c>
      <c r="B16" s="8" t="s">
        <v>585</v>
      </c>
      <c r="C16" s="9" t="n">
        <f aca="false">100000+100000+116500+300000</f>
        <v>616500</v>
      </c>
      <c r="D16" s="9" t="n">
        <f aca="false">E16-C16</f>
        <v>0</v>
      </c>
      <c r="E16" s="9" t="n">
        <v>616500</v>
      </c>
    </row>
    <row r="17" customFormat="false" ht="15" hidden="false" customHeight="false" outlineLevel="0" collapsed="false">
      <c r="A17" s="7" t="n">
        <v>12</v>
      </c>
      <c r="B17" s="8" t="s">
        <v>586</v>
      </c>
      <c r="C17" s="9" t="n">
        <f aca="false">16500+600000</f>
        <v>616500</v>
      </c>
      <c r="D17" s="9" t="n">
        <f aca="false">E17-C17</f>
        <v>0</v>
      </c>
      <c r="E17" s="9" t="n">
        <v>616500</v>
      </c>
    </row>
    <row r="18" customFormat="false" ht="15" hidden="false" customHeight="false" outlineLevel="0" collapsed="false">
      <c r="A18" s="7" t="n">
        <v>13</v>
      </c>
      <c r="B18" s="8" t="s">
        <v>587</v>
      </c>
      <c r="C18" s="9" t="n">
        <f aca="false">300000+315000</f>
        <v>615000</v>
      </c>
      <c r="D18" s="9" t="n">
        <f aca="false">E18-C18</f>
        <v>1500</v>
      </c>
      <c r="E18" s="9" t="n">
        <v>616500</v>
      </c>
    </row>
    <row r="19" customFormat="false" ht="15" hidden="false" customHeight="false" outlineLevel="0" collapsed="false">
      <c r="A19" s="7" t="n">
        <v>14</v>
      </c>
      <c r="B19" s="8" t="s">
        <v>588</v>
      </c>
      <c r="C19" s="9" t="n">
        <f aca="false">316500+300000</f>
        <v>616500</v>
      </c>
      <c r="D19" s="9" t="n">
        <f aca="false">E19-C19</f>
        <v>0</v>
      </c>
      <c r="E19" s="9" t="n">
        <v>616500</v>
      </c>
    </row>
    <row r="20" customFormat="false" ht="15" hidden="false" customHeight="false" outlineLevel="0" collapsed="false">
      <c r="A20" s="7" t="n">
        <v>15</v>
      </c>
      <c r="B20" s="8" t="s">
        <v>589</v>
      </c>
      <c r="C20" s="9" t="n">
        <f aca="false">316500+300000</f>
        <v>616500</v>
      </c>
      <c r="D20" s="9" t="n">
        <f aca="false">E20-C20</f>
        <v>0</v>
      </c>
      <c r="E20" s="9" t="n">
        <v>616500</v>
      </c>
    </row>
    <row r="21" customFormat="false" ht="15" hidden="false" customHeight="false" outlineLevel="0" collapsed="false">
      <c r="A21" s="7" t="n">
        <v>16</v>
      </c>
      <c r="B21" s="8" t="s">
        <v>590</v>
      </c>
      <c r="C21" s="9" t="n">
        <f aca="false">483000+80000+53500</f>
        <v>616500</v>
      </c>
      <c r="D21" s="9" t="n">
        <f aca="false">E21-C21</f>
        <v>0</v>
      </c>
      <c r="E21" s="9" t="n">
        <v>616500</v>
      </c>
    </row>
    <row r="22" customFormat="false" ht="15" hidden="false" customHeight="false" outlineLevel="0" collapsed="false">
      <c r="A22" s="7" t="n">
        <v>17</v>
      </c>
      <c r="B22" s="8" t="s">
        <v>591</v>
      </c>
      <c r="C22" s="9" t="n">
        <f aca="false">16500+600000</f>
        <v>616500</v>
      </c>
      <c r="D22" s="9" t="n">
        <f aca="false">E22-C22</f>
        <v>0</v>
      </c>
      <c r="E22" s="9" t="n">
        <v>616500</v>
      </c>
    </row>
    <row r="23" customFormat="false" ht="15" hidden="false" customHeight="false" outlineLevel="0" collapsed="false">
      <c r="A23" s="7" t="n">
        <v>18</v>
      </c>
      <c r="B23" s="8" t="s">
        <v>592</v>
      </c>
      <c r="C23" s="9" t="n">
        <v>616500</v>
      </c>
      <c r="D23" s="9" t="n">
        <f aca="false">E23-C23</f>
        <v>0</v>
      </c>
      <c r="E23" s="9" t="n">
        <v>616500</v>
      </c>
    </row>
    <row r="24" customFormat="false" ht="15" hidden="false" customHeight="false" outlineLevel="0" collapsed="false">
      <c r="A24" s="5" t="s">
        <v>101</v>
      </c>
      <c r="B24" s="5"/>
      <c r="C24" s="6" t="n">
        <f aca="false">SUM(C6:C23)</f>
        <v>11095500</v>
      </c>
      <c r="D24" s="6" t="n">
        <f aca="false">SUM(D6:D23)</f>
        <v>1500</v>
      </c>
      <c r="E24" s="6" t="n">
        <f aca="false">SUM(E6:E23)</f>
        <v>11097000</v>
      </c>
    </row>
    <row r="25" customFormat="false" ht="15" hidden="false" customHeight="false" outlineLevel="0" collapsed="false">
      <c r="A25" s="13"/>
      <c r="B25" s="13"/>
      <c r="C25" s="14"/>
      <c r="D25" s="14"/>
      <c r="E25" s="14"/>
    </row>
    <row r="26" customFormat="false" ht="15" hidden="false" customHeight="false" outlineLevel="0" collapsed="false">
      <c r="A26" s="13"/>
      <c r="B26" s="26"/>
      <c r="C26" s="14"/>
      <c r="D26" s="14"/>
      <c r="E26" s="14"/>
    </row>
    <row r="29" customFormat="false" ht="17.35" hidden="false" customHeight="false" outlineLevel="0" collapsed="false">
      <c r="A29" s="18" t="s">
        <v>593</v>
      </c>
    </row>
    <row r="30" customFormat="false" ht="17.35" hidden="false" customHeight="false" outlineLevel="0" collapsed="false">
      <c r="A30" s="18"/>
    </row>
    <row r="31" customFormat="false" ht="17.35" hidden="false" customHeight="false" outlineLevel="0" collapsed="false">
      <c r="B31" s="18" t="s">
        <v>594</v>
      </c>
    </row>
    <row r="33" customFormat="false" ht="15" hidden="false" customHeight="false" outlineLevel="0" collapsed="false">
      <c r="A33" s="5" t="s">
        <v>2</v>
      </c>
      <c r="B33" s="5" t="s">
        <v>3</v>
      </c>
      <c r="C33" s="6" t="s">
        <v>4</v>
      </c>
      <c r="D33" s="5" t="s">
        <v>5</v>
      </c>
      <c r="E33" s="6" t="s">
        <v>6</v>
      </c>
    </row>
    <row r="34" customFormat="false" ht="15" hidden="false" customHeight="false" outlineLevel="0" collapsed="false">
      <c r="A34" s="7" t="s">
        <v>7</v>
      </c>
      <c r="B34" s="31" t="s">
        <v>595</v>
      </c>
      <c r="C34" s="9" t="n">
        <f aca="false">16500+200000+200000+200000</f>
        <v>616500</v>
      </c>
      <c r="D34" s="9" t="n">
        <f aca="false">E34-C34</f>
        <v>0</v>
      </c>
      <c r="E34" s="9" t="n">
        <v>616500</v>
      </c>
    </row>
    <row r="35" customFormat="false" ht="15" hidden="false" customHeight="false" outlineLevel="0" collapsed="false">
      <c r="A35" s="7" t="s">
        <v>9</v>
      </c>
      <c r="B35" s="31" t="s">
        <v>596</v>
      </c>
      <c r="C35" s="9" t="n">
        <f aca="false">16500+100000+100000+100000+150000+150000</f>
        <v>616500</v>
      </c>
      <c r="D35" s="9" t="n">
        <f aca="false">E35-C35</f>
        <v>0</v>
      </c>
      <c r="E35" s="9" t="n">
        <v>616500</v>
      </c>
    </row>
    <row r="36" customFormat="false" ht="15" hidden="false" customHeight="false" outlineLevel="0" collapsed="false">
      <c r="A36" s="7" t="s">
        <v>11</v>
      </c>
      <c r="B36" s="31" t="s">
        <v>597</v>
      </c>
      <c r="C36" s="9" t="n">
        <v>1216500</v>
      </c>
      <c r="D36" s="9" t="n">
        <f aca="false">E36-C36</f>
        <v>0</v>
      </c>
      <c r="E36" s="9" t="n">
        <v>1216500</v>
      </c>
    </row>
    <row r="37" customFormat="false" ht="15" hidden="false" customHeight="false" outlineLevel="0" collapsed="false">
      <c r="A37" s="7" t="s">
        <v>13</v>
      </c>
      <c r="B37" s="31" t="s">
        <v>598</v>
      </c>
      <c r="C37" s="9" t="n">
        <f aca="false">16500+50000+150000+100000+50000+250000</f>
        <v>616500</v>
      </c>
      <c r="D37" s="9" t="n">
        <f aca="false">E37-C37</f>
        <v>0</v>
      </c>
      <c r="E37" s="9" t="n">
        <v>616500</v>
      </c>
    </row>
    <row r="38" customFormat="false" ht="15" hidden="false" customHeight="false" outlineLevel="0" collapsed="false">
      <c r="A38" s="7" t="s">
        <v>15</v>
      </c>
      <c r="B38" s="8" t="s">
        <v>599</v>
      </c>
      <c r="C38" s="9" t="n">
        <f aca="false">16500+150000+150000+100000+200000</f>
        <v>616500</v>
      </c>
      <c r="D38" s="9" t="n">
        <f aca="false">E38-C38</f>
        <v>0</v>
      </c>
      <c r="E38" s="9" t="n">
        <v>616500</v>
      </c>
    </row>
    <row r="39" customFormat="false" ht="15" hidden="false" customHeight="false" outlineLevel="0" collapsed="false">
      <c r="A39" s="7" t="s">
        <v>17</v>
      </c>
      <c r="B39" s="31" t="s">
        <v>600</v>
      </c>
      <c r="C39" s="9" t="n">
        <f aca="false">16500+200000+100000+100000+200000</f>
        <v>616500</v>
      </c>
      <c r="D39" s="9" t="n">
        <f aca="false">E39-C39</f>
        <v>0</v>
      </c>
      <c r="E39" s="9" t="n">
        <v>616500</v>
      </c>
    </row>
    <row r="40" customFormat="false" ht="15" hidden="false" customHeight="false" outlineLevel="0" collapsed="false">
      <c r="A40" s="7" t="s">
        <v>19</v>
      </c>
      <c r="B40" s="31" t="s">
        <v>601</v>
      </c>
      <c r="C40" s="9" t="n">
        <f aca="false">16500+200000+100000+300000</f>
        <v>616500</v>
      </c>
      <c r="D40" s="9" t="n">
        <f aca="false">E40-C40</f>
        <v>0</v>
      </c>
      <c r="E40" s="9" t="n">
        <v>616500</v>
      </c>
    </row>
    <row r="41" customFormat="false" ht="15" hidden="false" customHeight="false" outlineLevel="0" collapsed="false">
      <c r="A41" s="7" t="s">
        <v>21</v>
      </c>
      <c r="B41" s="8" t="s">
        <v>602</v>
      </c>
      <c r="C41" s="9" t="n">
        <f aca="false">16500+300000+300000</f>
        <v>616500</v>
      </c>
      <c r="D41" s="9" t="n">
        <f aca="false">E41-C41</f>
        <v>0</v>
      </c>
      <c r="E41" s="9" t="n">
        <v>616500</v>
      </c>
    </row>
    <row r="42" customFormat="false" ht="15" hidden="false" customHeight="false" outlineLevel="0" collapsed="false">
      <c r="A42" s="7" t="s">
        <v>23</v>
      </c>
      <c r="B42" s="31" t="s">
        <v>603</v>
      </c>
      <c r="C42" s="9" t="n">
        <f aca="false">16500+200000+100000+300000</f>
        <v>616500</v>
      </c>
      <c r="D42" s="9" t="n">
        <f aca="false">E42-C42</f>
        <v>0</v>
      </c>
      <c r="E42" s="9" t="n">
        <v>616500</v>
      </c>
    </row>
    <row r="43" customFormat="false" ht="15" hidden="false" customHeight="false" outlineLevel="0" collapsed="false">
      <c r="A43" s="7" t="s">
        <v>25</v>
      </c>
      <c r="B43" s="8" t="s">
        <v>604</v>
      </c>
      <c r="C43" s="9" t="n">
        <f aca="false">16500+300000+200000+100000</f>
        <v>616500</v>
      </c>
      <c r="D43" s="9" t="n">
        <f aca="false">E43-C43</f>
        <v>0</v>
      </c>
      <c r="E43" s="9" t="n">
        <v>616500</v>
      </c>
    </row>
    <row r="44" customFormat="false" ht="15" hidden="false" customHeight="false" outlineLevel="0" collapsed="false">
      <c r="A44" s="7" t="s">
        <v>27</v>
      </c>
      <c r="B44" s="31" t="s">
        <v>605</v>
      </c>
      <c r="C44" s="9" t="n">
        <f aca="false">16500+200000+50000+300000+50000</f>
        <v>616500</v>
      </c>
      <c r="D44" s="9" t="n">
        <f aca="false">E44-C44</f>
        <v>0</v>
      </c>
      <c r="E44" s="9" t="n">
        <v>616500</v>
      </c>
    </row>
    <row r="45" customFormat="false" ht="15" hidden="false" customHeight="false" outlineLevel="0" collapsed="false">
      <c r="A45" s="7" t="s">
        <v>29</v>
      </c>
      <c r="B45" s="31" t="s">
        <v>606</v>
      </c>
      <c r="C45" s="9" t="n">
        <f aca="false">16500+50000+550000</f>
        <v>616500</v>
      </c>
      <c r="D45" s="9" t="n">
        <f aca="false">E45-C45</f>
        <v>0</v>
      </c>
      <c r="E45" s="9" t="n">
        <v>616500</v>
      </c>
    </row>
    <row r="46" customFormat="false" ht="15" hidden="false" customHeight="false" outlineLevel="0" collapsed="false">
      <c r="A46" s="7" t="s">
        <v>31</v>
      </c>
      <c r="B46" s="8" t="s">
        <v>607</v>
      </c>
      <c r="C46" s="9" t="n">
        <f aca="false">16500+600000</f>
        <v>616500</v>
      </c>
      <c r="D46" s="9" t="n">
        <f aca="false">E46-C46</f>
        <v>0</v>
      </c>
      <c r="E46" s="9" t="n">
        <v>616500</v>
      </c>
    </row>
    <row r="47" customFormat="false" ht="15" hidden="false" customHeight="false" outlineLevel="0" collapsed="false">
      <c r="A47" s="7" t="s">
        <v>33</v>
      </c>
      <c r="B47" s="31" t="s">
        <v>608</v>
      </c>
      <c r="C47" s="9" t="n">
        <f aca="false">16500+250000+200000</f>
        <v>466500</v>
      </c>
      <c r="D47" s="9" t="n">
        <f aca="false">E47-C47</f>
        <v>0</v>
      </c>
      <c r="E47" s="9" t="n">
        <v>466500</v>
      </c>
    </row>
    <row r="48" customFormat="false" ht="15" hidden="false" customHeight="false" outlineLevel="0" collapsed="false">
      <c r="A48" s="7" t="s">
        <v>35</v>
      </c>
      <c r="B48" s="31" t="s">
        <v>609</v>
      </c>
      <c r="C48" s="32" t="n">
        <f aca="false">16500+200000+100000+100000+200000</f>
        <v>616500</v>
      </c>
      <c r="D48" s="9" t="n">
        <f aca="false">E48-C48</f>
        <v>0</v>
      </c>
      <c r="E48" s="9" t="n">
        <v>616500</v>
      </c>
    </row>
    <row r="49" customFormat="false" ht="15" hidden="false" customHeight="false" outlineLevel="0" collapsed="false">
      <c r="A49" s="7" t="s">
        <v>37</v>
      </c>
      <c r="B49" s="8" t="s">
        <v>610</v>
      </c>
      <c r="C49" s="9" t="n">
        <f aca="false">1500+15000+200000+100000+100000+200000</f>
        <v>616500</v>
      </c>
      <c r="D49" s="9" t="n">
        <f aca="false">E49-C49</f>
        <v>0</v>
      </c>
      <c r="E49" s="9" t="n">
        <v>616500</v>
      </c>
    </row>
    <row r="50" customFormat="false" ht="15" hidden="false" customHeight="false" outlineLevel="0" collapsed="false">
      <c r="A50" s="7" t="s">
        <v>39</v>
      </c>
      <c r="B50" s="31" t="s">
        <v>611</v>
      </c>
      <c r="C50" s="9" t="n">
        <v>1216500</v>
      </c>
      <c r="D50" s="9" t="n">
        <f aca="false">E50-C50</f>
        <v>0</v>
      </c>
      <c r="E50" s="9" t="n">
        <v>1216500</v>
      </c>
    </row>
    <row r="51" customFormat="false" ht="15" hidden="false" customHeight="false" outlineLevel="0" collapsed="false">
      <c r="A51" s="7" t="s">
        <v>41</v>
      </c>
      <c r="B51" s="31" t="s">
        <v>612</v>
      </c>
      <c r="C51" s="9" t="n">
        <f aca="false">16500+200000+100000+50000+250000</f>
        <v>616500</v>
      </c>
      <c r="D51" s="9" t="n">
        <f aca="false">E51-C51</f>
        <v>0</v>
      </c>
      <c r="E51" s="9" t="n">
        <v>616500</v>
      </c>
    </row>
    <row r="52" customFormat="false" ht="15" hidden="false" customHeight="false" outlineLevel="0" collapsed="false">
      <c r="A52" s="7" t="s">
        <v>43</v>
      </c>
      <c r="B52" s="8" t="s">
        <v>613</v>
      </c>
      <c r="C52" s="9" t="n">
        <f aca="false">16500+130000+280000+100000+90000</f>
        <v>616500</v>
      </c>
      <c r="D52" s="9" t="n">
        <f aca="false">E52-C52</f>
        <v>0</v>
      </c>
      <c r="E52" s="9" t="n">
        <v>616500</v>
      </c>
    </row>
    <row r="53" customFormat="false" ht="15" hidden="false" customHeight="false" outlineLevel="0" collapsed="false">
      <c r="A53" s="5" t="s">
        <v>101</v>
      </c>
      <c r="B53" s="5"/>
      <c r="C53" s="6" t="n">
        <f aca="false">SUM(C34:C52)</f>
        <v>12763500</v>
      </c>
      <c r="D53" s="6" t="n">
        <f aca="false">SUM(D34:D52)</f>
        <v>0</v>
      </c>
      <c r="E53" s="6" t="n">
        <f aca="false">SUM(E34:E52)</f>
        <v>12763500</v>
      </c>
    </row>
    <row r="56" customFormat="false" ht="15" hidden="false" customHeight="false" outlineLevel="0" collapsed="false">
      <c r="B56" s="26"/>
    </row>
  </sheetData>
  <mergeCells count="2">
    <mergeCell ref="A24:B24"/>
    <mergeCell ref="A53:B53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28" man="true" max="16383" min="0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4:E3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E34" activeCellId="0" sqref="E34"/>
    </sheetView>
  </sheetViews>
  <sheetFormatPr defaultColWidth="11.41796875" defaultRowHeight="12.75" zeroHeight="false" outlineLevelRow="0" outlineLevelCol="0"/>
  <cols>
    <col collapsed="false" customWidth="true" hidden="false" outlineLevel="0" max="1" min="1" style="1" width="6.41"/>
    <col collapsed="false" customWidth="true" hidden="false" outlineLevel="0" max="2" min="2" style="1" width="15.7"/>
    <col collapsed="false" customWidth="true" hidden="false" outlineLevel="0" max="3" min="3" style="1" width="14.56"/>
    <col collapsed="false" customWidth="true" hidden="false" outlineLevel="0" max="4" min="4" style="1" width="14.7"/>
    <col collapsed="false" customWidth="true" hidden="false" outlineLevel="0" max="5" min="5" style="1" width="14.56"/>
  </cols>
  <sheetData>
    <row r="4" customFormat="false" ht="12.75" hidden="false" customHeight="false" outlineLevel="0" collapsed="false">
      <c r="A4" s="29" t="s">
        <v>614</v>
      </c>
    </row>
    <row r="5" customFormat="false" ht="12.75" hidden="false" customHeight="false" outlineLevel="0" collapsed="false">
      <c r="A5" s="29" t="s">
        <v>615</v>
      </c>
    </row>
    <row r="7" customFormat="false" ht="12.75" hidden="false" customHeight="false" outlineLevel="0" collapsed="false">
      <c r="A7" s="33" t="s">
        <v>332</v>
      </c>
      <c r="B7" s="33" t="s">
        <v>616</v>
      </c>
      <c r="C7" s="33" t="s">
        <v>617</v>
      </c>
      <c r="D7" s="33" t="s">
        <v>618</v>
      </c>
      <c r="E7" s="33" t="s">
        <v>101</v>
      </c>
    </row>
    <row r="8" customFormat="false" ht="12.75" hidden="false" customHeight="false" outlineLevel="0" collapsed="false">
      <c r="A8" s="34"/>
      <c r="B8" s="34"/>
      <c r="C8" s="34" t="s">
        <v>619</v>
      </c>
      <c r="D8" s="34"/>
      <c r="E8" s="34"/>
    </row>
    <row r="9" customFormat="false" ht="15" hidden="false" customHeight="true" outlineLevel="0" collapsed="false">
      <c r="A9" s="35" t="s">
        <v>7</v>
      </c>
      <c r="B9" s="36" t="s">
        <v>620</v>
      </c>
      <c r="C9" s="37" t="n">
        <f aca="false">'1ère année'!C53</f>
        <v>16315500</v>
      </c>
      <c r="D9" s="37" t="n">
        <f aca="false">E9-C9</f>
        <v>910000</v>
      </c>
      <c r="E9" s="37" t="n">
        <f aca="false">'1ère année'!E53</f>
        <v>17225500</v>
      </c>
    </row>
    <row r="10" customFormat="false" ht="15" hidden="false" customHeight="true" outlineLevel="0" collapsed="false">
      <c r="A10" s="35" t="s">
        <v>9</v>
      </c>
      <c r="B10" s="36" t="s">
        <v>621</v>
      </c>
      <c r="C10" s="37" t="n">
        <f aca="false">'1ère année'!C77</f>
        <v>7063500</v>
      </c>
      <c r="D10" s="37" t="n">
        <f aca="false">E10-C10</f>
        <v>-100000</v>
      </c>
      <c r="E10" s="37" t="n">
        <f aca="false">'1ère année'!E77</f>
        <v>6963500</v>
      </c>
    </row>
    <row r="11" customFormat="false" ht="15" hidden="false" customHeight="true" outlineLevel="0" collapsed="false">
      <c r="A11" s="35" t="s">
        <v>11</v>
      </c>
      <c r="B11" s="36" t="s">
        <v>622</v>
      </c>
      <c r="C11" s="37" t="n">
        <f aca="false">'1ère année'!C99</f>
        <v>5166500</v>
      </c>
      <c r="D11" s="37" t="n">
        <f aca="false">E11-C11</f>
        <v>1430500</v>
      </c>
      <c r="E11" s="37" t="n">
        <f aca="false">'1ère année'!E99</f>
        <v>6597000</v>
      </c>
    </row>
    <row r="12" customFormat="false" ht="15" hidden="false" customHeight="true" outlineLevel="0" collapsed="false">
      <c r="A12" s="35" t="s">
        <v>13</v>
      </c>
      <c r="B12" s="36" t="s">
        <v>623</v>
      </c>
      <c r="C12" s="37" t="n">
        <f aca="false">'1ère année'!C125</f>
        <v>7678500</v>
      </c>
      <c r="D12" s="37" t="n">
        <f aca="false">E12-C12</f>
        <v>18000</v>
      </c>
      <c r="E12" s="37" t="n">
        <f aca="false">'1ère année'!E125</f>
        <v>7696500</v>
      </c>
    </row>
    <row r="13" customFormat="false" ht="15" hidden="false" customHeight="true" outlineLevel="0" collapsed="false">
      <c r="A13" s="35" t="s">
        <v>15</v>
      </c>
      <c r="B13" s="36" t="s">
        <v>624</v>
      </c>
      <c r="C13" s="37" t="n">
        <f aca="false">'1ère année'!C147</f>
        <v>6231250</v>
      </c>
      <c r="D13" s="37" t="n">
        <f aca="false">E13-C13</f>
        <v>-750</v>
      </c>
      <c r="E13" s="37" t="n">
        <f aca="false">'1ère année'!E147</f>
        <v>6230500</v>
      </c>
    </row>
    <row r="14" customFormat="false" ht="15" hidden="false" customHeight="true" outlineLevel="0" collapsed="false">
      <c r="A14" s="35" t="s">
        <v>17</v>
      </c>
      <c r="B14" s="36" t="s">
        <v>625</v>
      </c>
      <c r="C14" s="37" t="n">
        <f aca="false">'1ère année'!C185</f>
        <v>12004500</v>
      </c>
      <c r="D14" s="37" t="n">
        <f aca="false">E14-C14</f>
        <v>90000</v>
      </c>
      <c r="E14" s="37" t="n">
        <f aca="false">'1ère année'!E185</f>
        <v>12094500</v>
      </c>
    </row>
    <row r="15" customFormat="false" ht="15" hidden="false" customHeight="true" outlineLevel="0" collapsed="false">
      <c r="A15" s="35" t="s">
        <v>19</v>
      </c>
      <c r="B15" s="36" t="s">
        <v>626</v>
      </c>
      <c r="C15" s="37" t="n">
        <f aca="false">'2ème année'!C41</f>
        <v>11169000</v>
      </c>
      <c r="D15" s="37" t="n">
        <f aca="false">E15-C15</f>
        <v>1292000</v>
      </c>
      <c r="E15" s="37" t="n">
        <f aca="false">'2ème année'!E41</f>
        <v>12461000</v>
      </c>
    </row>
    <row r="16" customFormat="false" ht="15" hidden="false" customHeight="true" outlineLevel="0" collapsed="false">
      <c r="A16" s="35" t="s">
        <v>21</v>
      </c>
      <c r="B16" s="36" t="s">
        <v>627</v>
      </c>
      <c r="C16" s="37" t="n">
        <f aca="false">'2ème année'!C72</f>
        <v>9614000</v>
      </c>
      <c r="D16" s="37" t="n">
        <f aca="false">E16-C16</f>
        <v>281500</v>
      </c>
      <c r="E16" s="37" t="n">
        <f aca="false">'2ème année'!E72</f>
        <v>9895500</v>
      </c>
    </row>
    <row r="17" customFormat="false" ht="15" hidden="false" customHeight="true" outlineLevel="0" collapsed="false">
      <c r="A17" s="35" t="s">
        <v>23</v>
      </c>
      <c r="B17" s="36" t="s">
        <v>628</v>
      </c>
      <c r="C17" s="37" t="n">
        <f aca="false">'2ème année'!C94</f>
        <v>6597100</v>
      </c>
      <c r="D17" s="37" t="n">
        <f aca="false">E17-C17</f>
        <v>-100</v>
      </c>
      <c r="E17" s="37" t="n">
        <f aca="false">'2ème année'!E94</f>
        <v>6597000</v>
      </c>
    </row>
    <row r="18" customFormat="false" ht="15" hidden="false" customHeight="true" outlineLevel="0" collapsed="false">
      <c r="A18" s="35" t="s">
        <v>25</v>
      </c>
      <c r="B18" s="36" t="s">
        <v>629</v>
      </c>
      <c r="C18" s="37" t="n">
        <f aca="false">'2ème année'!C117</f>
        <v>5346000</v>
      </c>
      <c r="D18" s="37" t="n">
        <f aca="false">E18-C18</f>
        <v>884500</v>
      </c>
      <c r="E18" s="37" t="n">
        <f aca="false">'2ème année'!E117</f>
        <v>6230500</v>
      </c>
    </row>
    <row r="19" customFormat="false" ht="15" hidden="false" customHeight="true" outlineLevel="0" collapsed="false">
      <c r="A19" s="35" t="s">
        <v>27</v>
      </c>
      <c r="B19" s="36" t="s">
        <v>630</v>
      </c>
      <c r="C19" s="37" t="n">
        <f aca="false">'2ème année'!C130</f>
        <v>2932000</v>
      </c>
      <c r="D19" s="37" t="n">
        <f aca="false">E19-C19</f>
        <v>366500</v>
      </c>
      <c r="E19" s="37" t="n">
        <f aca="false">'2ème année'!E130</f>
        <v>3298500</v>
      </c>
    </row>
    <row r="20" customFormat="false" ht="15" hidden="false" customHeight="true" outlineLevel="0" collapsed="false">
      <c r="A20" s="35" t="s">
        <v>29</v>
      </c>
      <c r="B20" s="36" t="s">
        <v>631</v>
      </c>
      <c r="C20" s="37" t="n">
        <f aca="false">'3ème année'!C34</f>
        <v>8983000</v>
      </c>
      <c r="D20" s="37" t="n">
        <f aca="false">E20-C20</f>
        <v>1279000</v>
      </c>
      <c r="E20" s="37" t="n">
        <f aca="false">'3ème année'!E34</f>
        <v>10262000</v>
      </c>
    </row>
    <row r="21" customFormat="false" ht="15" hidden="false" customHeight="true" outlineLevel="0" collapsed="false">
      <c r="A21" s="35" t="s">
        <v>31</v>
      </c>
      <c r="B21" s="36" t="s">
        <v>632</v>
      </c>
      <c r="C21" s="37" t="n">
        <f aca="false">'3ème année'!C57</f>
        <v>6667150</v>
      </c>
      <c r="D21" s="37" t="n">
        <f aca="false">E21-C21</f>
        <v>296350</v>
      </c>
      <c r="E21" s="37" t="n">
        <f aca="false">'3ème année'!E57</f>
        <v>6963500</v>
      </c>
    </row>
    <row r="22" customFormat="false" ht="15" hidden="false" customHeight="true" outlineLevel="0" collapsed="false">
      <c r="A22" s="35" t="s">
        <v>33</v>
      </c>
      <c r="B22" s="36" t="s">
        <v>633</v>
      </c>
      <c r="C22" s="37" t="n">
        <f aca="false">'3ème année'!C77</f>
        <v>5864500</v>
      </c>
      <c r="D22" s="37" t="n">
        <f aca="false">E22-C22</f>
        <v>-500</v>
      </c>
      <c r="E22" s="37" t="n">
        <f aca="false">'3ème année'!E77</f>
        <v>5864000</v>
      </c>
    </row>
    <row r="23" customFormat="false" ht="15" hidden="false" customHeight="true" outlineLevel="0" collapsed="false">
      <c r="A23" s="35" t="s">
        <v>35</v>
      </c>
      <c r="B23" s="36" t="s">
        <v>634</v>
      </c>
      <c r="C23" s="37" t="n">
        <f aca="false">'3ème année'!C92</f>
        <v>3865000</v>
      </c>
      <c r="D23" s="37" t="n">
        <f aca="false">E23-C23</f>
        <v>533000</v>
      </c>
      <c r="E23" s="37" t="n">
        <f aca="false">'3ème année'!E92</f>
        <v>4398000</v>
      </c>
    </row>
    <row r="24" customFormat="false" ht="15" hidden="false" customHeight="true" outlineLevel="0" collapsed="false">
      <c r="A24" s="35" t="s">
        <v>37</v>
      </c>
      <c r="B24" s="36" t="s">
        <v>635</v>
      </c>
      <c r="C24" s="37" t="n">
        <f aca="false">'GC-BTS'!C36</f>
        <v>10476000</v>
      </c>
      <c r="D24" s="37" t="n">
        <f aca="false">E24-C24</f>
        <v>152500</v>
      </c>
      <c r="E24" s="37" t="n">
        <f aca="false">'GC-BTS'!E36</f>
        <v>10628500</v>
      </c>
    </row>
    <row r="25" customFormat="false" ht="15" hidden="false" customHeight="true" outlineLevel="0" collapsed="false">
      <c r="A25" s="35" t="s">
        <v>39</v>
      </c>
      <c r="B25" s="36" t="s">
        <v>636</v>
      </c>
      <c r="C25" s="37" t="n">
        <f aca="false">'GC-BTS'!C68</f>
        <v>8405500</v>
      </c>
      <c r="D25" s="37" t="n">
        <f aca="false">E25-C25</f>
        <v>1490000</v>
      </c>
      <c r="E25" s="37" t="n">
        <f aca="false">'GC-BTS'!E68</f>
        <v>9895500</v>
      </c>
    </row>
    <row r="26" customFormat="false" ht="15" hidden="false" customHeight="true" outlineLevel="0" collapsed="false">
      <c r="A26" s="35" t="s">
        <v>41</v>
      </c>
      <c r="B26" s="36" t="s">
        <v>637</v>
      </c>
      <c r="C26" s="37" t="n">
        <f aca="false">'année stage'!C102</f>
        <v>2760000</v>
      </c>
      <c r="D26" s="37" t="n">
        <f aca="false">E26-C26</f>
        <v>687000</v>
      </c>
      <c r="E26" s="37" t="n">
        <f aca="false">'année stage'!E102</f>
        <v>3447000</v>
      </c>
    </row>
    <row r="27" customFormat="false" ht="15" hidden="false" customHeight="true" outlineLevel="0" collapsed="false">
      <c r="A27" s="35" t="s">
        <v>43</v>
      </c>
      <c r="B27" s="36" t="s">
        <v>638</v>
      </c>
      <c r="C27" s="37" t="n">
        <f aca="false">'année stage'!C38</f>
        <v>3662500</v>
      </c>
      <c r="D27" s="37" t="n">
        <f aca="false">E27-C27</f>
        <v>2082500</v>
      </c>
      <c r="E27" s="37" t="n">
        <f aca="false">'année stage'!E38</f>
        <v>5745000</v>
      </c>
    </row>
    <row r="28" customFormat="false" ht="15" hidden="false" customHeight="true" outlineLevel="0" collapsed="false">
      <c r="A28" s="35" t="s">
        <v>45</v>
      </c>
      <c r="B28" s="36" t="s">
        <v>639</v>
      </c>
      <c r="C28" s="37" t="n">
        <f aca="false">'année stage'!C62</f>
        <v>3119500</v>
      </c>
      <c r="D28" s="37" t="n">
        <f aca="false">E28-C28</f>
        <v>327500</v>
      </c>
      <c r="E28" s="37" t="n">
        <f aca="false">'année stage'!E62</f>
        <v>3447000</v>
      </c>
    </row>
    <row r="29" customFormat="false" ht="15" hidden="false" customHeight="true" outlineLevel="0" collapsed="false">
      <c r="A29" s="35" t="s">
        <v>47</v>
      </c>
      <c r="B29" s="36" t="s">
        <v>640</v>
      </c>
      <c r="C29" s="37" t="n">
        <f aca="false">'année stage'!C75</f>
        <v>738750</v>
      </c>
      <c r="D29" s="37" t="n">
        <f aca="false">E29-C29</f>
        <v>366500</v>
      </c>
      <c r="E29" s="37" t="n">
        <f aca="false">'année stage'!E75</f>
        <v>1105250</v>
      </c>
    </row>
    <row r="30" customFormat="false" ht="15" hidden="false" customHeight="true" outlineLevel="0" collapsed="false">
      <c r="A30" s="38"/>
      <c r="B30" s="39" t="s">
        <v>101</v>
      </c>
      <c r="C30" s="40" t="n">
        <f aca="false">SUM(C9:C29)</f>
        <v>144659750</v>
      </c>
      <c r="D30" s="40" t="n">
        <f aca="false">SUM(D9:D29)</f>
        <v>12386000</v>
      </c>
      <c r="E30" s="40" t="n">
        <f aca="false">SUM(E9:E29)</f>
        <v>157045750</v>
      </c>
    </row>
    <row r="31" customFormat="false" ht="15" hidden="false" customHeight="true" outlineLevel="0" collapsed="false">
      <c r="A31" s="41"/>
      <c r="B31" s="42"/>
      <c r="C31" s="43"/>
      <c r="D31" s="43"/>
      <c r="E31" s="43"/>
    </row>
    <row r="32" customFormat="false" ht="15" hidden="false" customHeight="true" outlineLevel="0" collapsed="false">
      <c r="A32" s="41"/>
      <c r="B32" s="42"/>
      <c r="C32" s="43"/>
      <c r="D32" s="43"/>
      <c r="E32" s="43"/>
    </row>
    <row r="34" customFormat="false" ht="15" hidden="false" customHeight="false" outlineLevel="0" collapsed="false">
      <c r="B34" s="44" t="s">
        <v>641</v>
      </c>
      <c r="C34" s="45"/>
      <c r="D34" s="46"/>
      <c r="E34" s="47" t="n">
        <v>123367500</v>
      </c>
    </row>
    <row r="35" customFormat="false" ht="15" hidden="false" customHeight="false" outlineLevel="0" collapsed="false">
      <c r="B35" s="44" t="s">
        <v>642</v>
      </c>
      <c r="C35" s="45"/>
      <c r="D35" s="46"/>
      <c r="E35" s="47" t="n">
        <f aca="false">C30</f>
        <v>144659750</v>
      </c>
    </row>
    <row r="36" customFormat="false" ht="15" hidden="false" customHeight="false" outlineLevel="0" collapsed="false">
      <c r="B36" s="48" t="s">
        <v>643</v>
      </c>
      <c r="C36" s="49"/>
      <c r="D36" s="50"/>
      <c r="E36" s="47" t="n">
        <f aca="false">E35-E34</f>
        <v>21292250</v>
      </c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2024-12-14T20:55:22Z</dcterms:created>
  <dc:creator/>
  <dc:description/>
  <dc:language>fr-FR</dc:language>
  <cp:lastModifiedBy/>
  <cp:lastPrinted>2010-07-21T23:07:12Z</cp:lastPrinted>
  <dcterms:modified xsi:type="dcterms:W3CDTF">2024-12-23T04:49:33Z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CF2D2F20D0D34169BEE8F4E30B1CC12B_12</vt:lpwstr>
  </property>
  <property fmtid="{D5CDD505-2E9C-101B-9397-08002B2CF9AE}" pid="3" name="KSOProductBuildVer">
    <vt:lpwstr>1036-12.2.0.17119</vt:lpwstr>
  </property>
</Properties>
</file>