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An" sheetId="1" state="visible" r:id="rId3"/>
    <sheet name="DeuxAn" sheetId="2" state="visible" r:id="rId4"/>
    <sheet name="TroisAn" sheetId="3" state="visible" r:id="rId5"/>
    <sheet name="QuatrAn" sheetId="4" state="visible" r:id="rId6"/>
    <sheet name="DUT" sheetId="5" state="visible" r:id="rId7"/>
    <sheet name="BtsGc" sheetId="6" state="visible" r:id="rId8"/>
    <sheet name="Ingénieurs" sheetId="7" state="visible" r:id="rId9"/>
    <sheet name="A_IGNORER_2" sheetId="8" state="visible" r:id="rId10"/>
    <sheet name="A_IGNORER_1" sheetId="9" state="visible" r:id="rId11"/>
  </sheets>
  <definedNames>
    <definedName function="false" hidden="false" localSheetId="0" name="Excel_BuiltIn__FilterDatabase" vbProcedure="false">PremAn!$A$4:$E$50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<sst xmlns="http://schemas.openxmlformats.org/spreadsheetml/2006/main" count="1813" uniqueCount="929">
  <si>
    <t xml:space="preserve">LICENCE PROFESSIONNELLE EFFECTIF 2008-2009</t>
  </si>
  <si>
    <t xml:space="preserve">                                             PREMIERE ANNEE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</si>
  <si>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</si>
  <si>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</si>
  <si>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</si>
  <si>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</si>
  <si>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</si>
  <si>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</si>
  <si>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</si>
  <si>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ADIMI Esaie O. Samuel  (D)</t>
  </si>
  <si>
    <t xml:space="preserve">n°2</t>
  </si>
  <si>
    <t xml:space="preserve">ADJASSA Abel</t>
  </si>
  <si>
    <t xml:space="preserve">n°3</t>
  </si>
  <si>
    <t xml:space="preserve">ADOKO Christiane</t>
  </si>
  <si>
    <t xml:space="preserve">n°4</t>
  </si>
  <si>
    <t xml:space="preserve">AFFODEGNON Y. Urbain</t>
  </si>
  <si>
    <t xml:space="preserve">n°5</t>
  </si>
  <si>
    <t xml:space="preserve">AKAKPO  Patrice</t>
  </si>
  <si>
    <t xml:space="preserve">n°6</t>
  </si>
  <si>
    <t xml:space="preserve">ALAPINI Rock</t>
  </si>
  <si>
    <t xml:space="preserve">n°7</t>
  </si>
  <si>
    <t xml:space="preserve">ALASSANE Ali  Moussa </t>
  </si>
  <si>
    <t xml:space="preserve">n°8</t>
  </si>
  <si>
    <t xml:space="preserve">ALAYE Herman</t>
  </si>
  <si>
    <t xml:space="preserve">n°9</t>
  </si>
  <si>
    <t xml:space="preserve">AMOUSSOU C.Paulin</t>
  </si>
  <si>
    <t xml:space="preserve">n°10</t>
  </si>
  <si>
    <t xml:space="preserve">AZONDEKON Brigitte</t>
  </si>
  <si>
    <t xml:space="preserve">n°11</t>
  </si>
  <si>
    <t xml:space="preserve">BENTO Blaise</t>
  </si>
  <si>
    <t xml:space="preserve">n°12</t>
  </si>
  <si>
    <t xml:space="preserve">DEKOUN Serge</t>
  </si>
  <si>
    <t xml:space="preserve">n°13</t>
  </si>
  <si>
    <t xml:space="preserve">DJAFFO Augustin Sylvain</t>
  </si>
  <si>
    <t xml:space="preserve">n°14</t>
  </si>
  <si>
    <t xml:space="preserve">DJIBRIL Manzour</t>
  </si>
  <si>
    <t xml:space="preserve">n°15</t>
  </si>
  <si>
    <t xml:space="preserve">DJOÏ Arnaud</t>
  </si>
  <si>
    <t xml:space="preserve">n°16</t>
  </si>
  <si>
    <t xml:space="preserve">DOGBOVI Elie</t>
  </si>
  <si>
    <t xml:space="preserve">n°17</t>
  </si>
  <si>
    <t xml:space="preserve">ESSAH Eliphaz</t>
  </si>
  <si>
    <t xml:space="preserve">n°18</t>
  </si>
  <si>
    <t xml:space="preserve">FATIOU Gafar</t>
  </si>
  <si>
    <t xml:space="preserve">n°19</t>
  </si>
  <si>
    <t xml:space="preserve">GBAGUIDI Léonce Juste</t>
  </si>
  <si>
    <t xml:space="preserve">n°20</t>
  </si>
  <si>
    <t xml:space="preserve">GBEDOLO Hermes</t>
  </si>
  <si>
    <t xml:space="preserve">n°21</t>
  </si>
  <si>
    <t xml:space="preserve">HINVIGA Vivien</t>
  </si>
  <si>
    <t xml:space="preserve">n°22</t>
  </si>
  <si>
    <t xml:space="preserve">HOUNGBEME S. Jules</t>
  </si>
  <si>
    <t xml:space="preserve">n°23</t>
  </si>
  <si>
    <t xml:space="preserve">HODONOU Cossi Dominique</t>
  </si>
  <si>
    <t xml:space="preserve">n°24</t>
  </si>
  <si>
    <t xml:space="preserve">HOUEGBELO M. Quenette</t>
  </si>
  <si>
    <t xml:space="preserve">n°25</t>
  </si>
  <si>
    <t xml:space="preserve">HOUESSOUVO K. Alfred</t>
  </si>
  <si>
    <t xml:space="preserve">n°26</t>
  </si>
  <si>
    <t xml:space="preserve">HOUNDJO Johnston</t>
  </si>
  <si>
    <t xml:space="preserve">n°27</t>
  </si>
  <si>
    <t xml:space="preserve">HOUNKPE Romeo</t>
  </si>
  <si>
    <t xml:space="preserve">n°28</t>
  </si>
  <si>
    <t xml:space="preserve">HOUNMASSE Cosme</t>
  </si>
  <si>
    <t xml:space="preserve">n°29</t>
  </si>
  <si>
    <t xml:space="preserve">IBRAHIM Abdou Hafizou</t>
  </si>
  <si>
    <t xml:space="preserve">n°30</t>
  </si>
  <si>
    <t xml:space="preserve">KAKANAKOU Dossou Theault</t>
  </si>
  <si>
    <t xml:space="preserve">n°31</t>
  </si>
  <si>
    <t xml:space="preserve">KAKPOVI  Isidore</t>
  </si>
  <si>
    <t xml:space="preserve">n°32</t>
  </si>
  <si>
    <t xml:space="preserve">KIOSSA S. Espédit</t>
  </si>
  <si>
    <t xml:space="preserve">n°33</t>
  </si>
  <si>
    <t xml:space="preserve">KOUDJE Constant</t>
  </si>
  <si>
    <t xml:space="preserve">n°34</t>
  </si>
  <si>
    <t xml:space="preserve">LOKA Soumaïla</t>
  </si>
  <si>
    <t xml:space="preserve">n°35</t>
  </si>
  <si>
    <t xml:space="preserve">NAHUM Coffi Alphonse</t>
  </si>
  <si>
    <t xml:space="preserve">n°36</t>
  </si>
  <si>
    <t xml:space="preserve">OLOU Eric Césaire</t>
  </si>
  <si>
    <t xml:space="preserve">n°37</t>
  </si>
  <si>
    <t xml:space="preserve">SEIDOU Riyal</t>
  </si>
  <si>
    <t xml:space="preserve">n°38</t>
  </si>
  <si>
    <t xml:space="preserve">SIDI Mohamed Amine</t>
  </si>
  <si>
    <t xml:space="preserve">n°39</t>
  </si>
  <si>
    <t xml:space="preserve">SOUMAHO Stanislas</t>
  </si>
  <si>
    <t xml:space="preserve">n°40</t>
  </si>
  <si>
    <t xml:space="preserve">TAÏROU Wali M.</t>
  </si>
  <si>
    <t xml:space="preserve">n°41</t>
  </si>
  <si>
    <t xml:space="preserve">TONAHIN H. Anicet</t>
  </si>
  <si>
    <t xml:space="preserve">n°42</t>
  </si>
  <si>
    <t xml:space="preserve">TOSSAVI Bruno Dexter</t>
  </si>
  <si>
    <t xml:space="preserve">n°43</t>
  </si>
  <si>
    <t xml:space="preserve">YACOBI Michel</t>
  </si>
  <si>
    <t xml:space="preserve">n°44</t>
  </si>
  <si>
    <t xml:space="preserve">ZAVINON Marcel</t>
  </si>
  <si>
    <t xml:space="preserve">n°45</t>
  </si>
  <si>
    <t xml:space="preserve">ZINSE  Benoît</t>
  </si>
  <si>
    <t xml:space="preserve">TOTAL</t>
  </si>
  <si>
    <r>
      <rPr>
        <b val="true"/>
        <i val="true"/>
        <sz val="14"/>
        <rFont val="Arial"/>
        <family val="2"/>
        <charset val="1"/>
      </rPr>
      <t xml:space="preserve">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ANIMALE 2008-2009</t>
    </r>
  </si>
  <si>
    <t xml:space="preserve">ADE K. Valéry</t>
  </si>
  <si>
    <t xml:space="preserve">ADIMI C. Armand</t>
  </si>
  <si>
    <t xml:space="preserve">AFFOUDA David</t>
  </si>
  <si>
    <t xml:space="preserve">AGBALLA Abdel Raouf</t>
  </si>
  <si>
    <t xml:space="preserve">AKPO O. Françis</t>
  </si>
  <si>
    <t xml:space="preserve">AZABOU H. Pamphile</t>
  </si>
  <si>
    <t xml:space="preserve">BAGUIRI Farouk</t>
  </si>
  <si>
    <t xml:space="preserve">BAWA Hamissou</t>
  </si>
  <si>
    <t xml:space="preserve">CECILIO Verdal Servère</t>
  </si>
  <si>
    <t xml:space="preserve">DAVITO A. Colette</t>
  </si>
  <si>
    <t xml:space="preserve">DIDAVI  Laetitia</t>
  </si>
  <si>
    <t xml:space="preserve">DINALON Michel</t>
  </si>
  <si>
    <t xml:space="preserve">DJOGNINOU Arnaud</t>
  </si>
  <si>
    <t xml:space="preserve">EL HADJ ABDOULAYE Maliki</t>
  </si>
  <si>
    <t xml:space="preserve">FANOU Y. Arnaud </t>
  </si>
  <si>
    <t xml:space="preserve">GBEGNON Iréné</t>
  </si>
  <si>
    <t xml:space="preserve">HONVO Gontran Emmanuel</t>
  </si>
  <si>
    <t xml:space="preserve">LOKONON Marc Aurel S.</t>
  </si>
  <si>
    <t xml:space="preserve">MAMA Abdoul Razack</t>
  </si>
  <si>
    <t xml:space="preserve">OROU GANI IDRISSOU Souradjou</t>
  </si>
  <si>
    <t xml:space="preserve">OROU WARA Issifou</t>
  </si>
  <si>
    <t xml:space="preserve">OUOROU B. Z. Karimou</t>
  </si>
  <si>
    <t xml:space="preserve">SAMSON ODOU Bonaventure</t>
  </si>
  <si>
    <t xml:space="preserve">SANNI D. Razakou</t>
  </si>
  <si>
    <t xml:space="preserve">SIDI MAMA Sero Naffiou</t>
  </si>
  <si>
    <t xml:space="preserve">SOSSOU Achile</t>
  </si>
  <si>
    <t xml:space="preserve">SOULE SALIFOU Nouhoun</t>
  </si>
  <si>
    <t xml:space="preserve">TEKO Euloge</t>
  </si>
  <si>
    <t xml:space="preserve">TIAMIOU Salaou Moussibaou</t>
  </si>
  <si>
    <t xml:space="preserve">TODEYAHOUN P. Apollinaire</t>
  </si>
  <si>
    <t xml:space="preserve">TOHOUEGNON Romain </t>
  </si>
  <si>
    <t xml:space="preserve">TOUMOUDAGOU N'tcha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</si>
  <si>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</t>
    </r>
  </si>
  <si>
    <t xml:space="preserve">ABBEY S. Marcellin</t>
  </si>
  <si>
    <t xml:space="preserve">AGBANGLANON Z. Judicaël</t>
  </si>
  <si>
    <t xml:space="preserve">AHOUANGONOU Rubens</t>
  </si>
  <si>
    <t xml:space="preserve">AKAKPO Marcel </t>
  </si>
  <si>
    <t xml:space="preserve">ALAPINI Angèle Y.</t>
  </si>
  <si>
    <t xml:space="preserve">AMOUSSOU Armel Eugène</t>
  </si>
  <si>
    <t xml:space="preserve">GANDONOU Saturnin</t>
  </si>
  <si>
    <t xml:space="preserve">GANYE Constantin</t>
  </si>
  <si>
    <t xml:space="preserve">IDRISSOU Ismaïla</t>
  </si>
  <si>
    <t xml:space="preserve">NOUNAWA M. Pièrre</t>
  </si>
  <si>
    <t xml:space="preserve">SETONDJI-DEFODJI Alphonse</t>
  </si>
  <si>
    <t xml:space="preserve">SOGLO K. Fredy</t>
  </si>
  <si>
    <t xml:space="preserve">TOCHENALI C. Claude Jody</t>
  </si>
  <si>
    <t xml:space="preserve">VIDEGLA Cakpo Thierry</t>
  </si>
  <si>
    <t xml:space="preserve">ZIBO Salim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</si>
  <si>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1ère Année 2008-2009</t>
    </r>
  </si>
  <si>
    <t xml:space="preserve">ADJANAN Yacoubou</t>
  </si>
  <si>
    <t xml:space="preserve">AGBLO Christian </t>
  </si>
  <si>
    <t xml:space="preserve">AHONONGA T. Franck</t>
  </si>
  <si>
    <t xml:space="preserve">AKETEKPE Hervé</t>
  </si>
  <si>
    <t xml:space="preserve">ALOMAFAN Euloge</t>
  </si>
  <si>
    <t xml:space="preserve">BELLO M. Dine</t>
  </si>
  <si>
    <t xml:space="preserve">BLEOSSI C. David</t>
  </si>
  <si>
    <t xml:space="preserve">DEGBEY Daniel</t>
  </si>
  <si>
    <t xml:space="preserve">HOUNDONOUGBO A. Florent</t>
  </si>
  <si>
    <t xml:space="preserve">HOUNGLA Pierrot Guy</t>
  </si>
  <si>
    <t xml:space="preserve">HOUNKANDJI Jacques</t>
  </si>
  <si>
    <t xml:space="preserve">KOUADJA Hermann</t>
  </si>
  <si>
    <t xml:space="preserve">LAFIA Ibouraïma</t>
  </si>
  <si>
    <t xml:space="preserve">MADJA K. Dieudonné </t>
  </si>
  <si>
    <t xml:space="preserve">N'TCHA O. Hyppolyte</t>
  </si>
  <si>
    <t xml:space="preserve">SOUMANOU B. Issiaka</t>
  </si>
  <si>
    <t xml:space="preserve">TCHEHOUALI Yalinkpon</t>
  </si>
  <si>
    <t xml:space="preserve">TOGBE S. Dominique</t>
  </si>
  <si>
    <t xml:space="preserve">YORO I. Clotaire </t>
  </si>
  <si>
    <t xml:space="preserve">MELE Jeannot</t>
  </si>
  <si>
    <t xml:space="preserve">ZINSOU Kodja Emile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</si>
  <si>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 1ère Année 2008-2009</t>
    </r>
  </si>
  <si>
    <t xml:space="preserve">ABOUDOULAYE Issa</t>
  </si>
  <si>
    <t xml:space="preserve">ADAM I. Abasse</t>
  </si>
  <si>
    <t xml:space="preserve">ADANHOUNSODE Simplice</t>
  </si>
  <si>
    <t xml:space="preserve">ADECHI Koudous</t>
  </si>
  <si>
    <t xml:space="preserve">AGBONOUGLA Emile</t>
  </si>
  <si>
    <t xml:space="preserve">AGUESSI Zacharie</t>
  </si>
  <si>
    <t xml:space="preserve">ALLOGAN Zinsou Epiphane</t>
  </si>
  <si>
    <t xml:space="preserve">ALLOGNON Armand</t>
  </si>
  <si>
    <t xml:space="preserve">AROGOUN A. Tanko</t>
  </si>
  <si>
    <t xml:space="preserve">AZELOKONON Charmelle</t>
  </si>
  <si>
    <t xml:space="preserve">BIAO O. Aliassou</t>
  </si>
  <si>
    <t xml:space="preserve">BIAOU S. Wahab</t>
  </si>
  <si>
    <t xml:space="preserve">BINAZON N. Valère</t>
  </si>
  <si>
    <t xml:space="preserve">BOGNINOU Jem Paul</t>
  </si>
  <si>
    <t xml:space="preserve">BOUKARI Mamoudou</t>
  </si>
  <si>
    <t xml:space="preserve">DANSI S. Donatien</t>
  </si>
  <si>
    <t xml:space="preserve">DAVID G. Eric Y.</t>
  </si>
  <si>
    <t xml:space="preserve">DIATEMA Bouhari</t>
  </si>
  <si>
    <t xml:space="preserve">EZIN BABA Thiérry</t>
  </si>
  <si>
    <t xml:space="preserve">FADEGNON D. Marc Alfred</t>
  </si>
  <si>
    <t xml:space="preserve">GABA Olouchegoun Cedrick</t>
  </si>
  <si>
    <t xml:space="preserve">HOUINDO E. Eric</t>
  </si>
  <si>
    <t xml:space="preserve">HOUNYO Abey Nicolas </t>
  </si>
  <si>
    <t xml:space="preserve">KOUAGOU Yombo</t>
  </si>
  <si>
    <t xml:space="preserve">MADEGNAN Simphorien</t>
  </si>
  <si>
    <t xml:space="preserve">MAMA GAO Gaichi</t>
  </si>
  <si>
    <t xml:space="preserve">MEHOU A. Didier</t>
  </si>
  <si>
    <t xml:space="preserve">NONFON Charles</t>
  </si>
  <si>
    <t xml:space="preserve">PEDANOU M. Toussaint</t>
  </si>
  <si>
    <t xml:space="preserve">POENOU Walter A.</t>
  </si>
  <si>
    <t xml:space="preserve">SAMBO Abdou</t>
  </si>
  <si>
    <t xml:space="preserve">SEGNONNA Jules P.</t>
  </si>
  <si>
    <t xml:space="preserve">SIDI Dramane Abdou R. </t>
  </si>
  <si>
    <t xml:space="preserve">SOGBA Bernadin W.</t>
  </si>
  <si>
    <t xml:space="preserve">TCHIWANOU B. Damase</t>
  </si>
  <si>
    <t xml:space="preserve">ZINHOUIN C. Curie</t>
  </si>
  <si>
    <t xml:space="preserve">          TOTAL</t>
  </si>
  <si>
    <r>
      <rPr>
        <b val="true"/>
        <i val="true"/>
        <sz val="14"/>
        <rFont val="Arial"/>
        <family val="2"/>
        <charset val="1"/>
      </rPr>
      <t xml:space="preserve">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2008-2009</t>
    </r>
  </si>
  <si>
    <t xml:space="preserve">ABDOULAYE Tchèdre T.</t>
  </si>
  <si>
    <t xml:space="preserve">ABOKI E. Franck</t>
  </si>
  <si>
    <t xml:space="preserve">ACCLOMBESSI Marcelin</t>
  </si>
  <si>
    <t xml:space="preserve">ADJAOKE A. Marc</t>
  </si>
  <si>
    <t xml:space="preserve">AGASSOUNON N. T. Thecle</t>
  </si>
  <si>
    <t xml:space="preserve">AGBALENON Juldith</t>
  </si>
  <si>
    <t xml:space="preserve">AGOSSA Josiane</t>
  </si>
  <si>
    <r>
      <rPr>
        <sz val="12"/>
        <rFont val="Arial"/>
        <family val="2"/>
        <charset val="1"/>
      </rPr>
      <t xml:space="preserve">AGOUNTCHEME </t>
    </r>
    <r>
      <rPr>
        <sz val="10"/>
        <rFont val="Arial"/>
        <family val="2"/>
        <charset val="1"/>
      </rPr>
      <t xml:space="preserve">Sètondji Pascal</t>
    </r>
  </si>
  <si>
    <t xml:space="preserve">AHOGA H. Landry</t>
  </si>
  <si>
    <t xml:space="preserve">AHOSSI Sylvestre</t>
  </si>
  <si>
    <t xml:space="preserve">AÏFA S. Casimir</t>
  </si>
  <si>
    <t xml:space="preserve">AKOTENOU A. Lidwine</t>
  </si>
  <si>
    <t xml:space="preserve">ALASSANE Idrissou </t>
  </si>
  <si>
    <t xml:space="preserve">ALLADAYE Sveet Rodrigue</t>
  </si>
  <si>
    <t xml:space="preserve">ASSIHOU Gildas</t>
  </si>
  <si>
    <t xml:space="preserve">ASSONGBA Denis</t>
  </si>
  <si>
    <t xml:space="preserve">AWAZE Jules</t>
  </si>
  <si>
    <t xml:space="preserve">AZON A. Miguel</t>
  </si>
  <si>
    <t xml:space="preserve">BABIO B. Yacoubou</t>
  </si>
  <si>
    <t xml:space="preserve">BACHABI A. Kadiri</t>
  </si>
  <si>
    <t xml:space="preserve">BACHABI MAMA Fouad</t>
  </si>
  <si>
    <t xml:space="preserve">BAPARAPE Abdoulaye</t>
  </si>
  <si>
    <t xml:space="preserve">BIOKOU Christine</t>
  </si>
  <si>
    <t xml:space="preserve">BOHOUN Bernadette </t>
  </si>
  <si>
    <t xml:space="preserve">CODJIA Y. Euloge</t>
  </si>
  <si>
    <t xml:space="preserve">DAGASSA C. Roland</t>
  </si>
  <si>
    <t xml:space="preserve">DAKO Marie Rodrigue</t>
  </si>
  <si>
    <t xml:space="preserve">DATINNON S. Josaphat</t>
  </si>
  <si>
    <t xml:space="preserve">DJAGLO W. Harold</t>
  </si>
  <si>
    <t xml:space="preserve">DJOSSIN Achille</t>
  </si>
  <si>
    <t xml:space="preserve">DJOUKLIKO Kossi</t>
  </si>
  <si>
    <t xml:space="preserve">DOGBLE A. Edwige</t>
  </si>
  <si>
    <t xml:space="preserve">ELOI FAGBEDJI Emmanuel</t>
  </si>
  <si>
    <t xml:space="preserve">ESTEVE Tatiana Victoire</t>
  </si>
  <si>
    <t xml:space="preserve">FAMBO C. Oscar</t>
  </si>
  <si>
    <t xml:space="preserve">GANDAHO MIKO Robert</t>
  </si>
  <si>
    <t xml:space="preserve">GBEHO R. Binanzon</t>
  </si>
  <si>
    <t xml:space="preserve">GOUETE Adjoua Marie</t>
  </si>
  <si>
    <t xml:space="preserve">GOUNOU Boris Landry</t>
  </si>
  <si>
    <t xml:space="preserve">HOUESSOU Casimir</t>
  </si>
  <si>
    <t xml:space="preserve">HOUYEME Bernard</t>
  </si>
  <si>
    <t xml:space="preserve">KINTOGANDOU Hervé</t>
  </si>
  <si>
    <t xml:space="preserve">KINTOHOU K. Chimène </t>
  </si>
  <si>
    <t xml:space="preserve">KOMBETTO Robert</t>
  </si>
  <si>
    <t xml:space="preserve">KOTCHONI  Sara</t>
  </si>
  <si>
    <t xml:space="preserve">n°46</t>
  </si>
  <si>
    <t xml:space="preserve">LEGBANON Ida</t>
  </si>
  <si>
    <t xml:space="preserve">n°47</t>
  </si>
  <si>
    <t xml:space="preserve">NOUATIN Jesouton Théodore</t>
  </si>
  <si>
    <t xml:space="preserve">n°48</t>
  </si>
  <si>
    <t xml:space="preserve">N'DAH Alphonse</t>
  </si>
  <si>
    <t xml:space="preserve">n°49</t>
  </si>
  <si>
    <t xml:space="preserve">N'DAH Tchanti</t>
  </si>
  <si>
    <t xml:space="preserve">n°50</t>
  </si>
  <si>
    <t xml:space="preserve">OTEKPO Aristide</t>
  </si>
  <si>
    <t xml:space="preserve">n°51</t>
  </si>
  <si>
    <t xml:space="preserve">PIO Ferdinand Nasser</t>
  </si>
  <si>
    <t xml:space="preserve">n°52</t>
  </si>
  <si>
    <t xml:space="preserve">SEIDOU CHABI Orou Zakari</t>
  </si>
  <si>
    <t xml:space="preserve">n°53</t>
  </si>
  <si>
    <t xml:space="preserve">TOSSA Berne Rodrigue</t>
  </si>
  <si>
    <t xml:space="preserve">n°54</t>
  </si>
  <si>
    <t xml:space="preserve">ZANCLAN Karl </t>
  </si>
  <si>
    <t xml:space="preserve">n°55</t>
  </si>
  <si>
    <t xml:space="preserve">ZODOME Gildas</t>
  </si>
  <si>
    <r>
      <rPr>
        <b val="true"/>
        <i val="true"/>
        <sz val="14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 </t>
    </r>
  </si>
  <si>
    <t xml:space="preserve">AKIN Tayewo Cosme</t>
  </si>
  <si>
    <t xml:space="preserve">ALADJI MOKO Alidou</t>
  </si>
  <si>
    <t xml:space="preserve">AMADOU G. Ahmed</t>
  </si>
  <si>
    <t xml:space="preserve">BEHANZIN Eloi</t>
  </si>
  <si>
    <t xml:space="preserve">BODJRENOU Philippe</t>
  </si>
  <si>
    <t xml:space="preserve">DANGNIGBE Edmond Christian</t>
  </si>
  <si>
    <t xml:space="preserve">GNAMBODE M. Amen</t>
  </si>
  <si>
    <t xml:space="preserve">GOUSSI C. Renaud</t>
  </si>
  <si>
    <t xml:space="preserve">GUELIVO Etienne</t>
  </si>
  <si>
    <t xml:space="preserve">HOUENOU A. Joachim</t>
  </si>
  <si>
    <t xml:space="preserve">HOUESSOU M. Gyslain</t>
  </si>
  <si>
    <t xml:space="preserve">HOUNSA D. Sahib</t>
  </si>
  <si>
    <t xml:space="preserve">HOUNSOU S. Philippe</t>
  </si>
  <si>
    <t xml:space="preserve">KOBA Aristide</t>
  </si>
  <si>
    <t xml:space="preserve">LEDEDJI S. Gérard</t>
  </si>
  <si>
    <t xml:space="preserve">MAHOUTONDJI Albert</t>
  </si>
  <si>
    <t xml:space="preserve">OBOSSOU M. Gilles</t>
  </si>
  <si>
    <t xml:space="preserve">RADJI  Mouritala</t>
  </si>
  <si>
    <t xml:space="preserve">SOSSOU N. Eloi</t>
  </si>
  <si>
    <t xml:space="preserve">VISSOH G. Alain</t>
  </si>
  <si>
    <t xml:space="preserve">WOUINSA Y. Yves</t>
  </si>
  <si>
    <r>
      <rPr>
        <b val="true"/>
        <i val="true"/>
        <sz val="14"/>
        <rFont val="Arial"/>
        <family val="2"/>
        <charset val="1"/>
      </rPr>
      <t xml:space="preserve">                   MAINTENANCE INDUSTRIELLE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</si>
  <si>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ADJANOHOUN Bertrand</t>
  </si>
  <si>
    <t xml:space="preserve">ADJEHOUNOU Charly V.</t>
  </si>
  <si>
    <t xml:space="preserve">AGBLONON HOUELOME Justhe</t>
  </si>
  <si>
    <t xml:space="preserve">ATTOLOU Pacôme</t>
  </si>
  <si>
    <t xml:space="preserve">CODJO Simon</t>
  </si>
  <si>
    <t xml:space="preserve">GOUDJANOU S. Baudelaire</t>
  </si>
  <si>
    <t xml:space="preserve">HOUEDANOU Angelo S.</t>
  </si>
  <si>
    <t xml:space="preserve">SOVI-GUIDI Edgard Codjo</t>
  </si>
  <si>
    <t xml:space="preserve">TOHOUNTA D. Alexis</t>
  </si>
  <si>
    <t xml:space="preserve">ZIMONSE Léonce Hervé</t>
  </si>
  <si>
    <t xml:space="preserve">                                 DEUXIEME ANNEE</t>
  </si>
  <si>
    <t xml:space="preserve">ADJADI Radji</t>
  </si>
  <si>
    <t xml:space="preserve">AGBENONZAN Irenée E.</t>
  </si>
  <si>
    <t xml:space="preserve">AGBESSI Anasthase</t>
  </si>
  <si>
    <t xml:space="preserve">AIGBE Eric Faulkner</t>
  </si>
  <si>
    <t xml:space="preserve">AKPAN V. Simplice Franck</t>
  </si>
  <si>
    <t xml:space="preserve">AMOUSSOU Thierry L. G.</t>
  </si>
  <si>
    <t xml:space="preserve">ASSOGBA L. Séraphin Guy</t>
  </si>
  <si>
    <t xml:space="preserve">BARKA Ikoro Tairou G.</t>
  </si>
  <si>
    <t xml:space="preserve">CHOGOLOU O. Renaud</t>
  </si>
  <si>
    <t xml:space="preserve">DASSI A. Crespin Amour</t>
  </si>
  <si>
    <t xml:space="preserve">DJOMATIN S. Victor A.</t>
  </si>
  <si>
    <t xml:space="preserve">DJONOU Koffi</t>
  </si>
  <si>
    <t xml:space="preserve">DJOSSOU Comlan Roger</t>
  </si>
  <si>
    <t xml:space="preserve">DJOUA Falcao Morel</t>
  </si>
  <si>
    <t xml:space="preserve">GBAGUIDI A. Patrick S.</t>
  </si>
  <si>
    <t xml:space="preserve">GANHOU Félicien</t>
  </si>
  <si>
    <t xml:space="preserve">GNACADJA S. Bénédicta</t>
  </si>
  <si>
    <t xml:space="preserve">GNONHOUE Eric Wilfried</t>
  </si>
  <si>
    <t xml:space="preserve">IDRISSOU Bounonyaminou</t>
  </si>
  <si>
    <t xml:space="preserve">IMGBA Williame N'so</t>
  </si>
  <si>
    <t xml:space="preserve">KASSA Armand Comlan </t>
  </si>
  <si>
    <t xml:space="preserve">KOUCOUBOU G. Roland</t>
  </si>
  <si>
    <t xml:space="preserve">KOUNOUDJI Y. Magloire </t>
  </si>
  <si>
    <t xml:space="preserve">MONGUEDE Bruno Roméo</t>
  </si>
  <si>
    <t xml:space="preserve">QUENUM Henri</t>
  </si>
  <si>
    <t xml:space="preserve">QUENUM Kossi</t>
  </si>
  <si>
    <t xml:space="preserve">SEGOUN Prudence Gérard</t>
  </si>
  <si>
    <t xml:space="preserve">SOSSOU Spéro Martial</t>
  </si>
  <si>
    <t xml:space="preserve">TCHOROUE Sonita Pierre</t>
  </si>
  <si>
    <t xml:space="preserve">THOKPON Rufine</t>
  </si>
  <si>
    <t xml:space="preserve">TONON Constant Dossou</t>
  </si>
  <si>
    <t xml:space="preserve">VARISSOU Idriss Arsène</t>
  </si>
  <si>
    <t xml:space="preserve">VIVENOU Clément N.</t>
  </si>
  <si>
    <t xml:space="preserve">YOMBO Etienne</t>
  </si>
  <si>
    <r>
      <rPr>
        <b val="true"/>
        <i val="true"/>
        <sz val="14"/>
        <rFont val="Arial"/>
        <family val="2"/>
        <charset val="1"/>
      </rPr>
      <t xml:space="preserve">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ANIMALE</t>
    </r>
  </si>
  <si>
    <t xml:space="preserve">AGBANLIN A.Geoffroy</t>
  </si>
  <si>
    <t xml:space="preserve">AGBAZE J. Célestin</t>
  </si>
  <si>
    <t xml:space="preserve">AHOLOU Raoul Baudouin</t>
  </si>
  <si>
    <t xml:space="preserve">AHOSSI Chalus Macoorie</t>
  </si>
  <si>
    <t xml:space="preserve">ALASSANE Bourhanath</t>
  </si>
  <si>
    <t xml:space="preserve">AMIDOU Ibrahima</t>
  </si>
  <si>
    <t xml:space="preserve">ATEMBA Kossi Grégoire</t>
  </si>
  <si>
    <t xml:space="preserve">AZONGNIDE B. Franck</t>
  </si>
  <si>
    <t xml:space="preserve">BANI KOGUI SALLOU</t>
  </si>
  <si>
    <t xml:space="preserve">DAMBO Urielle A. Ninon</t>
  </si>
  <si>
    <t xml:space="preserve">DEGUENON Olivier Cyprien</t>
  </si>
  <si>
    <t xml:space="preserve">DJIBRIL A. Sharafa Dine</t>
  </si>
  <si>
    <t xml:space="preserve">DJOSSOU A. M. Rodrigue</t>
  </si>
  <si>
    <t xml:space="preserve">MAMA Assouma</t>
  </si>
  <si>
    <t xml:space="preserve">OGOU A. Joel</t>
  </si>
  <si>
    <t xml:space="preserve">SETAMOU Orou Koto</t>
  </si>
  <si>
    <t xml:space="preserve">TEKODJINAN Théodule</t>
  </si>
  <si>
    <t xml:space="preserve">TOVIEHOU A. Blanche</t>
  </si>
  <si>
    <t xml:space="preserve">YACOUBOU A Sidicou </t>
  </si>
  <si>
    <t xml:space="preserve">KOUMODJI COFFI</t>
  </si>
  <si>
    <t xml:space="preserve">VISSOH A. M. Ange Ephrem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</si>
  <si>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 ELECTRIQUE</t>
    </r>
  </si>
  <si>
    <t xml:space="preserve">AGLOBOE K. Gyres F.</t>
  </si>
  <si>
    <t xml:space="preserve">ATCHOU Séraphin</t>
  </si>
  <si>
    <t xml:space="preserve">AWOUDJINOU Sourou</t>
  </si>
  <si>
    <t xml:space="preserve">BALOGOUN Lidwine Ines</t>
  </si>
  <si>
    <t xml:space="preserve">DAA-GOUNON T. Claude</t>
  </si>
  <si>
    <t xml:space="preserve">De MONTAGUER Léonce</t>
  </si>
  <si>
    <t xml:space="preserve">HOUNTONNAGNON Edith</t>
  </si>
  <si>
    <t xml:space="preserve">HOUNDJO Mawudjro</t>
  </si>
  <si>
    <t xml:space="preserve">KOUASSI K. Fulgence</t>
  </si>
  <si>
    <t xml:space="preserve">NANGBE Médard Innocent</t>
  </si>
  <si>
    <t xml:space="preserve">SEFANDE Patema M. E.</t>
  </si>
  <si>
    <t xml:space="preserve">SOVI-GUIDI Baudouin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</si>
  <si>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</t>
    </r>
  </si>
  <si>
    <t xml:space="preserve">ADJAÏ H. A. Richir</t>
  </si>
  <si>
    <t xml:space="preserve">AHOGLE G. Ghislain</t>
  </si>
  <si>
    <t xml:space="preserve">AHOMADIKPOHOU Médard</t>
  </si>
  <si>
    <t xml:space="preserve">AHOUANGONOU . Jean</t>
  </si>
  <si>
    <t xml:space="preserve">AITCHEOU Marius</t>
  </si>
  <si>
    <t xml:space="preserve">AMADAH Malwane</t>
  </si>
  <si>
    <t xml:space="preserve">AZIAKOU Donald W.</t>
  </si>
  <si>
    <t xml:space="preserve">BOCO S. Romaric Camporé</t>
  </si>
  <si>
    <t xml:space="preserve">DEGNON K. Jean-Marie</t>
  </si>
  <si>
    <t xml:space="preserve">HOUESSIONON A. Serge</t>
  </si>
  <si>
    <t xml:space="preserve">MESSAN E. Samuel</t>
  </si>
  <si>
    <t xml:space="preserve">M'PO KOUAGOU Eugène</t>
  </si>
  <si>
    <t xml:space="preserve">NONVIGNON A. Euloge  </t>
  </si>
  <si>
    <t xml:space="preserve">OGOUWALE Sylvestre</t>
  </si>
  <si>
    <t xml:space="preserve">OLAHANMI Charafa</t>
  </si>
  <si>
    <t xml:space="preserve">OUOROU Ignace</t>
  </si>
  <si>
    <t xml:space="preserve">SOH A. Elie</t>
  </si>
  <si>
    <t xml:space="preserve">TAIROU A. Nourou</t>
  </si>
  <si>
    <t xml:space="preserve">VITOULEY M. Aristide</t>
  </si>
  <si>
    <t xml:space="preserve">YESSIN W. Rodrigue</t>
  </si>
  <si>
    <t xml:space="preserve">ZANCLAN B. Yves</t>
  </si>
  <si>
    <t xml:space="preserve">ZANMENOU André</t>
  </si>
  <si>
    <r>
      <rPr>
        <b val="true"/>
        <i val="true"/>
        <sz val="14"/>
        <rFont val="Arial"/>
        <family val="2"/>
        <charset val="1"/>
      </rPr>
      <t xml:space="preserve">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 </t>
    </r>
  </si>
  <si>
    <t xml:space="preserve">ADJIBI OSSENI Razak</t>
  </si>
  <si>
    <t xml:space="preserve">AGOSSE Ambroise</t>
  </si>
  <si>
    <t xml:space="preserve">AGUI Roger</t>
  </si>
  <si>
    <t xml:space="preserve">AYETOLOU D. Jérémie</t>
  </si>
  <si>
    <t xml:space="preserve">EDJADESSIBA Marc</t>
  </si>
  <si>
    <t xml:space="preserve">GANMENON Kponou I.</t>
  </si>
  <si>
    <t xml:space="preserve">GNANHOUI S. Corentin</t>
  </si>
  <si>
    <t xml:space="preserve">HOUNTONDJI Ernest</t>
  </si>
  <si>
    <t xml:space="preserve">KOUHOLI Clétus Osar</t>
  </si>
  <si>
    <t xml:space="preserve">KOUMASSEGBO K. Armel</t>
  </si>
  <si>
    <t xml:space="preserve">KOUNLE A. Gabriel</t>
  </si>
  <si>
    <t xml:space="preserve">KPOTON Gilbert</t>
  </si>
  <si>
    <t xml:space="preserve">N'VENIHOUNDE H. H.</t>
  </si>
  <si>
    <t xml:space="preserve">YANGUENON Coffi B.</t>
  </si>
  <si>
    <t xml:space="preserve">ZANDAGBA Glawdys</t>
  </si>
  <si>
    <t xml:space="preserve">ZINSALO S. Rodrigue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</si>
  <si>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</t>
    </r>
  </si>
  <si>
    <t xml:space="preserve">ADEGNIKA Moïse O.</t>
  </si>
  <si>
    <t xml:space="preserve">ADIMOU F. Gilbert Eméric</t>
  </si>
  <si>
    <t xml:space="preserve">AGOHOUNDJE Victor</t>
  </si>
  <si>
    <t xml:space="preserve">AKPAHOUNKE Bernard</t>
  </si>
  <si>
    <t xml:space="preserve">AMOUSSOU Mathias G. M.</t>
  </si>
  <si>
    <t xml:space="preserve">ANDO S. Jocelyne Emma</t>
  </si>
  <si>
    <t xml:space="preserve">ASSANI Zacharie</t>
  </si>
  <si>
    <t xml:space="preserve">ATCHADE C. Bernice</t>
  </si>
  <si>
    <t xml:space="preserve">CHABI WARO W. Brice</t>
  </si>
  <si>
    <t xml:space="preserve">CHAPARGUI Sabira W.</t>
  </si>
  <si>
    <t xml:space="preserve">DADY DAVO Stanislas G.</t>
  </si>
  <si>
    <t xml:space="preserve">DETCHENOU Arnaud</t>
  </si>
  <si>
    <t xml:space="preserve">DJAKPO M. Térence</t>
  </si>
  <si>
    <t xml:space="preserve">DJOGNIBO C. Edison</t>
  </si>
  <si>
    <t xml:space="preserve">DOSSOU YOVO Alice</t>
  </si>
  <si>
    <t xml:space="preserve">EFFIBOLEY Hervé Marie-L.</t>
  </si>
  <si>
    <t xml:space="preserve">FADEGNON David Assuan</t>
  </si>
  <si>
    <t xml:space="preserve">GNITANGNI M. Diane</t>
  </si>
  <si>
    <t xml:space="preserve">HODJIGUE Gildas</t>
  </si>
  <si>
    <t xml:space="preserve">HOUNDAKENOU Appolinair</t>
  </si>
  <si>
    <t xml:space="preserve">HOUNKANRIN S. Juste</t>
  </si>
  <si>
    <t xml:space="preserve">HOUNTON HOUNGBE M.</t>
  </si>
  <si>
    <t xml:space="preserve">KODO A. Emmanuel</t>
  </si>
  <si>
    <t xml:space="preserve">KOHOSSI Euloge Stéves D.</t>
  </si>
  <si>
    <t xml:space="preserve">LEGBA B. Ines</t>
  </si>
  <si>
    <t xml:space="preserve">MITCHODIGNIN N. Gildas</t>
  </si>
  <si>
    <t xml:space="preserve">MONTCHO M. Potus</t>
  </si>
  <si>
    <t xml:space="preserve">SAVI C. Ferdinand</t>
  </si>
  <si>
    <t xml:space="preserve">SOGLO C. Armand</t>
  </si>
  <si>
    <t xml:space="preserve">SOGLO Rodrigue Constant</t>
  </si>
  <si>
    <t xml:space="preserve">SOSSOU D. Ghislain Patrice</t>
  </si>
  <si>
    <t xml:space="preserve">VIGAN Murielle Christelle D.</t>
  </si>
  <si>
    <t xml:space="preserve">ZINSE Cosme</t>
  </si>
  <si>
    <t xml:space="preserve">                              TROISIEME ANNEE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</si>
  <si>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</t>
    </r>
  </si>
  <si>
    <t xml:space="preserve">ABOUA O. V. Gildas</t>
  </si>
  <si>
    <t xml:space="preserve">AGOSSOU A. Gabin</t>
  </si>
  <si>
    <t xml:space="preserve">AGUENOUDE Mathias</t>
  </si>
  <si>
    <t xml:space="preserve">AHIMAKIN T. Ghislain Arthur</t>
  </si>
  <si>
    <t xml:space="preserve">AHOUISSOUSSI Marie</t>
  </si>
  <si>
    <t xml:space="preserve">AIHOUNHIN  N.  Achille</t>
  </si>
  <si>
    <t xml:space="preserve">ANATO Georges Tangui</t>
  </si>
  <si>
    <t xml:space="preserve">AYI Greefith</t>
  </si>
  <si>
    <t xml:space="preserve">BOGNON Marius</t>
  </si>
  <si>
    <t xml:space="preserve">CODJO H. Jean-Marie</t>
  </si>
  <si>
    <t xml:space="preserve">DAGBETO M. Cléophas</t>
  </si>
  <si>
    <t xml:space="preserve">DEGNIMON M.  Wilfried</t>
  </si>
  <si>
    <t xml:space="preserve">DOVI Mark Vitor</t>
  </si>
  <si>
    <t xml:space="preserve">FADONOUGBO N. Alain</t>
  </si>
  <si>
    <t xml:space="preserve">GBANGOU Soumanou M.</t>
  </si>
  <si>
    <t xml:space="preserve">GBEDAH Marx Mickael</t>
  </si>
  <si>
    <t xml:space="preserve">GNANHOUI O. Y. Bernard</t>
  </si>
  <si>
    <t xml:space="preserve">GNONLONFOUN Marie-Jos</t>
  </si>
  <si>
    <t xml:space="preserve">GOUDOU Roger</t>
  </si>
  <si>
    <t xml:space="preserve">HAZOUME B. M. Arnaud J.</t>
  </si>
  <si>
    <t xml:space="preserve">HODONOU D. Bienvenu</t>
  </si>
  <si>
    <t xml:space="preserve">HONVOU Henri</t>
  </si>
  <si>
    <t xml:space="preserve">HOUDOTE L. René-Marie</t>
  </si>
  <si>
    <t xml:space="preserve">HOUNKPATIN N. Hubert</t>
  </si>
  <si>
    <t xml:space="preserve">IBOURAIMA K. Seidou</t>
  </si>
  <si>
    <t xml:space="preserve">KARIM  ISSAOU Osséni</t>
  </si>
  <si>
    <t xml:space="preserve">KOUKOUI C. Gabin</t>
  </si>
  <si>
    <t xml:space="preserve">PADONOU Fabrice S.</t>
  </si>
  <si>
    <t xml:space="preserve">QUENUM Arnaud Yves</t>
  </si>
  <si>
    <t xml:space="preserve">SINIMBOU B. Ekundayo</t>
  </si>
  <si>
    <t xml:space="preserve">SOSSOU Thierry Hermann</t>
  </si>
  <si>
    <t xml:space="preserve">TOKOUETE  Genys</t>
  </si>
  <si>
    <t xml:space="preserve">WABI  A.  S.  Kader</t>
  </si>
  <si>
    <t xml:space="preserve">WEDJANGNON Sotondji</t>
  </si>
  <si>
    <t xml:space="preserve">WUISSA Sagbo Donatien</t>
  </si>
  <si>
    <t xml:space="preserve">YEMIHIN Nestor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</si>
  <si>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</t>
    </r>
    <r>
      <rPr>
        <b val="true"/>
        <i val="true"/>
        <sz val="14"/>
        <rFont val="Arial"/>
        <family val="2"/>
        <charset val="1"/>
      </rPr>
      <t xml:space="preserve"> </t>
    </r>
  </si>
  <si>
    <t xml:space="preserve">ADAM Kassimou A.</t>
  </si>
  <si>
    <t xml:space="preserve">ADINGNI Célestin</t>
  </si>
  <si>
    <t xml:space="preserve">AGBAHOUN A. Pascal</t>
  </si>
  <si>
    <t xml:space="preserve">AGBODJA Fatai</t>
  </si>
  <si>
    <t xml:space="preserve">AGLIN Constant Cohovi</t>
  </si>
  <si>
    <t xml:space="preserve">AHISSOU Judicaèl</t>
  </si>
  <si>
    <t xml:space="preserve">AHOUANDOGBO  Eugenie</t>
  </si>
  <si>
    <t xml:space="preserve">AKPO Ghislaine</t>
  </si>
  <si>
    <t xml:space="preserve">BALLO H. Yabavi</t>
  </si>
  <si>
    <t xml:space="preserve">BIAOU DIMON Gilbert</t>
  </si>
  <si>
    <t xml:space="preserve">BOUBACAR Oussama </t>
  </si>
  <si>
    <t xml:space="preserve">DATINNOU M. Josette R.</t>
  </si>
  <si>
    <t xml:space="preserve">DOHOU S. Robert </t>
  </si>
  <si>
    <t xml:space="preserve">DOSSOU Germain</t>
  </si>
  <si>
    <t xml:space="preserve">EL-HADJI DAOUDA M.</t>
  </si>
  <si>
    <t xml:space="preserve">ESSOUN O. Yves</t>
  </si>
  <si>
    <t xml:space="preserve">HOUNTON  Françoise</t>
  </si>
  <si>
    <t xml:space="preserve">KOUSSEY N. Mubatide</t>
  </si>
  <si>
    <t xml:space="preserve">KOUTAROU Djabirou</t>
  </si>
  <si>
    <t xml:space="preserve">MONTCHO Casimi</t>
  </si>
  <si>
    <t xml:space="preserve">N'SERA Parfait</t>
  </si>
  <si>
    <t xml:space="preserve">SABI SIRA Sabiyô</t>
  </si>
  <si>
    <t xml:space="preserve">SEWAI Alfried</t>
  </si>
  <si>
    <t xml:space="preserve">SODJINOU Bernard</t>
  </si>
  <si>
    <t xml:space="preserve">TELLA Armel Didier</t>
  </si>
  <si>
    <t xml:space="preserve">VIAHO C. Christian</t>
  </si>
  <si>
    <t xml:space="preserve">YONLONFOUN Richard</t>
  </si>
  <si>
    <r>
      <rPr>
        <b val="true"/>
        <i val="true"/>
        <sz val="14"/>
        <rFont val="Arial"/>
        <family val="2"/>
        <charset val="1"/>
      </rPr>
      <t xml:space="preserve">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ELECTRIQUE</t>
    </r>
  </si>
  <si>
    <t xml:space="preserve">AGBESSI Gilbert</t>
  </si>
  <si>
    <t xml:space="preserve">AZONNOUDO D. Innocent</t>
  </si>
  <si>
    <t xml:space="preserve">BLEOUSSI D. Aurelien</t>
  </si>
  <si>
    <t xml:space="preserve">CODJIA Dieudonné C.</t>
  </si>
  <si>
    <t xml:space="preserve">DAGAN  Ayenan  Auguste</t>
  </si>
  <si>
    <t xml:space="preserve">GAI Nicaise Victor</t>
  </si>
  <si>
    <t xml:space="preserve">GBADJAVI Kwaku Paul</t>
  </si>
  <si>
    <t xml:space="preserve">GUEDOU Jean-Pierre</t>
  </si>
  <si>
    <t xml:space="preserve">HOUESSOU A. Théophile</t>
  </si>
  <si>
    <t xml:space="preserve">KABEROU M. Maurice</t>
  </si>
  <si>
    <t xml:space="preserve">MENSAH Têté Jacques</t>
  </si>
  <si>
    <t xml:space="preserve">NOUTEHOU A. Nazaire</t>
  </si>
  <si>
    <t xml:space="preserve">ODJO Armel Y.</t>
  </si>
  <si>
    <t xml:space="preserve">OGOULOLA Victor</t>
  </si>
  <si>
    <t xml:space="preserve">TCHOKPODO C. Godefroy</t>
  </si>
  <si>
    <t xml:space="preserve">TODE M. Barthélémy</t>
  </si>
  <si>
    <t xml:space="preserve">ZEOUNKPE Anselme</t>
  </si>
  <si>
    <t xml:space="preserve">ZOHAN A. Lionel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</si>
  <si>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</t>
    </r>
  </si>
  <si>
    <t xml:space="preserve">DAVAKAN Agossou Charles</t>
  </si>
  <si>
    <t xml:space="preserve">DEGBEY C. Romuald</t>
  </si>
  <si>
    <t xml:space="preserve">DOSSOU BLO K. Gbèzondé</t>
  </si>
  <si>
    <t xml:space="preserve">GBEGO T. Gildas</t>
  </si>
  <si>
    <t xml:space="preserve">GOUDOU Roberto</t>
  </si>
  <si>
    <t xml:space="preserve">HABIROU A. Kparakou</t>
  </si>
  <si>
    <t xml:space="preserve">KINHOU M. Joseph</t>
  </si>
  <si>
    <t xml:space="preserve">KORA Yarou Nouhoum</t>
  </si>
  <si>
    <t xml:space="preserve">LOKONON Armel </t>
  </si>
  <si>
    <t xml:space="preserve">MENHIITO C. Juste</t>
  </si>
  <si>
    <t xml:space="preserve">SOGBEDJI C. Thomas</t>
  </si>
  <si>
    <t xml:space="preserve">SOVIGUIDI César </t>
  </si>
  <si>
    <t xml:space="preserve">WINSA C. G. Emile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</si>
  <si>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</t>
    </r>
  </si>
  <si>
    <t xml:space="preserve">AVODINDIN Justin</t>
  </si>
  <si>
    <t xml:space="preserve">BAMENOU Athanase</t>
  </si>
  <si>
    <t xml:space="preserve">D'ALMEIDA Mensah Otis</t>
  </si>
  <si>
    <t xml:space="preserve">MICHAI Fabien</t>
  </si>
  <si>
    <t xml:space="preserve">MITCHAI Faustin</t>
  </si>
  <si>
    <t xml:space="preserve">SINSIN Sessi Michael</t>
  </si>
  <si>
    <t xml:space="preserve">TCHIKOU Frédéric Codjo</t>
  </si>
  <si>
    <t xml:space="preserve">                                      QUATRIEME ANNEE </t>
  </si>
  <si>
    <r>
      <rPr>
        <b val="true"/>
        <i val="true"/>
        <sz val="14"/>
        <rFont val="Arial"/>
        <family val="2"/>
        <charset val="1"/>
      </rPr>
      <t xml:space="preserve"> 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</t>
    </r>
  </si>
  <si>
    <t xml:space="preserve">AGLO Roseline Herberte E.</t>
  </si>
  <si>
    <t xml:space="preserve">AHOUANGBO  Barthélémy</t>
  </si>
  <si>
    <t xml:space="preserve">AMOUSSOU  Gildas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</si>
  <si>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</si>
  <si>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ASSO  Alidou  Amos</t>
  </si>
  <si>
    <t xml:space="preserve">ATAKPA  Alain  Coffi</t>
  </si>
  <si>
    <t xml:space="preserve">AWINIME  Alfred</t>
  </si>
  <si>
    <t xml:space="preserve">AYIKPE  Cyriaque</t>
  </si>
  <si>
    <t xml:space="preserve">BACHABI  El-hadi</t>
  </si>
  <si>
    <t xml:space="preserve">BADE Marlon</t>
  </si>
  <si>
    <t xml:space="preserve">BOKO  Aristide</t>
  </si>
  <si>
    <t xml:space="preserve">COUAO-ZOTTI  G.  Aiel  K.</t>
  </si>
  <si>
    <t xml:space="preserve">DOHOU  K.  Isidore</t>
  </si>
  <si>
    <t xml:space="preserve">ELEGBEDE Aloise Hugues</t>
  </si>
  <si>
    <t xml:space="preserve">GNANCADJA  Roland</t>
  </si>
  <si>
    <t xml:space="preserve">GNONLONFOUN  Florent  S.</t>
  </si>
  <si>
    <t xml:space="preserve">HOUNDADJO  Edmond</t>
  </si>
  <si>
    <t xml:space="preserve">HOUNMASSE  L.  Marion</t>
  </si>
  <si>
    <t xml:space="preserve">LOKO  Comlan  Isaie</t>
  </si>
  <si>
    <t xml:space="preserve">SODOGLA Codjovi Didier</t>
  </si>
  <si>
    <t xml:space="preserve">TOFFA  Alain</t>
  </si>
  <si>
    <t xml:space="preserve">TOHO Cokou Symael</t>
  </si>
  <si>
    <t xml:space="preserve">YAHOU Cocou Isaac</t>
  </si>
  <si>
    <t xml:space="preserve">ZOHOUN Augustin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</si>
  <si>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</t>
    </r>
  </si>
  <si>
    <t xml:space="preserve">AGUESSY E. Parfait</t>
  </si>
  <si>
    <t xml:space="preserve">AHOKPE Camille</t>
  </si>
  <si>
    <t xml:space="preserve">AKEREBOUROU S. Anie</t>
  </si>
  <si>
    <t xml:space="preserve">AKPATCHO H. Léon</t>
  </si>
  <si>
    <t xml:space="preserve">AMADOU  S.  Soumaila </t>
  </si>
  <si>
    <t xml:space="preserve">ASSOTA Bonaventure</t>
  </si>
  <si>
    <t xml:space="preserve">DADIDJE  François</t>
  </si>
  <si>
    <t xml:space="preserve">DANGNON  C.  Etienne</t>
  </si>
  <si>
    <t xml:space="preserve">EDAH  Cyprien</t>
  </si>
  <si>
    <t xml:space="preserve">EGOUNWOLE M. Issa</t>
  </si>
  <si>
    <t xml:space="preserve">FAVI Bai Diane</t>
  </si>
  <si>
    <t xml:space="preserve">HOUESSINON  A. C. Gabin</t>
  </si>
  <si>
    <t xml:space="preserve">HOUETONGNON Bertin</t>
  </si>
  <si>
    <t xml:space="preserve">HOUNKPEVI Koassi Robert</t>
  </si>
  <si>
    <t xml:space="preserve">KAKPOVI  Félicien</t>
  </si>
  <si>
    <t xml:space="preserve">MAHOUGBE Benjamin</t>
  </si>
  <si>
    <t xml:space="preserve">MIGNANWANDE S. Désiré</t>
  </si>
  <si>
    <t xml:space="preserve">PADONOU C. S. Elvis</t>
  </si>
  <si>
    <t xml:space="preserve">TAMADAHO  Sylvie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</si>
  <si>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 Electrique</t>
    </r>
  </si>
  <si>
    <t xml:space="preserve">ABAGLI  Kokou  Gabin</t>
  </si>
  <si>
    <t xml:space="preserve">ADIKPETO Blaise Cossi</t>
  </si>
  <si>
    <t xml:space="preserve">AKPOVO  Joseph</t>
  </si>
  <si>
    <t xml:space="preserve">AZANDOSSESSI  Rock</t>
  </si>
  <si>
    <t xml:space="preserve">DISSOU Franck Claude</t>
  </si>
  <si>
    <t xml:space="preserve">HINVI  Patrick</t>
  </si>
  <si>
    <t xml:space="preserve">HOUNNOU A.  Maxime</t>
  </si>
  <si>
    <t xml:space="preserve">HOUNSINOU  A. Maxime</t>
  </si>
  <si>
    <t xml:space="preserve">HOSSOU  D.  Innocent</t>
  </si>
  <si>
    <t xml:space="preserve">KOKOSSOU M. Luc Paul</t>
  </si>
  <si>
    <t xml:space="preserve">KPAKE  Sèlomè  Désiré</t>
  </si>
  <si>
    <t xml:space="preserve">LOKO  S. Amédée</t>
  </si>
  <si>
    <t xml:space="preserve">SESSOU  L.  Bienvenu</t>
  </si>
  <si>
    <t xml:space="preserve">SONON  Serge</t>
  </si>
  <si>
    <t xml:space="preserve">TOTIHIN John François B.</t>
  </si>
  <si>
    <t xml:space="preserve">YEHOUNME S. Rodrigue</t>
  </si>
  <si>
    <t xml:space="preserve">ABLET Coovi  Jules</t>
  </si>
  <si>
    <t xml:space="preserve">AGOHOUNDJE  Philipe</t>
  </si>
  <si>
    <t xml:space="preserve">AHOMLANTO A. Thierry</t>
  </si>
  <si>
    <t xml:space="preserve">AHOUI A. François-Dassise</t>
  </si>
  <si>
    <t xml:space="preserve">AIZONOU  Martial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</si>
  <si>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</si>
  <si>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ALADJOU  T.  Alera</t>
  </si>
  <si>
    <t xml:space="preserve">ALIDOU A. Daouda</t>
  </si>
  <si>
    <t xml:space="preserve">COCO  Martial</t>
  </si>
  <si>
    <t xml:space="preserve">DOSSOU  F.  P  Serge</t>
  </si>
  <si>
    <t xml:space="preserve">IDOHOU Kadjola Romus </t>
  </si>
  <si>
    <t xml:space="preserve">TENIOLA Yai K. Arnauld</t>
  </si>
  <si>
    <t xml:space="preserve"> LICENCE PROFESSIONNELLE EFFECTIF 2008-2009</t>
  </si>
  <si>
    <t xml:space="preserve">                     1ère  année Spéciale</t>
  </si>
  <si>
    <r>
      <rPr>
        <b val="true"/>
        <i val="true"/>
        <sz val="14"/>
        <rFont val="Arial"/>
        <family val="2"/>
        <charset val="1"/>
      </rPr>
      <t xml:space="preserve">          PRODUCTION ANIMALE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</si>
  <si>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ADINGNI Justin</t>
  </si>
  <si>
    <t xml:space="preserve">AGLOSSI  Eugène</t>
  </si>
  <si>
    <t xml:space="preserve">AHOUANDJINOU Félicien</t>
  </si>
  <si>
    <t xml:space="preserve">AHOUANSE C. Romain</t>
  </si>
  <si>
    <t xml:space="preserve">AHOUI Vidjogni</t>
  </si>
  <si>
    <t xml:space="preserve">AKPACA Mathias</t>
  </si>
  <si>
    <t xml:space="preserve">AMIDOU Nourou</t>
  </si>
  <si>
    <t xml:space="preserve">ANAGONOUVI Gabril</t>
  </si>
  <si>
    <t xml:space="preserve">BIGO Samuel</t>
  </si>
  <si>
    <t xml:space="preserve">da SILVA Rachid Serge </t>
  </si>
  <si>
    <t xml:space="preserve">DADJO A. Brice</t>
  </si>
  <si>
    <t xml:space="preserve">DAGBETO Irénée</t>
  </si>
  <si>
    <t xml:space="preserve">DEGBE Raoul</t>
  </si>
  <si>
    <t xml:space="preserve">DOLIVEIRA Emmanuel</t>
  </si>
  <si>
    <t xml:space="preserve">ENOUHERAN M. Blaise</t>
  </si>
  <si>
    <t xml:space="preserve">GAMAVO Victor</t>
  </si>
  <si>
    <t xml:space="preserve">GOUNOU N'GOBI Bakassidi</t>
  </si>
  <si>
    <t xml:space="preserve">OROU Sabi</t>
  </si>
  <si>
    <t xml:space="preserve">OROUDORE Mouhamado</t>
  </si>
  <si>
    <t xml:space="preserve">OSSENI Bakari Toyin</t>
  </si>
  <si>
    <t xml:space="preserve">SOGBOSSI Richard Aimé</t>
  </si>
  <si>
    <r>
      <rPr>
        <b val="true"/>
        <i val="true"/>
        <sz val="14"/>
        <rFont val="Arial"/>
        <family val="2"/>
        <charset val="1"/>
      </rPr>
      <t xml:space="preserve">         PRODUCTION VEGETALE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</si>
  <si>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ADAM I. Sahadath</t>
  </si>
  <si>
    <t xml:space="preserve">AGBON Perre </t>
  </si>
  <si>
    <t xml:space="preserve">AHOU Bruno</t>
  </si>
  <si>
    <t xml:space="preserve">AHOUANGNIMON Ignace</t>
  </si>
  <si>
    <t xml:space="preserve">AKAKPO Samuel</t>
  </si>
  <si>
    <t xml:space="preserve">AMATA  Houessin</t>
  </si>
  <si>
    <t xml:space="preserve">AYINON Roger</t>
  </si>
  <si>
    <t xml:space="preserve">CAKPO Alain</t>
  </si>
  <si>
    <t xml:space="preserve">CAPO CHICHI Ulrich</t>
  </si>
  <si>
    <t xml:space="preserve">GBOYOU H. Bernard</t>
  </si>
  <si>
    <t xml:space="preserve">KOUVEGLO Ella Inès</t>
  </si>
  <si>
    <t xml:space="preserve">LAWIN Daniel</t>
  </si>
  <si>
    <t xml:space="preserve">TOKPON  Christophe</t>
  </si>
  <si>
    <t xml:space="preserve">WANKPO Celestin</t>
  </si>
  <si>
    <t xml:space="preserve"> LICENCE PROFESSIONNELLE EFFECTIF ( BTS ) 2008-2009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</si>
  <si>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1ère Année</t>
    </r>
  </si>
  <si>
    <t xml:space="preserve"> </t>
  </si>
  <si>
    <t xml:space="preserve">ACODJI Z. Armand</t>
  </si>
  <si>
    <t xml:space="preserve">ADANKON Julien </t>
  </si>
  <si>
    <t xml:space="preserve">ADJAHO  Poitiers</t>
  </si>
  <si>
    <t xml:space="preserve">AGOHOUNDJE Bonaventure</t>
  </si>
  <si>
    <t xml:space="preserve">AGOSSOU Cossi Fabrice</t>
  </si>
  <si>
    <t xml:space="preserve">AGUIDISSOU Crespin</t>
  </si>
  <si>
    <t xml:space="preserve">AHOLOUKPE Noel</t>
  </si>
  <si>
    <t xml:space="preserve">AMOUSSOU Raoul Comlan</t>
  </si>
  <si>
    <t xml:space="preserve">ARIORI Arnaud</t>
  </si>
  <si>
    <t xml:space="preserve">ATCHY Abdel Kader</t>
  </si>
  <si>
    <t xml:space="preserve">ATTIKPA Alexis</t>
  </si>
  <si>
    <t xml:space="preserve">DENADI G. Jouniac</t>
  </si>
  <si>
    <t xml:space="preserve">DJAGBA Romuald</t>
  </si>
  <si>
    <t xml:space="preserve">EGO HOUINOU Ladislas</t>
  </si>
  <si>
    <t xml:space="preserve">FATCHINA Epaphras Amen</t>
  </si>
  <si>
    <t xml:space="preserve">GNANSOUNOU H. Achille</t>
  </si>
  <si>
    <t xml:space="preserve">GNONLONFOUN Frank  F.</t>
  </si>
  <si>
    <t xml:space="preserve">GOVOEYI Louis</t>
  </si>
  <si>
    <t xml:space="preserve">HOUETO Victor</t>
  </si>
  <si>
    <t xml:space="preserve">HOUNDOLO Fidèle</t>
  </si>
  <si>
    <t xml:space="preserve">HOUNGBEME Z. Marius</t>
  </si>
  <si>
    <t xml:space="preserve">HOUNKLIN Léon</t>
  </si>
  <si>
    <t xml:space="preserve">HOUNYEME Ferdinand</t>
  </si>
  <si>
    <t xml:space="preserve">HOUSSOU Jean Baptiste</t>
  </si>
  <si>
    <t xml:space="preserve">KONA C. Charles Hubert</t>
  </si>
  <si>
    <t xml:space="preserve">LEGAME S. Bernadin H. Coffi</t>
  </si>
  <si>
    <t xml:space="preserve">LOSSOU G. Hippolyte</t>
  </si>
  <si>
    <t xml:space="preserve">MAGNONFINON S. Renaldo</t>
  </si>
  <si>
    <t xml:space="preserve">MAHOUGBE Honoré</t>
  </si>
  <si>
    <t xml:space="preserve">NOUHOHEFLIN M. Gérard</t>
  </si>
  <si>
    <t xml:space="preserve">SEGBEDJI Désiré</t>
  </si>
  <si>
    <t xml:space="preserve">VIEYRA Lionel</t>
  </si>
  <si>
    <t xml:space="preserve">ZEHE E. Lisca</t>
  </si>
  <si>
    <t xml:space="preserve">ZIKI SIA Orou Adam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</si>
  <si>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PROF.)(2008-2009)  2ème Année </t>
    </r>
  </si>
  <si>
    <t xml:space="preserve">AGBO Hermann Gontran</t>
  </si>
  <si>
    <t xml:space="preserve">AGO Tadégnon Patrick H.</t>
  </si>
  <si>
    <t xml:space="preserve">AIDOMOAN D. José Franck</t>
  </si>
  <si>
    <t xml:space="preserve">AKAKPO M. Alfred</t>
  </si>
  <si>
    <t xml:space="preserve">ARIORI Rodrigue</t>
  </si>
  <si>
    <t xml:space="preserve">ASSOGBA Martial Arnaud</t>
  </si>
  <si>
    <t xml:space="preserve">ATTOLOU Abibo Laurent</t>
  </si>
  <si>
    <t xml:space="preserve">ATONDEY M. Thierry C.</t>
  </si>
  <si>
    <t xml:space="preserve">AYOKPON Stanislas</t>
  </si>
  <si>
    <t xml:space="preserve">AZAH Médard</t>
  </si>
  <si>
    <t xml:space="preserve">BIAOU Isaac</t>
  </si>
  <si>
    <t xml:space="preserve">CAPOCHICHI A. Raoul</t>
  </si>
  <si>
    <t xml:space="preserve">D'ALMEIDA Annita Corine</t>
  </si>
  <si>
    <t xml:space="preserve">DAKPO Eric Didier A. C.</t>
  </si>
  <si>
    <t xml:space="preserve">DEGBEGNI S. Ghislain</t>
  </si>
  <si>
    <t xml:space="preserve">DESSEMEDE G. Chadrac</t>
  </si>
  <si>
    <t xml:space="preserve">de SOUZA Fiacre</t>
  </si>
  <si>
    <t xml:space="preserve">HOUNGBEME Z. Maurice</t>
  </si>
  <si>
    <t xml:space="preserve">HOUNKANRIN B. Thomas</t>
  </si>
  <si>
    <t xml:space="preserve">HOUNSOU M. Prosper</t>
  </si>
  <si>
    <t xml:space="preserve">KETOUNOU Ange Stévens</t>
  </si>
  <si>
    <t xml:space="preserve">MAMA M. Faissol</t>
  </si>
  <si>
    <t xml:space="preserve">OLAOGOUN K. Didier</t>
  </si>
  <si>
    <t xml:space="preserve">OLOUKOU Bonaventure A.</t>
  </si>
  <si>
    <t xml:space="preserve">ONY Sourou Sévérin</t>
  </si>
  <si>
    <t xml:space="preserve">TOCHENALI Dimitri A. L. C.</t>
  </si>
  <si>
    <t xml:space="preserve">TCHINHOUNTCHIN Fidel </t>
  </si>
  <si>
    <t xml:space="preserve">TOSSOU HOUNNOU Judicael.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</si>
  <si>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PROF.)(2008-2009) Année de Stage</t>
    </r>
  </si>
  <si>
    <t xml:space="preserve">AGBIDINOUKOU N. Nicaise</t>
  </si>
  <si>
    <t xml:space="preserve">ALAVO Y. Louange</t>
  </si>
  <si>
    <t xml:space="preserve">ALITONOU C. R. Hervé</t>
  </si>
  <si>
    <t xml:space="preserve">ALLOGNON G. Rodrigue</t>
  </si>
  <si>
    <t xml:space="preserve">AZONDEKON M. Chantal</t>
  </si>
  <si>
    <t xml:space="preserve">BIAOU S. ABAKE Aimé</t>
  </si>
  <si>
    <t xml:space="preserve">DAKOSSI Abel</t>
  </si>
  <si>
    <t xml:space="preserve">EDJEBEDE Narcirse</t>
  </si>
  <si>
    <t xml:space="preserve">GOVE Bertrand</t>
  </si>
  <si>
    <t xml:space="preserve">GUEDEGBE Arnold</t>
  </si>
  <si>
    <t xml:space="preserve">HOUNMENOU Prosper</t>
  </si>
  <si>
    <t xml:space="preserve">HOUNWAKANOU Carlos</t>
  </si>
  <si>
    <t xml:space="preserve">LAGNIKA A. Ibrahim</t>
  </si>
  <si>
    <t xml:space="preserve">KOUDJO Marius</t>
  </si>
  <si>
    <t xml:space="preserve">MAMOUDOU Massaoudou</t>
  </si>
  <si>
    <t xml:space="preserve">MONTEIRO A. Romaric</t>
  </si>
  <si>
    <t xml:space="preserve">NOUDJOLOGAN Sidoux  G.</t>
  </si>
  <si>
    <t xml:space="preserve">N'VEKOUNOU Symphorien</t>
  </si>
  <si>
    <t xml:space="preserve">ODJOUMANI O. Miche</t>
  </si>
  <si>
    <t xml:space="preserve">OROULA S. Michel</t>
  </si>
  <si>
    <t xml:space="preserve">OTCHOUN H. Léon</t>
  </si>
  <si>
    <t xml:space="preserve">SEGNON Auguste</t>
  </si>
  <si>
    <t xml:space="preserve">SENAHOUN T.B. Anicet</t>
  </si>
  <si>
    <t xml:space="preserve">SENOU Coffi Guillaume</t>
  </si>
  <si>
    <t xml:space="preserve">SOUNLIN A. Olympe</t>
  </si>
  <si>
    <t xml:space="preserve">YARI  M. Abdel-Taya</t>
  </si>
  <si>
    <r>
      <rPr>
        <b val="true"/>
        <i val="true"/>
        <sz val="14"/>
        <color rgb="FFFF0000"/>
        <rFont val="Arial"/>
        <family val="2"/>
        <charset val="1"/>
      </rPr>
      <t xml:space="preserve">                  </t>
    </r>
    <r>
      <rPr>
        <b val="true"/>
        <i val="true"/>
        <u val="single"/>
        <sz val="14"/>
        <color rgb="FFFF0000"/>
        <rFont val="Arial"/>
        <family val="2"/>
        <charset val="1"/>
      </rPr>
      <t xml:space="preserve">INGENIEURS GEOMETRES (2008-2009</t>
    </r>
    <r>
      <rPr>
        <b val="true"/>
        <i val="true"/>
        <sz val="14"/>
        <color rgb="FFFF0000"/>
        <rFont val="Arial"/>
        <family val="2"/>
        <charset val="1"/>
      </rPr>
      <t xml:space="preserve">)</t>
    </r>
  </si>
  <si>
    <t xml:space="preserve">ABOBO Martial</t>
  </si>
  <si>
    <t xml:space="preserve">ACROMBESSI Modeste</t>
  </si>
  <si>
    <t xml:space="preserve">ADIHOU Charles</t>
  </si>
  <si>
    <t xml:space="preserve">ALLOSSOGBE Julien</t>
  </si>
  <si>
    <t xml:space="preserve">de SOUZA Médard</t>
  </si>
  <si>
    <t xml:space="preserve">EGOUDJOBI Michael</t>
  </si>
  <si>
    <t xml:space="preserve">HOUNKANRIN Pierre</t>
  </si>
  <si>
    <t xml:space="preserve">KIKI Alain Sourou</t>
  </si>
  <si>
    <t xml:space="preserve">KOSSOU Fabrice</t>
  </si>
  <si>
    <t xml:space="preserve">KOUKOUI Hervé</t>
  </si>
  <si>
    <t xml:space="preserve">KPOTOUEDO Julien</t>
  </si>
  <si>
    <t xml:space="preserve">LATOUNDJI Mouléro</t>
  </si>
  <si>
    <t xml:space="preserve">MAMA SAMBO fatimatou</t>
  </si>
  <si>
    <t xml:space="preserve">OGOUBIYI Arcadius</t>
  </si>
  <si>
    <t xml:space="preserve">TOUKOUROU Yèzidou</t>
  </si>
  <si>
    <t xml:space="preserve">TOUTUIGA K. Désiré</t>
  </si>
  <si>
    <t xml:space="preserve">ZINSOU Roland</t>
  </si>
  <si>
    <t xml:space="preserve">ZITTI Euloge</t>
  </si>
  <si>
    <t xml:space="preserve">Abomey-Calavi, le 19 Février 2010</t>
  </si>
  <si>
    <t xml:space="preserve">                                        INGENIEURS </t>
  </si>
  <si>
    <t xml:space="preserve">       EN GENIE ELECTRIQUE (2008-2009)</t>
  </si>
  <si>
    <t xml:space="preserve">                            1ère SESSION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</si>
  <si>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</si>
  <si>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</si>
  <si>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</si>
  <si>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</si>
  <si>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</si>
  <si>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</si>
  <si>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Coffi</t>
  </si>
  <si>
    <t xml:space="preserve">DOSSOU A. Amédée</t>
  </si>
  <si>
    <t xml:space="preserve">GBAGIUDI M. Alexis</t>
  </si>
  <si>
    <t xml:space="preserve">GONNON Bernard</t>
  </si>
  <si>
    <t xml:space="preserve">HOUNSA A. William</t>
  </si>
  <si>
    <t xml:space="preserve">KOSSOULOU  M. Philippe</t>
  </si>
  <si>
    <t xml:space="preserve">NASSIROU A. Raimi</t>
  </si>
  <si>
    <t xml:space="preserve">NOUNANGNONHOU T.</t>
  </si>
  <si>
    <t xml:space="preserve">OLOULADE Arouna</t>
  </si>
  <si>
    <t xml:space="preserve">SABAM Mama</t>
  </si>
  <si>
    <t xml:space="preserve">SOUROU Séni</t>
  </si>
  <si>
    <t xml:space="preserve">SYLVAIN TCHIKPE</t>
  </si>
  <si>
    <t xml:space="preserve">TOSSOU Laurent</t>
  </si>
  <si>
    <t xml:space="preserve">       EN GENIE ELECTRIQUE (2007-2008)</t>
  </si>
  <si>
    <t xml:space="preserve">      </t>
  </si>
  <si>
    <t xml:space="preserve">RECOUVREMENT EN 2009 DES ARRIEREES </t>
  </si>
  <si>
    <t xml:space="preserve">N°</t>
  </si>
  <si>
    <t xml:space="preserve">NOM ET PRENOMS</t>
  </si>
  <si>
    <t xml:space="preserve">FIL /AN 2009</t>
  </si>
  <si>
    <t xml:space="preserve">SOMME VERSEE</t>
  </si>
  <si>
    <t xml:space="preserve"> RESTANT DU</t>
  </si>
  <si>
    <t xml:space="preserve">FIL/AN REGUL</t>
  </si>
  <si>
    <t xml:space="preserve">OBSERVATION</t>
  </si>
  <si>
    <t xml:space="preserve">TCHIAKPE Gabin</t>
  </si>
  <si>
    <t xml:space="preserve">Stag G.C</t>
  </si>
  <si>
    <t xml:space="preserve">GC/S 1&amp; 2</t>
  </si>
  <si>
    <t xml:space="preserve">2006-07 / 2007-08</t>
  </si>
  <si>
    <t xml:space="preserve">DEGBO-KOBO G. Pierre</t>
  </si>
  <si>
    <t xml:space="preserve">**</t>
  </si>
  <si>
    <t xml:space="preserve">Hyd2/sp/06</t>
  </si>
  <si>
    <t xml:space="preserve">2005-2006</t>
  </si>
  <si>
    <t xml:space="preserve">TIOMON Odilon</t>
  </si>
  <si>
    <t xml:space="preserve">MI2/Sp/07</t>
  </si>
  <si>
    <t xml:space="preserve">2006-2007</t>
  </si>
  <si>
    <t xml:space="preserve">GNIMAGNON Marcelin</t>
  </si>
  <si>
    <t xml:space="preserve">MIstag/Sp/08</t>
  </si>
  <si>
    <t xml:space="preserve">2007-2008</t>
  </si>
  <si>
    <t xml:space="preserve">MONTEIRO Romaric</t>
  </si>
  <si>
    <t xml:space="preserve">GC/BTS 2207-08</t>
  </si>
  <si>
    <t xml:space="preserve">LOKOKANNOU Ludovic</t>
  </si>
  <si>
    <t xml:space="preserve">fini</t>
  </si>
  <si>
    <t xml:space="preserve">GC/L 2005-06</t>
  </si>
  <si>
    <t xml:space="preserve">GBAGUIDI A. Patrick</t>
  </si>
  <si>
    <t xml:space="preserve">GC2/LP</t>
  </si>
  <si>
    <t xml:space="preserve">GC1/LP 2007-08</t>
  </si>
  <si>
    <t xml:space="preserve">BOUBACAR Oussama</t>
  </si>
  <si>
    <t xml:space="preserve">PV3</t>
  </si>
  <si>
    <t xml:space="preserve">PV2/LP2007-08</t>
  </si>
  <si>
    <t xml:space="preserve">TCHOKPON Hycinthe </t>
  </si>
  <si>
    <t xml:space="preserve">Stage</t>
  </si>
  <si>
    <t xml:space="preserve">BTS Stag</t>
  </si>
  <si>
    <t xml:space="preserve">TOGBE Moussiliou</t>
  </si>
  <si>
    <t xml:space="preserve">GC2 Spé 200-2007</t>
  </si>
  <si>
    <t xml:space="preserve">KOHOSSI Euloge</t>
  </si>
  <si>
    <t xml:space="preserve">PV2èm </t>
  </si>
  <si>
    <t xml:space="preserve">PV1/LP2007-08</t>
  </si>
  <si>
    <t xml:space="preserve">ABOUA Gildas</t>
  </si>
  <si>
    <t xml:space="preserve">GC3èm</t>
  </si>
  <si>
    <t xml:space="preserve">GC2  2007-2008</t>
  </si>
  <si>
    <t xml:space="preserve">GC2 2007-2008</t>
  </si>
  <si>
    <t xml:space="preserve">BIAOU Dimon Gilbert</t>
  </si>
  <si>
    <t xml:space="preserve">AHOMADIMADIKPOHOU Médard</t>
  </si>
  <si>
    <t xml:space="preserve">MI3</t>
  </si>
  <si>
    <t xml:space="preserve">MI2/LP2007-08</t>
  </si>
  <si>
    <t xml:space="preserve">CAPOCHICHI Raoul</t>
  </si>
  <si>
    <t xml:space="preserve">GC2-BTS</t>
  </si>
  <si>
    <t xml:space="preserve">GC1-BTS</t>
  </si>
  <si>
    <t xml:space="preserve">GC3/LP</t>
  </si>
  <si>
    <r>
      <rPr>
        <b val="true"/>
        <sz val="13"/>
        <rFont val="Arial"/>
        <family val="2"/>
        <charset val="1"/>
      </rPr>
      <t xml:space="preserve">RECAPITULATIF DES RECETTES FAITES AU TITRE DE L'ANNEE ACADEMIQUE </t>
    </r>
    <r>
      <rPr>
        <b val="true"/>
        <sz val="12"/>
        <rFont val="Arial"/>
        <family val="2"/>
        <charset val="1"/>
      </rPr>
      <t xml:space="preserve">2008-09</t>
    </r>
  </si>
  <si>
    <t xml:space="preserve">Eff.</t>
  </si>
  <si>
    <t xml:space="preserve">FILIERES / ANNEE</t>
  </si>
  <si>
    <t xml:space="preserve">RECETTE ATTENDUE</t>
  </si>
  <si>
    <t xml:space="preserve">RECOUVRER</t>
  </si>
  <si>
    <t xml:space="preserve">RESTE</t>
  </si>
  <si>
    <t xml:space="preserve">TAUX</t>
  </si>
  <si>
    <t xml:space="preserve">1.</t>
  </si>
  <si>
    <t xml:space="preserve">                                                                                                         GENIE CIVIL ( G.C ) TITULAIRES DU B.A.C / D.T.I  ET EQUIVALENT</t>
  </si>
  <si>
    <t xml:space="preserve">G.C 1</t>
  </si>
  <si>
    <t xml:space="preserve">G.C 2</t>
  </si>
  <si>
    <t xml:space="preserve">G.C 3</t>
  </si>
  <si>
    <t xml:space="preserve">G.C 4</t>
  </si>
  <si>
    <t xml:space="preserve">TOTAL 1</t>
  </si>
  <si>
    <t xml:space="preserve">2.</t>
  </si>
  <si>
    <t xml:space="preserve">                                                         GENIE CIVIL ( G.C ) TITULAIRES DU B.T.S</t>
  </si>
  <si>
    <t xml:space="preserve">G.C 1 - BTS</t>
  </si>
  <si>
    <t xml:space="preserve">G.C 2  - BTS</t>
  </si>
  <si>
    <t xml:space="preserve">G.C Année de Stage</t>
  </si>
  <si>
    <t xml:space="preserve">TOTAL 2</t>
  </si>
  <si>
    <t xml:space="preserve">3.</t>
  </si>
  <si>
    <t xml:space="preserve">                                                            GENIE ELECTRIQUE (G.E)</t>
  </si>
  <si>
    <t xml:space="preserve">G.E 1</t>
  </si>
  <si>
    <t xml:space="preserve">G.E 2</t>
  </si>
  <si>
    <t xml:space="preserve">G.E 3</t>
  </si>
  <si>
    <t xml:space="preserve">G.E 4</t>
  </si>
  <si>
    <t xml:space="preserve">TOTAL 3</t>
  </si>
  <si>
    <t xml:space="preserve">4.</t>
  </si>
  <si>
    <t xml:space="preserve">                                                          HYDRAULIQUE</t>
  </si>
  <si>
    <t xml:space="preserve">HYDRAU 1</t>
  </si>
  <si>
    <t xml:space="preserve">HYDRAU 2</t>
  </si>
  <si>
    <t xml:space="preserve">HYDRAU 3</t>
  </si>
  <si>
    <t xml:space="preserve">HYDRAU 4</t>
  </si>
  <si>
    <t xml:space="preserve">TOTAL 4</t>
  </si>
  <si>
    <t xml:space="preserve">5.</t>
  </si>
  <si>
    <t xml:space="preserve">                            GENIE RURAL</t>
  </si>
  <si>
    <t xml:space="preserve">G.R 1</t>
  </si>
  <si>
    <t xml:space="preserve">TOTAL 5</t>
  </si>
  <si>
    <t xml:space="preserve">6.</t>
  </si>
  <si>
    <t xml:space="preserve">                                                                                  D.U.T  LICENCE PROFESSIONNELLE</t>
  </si>
  <si>
    <t xml:space="preserve">PRODUCTION ANIMALE</t>
  </si>
  <si>
    <t xml:space="preserve">PRODUCTION VEGETALE</t>
  </si>
  <si>
    <t xml:space="preserve">TOTAL 6</t>
  </si>
  <si>
    <t xml:space="preserve">7.</t>
  </si>
  <si>
    <t xml:space="preserve">                                                                                  SCIENCE AGRICOLE  -  PRODUCTION ANIMALE</t>
  </si>
  <si>
    <t xml:space="preserve">P.A 1</t>
  </si>
  <si>
    <t xml:space="preserve">P.A 2</t>
  </si>
  <si>
    <t xml:space="preserve">TOTAL 7</t>
  </si>
  <si>
    <t xml:space="preserve">8.</t>
  </si>
  <si>
    <t xml:space="preserve">                                                                       SCIENCE AGRICOLE  -  PRODUCTION VEGETALE</t>
  </si>
  <si>
    <t xml:space="preserve">P.V 1</t>
  </si>
  <si>
    <t xml:space="preserve">P.V 2</t>
  </si>
  <si>
    <t xml:space="preserve">P.V 3</t>
  </si>
  <si>
    <t xml:space="preserve">P.V 4</t>
  </si>
  <si>
    <t xml:space="preserve">TOTAL 8</t>
  </si>
  <si>
    <t xml:space="preserve">9.</t>
  </si>
  <si>
    <t xml:space="preserve">                                                                                SCIENCE AGRICOLE  -  GENIE DE L'ENVIRONNEMENT</t>
  </si>
  <si>
    <t xml:space="preserve">Env. 1</t>
  </si>
  <si>
    <t xml:space="preserve">Env. 2</t>
  </si>
  <si>
    <t xml:space="preserve">TOTAL 9</t>
  </si>
  <si>
    <t xml:space="preserve">10.</t>
  </si>
  <si>
    <t xml:space="preserve">                                                     MAINTENANCE INDUSTRIELLE</t>
  </si>
  <si>
    <t xml:space="preserve">M. I 1</t>
  </si>
  <si>
    <t xml:space="preserve">M. I 3</t>
  </si>
  <si>
    <t xml:space="preserve">TOTAL:   ( 1à 10 )</t>
  </si>
  <si>
    <t xml:space="preserve">ANCIEN SOLDE</t>
  </si>
  <si>
    <t xml:space="preserve">CREANCE RECOUVRE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</si>
</sst>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\ %"/>
    <numFmt numFmtId="167" formatCode="0.00\ %"/>
    <numFmt numFmtId="168" formatCode="General"/>
    <numFmt numFmtId="169" formatCode="0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sz val="14"/>
      <color rgb="FFFF0000"/>
      <name val="Arial"/>
      <family val="2"/>
      <charset val="1"/>
    </font>
    <font>
      <b val="true"/>
      <i val="true"/>
      <u val="single"/>
      <sz val="14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3"/>
      <name val="Arial Narrow"/>
      <family val="2"/>
      <charset val="1"/>
    </font>
    <font>
      <sz val="8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2"/>
      <name val="Baskerville Old Face"/>
      <family val="1"/>
      <charset val="1"/>
    </font>
    <font>
      <b val="true"/>
      <sz val="11"/>
      <name val="Arial"/>
      <family val="2"/>
      <charset val="1"/>
    </font>
    <font>
      <b val="true"/>
      <sz val="12"/>
      <name val="Arial Rounded MT Bold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 Rounded MT Bold"/>
      <family val="2"/>
      <charset val="1"/>
    </font>
    <font>
      <sz val="10"/>
      <name val="Arial Rounded MT Bold"/>
      <family val="2"/>
      <charset val="1"/>
    </font>
    <font>
      <sz val="11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6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33.85"/>
    <col collapsed="false" customWidth="true" hidden="false" outlineLevel="0" max="3" min="3" style="1" width="13.28"/>
    <col collapsed="false" customWidth="true" hidden="false" outlineLevel="0" max="4" min="4" style="1" width="12.42"/>
    <col collapsed="false" customWidth="true" hidden="false" outlineLevel="0" max="5" min="5" style="1" width="12.85"/>
    <col collapsed="false" customWidth="true" hidden="false" outlineLevel="0" max="16384" min="16375" style="0" width="11.53"/>
  </cols>
  <sheetData>
    <row r="1" customFormat="false" ht="19.5" hidden="false" customHeight="true" outlineLevel="0" collapsed="false">
      <c r="A1" s="2"/>
      <c r="B1" s="3" t="s">
        <v>0</v>
      </c>
      <c r="C1" s="2"/>
      <c r="D1" s="2"/>
      <c r="E1" s="2"/>
    </row>
    <row r="2" customFormat="false" ht="16.5" hidden="false" customHeight="true" outlineLevel="0" collapsed="false">
      <c r="A2" s="2"/>
      <c r="B2" s="4" t="s">
        <v>1</v>
      </c>
      <c r="C2" s="2"/>
      <c r="D2" s="2"/>
      <c r="E2" s="2"/>
    </row>
    <row r="3" customFormat="false" ht="17.35" hidden="false" customHeight="false" outlineLevel="0" collapsed="false">
      <c r="A3" s="5" t="s">
        <v>2</v>
      </c>
      <c r="B3" s="6"/>
      <c r="C3" s="6"/>
      <c r="D3" s="6"/>
      <c r="E3" s="7"/>
    </row>
    <row r="4" customFormat="false" ht="15" hidden="false" customHeight="false" outlineLevel="0" collapsed="false">
      <c r="A4" s="8" t="s">
        <v>3</v>
      </c>
      <c r="B4" s="8" t="s">
        <v>4</v>
      </c>
      <c r="C4" s="9" t="s">
        <v>5</v>
      </c>
      <c r="D4" s="8" t="s">
        <v>6</v>
      </c>
      <c r="E4" s="10" t="s">
        <v>7</v>
      </c>
    </row>
    <row r="5" customFormat="false" ht="15" hidden="false" customHeight="false" outlineLevel="0" collapsed="false">
      <c r="A5" s="11" t="s">
        <v>8</v>
      </c>
      <c r="B5" s="12" t="s">
        <v>9</v>
      </c>
      <c r="C5" s="13" t="n">
        <f aca="false">13500+115000+100000+50000+40000+48000</f>
        <v>366500</v>
      </c>
      <c r="D5" s="13" t="n">
        <f aca="false">E5-C5</f>
        <v>0</v>
      </c>
      <c r="E5" s="13" t="n">
        <v>366500</v>
      </c>
    </row>
    <row r="6" customFormat="false" ht="15" hidden="false" customHeight="false" outlineLevel="0" collapsed="false">
      <c r="A6" s="11" t="s">
        <v>10</v>
      </c>
      <c r="B6" s="12" t="s">
        <v>11</v>
      </c>
      <c r="C6" s="13" t="n">
        <f aca="false">70000+100000+196500</f>
        <v>366500</v>
      </c>
      <c r="D6" s="13" t="n">
        <f aca="false">E6-C6</f>
        <v>0</v>
      </c>
      <c r="E6" s="13" t="n">
        <v>366500</v>
      </c>
    </row>
    <row r="7" customFormat="false" ht="15" hidden="false" customHeight="false" outlineLevel="0" collapsed="false">
      <c r="A7" s="11" t="s">
        <v>12</v>
      </c>
      <c r="B7" s="12" t="s">
        <v>13</v>
      </c>
      <c r="C7" s="13" t="n">
        <f aca="false">100000+90000+75000+25000+76500</f>
        <v>366500</v>
      </c>
      <c r="D7" s="13" t="n">
        <f aca="false">E7-C7</f>
        <v>0</v>
      </c>
      <c r="E7" s="13" t="n">
        <v>366500</v>
      </c>
    </row>
    <row r="8" customFormat="false" ht="15" hidden="false" customHeight="false" outlineLevel="0" collapsed="false">
      <c r="A8" s="11" t="s">
        <v>14</v>
      </c>
      <c r="B8" s="12" t="s">
        <v>15</v>
      </c>
      <c r="C8" s="13" t="n">
        <v>150000</v>
      </c>
      <c r="D8" s="13" t="n">
        <f aca="false">E8-C8</f>
        <v>216500</v>
      </c>
      <c r="E8" s="13" t="n">
        <v>366500</v>
      </c>
    </row>
    <row r="9" customFormat="false" ht="15" hidden="false" customHeight="false" outlineLevel="0" collapsed="false">
      <c r="A9" s="11" t="s">
        <v>16</v>
      </c>
      <c r="B9" s="12" t="s">
        <v>17</v>
      </c>
      <c r="C9" s="13" t="n">
        <f aca="false">60000+150000</f>
        <v>210000</v>
      </c>
      <c r="D9" s="13" t="n">
        <f aca="false">E9-C9</f>
        <v>156500</v>
      </c>
      <c r="E9" s="13" t="n">
        <v>366500</v>
      </c>
    </row>
    <row r="10" customFormat="false" ht="15" hidden="false" customHeight="false" outlineLevel="0" collapsed="false">
      <c r="A10" s="11" t="s">
        <v>18</v>
      </c>
      <c r="B10" s="12" t="s">
        <v>19</v>
      </c>
      <c r="C10" s="13" t="n">
        <f aca="false">43500</f>
        <v>43500</v>
      </c>
      <c r="D10" s="13" t="n">
        <f aca="false">E10-C10</f>
        <v>323000</v>
      </c>
      <c r="E10" s="13" t="n">
        <v>366500</v>
      </c>
    </row>
    <row r="11" customFormat="false" ht="15" hidden="false" customHeight="false" outlineLevel="0" collapsed="false">
      <c r="A11" s="11" t="s">
        <v>20</v>
      </c>
      <c r="B11" s="12" t="s">
        <v>21</v>
      </c>
      <c r="C11" s="13" t="n">
        <f aca="false">140000+120000+40000+66500</f>
        <v>366500</v>
      </c>
      <c r="D11" s="13" t="n">
        <f aca="false">E11-C11</f>
        <v>0</v>
      </c>
      <c r="E11" s="13" t="n">
        <v>366500</v>
      </c>
    </row>
    <row r="12" customFormat="false" ht="15" hidden="false" customHeight="false" outlineLevel="0" collapsed="false">
      <c r="A12" s="11" t="s">
        <v>22</v>
      </c>
      <c r="B12" s="14" t="s">
        <v>23</v>
      </c>
      <c r="C12" s="13" t="n">
        <f aca="false">100000+60000+100000+70000+30000+6500</f>
        <v>366500</v>
      </c>
      <c r="D12" s="13" t="n">
        <f aca="false">E12-C12</f>
        <v>0</v>
      </c>
      <c r="E12" s="13" t="n">
        <v>366500</v>
      </c>
    </row>
    <row r="13" customFormat="false" ht="15" hidden="false" customHeight="false" outlineLevel="0" collapsed="false">
      <c r="A13" s="11" t="s">
        <v>24</v>
      </c>
      <c r="B13" s="12" t="s">
        <v>25</v>
      </c>
      <c r="C13" s="13" t="n">
        <f aca="false">100000+100000+140000+26500</f>
        <v>366500</v>
      </c>
      <c r="D13" s="13" t="n">
        <f aca="false">E13-C13</f>
        <v>0</v>
      </c>
      <c r="E13" s="13" t="n">
        <v>366500</v>
      </c>
    </row>
    <row r="14" customFormat="false" ht="15" hidden="false" customHeight="false" outlineLevel="0" collapsed="false">
      <c r="A14" s="11" t="s">
        <v>26</v>
      </c>
      <c r="B14" s="12" t="s">
        <v>27</v>
      </c>
      <c r="C14" s="13" t="n">
        <f aca="false">183250+183250</f>
        <v>366500</v>
      </c>
      <c r="D14" s="13" t="n">
        <f aca="false">E14-C14</f>
        <v>0</v>
      </c>
      <c r="E14" s="13" t="n">
        <v>366500</v>
      </c>
    </row>
    <row r="15" customFormat="false" ht="15" hidden="false" customHeight="false" outlineLevel="0" collapsed="false">
      <c r="A15" s="11" t="s">
        <v>28</v>
      </c>
      <c r="B15" s="12" t="s">
        <v>29</v>
      </c>
      <c r="C15" s="13" t="n">
        <f aca="false">100000+50000+216500</f>
        <v>366500</v>
      </c>
      <c r="D15" s="13" t="n">
        <f aca="false">E15-C15</f>
        <v>0</v>
      </c>
      <c r="E15" s="13" t="n">
        <v>366500</v>
      </c>
    </row>
    <row r="16" customFormat="false" ht="15" hidden="false" customHeight="false" outlineLevel="0" collapsed="false">
      <c r="A16" s="11" t="s">
        <v>30</v>
      </c>
      <c r="B16" s="12" t="s">
        <v>31</v>
      </c>
      <c r="C16" s="13" t="n">
        <f aca="false">80000+50000</f>
        <v>130000</v>
      </c>
      <c r="D16" s="13" t="n">
        <f aca="false">E16-C16</f>
        <v>236500</v>
      </c>
      <c r="E16" s="13" t="n">
        <v>366500</v>
      </c>
    </row>
    <row r="17" customFormat="false" ht="15" hidden="false" customHeight="false" outlineLevel="0" collapsed="false">
      <c r="A17" s="11" t="s">
        <v>32</v>
      </c>
      <c r="B17" s="12" t="s">
        <v>33</v>
      </c>
      <c r="C17" s="13" t="n">
        <f aca="false">300000+66500</f>
        <v>366500</v>
      </c>
      <c r="D17" s="13" t="n">
        <f aca="false">E17-C17</f>
        <v>0</v>
      </c>
      <c r="E17" s="13" t="n">
        <v>366500</v>
      </c>
    </row>
    <row r="18" customFormat="false" ht="15" hidden="false" customHeight="false" outlineLevel="0" collapsed="false">
      <c r="A18" s="11" t="s">
        <v>34</v>
      </c>
      <c r="B18" s="12" t="s">
        <v>35</v>
      </c>
      <c r="C18" s="13" t="n">
        <f aca="false">170000+100000+80000+15000+1600</f>
        <v>366600</v>
      </c>
      <c r="D18" s="13" t="n">
        <f aca="false">E18-C18</f>
        <v>-100</v>
      </c>
      <c r="E18" s="13" t="n">
        <v>366500</v>
      </c>
    </row>
    <row r="19" customFormat="false" ht="15" hidden="false" customHeight="false" outlineLevel="0" collapsed="false">
      <c r="A19" s="11" t="s">
        <v>36</v>
      </c>
      <c r="B19" s="12" t="s">
        <v>37</v>
      </c>
      <c r="C19" s="13" t="n">
        <f aca="false">1500+100000+15000+50000+80000+25000+95000</f>
        <v>366500</v>
      </c>
      <c r="D19" s="13" t="n">
        <f aca="false">E19-C19</f>
        <v>0</v>
      </c>
      <c r="E19" s="13" t="n">
        <v>366500</v>
      </c>
    </row>
    <row r="20" customFormat="false" ht="15" hidden="false" customHeight="false" outlineLevel="0" collapsed="false">
      <c r="A20" s="11" t="s">
        <v>38</v>
      </c>
      <c r="B20" s="12" t="s">
        <v>39</v>
      </c>
      <c r="C20" s="13" t="n">
        <f aca="false">100000+50000+120000+30000+66500</f>
        <v>366500</v>
      </c>
      <c r="D20" s="13" t="n">
        <f aca="false">E20-C20</f>
        <v>0</v>
      </c>
      <c r="E20" s="13" t="n">
        <v>366500</v>
      </c>
    </row>
    <row r="21" customFormat="false" ht="15" hidden="false" customHeight="false" outlineLevel="0" collapsed="false">
      <c r="A21" s="11" t="s">
        <v>40</v>
      </c>
      <c r="B21" s="12" t="s">
        <v>41</v>
      </c>
      <c r="C21" s="13" t="n">
        <f aca="false">50000+80000+120000+116000</f>
        <v>366000</v>
      </c>
      <c r="D21" s="13" t="n">
        <f aca="false">E21-C21</f>
        <v>500</v>
      </c>
      <c r="E21" s="13" t="n">
        <v>366500</v>
      </c>
    </row>
    <row r="22" customFormat="false" ht="15" hidden="false" customHeight="false" outlineLevel="0" collapsed="false">
      <c r="A22" s="11" t="s">
        <v>42</v>
      </c>
      <c r="B22" s="12" t="s">
        <v>43</v>
      </c>
      <c r="C22" s="13" t="n">
        <f aca="false">166500+50000+100000+50000</f>
        <v>366500</v>
      </c>
      <c r="D22" s="13" t="n">
        <f aca="false">E22-C22</f>
        <v>0</v>
      </c>
      <c r="E22" s="13" t="n">
        <v>366500</v>
      </c>
    </row>
    <row r="23" customFormat="false" ht="15" hidden="false" customHeight="false" outlineLevel="0" collapsed="false">
      <c r="A23" s="11" t="s">
        <v>44</v>
      </c>
      <c r="B23" s="12" t="s">
        <v>45</v>
      </c>
      <c r="C23" s="13" t="n">
        <f aca="false">200000+50000+21500+95000</f>
        <v>366500</v>
      </c>
      <c r="D23" s="13" t="n">
        <f aca="false">E23-C23</f>
        <v>0</v>
      </c>
      <c r="E23" s="13" t="n">
        <v>366500</v>
      </c>
    </row>
    <row r="24" customFormat="false" ht="15" hidden="false" customHeight="false" outlineLevel="0" collapsed="false">
      <c r="A24" s="11" t="s">
        <v>46</v>
      </c>
      <c r="B24" s="12" t="s">
        <v>47</v>
      </c>
      <c r="C24" s="13" t="n">
        <f aca="false">185000+105000+76500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48</v>
      </c>
      <c r="B25" s="12" t="s">
        <v>49</v>
      </c>
      <c r="C25" s="13" t="n">
        <f aca="false">100000+266500</f>
        <v>366500</v>
      </c>
      <c r="D25" s="13" t="n">
        <f aca="false">E25-C25</f>
        <v>0</v>
      </c>
      <c r="E25" s="13" t="n">
        <v>366500</v>
      </c>
    </row>
    <row r="26" customFormat="false" ht="15" hidden="false" customHeight="false" outlineLevel="0" collapsed="false">
      <c r="A26" s="11" t="s">
        <v>50</v>
      </c>
      <c r="B26" s="12" t="s">
        <v>51</v>
      </c>
      <c r="C26" s="13" t="n">
        <f aca="false">100000+100000+100000+20000+46500</f>
        <v>366500</v>
      </c>
      <c r="D26" s="13" t="n">
        <f aca="false">E26-C26</f>
        <v>0</v>
      </c>
      <c r="E26" s="13" t="n">
        <v>366500</v>
      </c>
    </row>
    <row r="27" customFormat="false" ht="15" hidden="false" customHeight="false" outlineLevel="0" collapsed="false">
      <c r="A27" s="11" t="s">
        <v>52</v>
      </c>
      <c r="B27" s="12" t="s">
        <v>53</v>
      </c>
      <c r="C27" s="13" t="n">
        <f aca="false">150000+50000+30000+40000+96500</f>
        <v>366500</v>
      </c>
      <c r="D27" s="13" t="n">
        <f aca="false">E27-C27</f>
        <v>0</v>
      </c>
      <c r="E27" s="13" t="n">
        <v>366500</v>
      </c>
    </row>
    <row r="28" customFormat="false" ht="15" hidden="false" customHeight="false" outlineLevel="0" collapsed="false">
      <c r="A28" s="11" t="s">
        <v>54</v>
      </c>
      <c r="B28" s="12" t="s">
        <v>55</v>
      </c>
      <c r="C28" s="13" t="n">
        <f aca="false">100000+100000+166500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56</v>
      </c>
      <c r="B29" s="12" t="s">
        <v>57</v>
      </c>
      <c r="C29" s="13" t="n">
        <f aca="false">100000+50000+217000</f>
        <v>367000</v>
      </c>
      <c r="D29" s="13" t="n">
        <f aca="false">E29-C29</f>
        <v>-500</v>
      </c>
      <c r="E29" s="13" t="n">
        <v>366500</v>
      </c>
    </row>
    <row r="30" customFormat="false" ht="15" hidden="false" customHeight="false" outlineLevel="0" collapsed="false">
      <c r="A30" s="11" t="s">
        <v>58</v>
      </c>
      <c r="B30" s="12" t="s">
        <v>59</v>
      </c>
      <c r="C30" s="13" t="n">
        <f aca="false">150000+100000+16500</f>
        <v>266500</v>
      </c>
      <c r="D30" s="13" t="n">
        <f aca="false">E30-C30</f>
        <v>100000</v>
      </c>
      <c r="E30" s="13" t="n">
        <v>366500</v>
      </c>
    </row>
    <row r="31" customFormat="false" ht="15" hidden="false" customHeight="false" outlineLevel="0" collapsed="false">
      <c r="A31" s="11" t="s">
        <v>60</v>
      </c>
      <c r="B31" s="12" t="s">
        <v>61</v>
      </c>
      <c r="C31" s="13" t="n">
        <f aca="false">50000+130000+186500</f>
        <v>366500</v>
      </c>
      <c r="D31" s="13" t="n">
        <f aca="false">E31-C31</f>
        <v>0</v>
      </c>
      <c r="E31" s="13" t="n">
        <v>366500</v>
      </c>
    </row>
    <row r="32" customFormat="false" ht="15" hidden="false" customHeight="false" outlineLevel="0" collapsed="false">
      <c r="A32" s="11" t="s">
        <v>62</v>
      </c>
      <c r="B32" s="12" t="s">
        <v>63</v>
      </c>
      <c r="C32" s="13" t="n">
        <f aca="false">100000+266500</f>
        <v>366500</v>
      </c>
      <c r="D32" s="13" t="n">
        <f aca="false">E32-C32</f>
        <v>0</v>
      </c>
      <c r="E32" s="13" t="n">
        <v>366500</v>
      </c>
    </row>
    <row r="33" customFormat="false" ht="15" hidden="false" customHeight="false" outlineLevel="0" collapsed="false">
      <c r="A33" s="11" t="s">
        <v>64</v>
      </c>
      <c r="B33" s="12" t="s">
        <v>65</v>
      </c>
      <c r="C33" s="13" t="n">
        <f aca="false">100000+100000</f>
        <v>200000</v>
      </c>
      <c r="D33" s="13" t="n">
        <f aca="false">E33-C33</f>
        <v>166500</v>
      </c>
      <c r="E33" s="13" t="n">
        <v>366500</v>
      </c>
    </row>
    <row r="34" customFormat="false" ht="15" hidden="false" customHeight="false" outlineLevel="0" collapsed="false">
      <c r="A34" s="11" t="s">
        <v>66</v>
      </c>
      <c r="B34" s="12" t="s">
        <v>67</v>
      </c>
      <c r="C34" s="13" t="n">
        <f aca="false">100000+50000+50000+25000+90000+51000+500</f>
        <v>366500</v>
      </c>
      <c r="D34" s="13" t="n">
        <f aca="false">E34-C34</f>
        <v>0</v>
      </c>
      <c r="E34" s="13" t="n">
        <v>366500</v>
      </c>
    </row>
    <row r="35" customFormat="false" ht="15" hidden="false" customHeight="false" outlineLevel="0" collapsed="false">
      <c r="A35" s="11" t="s">
        <v>68</v>
      </c>
      <c r="B35" s="12" t="s">
        <v>69</v>
      </c>
      <c r="C35" s="13" t="n">
        <f aca="false">190000+25000+25000+126500</f>
        <v>366500</v>
      </c>
      <c r="D35" s="13" t="n">
        <f aca="false">E35-C35</f>
        <v>0</v>
      </c>
      <c r="E35" s="13" t="n">
        <v>366500</v>
      </c>
    </row>
    <row r="36" customFormat="false" ht="15" hidden="false" customHeight="false" outlineLevel="0" collapsed="false">
      <c r="A36" s="11" t="s">
        <v>70</v>
      </c>
      <c r="B36" s="12" t="s">
        <v>71</v>
      </c>
      <c r="C36" s="13" t="n">
        <f aca="false">200000+50000+116000+500</f>
        <v>366500</v>
      </c>
      <c r="D36" s="13" t="n">
        <f aca="false">E36-C36</f>
        <v>0</v>
      </c>
      <c r="E36" s="13" t="n">
        <v>366500</v>
      </c>
    </row>
    <row r="37" customFormat="false" ht="15" hidden="false" customHeight="false" outlineLevel="0" collapsed="false">
      <c r="A37" s="11" t="s">
        <v>72</v>
      </c>
      <c r="B37" s="12" t="s">
        <v>73</v>
      </c>
      <c r="C37" s="13" t="n">
        <f aca="false">100000+266500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1" t="s">
        <v>74</v>
      </c>
      <c r="B38" s="12" t="s">
        <v>75</v>
      </c>
      <c r="C38" s="13" t="n">
        <f aca="false">150000+100000+116500</f>
        <v>366500</v>
      </c>
      <c r="D38" s="13" t="n">
        <f aca="false">E38-C38</f>
        <v>0</v>
      </c>
      <c r="E38" s="13" t="n">
        <v>366500</v>
      </c>
    </row>
    <row r="39" customFormat="false" ht="15" hidden="false" customHeight="false" outlineLevel="0" collapsed="false">
      <c r="A39" s="11" t="s">
        <v>76</v>
      </c>
      <c r="B39" s="12" t="s">
        <v>77</v>
      </c>
      <c r="C39" s="13" t="n">
        <f aca="false">165000+135000+65000+1500</f>
        <v>366500</v>
      </c>
      <c r="D39" s="13" t="n">
        <f aca="false">E39-C39</f>
        <v>0</v>
      </c>
      <c r="E39" s="13" t="n">
        <v>366500</v>
      </c>
    </row>
    <row r="40" customFormat="false" ht="15" hidden="false" customHeight="false" outlineLevel="0" collapsed="false">
      <c r="A40" s="11" t="s">
        <v>78</v>
      </c>
      <c r="B40" s="12" t="s">
        <v>79</v>
      </c>
      <c r="C40" s="13" t="n">
        <f aca="false">183250+183250</f>
        <v>366500</v>
      </c>
      <c r="D40" s="13" t="n">
        <f aca="false">E40-C40</f>
        <v>0</v>
      </c>
      <c r="E40" s="13" t="n">
        <v>366500</v>
      </c>
    </row>
    <row r="41" customFormat="false" ht="15" hidden="false" customHeight="false" outlineLevel="0" collapsed="false">
      <c r="A41" s="11" t="s">
        <v>80</v>
      </c>
      <c r="B41" s="12" t="s">
        <v>81</v>
      </c>
      <c r="C41" s="13" t="n">
        <f aca="false">120000+246500</f>
        <v>366500</v>
      </c>
      <c r="D41" s="13" t="n">
        <f aca="false">E41-C41</f>
        <v>0</v>
      </c>
      <c r="E41" s="13" t="n">
        <v>366500</v>
      </c>
    </row>
    <row r="42" customFormat="false" ht="15" hidden="false" customHeight="false" outlineLevel="0" collapsed="false">
      <c r="A42" s="11" t="s">
        <v>82</v>
      </c>
      <c r="B42" s="12" t="s">
        <v>83</v>
      </c>
      <c r="C42" s="13" t="n">
        <f aca="false">200000+140000+26500</f>
        <v>366500</v>
      </c>
      <c r="D42" s="13" t="n">
        <f aca="false">E42-C42</f>
        <v>0</v>
      </c>
      <c r="E42" s="13" t="n">
        <v>366500</v>
      </c>
    </row>
    <row r="43" customFormat="false" ht="15" hidden="false" customHeight="false" outlineLevel="0" collapsed="false">
      <c r="A43" s="11" t="s">
        <v>84</v>
      </c>
      <c r="B43" s="12" t="s">
        <v>85</v>
      </c>
      <c r="C43" s="13" t="n">
        <f aca="false">100000+110000+141500+15000</f>
        <v>366500</v>
      </c>
      <c r="D43" s="13" t="n">
        <f aca="false">E43-C43</f>
        <v>0</v>
      </c>
      <c r="E43" s="13" t="n">
        <v>366500</v>
      </c>
    </row>
    <row r="44" customFormat="false" ht="15" hidden="false" customHeight="false" outlineLevel="0" collapsed="false">
      <c r="A44" s="11" t="s">
        <v>86</v>
      </c>
      <c r="B44" s="12" t="s">
        <v>87</v>
      </c>
      <c r="C44" s="13" t="n">
        <f aca="false">183500</f>
        <v>183500</v>
      </c>
      <c r="D44" s="13" t="n">
        <f aca="false">E44-C44</f>
        <v>183000</v>
      </c>
      <c r="E44" s="13" t="n">
        <v>366500</v>
      </c>
    </row>
    <row r="45" customFormat="false" ht="15" hidden="false" customHeight="false" outlineLevel="0" collapsed="false">
      <c r="A45" s="11" t="s">
        <v>88</v>
      </c>
      <c r="B45" s="12" t="s">
        <v>89</v>
      </c>
      <c r="C45" s="13" t="n">
        <f aca="false">185000+160000+21500</f>
        <v>366500</v>
      </c>
      <c r="D45" s="13" t="n">
        <f aca="false">E45-C45</f>
        <v>0</v>
      </c>
      <c r="E45" s="13" t="n">
        <v>366500</v>
      </c>
    </row>
    <row r="46" customFormat="false" ht="15" hidden="false" customHeight="false" outlineLevel="0" collapsed="false">
      <c r="A46" s="11" t="s">
        <v>90</v>
      </c>
      <c r="B46" s="12" t="s">
        <v>91</v>
      </c>
      <c r="C46" s="13" t="n">
        <f aca="false">100000+50000+16500+50000+30000+60000+30000+30000</f>
        <v>366500</v>
      </c>
      <c r="D46" s="13" t="n">
        <f aca="false">E46-C46</f>
        <v>0</v>
      </c>
      <c r="E46" s="13" t="n">
        <v>366500</v>
      </c>
    </row>
    <row r="47" customFormat="false" ht="15" hidden="false" customHeight="false" outlineLevel="0" collapsed="false">
      <c r="A47" s="11" t="s">
        <v>92</v>
      </c>
      <c r="B47" s="12" t="s">
        <v>93</v>
      </c>
      <c r="C47" s="13" t="n">
        <f aca="false">100000+50000+80000+70000+66500</f>
        <v>366500</v>
      </c>
      <c r="D47" s="13" t="n">
        <f aca="false">E47-C47</f>
        <v>0</v>
      </c>
      <c r="E47" s="13" t="n">
        <v>366500</v>
      </c>
    </row>
    <row r="48" customFormat="false" ht="15" hidden="false" customHeight="false" outlineLevel="0" collapsed="false">
      <c r="A48" s="11" t="s">
        <v>94</v>
      </c>
      <c r="B48" s="12" t="s">
        <v>95</v>
      </c>
      <c r="C48" s="13" t="n">
        <f aca="false">16500+100000+10000+125000+90000</f>
        <v>341500</v>
      </c>
      <c r="D48" s="13" t="n">
        <f aca="false">E48-C48</f>
        <v>25000</v>
      </c>
      <c r="E48" s="13" t="n">
        <v>366500</v>
      </c>
    </row>
    <row r="49" customFormat="false" ht="15" hidden="false" customHeight="false" outlineLevel="0" collapsed="false">
      <c r="A49" s="11" t="s">
        <v>96</v>
      </c>
      <c r="B49" s="12" t="s">
        <v>97</v>
      </c>
      <c r="C49" s="13" t="n">
        <f aca="false">50000+100000+30000+80000+40000+70000</f>
        <v>370000</v>
      </c>
      <c r="D49" s="13" t="n">
        <f aca="false">E49-C49</f>
        <v>-3500</v>
      </c>
      <c r="E49" s="13" t="n">
        <v>366500</v>
      </c>
    </row>
    <row r="50" customFormat="false" ht="15" hidden="false" customHeight="false" outlineLevel="0" collapsed="false">
      <c r="A50" s="15" t="s">
        <v>98</v>
      </c>
      <c r="B50" s="15"/>
      <c r="C50" s="16" t="n">
        <f aca="false">SUM(C5:C49)</f>
        <v>15089100</v>
      </c>
      <c r="D50" s="16" t="n">
        <f aca="false">E50-C50</f>
        <v>1403400</v>
      </c>
      <c r="E50" s="16" t="n">
        <f aca="false">SUM(E5:E49)</f>
        <v>16492500</v>
      </c>
    </row>
    <row r="51" customFormat="false" ht="17.35" hidden="false" customHeight="false" outlineLevel="0" collapsed="false">
      <c r="A51" s="5" t="s">
        <v>99</v>
      </c>
      <c r="B51" s="6"/>
      <c r="C51" s="6"/>
      <c r="D51" s="6"/>
      <c r="E51" s="7"/>
    </row>
    <row r="52" customFormat="false" ht="15" hidden="false" customHeight="false" outlineLevel="0" collapsed="false">
      <c r="A52" s="15" t="s">
        <v>3</v>
      </c>
      <c r="B52" s="15" t="s">
        <v>4</v>
      </c>
      <c r="C52" s="17" t="s">
        <v>5</v>
      </c>
      <c r="D52" s="15" t="s">
        <v>6</v>
      </c>
      <c r="E52" s="16" t="s">
        <v>7</v>
      </c>
    </row>
    <row r="53" customFormat="false" ht="15" hidden="false" customHeight="false" outlineLevel="0" collapsed="false">
      <c r="A53" s="11" t="s">
        <v>8</v>
      </c>
      <c r="B53" s="12" t="s">
        <v>100</v>
      </c>
      <c r="C53" s="13" t="n">
        <f aca="false">200000+166500</f>
        <v>366500</v>
      </c>
      <c r="D53" s="13" t="n">
        <f aca="false">E53-C53</f>
        <v>0</v>
      </c>
      <c r="E53" s="13" t="n">
        <v>366500</v>
      </c>
    </row>
    <row r="54" customFormat="false" ht="15" hidden="false" customHeight="false" outlineLevel="0" collapsed="false">
      <c r="A54" s="11" t="s">
        <v>10</v>
      </c>
      <c r="B54" s="12" t="s">
        <v>101</v>
      </c>
      <c r="C54" s="13" t="n">
        <f aca="false">100000+100000+166500</f>
        <v>366500</v>
      </c>
      <c r="D54" s="13" t="n">
        <f aca="false">E54-C54</f>
        <v>0</v>
      </c>
      <c r="E54" s="13" t="n">
        <v>366500</v>
      </c>
    </row>
    <row r="55" customFormat="false" ht="15" hidden="false" customHeight="false" outlineLevel="0" collapsed="false">
      <c r="A55" s="11" t="s">
        <v>12</v>
      </c>
      <c r="B55" s="12" t="s">
        <v>102</v>
      </c>
      <c r="C55" s="13" t="n">
        <f aca="false">183250+83000+100250</f>
        <v>366500</v>
      </c>
      <c r="D55" s="13" t="n">
        <f aca="false">E55-C55</f>
        <v>0</v>
      </c>
      <c r="E55" s="13" t="n">
        <v>366500</v>
      </c>
    </row>
    <row r="56" customFormat="false" ht="15" hidden="false" customHeight="false" outlineLevel="0" collapsed="false">
      <c r="A56" s="11" t="s">
        <v>14</v>
      </c>
      <c r="B56" s="12" t="s">
        <v>103</v>
      </c>
      <c r="C56" s="13" t="n">
        <f aca="false">260000+80000+26500</f>
        <v>366500</v>
      </c>
      <c r="D56" s="13" t="n">
        <f aca="false">E56-C56</f>
        <v>0</v>
      </c>
      <c r="E56" s="13" t="n">
        <v>366500</v>
      </c>
    </row>
    <row r="57" customFormat="false" ht="15" hidden="false" customHeight="false" outlineLevel="0" collapsed="false">
      <c r="A57" s="11" t="s">
        <v>16</v>
      </c>
      <c r="B57" s="12" t="s">
        <v>104</v>
      </c>
      <c r="C57" s="13" t="n">
        <f aca="false">100000+100000+166500</f>
        <v>366500</v>
      </c>
      <c r="D57" s="13" t="n">
        <f aca="false">E57-C57</f>
        <v>0</v>
      </c>
      <c r="E57" s="13" t="n">
        <v>366500</v>
      </c>
    </row>
    <row r="58" customFormat="false" ht="15" hidden="false" customHeight="false" outlineLevel="0" collapsed="false">
      <c r="A58" s="11" t="s">
        <v>18</v>
      </c>
      <c r="B58" s="12" t="s">
        <v>105</v>
      </c>
      <c r="C58" s="13" t="n">
        <f aca="false">100000+100000+166500</f>
        <v>366500</v>
      </c>
      <c r="D58" s="13" t="n">
        <f aca="false">E58-C58</f>
        <v>0</v>
      </c>
      <c r="E58" s="13" t="n">
        <v>366500</v>
      </c>
    </row>
    <row r="59" customFormat="false" ht="15" hidden="false" customHeight="false" outlineLevel="0" collapsed="false">
      <c r="A59" s="11" t="s">
        <v>20</v>
      </c>
      <c r="B59" s="12" t="s">
        <v>106</v>
      </c>
      <c r="C59" s="13" t="n">
        <f aca="false">365000+1000+500</f>
        <v>366500</v>
      </c>
      <c r="D59" s="13" t="n">
        <f aca="false">E59-C59</f>
        <v>0</v>
      </c>
      <c r="E59" s="13" t="n">
        <v>366500</v>
      </c>
    </row>
    <row r="60" customFormat="false" ht="15" hidden="false" customHeight="false" outlineLevel="0" collapsed="false">
      <c r="A60" s="11" t="s">
        <v>22</v>
      </c>
      <c r="B60" s="12" t="s">
        <v>107</v>
      </c>
      <c r="C60" s="13" t="n">
        <f aca="false">206500+60000+100000</f>
        <v>366500</v>
      </c>
      <c r="D60" s="13" t="n">
        <f aca="false">E60-C60</f>
        <v>0</v>
      </c>
      <c r="E60" s="13" t="n">
        <v>366500</v>
      </c>
    </row>
    <row r="61" customFormat="false" ht="15" hidden="false" customHeight="false" outlineLevel="0" collapsed="false">
      <c r="A61" s="11" t="s">
        <v>24</v>
      </c>
      <c r="B61" s="12" t="s">
        <v>108</v>
      </c>
      <c r="C61" s="13" t="n">
        <f aca="false">100000+240000+26500</f>
        <v>366500</v>
      </c>
      <c r="D61" s="13" t="n">
        <f aca="false">E61-C61</f>
        <v>0</v>
      </c>
      <c r="E61" s="13" t="n">
        <v>366500</v>
      </c>
    </row>
    <row r="62" customFormat="false" ht="15" hidden="false" customHeight="false" outlineLevel="0" collapsed="false">
      <c r="A62" s="11" t="s">
        <v>26</v>
      </c>
      <c r="B62" s="12" t="s">
        <v>109</v>
      </c>
      <c r="C62" s="13" t="n">
        <f aca="false">100000+40000+200000+26500</f>
        <v>366500</v>
      </c>
      <c r="D62" s="13" t="n">
        <f aca="false">E62-C62</f>
        <v>0</v>
      </c>
      <c r="E62" s="13" t="n">
        <v>366500</v>
      </c>
    </row>
    <row r="63" customFormat="false" ht="15" hidden="false" customHeight="false" outlineLevel="0" collapsed="false">
      <c r="A63" s="11" t="s">
        <v>28</v>
      </c>
      <c r="B63" s="12" t="s">
        <v>110</v>
      </c>
      <c r="C63" s="13" t="n">
        <f aca="false">183000+171000+12500</f>
        <v>366500</v>
      </c>
      <c r="D63" s="13" t="n">
        <f aca="false">E63-C63</f>
        <v>0</v>
      </c>
      <c r="E63" s="13" t="n">
        <v>366500</v>
      </c>
    </row>
    <row r="64" customFormat="false" ht="15" hidden="false" customHeight="false" outlineLevel="0" collapsed="false">
      <c r="A64" s="11" t="s">
        <v>30</v>
      </c>
      <c r="B64" s="12" t="s">
        <v>111</v>
      </c>
      <c r="C64" s="13" t="n">
        <f aca="false">100000+50000+150000+66500</f>
        <v>366500</v>
      </c>
      <c r="D64" s="13" t="n">
        <f aca="false">E64-C64</f>
        <v>0</v>
      </c>
      <c r="E64" s="13" t="n">
        <v>366500</v>
      </c>
    </row>
    <row r="65" customFormat="false" ht="15" hidden="false" customHeight="false" outlineLevel="0" collapsed="false">
      <c r="A65" s="11" t="s">
        <v>32</v>
      </c>
      <c r="B65" s="12" t="s">
        <v>112</v>
      </c>
      <c r="C65" s="13" t="n">
        <f aca="false">175000+191500</f>
        <v>366500</v>
      </c>
      <c r="D65" s="13" t="n">
        <f aca="false">E65-C65</f>
        <v>0</v>
      </c>
      <c r="E65" s="13" t="n">
        <v>366500</v>
      </c>
    </row>
    <row r="66" customFormat="false" ht="15" hidden="false" customHeight="false" outlineLevel="0" collapsed="false">
      <c r="A66" s="11" t="s">
        <v>34</v>
      </c>
      <c r="B66" s="12" t="s">
        <v>113</v>
      </c>
      <c r="C66" s="13" t="n">
        <f aca="false">1500+15000+5000+20000+60000+20000+37000+20000+55000+28000+45000+60000</f>
        <v>366500</v>
      </c>
      <c r="D66" s="13" t="e">
        <f aca="false">+#REF!</f>
        <v>#REF!</v>
      </c>
      <c r="E66" s="13" t="n">
        <v>366500</v>
      </c>
    </row>
    <row r="67" customFormat="false" ht="15" hidden="false" customHeight="false" outlineLevel="0" collapsed="false">
      <c r="A67" s="11" t="s">
        <v>36</v>
      </c>
      <c r="B67" s="12" t="s">
        <v>114</v>
      </c>
      <c r="C67" s="13" t="n">
        <f aca="false">200000+168000</f>
        <v>368000</v>
      </c>
      <c r="D67" s="13" t="n">
        <f aca="false">E67-C67</f>
        <v>-1500</v>
      </c>
      <c r="E67" s="13" t="n">
        <v>366500</v>
      </c>
    </row>
    <row r="68" customFormat="false" ht="15" hidden="false" customHeight="false" outlineLevel="0" collapsed="false">
      <c r="A68" s="11" t="s">
        <v>38</v>
      </c>
      <c r="B68" s="12" t="s">
        <v>115</v>
      </c>
      <c r="C68" s="13" t="n">
        <f aca="false">100000+100000+166500</f>
        <v>366500</v>
      </c>
      <c r="D68" s="13" t="n">
        <f aca="false">E68-C68</f>
        <v>0</v>
      </c>
      <c r="E68" s="13" t="n">
        <v>366500</v>
      </c>
    </row>
    <row r="69" customFormat="false" ht="15" hidden="false" customHeight="false" outlineLevel="0" collapsed="false">
      <c r="A69" s="11" t="s">
        <v>40</v>
      </c>
      <c r="B69" s="12" t="s">
        <v>116</v>
      </c>
      <c r="C69" s="13" t="n">
        <f aca="false">100000+50000+40000+65000+60000+11500+40000</f>
        <v>366500</v>
      </c>
      <c r="D69" s="13" t="n">
        <f aca="false">E69-C69</f>
        <v>0</v>
      </c>
      <c r="E69" s="13" t="n">
        <v>366500</v>
      </c>
    </row>
    <row r="70" customFormat="false" ht="15" hidden="false" customHeight="false" outlineLevel="0" collapsed="false">
      <c r="A70" s="11" t="s">
        <v>42</v>
      </c>
      <c r="B70" s="12" t="s">
        <v>117</v>
      </c>
      <c r="C70" s="13" t="n">
        <f aca="false">150000+180000+36500</f>
        <v>366500</v>
      </c>
      <c r="D70" s="13" t="n">
        <f aca="false">E70-C70</f>
        <v>0</v>
      </c>
      <c r="E70" s="13" t="n">
        <v>366500</v>
      </c>
    </row>
    <row r="71" customFormat="false" ht="15" hidden="false" customHeight="false" outlineLevel="0" collapsed="false">
      <c r="A71" s="11" t="s">
        <v>44</v>
      </c>
      <c r="B71" s="12" t="s">
        <v>118</v>
      </c>
      <c r="C71" s="13" t="n">
        <f aca="false">80000+20000+180000+50000+20000+16500</f>
        <v>366500</v>
      </c>
      <c r="D71" s="13" t="n">
        <f aca="false">E71-C71</f>
        <v>0</v>
      </c>
      <c r="E71" s="13" t="n">
        <v>366500</v>
      </c>
    </row>
    <row r="72" customFormat="false" ht="15" hidden="false" customHeight="false" outlineLevel="0" collapsed="false">
      <c r="A72" s="11" t="s">
        <v>46</v>
      </c>
      <c r="B72" s="18" t="s">
        <v>119</v>
      </c>
      <c r="C72" s="13" t="n">
        <v>0</v>
      </c>
      <c r="D72" s="13" t="n">
        <f aca="false">E72-C72</f>
        <v>366500</v>
      </c>
      <c r="E72" s="13" t="n">
        <v>366500</v>
      </c>
    </row>
    <row r="73" customFormat="false" ht="15" hidden="false" customHeight="false" outlineLevel="0" collapsed="false">
      <c r="A73" s="11" t="s">
        <v>48</v>
      </c>
      <c r="B73" s="12" t="s">
        <v>120</v>
      </c>
      <c r="C73" s="13" t="n">
        <f aca="false">80000+30000+30000+100000+20000+106500</f>
        <v>366500</v>
      </c>
      <c r="D73" s="13" t="n">
        <f aca="false">E73-C73</f>
        <v>0</v>
      </c>
      <c r="E73" s="13" t="n">
        <v>366500</v>
      </c>
    </row>
    <row r="74" customFormat="false" ht="15" hidden="false" customHeight="false" outlineLevel="0" collapsed="false">
      <c r="A74" s="11" t="s">
        <v>50</v>
      </c>
      <c r="B74" s="12" t="s">
        <v>121</v>
      </c>
      <c r="C74" s="13" t="n">
        <f aca="false">150000+30000+186500</f>
        <v>366500</v>
      </c>
      <c r="D74" s="13" t="n">
        <f aca="false">E74-C74</f>
        <v>0</v>
      </c>
      <c r="E74" s="13" t="n">
        <v>366500</v>
      </c>
    </row>
    <row r="75" customFormat="false" ht="15" hidden="false" customHeight="false" outlineLevel="0" collapsed="false">
      <c r="A75" s="11" t="s">
        <v>52</v>
      </c>
      <c r="B75" s="12" t="s">
        <v>122</v>
      </c>
      <c r="C75" s="13" t="n">
        <f aca="false">80000+100000+181500+5000</f>
        <v>366500</v>
      </c>
      <c r="D75" s="13" t="n">
        <f aca="false">E75-C75</f>
        <v>0</v>
      </c>
      <c r="E75" s="13" t="n">
        <v>366500</v>
      </c>
    </row>
    <row r="76" customFormat="false" ht="15" hidden="false" customHeight="false" outlineLevel="0" collapsed="false">
      <c r="A76" s="11" t="s">
        <v>54</v>
      </c>
      <c r="B76" s="12" t="s">
        <v>123</v>
      </c>
      <c r="C76" s="13" t="n">
        <f aca="false">195000+171500</f>
        <v>366500</v>
      </c>
      <c r="D76" s="13" t="n">
        <f aca="false">E76-C76</f>
        <v>0</v>
      </c>
      <c r="E76" s="13" t="n">
        <v>366500</v>
      </c>
    </row>
    <row r="77" customFormat="false" ht="15" hidden="false" customHeight="false" outlineLevel="0" collapsed="false">
      <c r="A77" s="11" t="s">
        <v>56</v>
      </c>
      <c r="B77" s="12" t="s">
        <v>124</v>
      </c>
      <c r="C77" s="13" t="n">
        <f aca="false">320000+46500</f>
        <v>366500</v>
      </c>
      <c r="D77" s="13" t="n">
        <f aca="false">E77-C77</f>
        <v>0</v>
      </c>
      <c r="E77" s="13" t="n">
        <v>366500</v>
      </c>
    </row>
    <row r="78" customFormat="false" ht="15" hidden="false" customHeight="false" outlineLevel="0" collapsed="false">
      <c r="A78" s="11" t="s">
        <v>58</v>
      </c>
      <c r="B78" s="12" t="s">
        <v>125</v>
      </c>
      <c r="C78" s="13" t="n">
        <f aca="false">140000+60000+160000+6500</f>
        <v>366500</v>
      </c>
      <c r="D78" s="13" t="n">
        <f aca="false">E78-C78</f>
        <v>0</v>
      </c>
      <c r="E78" s="13" t="n">
        <v>366500</v>
      </c>
    </row>
    <row r="79" customFormat="false" ht="15" hidden="false" customHeight="false" outlineLevel="0" collapsed="false">
      <c r="A79" s="11" t="s">
        <v>60</v>
      </c>
      <c r="B79" s="12" t="s">
        <v>126</v>
      </c>
      <c r="C79" s="13" t="n">
        <f aca="false">180000+180000+6500</f>
        <v>366500</v>
      </c>
      <c r="D79" s="13" t="n">
        <f aca="false">E79-C79</f>
        <v>0</v>
      </c>
      <c r="E79" s="13" t="n">
        <v>366500</v>
      </c>
    </row>
    <row r="80" customFormat="false" ht="15" hidden="false" customHeight="false" outlineLevel="0" collapsed="false">
      <c r="A80" s="11" t="s">
        <v>62</v>
      </c>
      <c r="B80" s="12" t="s">
        <v>127</v>
      </c>
      <c r="C80" s="13" t="n">
        <f aca="false">190000+160000+16500</f>
        <v>366500</v>
      </c>
      <c r="D80" s="13" t="n">
        <f aca="false">E80-C80</f>
        <v>0</v>
      </c>
      <c r="E80" s="13" t="n">
        <v>366500</v>
      </c>
    </row>
    <row r="81" customFormat="false" ht="15" hidden="false" customHeight="false" outlineLevel="0" collapsed="false">
      <c r="A81" s="11" t="s">
        <v>64</v>
      </c>
      <c r="B81" s="12" t="s">
        <v>128</v>
      </c>
      <c r="C81" s="13" t="n">
        <f aca="false">190000+175500+1000</f>
        <v>366500</v>
      </c>
      <c r="D81" s="13" t="n">
        <f aca="false">E81-C81</f>
        <v>0</v>
      </c>
      <c r="E81" s="13" t="n">
        <v>366500</v>
      </c>
    </row>
    <row r="82" customFormat="false" ht="15" hidden="false" customHeight="false" outlineLevel="0" collapsed="false">
      <c r="A82" s="11" t="s">
        <v>66</v>
      </c>
      <c r="B82" s="12" t="s">
        <v>129</v>
      </c>
      <c r="C82" s="13" t="n">
        <v>0</v>
      </c>
      <c r="D82" s="13" t="n">
        <f aca="false">E82-C82</f>
        <v>366500</v>
      </c>
      <c r="E82" s="13" t="n">
        <v>366500</v>
      </c>
    </row>
    <row r="83" customFormat="false" ht="15" hidden="false" customHeight="false" outlineLevel="0" collapsed="false">
      <c r="A83" s="11" t="s">
        <v>68</v>
      </c>
      <c r="B83" s="12" t="s">
        <v>130</v>
      </c>
      <c r="C83" s="13" t="n">
        <f aca="false">100000+120000+100000+46500</f>
        <v>366500</v>
      </c>
      <c r="D83" s="13" t="n">
        <f aca="false">E83-C83</f>
        <v>0</v>
      </c>
      <c r="E83" s="13" t="n">
        <v>366500</v>
      </c>
    </row>
    <row r="84" customFormat="false" ht="15" hidden="false" customHeight="false" outlineLevel="0" collapsed="false">
      <c r="A84" s="11" t="s">
        <v>70</v>
      </c>
      <c r="B84" s="12" t="s">
        <v>131</v>
      </c>
      <c r="C84" s="13" t="n">
        <f aca="false">115000+251500</f>
        <v>366500</v>
      </c>
      <c r="D84" s="13" t="n">
        <f aca="false">E84-C84</f>
        <v>0</v>
      </c>
      <c r="E84" s="13" t="n">
        <v>366500</v>
      </c>
    </row>
    <row r="85" customFormat="false" ht="15" hidden="false" customHeight="false" outlineLevel="0" collapsed="false">
      <c r="A85" s="15" t="s">
        <v>98</v>
      </c>
      <c r="B85" s="15"/>
      <c r="C85" s="16" t="n">
        <f aca="false">SUM(C53:C84)</f>
        <v>10996500</v>
      </c>
      <c r="D85" s="16" t="n">
        <f aca="false">E85-C85</f>
        <v>731500</v>
      </c>
      <c r="E85" s="16" t="n">
        <f aca="false">SUM(E53:E84)</f>
        <v>11728000</v>
      </c>
    </row>
    <row r="86" customFormat="false" ht="17.35" hidden="false" customHeight="false" outlineLevel="0" collapsed="false">
      <c r="A86" s="5" t="s">
        <v>132</v>
      </c>
      <c r="B86" s="6"/>
      <c r="C86" s="6"/>
      <c r="D86" s="6"/>
      <c r="E86" s="7"/>
    </row>
    <row r="87" customFormat="false" ht="15" hidden="false" customHeight="false" outlineLevel="0" collapsed="false">
      <c r="A87" s="15" t="s">
        <v>3</v>
      </c>
      <c r="B87" s="15" t="s">
        <v>4</v>
      </c>
      <c r="C87" s="17" t="s">
        <v>5</v>
      </c>
      <c r="D87" s="15" t="s">
        <v>6</v>
      </c>
      <c r="E87" s="16" t="s">
        <v>7</v>
      </c>
    </row>
    <row r="88" customFormat="false" ht="15" hidden="false" customHeight="false" outlineLevel="0" collapsed="false">
      <c r="A88" s="11" t="s">
        <v>8</v>
      </c>
      <c r="B88" s="12" t="s">
        <v>133</v>
      </c>
      <c r="C88" s="13" t="n">
        <f aca="false">170000+120000+75000+1500</f>
        <v>366500</v>
      </c>
      <c r="D88" s="13" t="n">
        <f aca="false">E88-C88</f>
        <v>0</v>
      </c>
      <c r="E88" s="13" t="n">
        <v>366500</v>
      </c>
    </row>
    <row r="89" customFormat="false" ht="15" hidden="false" customHeight="false" outlineLevel="0" collapsed="false">
      <c r="A89" s="11" t="s">
        <v>10</v>
      </c>
      <c r="B89" s="12" t="s">
        <v>134</v>
      </c>
      <c r="C89" s="13" t="n">
        <f aca="false">100000+80000+60000+126500</f>
        <v>366500</v>
      </c>
      <c r="D89" s="13" t="n">
        <f aca="false">E89-C89</f>
        <v>0</v>
      </c>
      <c r="E89" s="13" t="n">
        <v>366500</v>
      </c>
    </row>
    <row r="90" customFormat="false" ht="15" hidden="false" customHeight="false" outlineLevel="0" collapsed="false">
      <c r="A90" s="11" t="s">
        <v>12</v>
      </c>
      <c r="B90" s="12" t="s">
        <v>135</v>
      </c>
      <c r="C90" s="13" t="n">
        <f aca="false">85000+130000+100000+66000</f>
        <v>381000</v>
      </c>
      <c r="D90" s="13" t="n">
        <f aca="false">E90-C90</f>
        <v>-14500</v>
      </c>
      <c r="E90" s="13" t="n">
        <v>366500</v>
      </c>
    </row>
    <row r="91" customFormat="false" ht="15" hidden="false" customHeight="false" outlineLevel="0" collapsed="false">
      <c r="A91" s="11" t="s">
        <v>14</v>
      </c>
      <c r="B91" s="12" t="s">
        <v>136</v>
      </c>
      <c r="C91" s="13" t="n">
        <f aca="false">150000+150000</f>
        <v>300000</v>
      </c>
      <c r="D91" s="13" t="n">
        <f aca="false">E91-C91</f>
        <v>66500</v>
      </c>
      <c r="E91" s="13" t="n">
        <v>366500</v>
      </c>
    </row>
    <row r="92" customFormat="false" ht="15" hidden="false" customHeight="false" outlineLevel="0" collapsed="false">
      <c r="A92" s="11" t="s">
        <v>16</v>
      </c>
      <c r="B92" s="12" t="s">
        <v>137</v>
      </c>
      <c r="C92" s="13" t="n">
        <f aca="false">201500+165000</f>
        <v>366500</v>
      </c>
      <c r="D92" s="13" t="n">
        <f aca="false">E92-C92</f>
        <v>0</v>
      </c>
      <c r="E92" s="13" t="n">
        <v>366500</v>
      </c>
    </row>
    <row r="93" customFormat="false" ht="15" hidden="false" customHeight="false" outlineLevel="0" collapsed="false">
      <c r="A93" s="11" t="s">
        <v>18</v>
      </c>
      <c r="B93" s="12" t="s">
        <v>138</v>
      </c>
      <c r="C93" s="13" t="n">
        <f aca="false">100000+50000+150000+66500</f>
        <v>366500</v>
      </c>
      <c r="D93" s="13" t="n">
        <f aca="false">E93-C93</f>
        <v>0</v>
      </c>
      <c r="E93" s="13" t="n">
        <v>366500</v>
      </c>
    </row>
    <row r="94" customFormat="false" ht="15" hidden="false" customHeight="false" outlineLevel="0" collapsed="false">
      <c r="A94" s="11" t="s">
        <v>20</v>
      </c>
      <c r="B94" s="12" t="s">
        <v>139</v>
      </c>
      <c r="C94" s="13" t="n">
        <f aca="false">200000+100000+66500</f>
        <v>366500</v>
      </c>
      <c r="D94" s="13" t="n">
        <f aca="false">E94-C94</f>
        <v>0</v>
      </c>
      <c r="E94" s="13" t="n">
        <v>366500</v>
      </c>
    </row>
    <row r="95" customFormat="false" ht="15" hidden="false" customHeight="false" outlineLevel="0" collapsed="false">
      <c r="A95" s="11" t="s">
        <v>22</v>
      </c>
      <c r="B95" s="12" t="s">
        <v>140</v>
      </c>
      <c r="C95" s="13" t="n">
        <f aca="false">185000+185000</f>
        <v>370000</v>
      </c>
      <c r="D95" s="13" t="n">
        <f aca="false">E95-C95</f>
        <v>-3500</v>
      </c>
      <c r="E95" s="13" t="n">
        <v>366500</v>
      </c>
    </row>
    <row r="96" customFormat="false" ht="15" hidden="false" customHeight="false" outlineLevel="0" collapsed="false">
      <c r="A96" s="11" t="s">
        <v>24</v>
      </c>
      <c r="B96" s="12" t="s">
        <v>141</v>
      </c>
      <c r="C96" s="13" t="n">
        <f aca="false">130000+50000+186500</f>
        <v>366500</v>
      </c>
      <c r="D96" s="13" t="n">
        <f aca="false">E96-C96</f>
        <v>0</v>
      </c>
      <c r="E96" s="13" t="n">
        <v>366500</v>
      </c>
    </row>
    <row r="97" customFormat="false" ht="15" hidden="false" customHeight="false" outlineLevel="0" collapsed="false">
      <c r="A97" s="11" t="s">
        <v>26</v>
      </c>
      <c r="B97" s="12" t="s">
        <v>142</v>
      </c>
      <c r="C97" s="13" t="n">
        <f aca="false">50000+70000+100000+100000+46500</f>
        <v>366500</v>
      </c>
      <c r="D97" s="13" t="n">
        <f aca="false">E97-C97</f>
        <v>0</v>
      </c>
      <c r="E97" s="13" t="n">
        <v>366500</v>
      </c>
    </row>
    <row r="98" customFormat="false" ht="15" hidden="false" customHeight="false" outlineLevel="0" collapsed="false">
      <c r="A98" s="11" t="s">
        <v>28</v>
      </c>
      <c r="B98" s="12" t="s">
        <v>143</v>
      </c>
      <c r="C98" s="13" t="n">
        <f aca="false">10000+90000+100000+50000+116500</f>
        <v>366500</v>
      </c>
      <c r="D98" s="13" t="n">
        <f aca="false">E98-C98</f>
        <v>0</v>
      </c>
      <c r="E98" s="13" t="n">
        <v>366500</v>
      </c>
    </row>
    <row r="99" customFormat="false" ht="15" hidden="false" customHeight="false" outlineLevel="0" collapsed="false">
      <c r="A99" s="11" t="s">
        <v>30</v>
      </c>
      <c r="B99" s="12" t="s">
        <v>144</v>
      </c>
      <c r="C99" s="13" t="n">
        <f aca="false">150000+50000+80000+86500</f>
        <v>366500</v>
      </c>
      <c r="D99" s="13" t="n">
        <f aca="false">E99-C99</f>
        <v>0</v>
      </c>
      <c r="E99" s="13" t="n">
        <v>366500</v>
      </c>
    </row>
    <row r="100" customFormat="false" ht="15" hidden="false" customHeight="false" outlineLevel="0" collapsed="false">
      <c r="A100" s="11" t="s">
        <v>32</v>
      </c>
      <c r="B100" s="12" t="s">
        <v>145</v>
      </c>
      <c r="C100" s="13" t="n">
        <f aca="false">100000+85000+181500</f>
        <v>366500</v>
      </c>
      <c r="D100" s="13" t="n">
        <f aca="false">E100-C100</f>
        <v>0</v>
      </c>
      <c r="E100" s="13" t="n">
        <v>366500</v>
      </c>
    </row>
    <row r="101" customFormat="false" ht="15" hidden="false" customHeight="false" outlineLevel="0" collapsed="false">
      <c r="A101" s="11" t="s">
        <v>34</v>
      </c>
      <c r="B101" s="12" t="s">
        <v>146</v>
      </c>
      <c r="C101" s="13" t="n">
        <f aca="false">100000+50000+100000+115000+1500</f>
        <v>366500</v>
      </c>
      <c r="D101" s="13" t="n">
        <f aca="false">E101-C101</f>
        <v>0</v>
      </c>
      <c r="E101" s="13" t="n">
        <v>366500</v>
      </c>
    </row>
    <row r="102" customFormat="false" ht="15" hidden="false" customHeight="false" outlineLevel="0" collapsed="false">
      <c r="A102" s="11" t="s">
        <v>36</v>
      </c>
      <c r="B102" s="12" t="s">
        <v>147</v>
      </c>
      <c r="C102" s="13" t="n">
        <f aca="false">50000+50000</f>
        <v>100000</v>
      </c>
      <c r="D102" s="13" t="n">
        <f aca="false">E102-C102</f>
        <v>266500</v>
      </c>
      <c r="E102" s="13" t="n">
        <v>366500</v>
      </c>
    </row>
    <row r="103" customFormat="false" ht="15" hidden="false" customHeight="false" outlineLevel="0" collapsed="false">
      <c r="A103" s="15" t="s">
        <v>98</v>
      </c>
      <c r="B103" s="15"/>
      <c r="C103" s="16" t="n">
        <f aca="false">SUM(C88:C102)</f>
        <v>5182500</v>
      </c>
      <c r="D103" s="16" t="n">
        <f aca="false">E103-C103</f>
        <v>315000</v>
      </c>
      <c r="E103" s="16" t="n">
        <f aca="false">SUM(E88:E102)</f>
        <v>5497500</v>
      </c>
    </row>
    <row r="104" customFormat="false" ht="15" hidden="false" customHeight="false" outlineLevel="0" collapsed="false">
      <c r="A104" s="19"/>
      <c r="B104" s="19"/>
      <c r="C104" s="20"/>
      <c r="D104" s="20"/>
      <c r="E104" s="20"/>
    </row>
    <row r="105" customFormat="false" ht="15" hidden="false" customHeight="false" outlineLevel="0" collapsed="false">
      <c r="A105" s="19"/>
      <c r="B105" s="19"/>
      <c r="C105" s="20"/>
      <c r="D105" s="20"/>
      <c r="E105" s="20"/>
    </row>
    <row r="106" customFormat="false" ht="15" hidden="false" customHeight="false" outlineLevel="0" collapsed="false">
      <c r="A106" s="19"/>
      <c r="B106" s="19"/>
      <c r="C106" s="20"/>
      <c r="D106" s="20"/>
      <c r="E106" s="20"/>
    </row>
    <row r="107" customFormat="false" ht="15" hidden="false" customHeight="false" outlineLevel="0" collapsed="false">
      <c r="A107" s="19"/>
      <c r="B107" s="19"/>
      <c r="C107" s="20"/>
      <c r="D107" s="20"/>
      <c r="E107" s="20"/>
    </row>
    <row r="108" customFormat="false" ht="17.35" hidden="false" customHeight="false" outlineLevel="0" collapsed="false">
      <c r="A108" s="21"/>
      <c r="B108" s="22" t="s">
        <v>148</v>
      </c>
      <c r="C108" s="22"/>
      <c r="D108" s="22"/>
      <c r="E108" s="23"/>
    </row>
    <row r="109" customFormat="false" ht="15" hidden="false" customHeight="false" outlineLevel="0" collapsed="false">
      <c r="A109" s="15" t="s">
        <v>3</v>
      </c>
      <c r="B109" s="15" t="s">
        <v>4</v>
      </c>
      <c r="C109" s="17" t="s">
        <v>5</v>
      </c>
      <c r="D109" s="15" t="s">
        <v>6</v>
      </c>
      <c r="E109" s="16" t="s">
        <v>7</v>
      </c>
    </row>
    <row r="110" customFormat="false" ht="15" hidden="false" customHeight="false" outlineLevel="0" collapsed="false">
      <c r="A110" s="11" t="s">
        <v>8</v>
      </c>
      <c r="B110" s="12" t="s">
        <v>149</v>
      </c>
      <c r="C110" s="13" t="n">
        <f aca="false">200000+130000+36500</f>
        <v>366500</v>
      </c>
      <c r="D110" s="13" t="n">
        <f aca="false">E110-C110</f>
        <v>0</v>
      </c>
      <c r="E110" s="13" t="n">
        <v>366500</v>
      </c>
    </row>
    <row r="111" customFormat="false" ht="15" hidden="false" customHeight="false" outlineLevel="0" collapsed="false">
      <c r="A111" s="11" t="s">
        <v>10</v>
      </c>
      <c r="B111" s="12" t="s">
        <v>150</v>
      </c>
      <c r="C111" s="13" t="n">
        <f aca="false">150000+100000+100000+16500</f>
        <v>366500</v>
      </c>
      <c r="D111" s="13" t="n">
        <f aca="false">E111-C111</f>
        <v>0</v>
      </c>
      <c r="E111" s="13" t="n">
        <v>366500</v>
      </c>
    </row>
    <row r="112" customFormat="false" ht="15" hidden="false" customHeight="false" outlineLevel="0" collapsed="false">
      <c r="A112" s="11" t="s">
        <v>12</v>
      </c>
      <c r="B112" s="12" t="s">
        <v>151</v>
      </c>
      <c r="C112" s="13" t="n">
        <f aca="false">241500+125000</f>
        <v>366500</v>
      </c>
      <c r="D112" s="13" t="n">
        <f aca="false">E112-C112</f>
        <v>0</v>
      </c>
      <c r="E112" s="13" t="n">
        <v>366500</v>
      </c>
    </row>
    <row r="113" customFormat="false" ht="15" hidden="false" customHeight="false" outlineLevel="0" collapsed="false">
      <c r="A113" s="11" t="s">
        <v>14</v>
      </c>
      <c r="B113" s="12" t="s">
        <v>152</v>
      </c>
      <c r="C113" s="13" t="n">
        <f aca="false">100000+100000+50000+50000+60500+6000</f>
        <v>366500</v>
      </c>
      <c r="D113" s="13" t="n">
        <f aca="false">E113-C113</f>
        <v>0</v>
      </c>
      <c r="E113" s="13" t="n">
        <v>366500</v>
      </c>
    </row>
    <row r="114" customFormat="false" ht="15" hidden="false" customHeight="false" outlineLevel="0" collapsed="false">
      <c r="A114" s="11" t="s">
        <v>16</v>
      </c>
      <c r="B114" s="12" t="s">
        <v>153</v>
      </c>
      <c r="C114" s="13" t="n">
        <f aca="false">100000+100000+166500</f>
        <v>366500</v>
      </c>
      <c r="D114" s="13" t="n">
        <f aca="false">E114-C114</f>
        <v>0</v>
      </c>
      <c r="E114" s="13" t="n">
        <v>366500</v>
      </c>
    </row>
    <row r="115" customFormat="false" ht="15" hidden="false" customHeight="false" outlineLevel="0" collapsed="false">
      <c r="A115" s="11" t="s">
        <v>18</v>
      </c>
      <c r="B115" s="12" t="s">
        <v>154</v>
      </c>
      <c r="C115" s="13" t="n">
        <f aca="false">30000+120000+20000</f>
        <v>170000</v>
      </c>
      <c r="D115" s="13" t="n">
        <f aca="false">E115-C115</f>
        <v>196500</v>
      </c>
      <c r="E115" s="13" t="n">
        <v>366500</v>
      </c>
    </row>
    <row r="116" customFormat="false" ht="15" hidden="false" customHeight="false" outlineLevel="0" collapsed="false">
      <c r="A116" s="11" t="s">
        <v>20</v>
      </c>
      <c r="B116" s="12" t="s">
        <v>155</v>
      </c>
      <c r="C116" s="13" t="n">
        <f aca="false">100000+50000+100000+100000+16500</f>
        <v>366500</v>
      </c>
      <c r="D116" s="13" t="n">
        <f aca="false">E116-C116</f>
        <v>0</v>
      </c>
      <c r="E116" s="13" t="n">
        <v>366500</v>
      </c>
    </row>
    <row r="117" customFormat="false" ht="15" hidden="false" customHeight="false" outlineLevel="0" collapsed="false">
      <c r="A117" s="11" t="s">
        <v>22</v>
      </c>
      <c r="B117" s="12" t="s">
        <v>156</v>
      </c>
      <c r="C117" s="13" t="n">
        <f aca="false">150000+210000+6500</f>
        <v>366500</v>
      </c>
      <c r="D117" s="13" t="n">
        <f aca="false">E117-C117</f>
        <v>0</v>
      </c>
      <c r="E117" s="13" t="n">
        <v>366500</v>
      </c>
    </row>
    <row r="118" customFormat="false" ht="15" hidden="false" customHeight="false" outlineLevel="0" collapsed="false">
      <c r="A118" s="11" t="s">
        <v>24</v>
      </c>
      <c r="B118" s="12" t="s">
        <v>157</v>
      </c>
      <c r="C118" s="13" t="n">
        <f aca="false">50000+100000+120000+50000+46500</f>
        <v>366500</v>
      </c>
      <c r="D118" s="13" t="n">
        <f aca="false">E118-C118</f>
        <v>0</v>
      </c>
      <c r="E118" s="13" t="n">
        <v>366500</v>
      </c>
    </row>
    <row r="119" customFormat="false" ht="15" hidden="false" customHeight="false" outlineLevel="0" collapsed="false">
      <c r="A119" s="11" t="s">
        <v>26</v>
      </c>
      <c r="B119" s="12" t="s">
        <v>158</v>
      </c>
      <c r="C119" s="13" t="n">
        <f aca="false">150000+50000+80000+50000+36500</f>
        <v>366500</v>
      </c>
      <c r="D119" s="13" t="n">
        <f aca="false">E119-C119</f>
        <v>0</v>
      </c>
      <c r="E119" s="13" t="n">
        <v>366500</v>
      </c>
    </row>
    <row r="120" customFormat="false" ht="15" hidden="false" customHeight="false" outlineLevel="0" collapsed="false">
      <c r="A120" s="11" t="s">
        <v>28</v>
      </c>
      <c r="B120" s="12" t="s">
        <v>159</v>
      </c>
      <c r="C120" s="13" t="n">
        <f aca="false">366500</f>
        <v>366500</v>
      </c>
      <c r="D120" s="13" t="n">
        <f aca="false">E120-C120</f>
        <v>0</v>
      </c>
      <c r="E120" s="13" t="n">
        <v>366500</v>
      </c>
    </row>
    <row r="121" customFormat="false" ht="15" hidden="false" customHeight="false" outlineLevel="0" collapsed="false">
      <c r="A121" s="11" t="s">
        <v>30</v>
      </c>
      <c r="B121" s="12" t="s">
        <v>160</v>
      </c>
      <c r="C121" s="13" t="n">
        <f aca="false">200000+166500</f>
        <v>366500</v>
      </c>
      <c r="D121" s="13" t="n">
        <f aca="false">E121-C121</f>
        <v>0</v>
      </c>
      <c r="E121" s="13" t="n">
        <v>366500</v>
      </c>
    </row>
    <row r="122" customFormat="false" ht="15" hidden="false" customHeight="false" outlineLevel="0" collapsed="false">
      <c r="A122" s="11" t="s">
        <v>32</v>
      </c>
      <c r="B122" s="12" t="s">
        <v>161</v>
      </c>
      <c r="C122" s="13" t="n">
        <f aca="false">100000+85000+5000+130000+30000</f>
        <v>350000</v>
      </c>
      <c r="D122" s="13" t="n">
        <f aca="false">E122-C122</f>
        <v>16500</v>
      </c>
      <c r="E122" s="13" t="n">
        <v>366500</v>
      </c>
    </row>
    <row r="123" customFormat="false" ht="15" hidden="false" customHeight="false" outlineLevel="0" collapsed="false">
      <c r="A123" s="11" t="s">
        <v>34</v>
      </c>
      <c r="B123" s="12" t="s">
        <v>162</v>
      </c>
      <c r="C123" s="13" t="n">
        <f aca="false">40000+80000+190000+56000+500</f>
        <v>366500</v>
      </c>
      <c r="D123" s="13" t="n">
        <f aca="false">E123-C123</f>
        <v>0</v>
      </c>
      <c r="E123" s="13" t="n">
        <v>366500</v>
      </c>
    </row>
    <row r="124" customFormat="false" ht="15" hidden="false" customHeight="false" outlineLevel="0" collapsed="false">
      <c r="A124" s="11" t="s">
        <v>36</v>
      </c>
      <c r="B124" s="12" t="s">
        <v>163</v>
      </c>
      <c r="C124" s="13" t="n">
        <f aca="false">100000+150000+50000+66500</f>
        <v>366500</v>
      </c>
      <c r="D124" s="13" t="n">
        <f aca="false">E124-C124</f>
        <v>0</v>
      </c>
      <c r="E124" s="13" t="n">
        <v>366500</v>
      </c>
    </row>
    <row r="125" customFormat="false" ht="15" hidden="false" customHeight="false" outlineLevel="0" collapsed="false">
      <c r="A125" s="11" t="s">
        <v>38</v>
      </c>
      <c r="B125" s="12" t="s">
        <v>164</v>
      </c>
      <c r="C125" s="13" t="n">
        <f aca="false">200000+100000+66000+500</f>
        <v>366500</v>
      </c>
      <c r="D125" s="13" t="n">
        <f aca="false">E125-C125</f>
        <v>0</v>
      </c>
      <c r="E125" s="13" t="n">
        <v>366500</v>
      </c>
    </row>
    <row r="126" customFormat="false" ht="15" hidden="false" customHeight="false" outlineLevel="0" collapsed="false">
      <c r="A126" s="11" t="s">
        <v>40</v>
      </c>
      <c r="B126" s="12" t="s">
        <v>165</v>
      </c>
      <c r="C126" s="13" t="n">
        <f aca="false">80000+50000+50000+50000+50000+50000+36500</f>
        <v>366500</v>
      </c>
      <c r="D126" s="13" t="n">
        <f aca="false">E126-C126</f>
        <v>0</v>
      </c>
      <c r="E126" s="13" t="n">
        <v>366500</v>
      </c>
    </row>
    <row r="127" customFormat="false" ht="15" hidden="false" customHeight="false" outlineLevel="0" collapsed="false">
      <c r="A127" s="11" t="s">
        <v>42</v>
      </c>
      <c r="B127" s="12" t="s">
        <v>166</v>
      </c>
      <c r="C127" s="13" t="n">
        <f aca="false">180000+180000+6500</f>
        <v>366500</v>
      </c>
      <c r="D127" s="13" t="n">
        <f aca="false">E127-C127</f>
        <v>0</v>
      </c>
      <c r="E127" s="13" t="n">
        <v>366500</v>
      </c>
    </row>
    <row r="128" customFormat="false" ht="15" hidden="false" customHeight="false" outlineLevel="0" collapsed="false">
      <c r="A128" s="11" t="s">
        <v>44</v>
      </c>
      <c r="B128" s="12" t="s">
        <v>167</v>
      </c>
      <c r="C128" s="13" t="n">
        <f aca="false">100000+45000+5000</f>
        <v>150000</v>
      </c>
      <c r="D128" s="13" t="n">
        <f aca="false">E128-C128</f>
        <v>216500</v>
      </c>
      <c r="E128" s="13" t="n">
        <v>366500</v>
      </c>
    </row>
    <row r="129" customFormat="false" ht="15" hidden="false" customHeight="false" outlineLevel="0" collapsed="false">
      <c r="A129" s="11" t="s">
        <v>46</v>
      </c>
      <c r="B129" s="12" t="s">
        <v>168</v>
      </c>
      <c r="C129" s="13" t="n">
        <v>375000</v>
      </c>
      <c r="D129" s="13" t="n">
        <f aca="false">E129-C129</f>
        <v>-8500</v>
      </c>
      <c r="E129" s="13" t="n">
        <v>366500</v>
      </c>
    </row>
    <row r="130" customFormat="false" ht="15" hidden="false" customHeight="false" outlineLevel="0" collapsed="false">
      <c r="A130" s="11" t="s">
        <v>48</v>
      </c>
      <c r="B130" s="12" t="s">
        <v>169</v>
      </c>
      <c r="C130" s="13" t="n">
        <f aca="false">50000+130000+120000+66500</f>
        <v>366500</v>
      </c>
      <c r="D130" s="13" t="n">
        <f aca="false">E130-C130</f>
        <v>0</v>
      </c>
      <c r="E130" s="13" t="n">
        <v>366500</v>
      </c>
    </row>
    <row r="131" customFormat="false" ht="15" hidden="false" customHeight="false" outlineLevel="0" collapsed="false">
      <c r="A131" s="15" t="s">
        <v>98</v>
      </c>
      <c r="B131" s="15"/>
      <c r="C131" s="16" t="n">
        <f aca="false">SUM(C110:C130)</f>
        <v>7275500</v>
      </c>
      <c r="D131" s="16" t="n">
        <f aca="false">E131-C131</f>
        <v>421000</v>
      </c>
      <c r="E131" s="16" t="n">
        <f aca="false">SUM(E110:E130)</f>
        <v>7696500</v>
      </c>
    </row>
    <row r="132" customFormat="false" ht="15" hidden="false" customHeight="false" outlineLevel="0" collapsed="false">
      <c r="A132" s="19"/>
      <c r="B132" s="19"/>
      <c r="C132" s="20"/>
      <c r="D132" s="20"/>
      <c r="E132" s="20"/>
    </row>
    <row r="133" customFormat="false" ht="15" hidden="false" customHeight="false" outlineLevel="0" collapsed="false">
      <c r="A133" s="19"/>
      <c r="B133" s="19"/>
      <c r="C133" s="20"/>
      <c r="D133" s="20"/>
      <c r="E133" s="20"/>
    </row>
    <row r="134" customFormat="false" ht="15" hidden="false" customHeight="false" outlineLevel="0" collapsed="false">
      <c r="A134" s="19"/>
      <c r="B134" s="19"/>
      <c r="C134" s="20"/>
      <c r="D134" s="20"/>
      <c r="E134" s="20"/>
    </row>
    <row r="135" customFormat="false" ht="15" hidden="false" customHeight="false" outlineLevel="0" collapsed="false">
      <c r="A135" s="19"/>
      <c r="B135" s="19"/>
      <c r="C135" s="20"/>
      <c r="D135" s="20"/>
      <c r="E135" s="20"/>
    </row>
    <row r="136" customFormat="false" ht="15" hidden="false" customHeight="false" outlineLevel="0" collapsed="false">
      <c r="A136" s="19"/>
      <c r="B136" s="19"/>
      <c r="C136" s="20"/>
      <c r="D136" s="20"/>
      <c r="E136" s="20"/>
    </row>
    <row r="137" customFormat="false" ht="17.35" hidden="false" customHeight="false" outlineLevel="0" collapsed="false">
      <c r="A137" s="24" t="s">
        <v>170</v>
      </c>
      <c r="B137" s="25"/>
      <c r="C137" s="22"/>
      <c r="D137" s="22"/>
      <c r="E137" s="23"/>
    </row>
    <row r="138" customFormat="false" ht="15" hidden="false" customHeight="false" outlineLevel="0" collapsed="false">
      <c r="A138" s="15" t="s">
        <v>3</v>
      </c>
      <c r="B138" s="15" t="s">
        <v>4</v>
      </c>
      <c r="C138" s="17" t="s">
        <v>5</v>
      </c>
      <c r="D138" s="15" t="s">
        <v>6</v>
      </c>
      <c r="E138" s="16" t="s">
        <v>7</v>
      </c>
    </row>
    <row r="139" customFormat="false" ht="15" hidden="false" customHeight="false" outlineLevel="0" collapsed="false">
      <c r="A139" s="11" t="s">
        <v>8</v>
      </c>
      <c r="B139" s="12" t="s">
        <v>171</v>
      </c>
      <c r="C139" s="13" t="n">
        <f aca="false">160000+25000+182000</f>
        <v>367000</v>
      </c>
      <c r="D139" s="13" t="n">
        <f aca="false">E139-C139</f>
        <v>-500</v>
      </c>
      <c r="E139" s="13" t="n">
        <v>366500</v>
      </c>
    </row>
    <row r="140" customFormat="false" ht="15" hidden="false" customHeight="false" outlineLevel="0" collapsed="false">
      <c r="A140" s="11" t="s">
        <v>10</v>
      </c>
      <c r="B140" s="12" t="s">
        <v>172</v>
      </c>
      <c r="C140" s="13" t="n">
        <f aca="false">200000+166500</f>
        <v>366500</v>
      </c>
      <c r="D140" s="13" t="n">
        <f aca="false">E140-C140</f>
        <v>0</v>
      </c>
      <c r="E140" s="13" t="n">
        <v>366500</v>
      </c>
    </row>
    <row r="141" customFormat="false" ht="15" hidden="false" customHeight="false" outlineLevel="0" collapsed="false">
      <c r="A141" s="11" t="s">
        <v>12</v>
      </c>
      <c r="B141" s="12" t="s">
        <v>173</v>
      </c>
      <c r="C141" s="13" t="n">
        <f aca="false">80000+286500</f>
        <v>366500</v>
      </c>
      <c r="D141" s="13" t="n">
        <f aca="false">E141-C141</f>
        <v>0</v>
      </c>
      <c r="E141" s="13" t="n">
        <v>366500</v>
      </c>
    </row>
    <row r="142" customFormat="false" ht="15" hidden="false" customHeight="false" outlineLevel="0" collapsed="false">
      <c r="A142" s="11" t="s">
        <v>14</v>
      </c>
      <c r="B142" s="12" t="s">
        <v>174</v>
      </c>
      <c r="C142" s="13" t="n">
        <f aca="false">200000+115000+51500</f>
        <v>366500</v>
      </c>
      <c r="D142" s="13" t="n">
        <f aca="false">E142-C142</f>
        <v>0</v>
      </c>
      <c r="E142" s="13" t="n">
        <v>366500</v>
      </c>
    </row>
    <row r="143" customFormat="false" ht="15" hidden="false" customHeight="false" outlineLevel="0" collapsed="false">
      <c r="A143" s="11" t="s">
        <v>16</v>
      </c>
      <c r="B143" s="12" t="s">
        <v>175</v>
      </c>
      <c r="C143" s="13" t="n">
        <f aca="false">185000+75000+35000+70000+1500</f>
        <v>366500</v>
      </c>
      <c r="D143" s="13" t="n">
        <f aca="false">E143-C143</f>
        <v>0</v>
      </c>
      <c r="E143" s="13" t="n">
        <v>366500</v>
      </c>
    </row>
    <row r="144" customFormat="false" ht="15" hidden="false" customHeight="false" outlineLevel="0" collapsed="false">
      <c r="A144" s="11" t="s">
        <v>18</v>
      </c>
      <c r="B144" s="12" t="s">
        <v>176</v>
      </c>
      <c r="C144" s="13" t="n">
        <f aca="false">150000+150000+66500</f>
        <v>366500</v>
      </c>
      <c r="D144" s="13" t="n">
        <f aca="false">E144-C144</f>
        <v>0</v>
      </c>
      <c r="E144" s="13" t="n">
        <v>366500</v>
      </c>
    </row>
    <row r="145" customFormat="false" ht="15" hidden="false" customHeight="false" outlineLevel="0" collapsed="false">
      <c r="A145" s="11" t="s">
        <v>20</v>
      </c>
      <c r="B145" s="12" t="s">
        <v>177</v>
      </c>
      <c r="C145" s="13" t="n">
        <f aca="false">150000+100000+50000+66500</f>
        <v>366500</v>
      </c>
      <c r="D145" s="13" t="n">
        <f aca="false">E145-C145</f>
        <v>0</v>
      </c>
      <c r="E145" s="13" t="n">
        <v>366500</v>
      </c>
    </row>
    <row r="146" customFormat="false" ht="15" hidden="false" customHeight="false" outlineLevel="0" collapsed="false">
      <c r="A146" s="11" t="s">
        <v>22</v>
      </c>
      <c r="B146" s="12" t="s">
        <v>178</v>
      </c>
      <c r="C146" s="13" t="n">
        <f aca="false">200000+100000+66500</f>
        <v>366500</v>
      </c>
      <c r="D146" s="13" t="n">
        <f aca="false">E146-C146</f>
        <v>0</v>
      </c>
      <c r="E146" s="13" t="n">
        <v>366500</v>
      </c>
    </row>
    <row r="147" customFormat="false" ht="15" hidden="false" customHeight="false" outlineLevel="0" collapsed="false">
      <c r="A147" s="11" t="s">
        <v>24</v>
      </c>
      <c r="B147" s="12" t="s">
        <v>179</v>
      </c>
      <c r="C147" s="13" t="n">
        <f aca="false">200000+166500</f>
        <v>366500</v>
      </c>
      <c r="D147" s="13" t="n">
        <f aca="false">E147-C147</f>
        <v>0</v>
      </c>
      <c r="E147" s="13" t="n">
        <v>366500</v>
      </c>
    </row>
    <row r="148" customFormat="false" ht="15" hidden="false" customHeight="false" outlineLevel="0" collapsed="false">
      <c r="A148" s="11" t="s">
        <v>26</v>
      </c>
      <c r="B148" s="12" t="s">
        <v>180</v>
      </c>
      <c r="C148" s="13" t="n">
        <f aca="false">190000+176500</f>
        <v>366500</v>
      </c>
      <c r="D148" s="13" t="n">
        <f aca="false">E148-C148</f>
        <v>0</v>
      </c>
      <c r="E148" s="13" t="n">
        <v>366500</v>
      </c>
    </row>
    <row r="149" customFormat="false" ht="15" hidden="false" customHeight="false" outlineLevel="0" collapsed="false">
      <c r="A149" s="11" t="s">
        <v>28</v>
      </c>
      <c r="B149" s="12" t="s">
        <v>181</v>
      </c>
      <c r="C149" s="13" t="n">
        <f aca="false">20000+50000+40000+60000+30000+166500</f>
        <v>366500</v>
      </c>
      <c r="D149" s="13" t="n">
        <f aca="false">E149-C149</f>
        <v>0</v>
      </c>
      <c r="E149" s="13" t="n">
        <v>366500</v>
      </c>
    </row>
    <row r="150" customFormat="false" ht="15" hidden="false" customHeight="false" outlineLevel="0" collapsed="false">
      <c r="A150" s="11" t="s">
        <v>30</v>
      </c>
      <c r="B150" s="12" t="s">
        <v>182</v>
      </c>
      <c r="C150" s="13" t="n">
        <f aca="false">300000+66500</f>
        <v>366500</v>
      </c>
      <c r="D150" s="13" t="n">
        <f aca="false">E150-C150</f>
        <v>0</v>
      </c>
      <c r="E150" s="13" t="n">
        <v>366500</v>
      </c>
    </row>
    <row r="151" customFormat="false" ht="15" hidden="false" customHeight="false" outlineLevel="0" collapsed="false">
      <c r="A151" s="11" t="s">
        <v>32</v>
      </c>
      <c r="B151" s="12" t="s">
        <v>183</v>
      </c>
      <c r="C151" s="13" t="n">
        <f aca="false">200000+166500</f>
        <v>366500</v>
      </c>
      <c r="D151" s="13" t="n">
        <f aca="false">E151-C151</f>
        <v>0</v>
      </c>
      <c r="E151" s="13" t="n">
        <v>366500</v>
      </c>
    </row>
    <row r="152" customFormat="false" ht="15" hidden="false" customHeight="false" outlineLevel="0" collapsed="false">
      <c r="A152" s="11" t="s">
        <v>34</v>
      </c>
      <c r="B152" s="12" t="s">
        <v>184</v>
      </c>
      <c r="C152" s="13" t="n">
        <f aca="false">110000+60000+100000+96500</f>
        <v>366500</v>
      </c>
      <c r="D152" s="13" t="n">
        <f aca="false">E152-C152</f>
        <v>0</v>
      </c>
      <c r="E152" s="13" t="n">
        <v>366500</v>
      </c>
    </row>
    <row r="153" customFormat="false" ht="15" hidden="false" customHeight="false" outlineLevel="0" collapsed="false">
      <c r="A153" s="11" t="s">
        <v>36</v>
      </c>
      <c r="B153" s="12" t="s">
        <v>185</v>
      </c>
      <c r="C153" s="13" t="n">
        <f aca="false">135000+181500+50000</f>
        <v>366500</v>
      </c>
      <c r="D153" s="13" t="n">
        <f aca="false">E153-C153</f>
        <v>0</v>
      </c>
      <c r="E153" s="13" t="n">
        <v>366500</v>
      </c>
    </row>
    <row r="154" customFormat="false" ht="15" hidden="false" customHeight="false" outlineLevel="0" collapsed="false">
      <c r="A154" s="11" t="s">
        <v>38</v>
      </c>
      <c r="B154" s="12" t="s">
        <v>186</v>
      </c>
      <c r="C154" s="13" t="n">
        <f aca="false">200000+166500</f>
        <v>366500</v>
      </c>
      <c r="D154" s="13" t="n">
        <f aca="false">E154-C154</f>
        <v>0</v>
      </c>
      <c r="E154" s="13" t="n">
        <v>366500</v>
      </c>
    </row>
    <row r="155" customFormat="false" ht="15" hidden="false" customHeight="false" outlineLevel="0" collapsed="false">
      <c r="A155" s="11" t="s">
        <v>40</v>
      </c>
      <c r="B155" s="12" t="s">
        <v>187</v>
      </c>
      <c r="C155" s="13" t="n">
        <f aca="false">150000+200000+16500</f>
        <v>366500</v>
      </c>
      <c r="D155" s="13" t="n">
        <f aca="false">E155-C155</f>
        <v>0</v>
      </c>
      <c r="E155" s="13" t="n">
        <v>366500</v>
      </c>
    </row>
    <row r="156" customFormat="false" ht="15" hidden="false" customHeight="false" outlineLevel="0" collapsed="false">
      <c r="A156" s="11" t="s">
        <v>42</v>
      </c>
      <c r="B156" s="12" t="s">
        <v>188</v>
      </c>
      <c r="C156" s="13" t="n">
        <f aca="false">200000+50000+116500</f>
        <v>366500</v>
      </c>
      <c r="D156" s="13" t="n">
        <f aca="false">E156-C156</f>
        <v>0</v>
      </c>
      <c r="E156" s="13" t="n">
        <v>366500</v>
      </c>
    </row>
    <row r="157" customFormat="false" ht="15" hidden="false" customHeight="false" outlineLevel="0" collapsed="false">
      <c r="A157" s="11" t="s">
        <v>44</v>
      </c>
      <c r="B157" s="12" t="s">
        <v>189</v>
      </c>
      <c r="C157" s="13" t="n">
        <f aca="false">50000+50000+100000+40000+100000+26500</f>
        <v>366500</v>
      </c>
      <c r="D157" s="13" t="n">
        <f aca="false">E157-C157</f>
        <v>0</v>
      </c>
      <c r="E157" s="13" t="n">
        <v>366500</v>
      </c>
    </row>
    <row r="158" customFormat="false" ht="15" hidden="false" customHeight="false" outlineLevel="0" collapsed="false">
      <c r="A158" s="11" t="s">
        <v>46</v>
      </c>
      <c r="B158" s="12" t="s">
        <v>190</v>
      </c>
      <c r="C158" s="13" t="n">
        <f aca="false">200000+166500</f>
        <v>366500</v>
      </c>
      <c r="D158" s="13" t="n">
        <f aca="false">E158-C158</f>
        <v>0</v>
      </c>
      <c r="E158" s="13" t="n">
        <v>366500</v>
      </c>
    </row>
    <row r="159" customFormat="false" ht="15" hidden="false" customHeight="false" outlineLevel="0" collapsed="false">
      <c r="A159" s="11" t="s">
        <v>48</v>
      </c>
      <c r="B159" s="12" t="s">
        <v>191</v>
      </c>
      <c r="C159" s="13" t="n">
        <f aca="false">175000+16500+175000</f>
        <v>366500</v>
      </c>
      <c r="D159" s="13" t="n">
        <f aca="false">E159-C159</f>
        <v>0</v>
      </c>
      <c r="E159" s="13" t="n">
        <v>366500</v>
      </c>
    </row>
    <row r="160" customFormat="false" ht="15" hidden="false" customHeight="false" outlineLevel="0" collapsed="false">
      <c r="A160" s="11" t="s">
        <v>50</v>
      </c>
      <c r="B160" s="12" t="s">
        <v>192</v>
      </c>
      <c r="C160" s="13" t="n">
        <f aca="false">100000+120000+70000+77000</f>
        <v>367000</v>
      </c>
      <c r="D160" s="13" t="n">
        <f aca="false">E160-C160</f>
        <v>-500</v>
      </c>
      <c r="E160" s="13" t="n">
        <v>366500</v>
      </c>
    </row>
    <row r="161" customFormat="false" ht="15" hidden="false" customHeight="false" outlineLevel="0" collapsed="false">
      <c r="A161" s="11" t="s">
        <v>52</v>
      </c>
      <c r="B161" s="12" t="s">
        <v>193</v>
      </c>
      <c r="C161" s="13" t="n">
        <f aca="false">200000+50000+115000+1500</f>
        <v>366500</v>
      </c>
      <c r="D161" s="13" t="n">
        <f aca="false">E161-C161</f>
        <v>0</v>
      </c>
      <c r="E161" s="13" t="n">
        <v>366500</v>
      </c>
    </row>
    <row r="162" customFormat="false" ht="15" hidden="false" customHeight="false" outlineLevel="0" collapsed="false">
      <c r="A162" s="11" t="s">
        <v>54</v>
      </c>
      <c r="B162" s="12" t="s">
        <v>194</v>
      </c>
      <c r="C162" s="13" t="n">
        <f aca="false">180000+162000+20000+5000</f>
        <v>367000</v>
      </c>
      <c r="D162" s="13" t="n">
        <f aca="false">E162-C162</f>
        <v>-500</v>
      </c>
      <c r="E162" s="13" t="n">
        <v>366500</v>
      </c>
    </row>
    <row r="163" customFormat="false" ht="15" hidden="false" customHeight="false" outlineLevel="0" collapsed="false">
      <c r="A163" s="11" t="s">
        <v>56</v>
      </c>
      <c r="B163" s="12" t="s">
        <v>195</v>
      </c>
      <c r="C163" s="13" t="n">
        <f aca="false">120000+180000+66500</f>
        <v>366500</v>
      </c>
      <c r="D163" s="13" t="n">
        <f aca="false">E163-C163</f>
        <v>0</v>
      </c>
      <c r="E163" s="13" t="n">
        <v>366500</v>
      </c>
    </row>
    <row r="164" customFormat="false" ht="15" hidden="false" customHeight="false" outlineLevel="0" collapsed="false">
      <c r="A164" s="11" t="s">
        <v>58</v>
      </c>
      <c r="B164" s="12" t="s">
        <v>196</v>
      </c>
      <c r="C164" s="13" t="n">
        <f aca="false">200000+166500</f>
        <v>366500</v>
      </c>
      <c r="D164" s="13" t="n">
        <f aca="false">E164-C164</f>
        <v>0</v>
      </c>
      <c r="E164" s="13" t="n">
        <v>366500</v>
      </c>
    </row>
    <row r="165" customFormat="false" ht="15" hidden="false" customHeight="false" outlineLevel="0" collapsed="false">
      <c r="A165" s="11" t="s">
        <v>60</v>
      </c>
      <c r="B165" s="12" t="s">
        <v>197</v>
      </c>
      <c r="C165" s="13" t="n">
        <f aca="false">70000+50000+50000+50000+25000+121500</f>
        <v>366500</v>
      </c>
      <c r="D165" s="13" t="n">
        <f aca="false">E165-C165</f>
        <v>0</v>
      </c>
      <c r="E165" s="13" t="n">
        <v>366500</v>
      </c>
    </row>
    <row r="166" customFormat="false" ht="15" hidden="false" customHeight="false" outlineLevel="0" collapsed="false">
      <c r="A166" s="11" t="s">
        <v>62</v>
      </c>
      <c r="B166" s="12" t="s">
        <v>198</v>
      </c>
      <c r="C166" s="13" t="n">
        <f aca="false">100000+105000+161000+500</f>
        <v>366500</v>
      </c>
      <c r="D166" s="13" t="n">
        <f aca="false">E166-C166</f>
        <v>0</v>
      </c>
      <c r="E166" s="13" t="n">
        <v>366500</v>
      </c>
    </row>
    <row r="167" customFormat="false" ht="15" hidden="false" customHeight="false" outlineLevel="0" collapsed="false">
      <c r="A167" s="11" t="s">
        <v>64</v>
      </c>
      <c r="B167" s="12" t="s">
        <v>199</v>
      </c>
      <c r="C167" s="13" t="n">
        <f aca="false">150000+35000+181500</f>
        <v>366500</v>
      </c>
      <c r="D167" s="13" t="n">
        <f aca="false">E167-C167</f>
        <v>0</v>
      </c>
      <c r="E167" s="13" t="n">
        <v>366500</v>
      </c>
    </row>
    <row r="168" customFormat="false" ht="15" hidden="false" customHeight="false" outlineLevel="0" collapsed="false">
      <c r="A168" s="11" t="s">
        <v>66</v>
      </c>
      <c r="B168" s="12" t="s">
        <v>200</v>
      </c>
      <c r="C168" s="13" t="n">
        <f aca="false">100000+150000+116000+500</f>
        <v>366500</v>
      </c>
      <c r="D168" s="13" t="n">
        <f aca="false">E168-C168</f>
        <v>0</v>
      </c>
      <c r="E168" s="13" t="n">
        <v>366500</v>
      </c>
    </row>
    <row r="169" customFormat="false" ht="15" hidden="false" customHeight="false" outlineLevel="0" collapsed="false">
      <c r="A169" s="11" t="s">
        <v>68</v>
      </c>
      <c r="B169" s="12" t="s">
        <v>201</v>
      </c>
      <c r="C169" s="13" t="n">
        <f aca="false">200000+100000+66500</f>
        <v>366500</v>
      </c>
      <c r="D169" s="13" t="n">
        <f aca="false">E169-C169</f>
        <v>0</v>
      </c>
      <c r="E169" s="13" t="n">
        <v>366500</v>
      </c>
    </row>
    <row r="170" customFormat="false" ht="15" hidden="false" customHeight="false" outlineLevel="0" collapsed="false">
      <c r="A170" s="11" t="s">
        <v>70</v>
      </c>
      <c r="B170" s="12" t="s">
        <v>202</v>
      </c>
      <c r="C170" s="13" t="n">
        <f aca="false">30000+60000+60000+166000+50000+500</f>
        <v>366500</v>
      </c>
      <c r="D170" s="13" t="n">
        <f aca="false">E170-C170</f>
        <v>0</v>
      </c>
      <c r="E170" s="13" t="n">
        <v>366500</v>
      </c>
    </row>
    <row r="171" customFormat="false" ht="15" hidden="false" customHeight="false" outlineLevel="0" collapsed="false">
      <c r="A171" s="11" t="s">
        <v>72</v>
      </c>
      <c r="B171" s="12" t="s">
        <v>203</v>
      </c>
      <c r="C171" s="13" t="n">
        <f aca="false">80000+50000+100000+50000+86500</f>
        <v>366500</v>
      </c>
      <c r="D171" s="13" t="n">
        <f aca="false">E171-C171</f>
        <v>0</v>
      </c>
      <c r="E171" s="13" t="n">
        <v>366500</v>
      </c>
    </row>
    <row r="172" customFormat="false" ht="15" hidden="false" customHeight="false" outlineLevel="0" collapsed="false">
      <c r="A172" s="11" t="s">
        <v>74</v>
      </c>
      <c r="B172" s="12" t="s">
        <v>204</v>
      </c>
      <c r="C172" s="13" t="n">
        <f aca="false">375000</f>
        <v>375000</v>
      </c>
      <c r="D172" s="13" t="n">
        <f aca="false">E172-C172</f>
        <v>-8500</v>
      </c>
      <c r="E172" s="13" t="n">
        <v>366500</v>
      </c>
    </row>
    <row r="173" customFormat="false" ht="15" hidden="false" customHeight="false" outlineLevel="0" collapsed="false">
      <c r="A173" s="11" t="s">
        <v>76</v>
      </c>
      <c r="B173" s="12" t="s">
        <v>205</v>
      </c>
      <c r="C173" s="13" t="n">
        <f aca="false">140000+60000+106500+60000</f>
        <v>366500</v>
      </c>
      <c r="D173" s="13" t="n">
        <f aca="false">E173-C173</f>
        <v>0</v>
      </c>
      <c r="E173" s="13" t="n">
        <v>366500</v>
      </c>
    </row>
    <row r="174" customFormat="false" ht="15" hidden="false" customHeight="false" outlineLevel="0" collapsed="false">
      <c r="A174" s="11" t="s">
        <v>78</v>
      </c>
      <c r="B174" s="12" t="s">
        <v>206</v>
      </c>
      <c r="C174" s="13" t="n">
        <f aca="false">190000+176500</f>
        <v>366500</v>
      </c>
      <c r="D174" s="13" t="n">
        <f aca="false">E174-C174</f>
        <v>0</v>
      </c>
      <c r="E174" s="13" t="n">
        <v>366500</v>
      </c>
    </row>
    <row r="175" customFormat="false" ht="15" hidden="false" customHeight="false" outlineLevel="0" collapsed="false">
      <c r="A175" s="26"/>
      <c r="B175" s="27" t="s">
        <v>207</v>
      </c>
      <c r="C175" s="16" t="n">
        <f aca="false">SUM(C139:C174)</f>
        <v>13204000</v>
      </c>
      <c r="D175" s="16" t="n">
        <f aca="false">E175-C175</f>
        <v>-10000</v>
      </c>
      <c r="E175" s="16" t="n">
        <f aca="false">SUM(E139:E174)</f>
        <v>13194000</v>
      </c>
    </row>
    <row r="176" customFormat="false" ht="17.35" hidden="false" customHeight="false" outlineLevel="0" collapsed="false">
      <c r="A176" s="5" t="s">
        <v>208</v>
      </c>
      <c r="B176" s="28"/>
      <c r="C176" s="6"/>
      <c r="D176" s="6"/>
      <c r="E176" s="7"/>
    </row>
    <row r="177" customFormat="false" ht="15" hidden="false" customHeight="false" outlineLevel="0" collapsed="false">
      <c r="A177" s="15" t="s">
        <v>3</v>
      </c>
      <c r="B177" s="15" t="s">
        <v>4</v>
      </c>
      <c r="C177" s="17" t="s">
        <v>5</v>
      </c>
      <c r="D177" s="15" t="s">
        <v>6</v>
      </c>
      <c r="E177" s="16" t="s">
        <v>7</v>
      </c>
    </row>
    <row r="178" customFormat="false" ht="15" hidden="false" customHeight="false" outlineLevel="0" collapsed="false">
      <c r="A178" s="11" t="s">
        <v>8</v>
      </c>
      <c r="B178" s="12" t="s">
        <v>209</v>
      </c>
      <c r="C178" s="13" t="n">
        <f aca="false">200000+70000+100000</f>
        <v>370000</v>
      </c>
      <c r="D178" s="13" t="n">
        <f aca="false">E178-C178</f>
        <v>-3500</v>
      </c>
      <c r="E178" s="13" t="n">
        <v>366500</v>
      </c>
    </row>
    <row r="179" customFormat="false" ht="15" hidden="false" customHeight="false" outlineLevel="0" collapsed="false">
      <c r="A179" s="11" t="s">
        <v>10</v>
      </c>
      <c r="B179" s="12" t="s">
        <v>210</v>
      </c>
      <c r="C179" s="13" t="n">
        <f aca="false">183000+183500</f>
        <v>366500</v>
      </c>
      <c r="D179" s="13" t="n">
        <f aca="false">E179-C179</f>
        <v>0</v>
      </c>
      <c r="E179" s="13" t="n">
        <v>366500</v>
      </c>
    </row>
    <row r="180" customFormat="false" ht="15" hidden="false" customHeight="false" outlineLevel="0" collapsed="false">
      <c r="A180" s="11" t="s">
        <v>12</v>
      </c>
      <c r="B180" s="12" t="s">
        <v>211</v>
      </c>
      <c r="C180" s="13" t="n">
        <f aca="false">200000+155000+12000</f>
        <v>367000</v>
      </c>
      <c r="D180" s="13" t="n">
        <f aca="false">E180-C180</f>
        <v>-500</v>
      </c>
      <c r="E180" s="13" t="n">
        <v>366500</v>
      </c>
    </row>
    <row r="181" customFormat="false" ht="15" hidden="false" customHeight="false" outlineLevel="0" collapsed="false">
      <c r="A181" s="11" t="s">
        <v>14</v>
      </c>
      <c r="B181" s="12" t="s">
        <v>212</v>
      </c>
      <c r="C181" s="13" t="n">
        <f aca="false">200000+166500</f>
        <v>366500</v>
      </c>
      <c r="D181" s="13" t="n">
        <f aca="false">E181-C181</f>
        <v>0</v>
      </c>
      <c r="E181" s="13" t="n">
        <v>366500</v>
      </c>
    </row>
    <row r="182" customFormat="false" ht="15" hidden="false" customHeight="false" outlineLevel="0" collapsed="false">
      <c r="A182" s="11" t="s">
        <v>16</v>
      </c>
      <c r="B182" s="12" t="s">
        <v>213</v>
      </c>
      <c r="C182" s="13" t="n">
        <f aca="false">180000+186500</f>
        <v>366500</v>
      </c>
      <c r="D182" s="13" t="n">
        <f aca="false">E182-C182</f>
        <v>0</v>
      </c>
      <c r="E182" s="13" t="n">
        <v>366500</v>
      </c>
    </row>
    <row r="183" customFormat="false" ht="15" hidden="false" customHeight="false" outlineLevel="0" collapsed="false">
      <c r="A183" s="11" t="s">
        <v>18</v>
      </c>
      <c r="B183" s="12" t="s">
        <v>214</v>
      </c>
      <c r="C183" s="13" t="n">
        <f aca="false">190000+170000+6500</f>
        <v>366500</v>
      </c>
      <c r="D183" s="13" t="n">
        <f aca="false">E183-C183</f>
        <v>0</v>
      </c>
      <c r="E183" s="13" t="n">
        <v>366500</v>
      </c>
    </row>
    <row r="184" customFormat="false" ht="15" hidden="false" customHeight="false" outlineLevel="0" collapsed="false">
      <c r="A184" s="11" t="s">
        <v>20</v>
      </c>
      <c r="B184" s="12" t="s">
        <v>215</v>
      </c>
      <c r="C184" s="13" t="n">
        <f aca="false">150000+33000+116000+66000+1500</f>
        <v>366500</v>
      </c>
      <c r="D184" s="13" t="n">
        <f aca="false">E184-C184</f>
        <v>0</v>
      </c>
      <c r="E184" s="13" t="n">
        <v>366500</v>
      </c>
    </row>
    <row r="185" customFormat="false" ht="15" hidden="false" customHeight="false" outlineLevel="0" collapsed="false">
      <c r="A185" s="11" t="s">
        <v>22</v>
      </c>
      <c r="B185" s="12" t="s">
        <v>216</v>
      </c>
      <c r="C185" s="13" t="n">
        <f aca="false">150000+50000+100000+20000+20000+26500</f>
        <v>366500</v>
      </c>
      <c r="D185" s="13" t="n">
        <f aca="false">E185-C185</f>
        <v>0</v>
      </c>
      <c r="E185" s="13" t="n">
        <v>366500</v>
      </c>
    </row>
    <row r="186" customFormat="false" ht="15" hidden="false" customHeight="false" outlineLevel="0" collapsed="false">
      <c r="A186" s="11" t="s">
        <v>24</v>
      </c>
      <c r="B186" s="12" t="s">
        <v>217</v>
      </c>
      <c r="C186" s="13" t="n">
        <f aca="false">90000+100000+20000+15000+70000+21500+50000</f>
        <v>366500</v>
      </c>
      <c r="D186" s="13" t="n">
        <f aca="false">E186-C186</f>
        <v>0</v>
      </c>
      <c r="E186" s="13" t="n">
        <v>366500</v>
      </c>
    </row>
    <row r="187" customFormat="false" ht="15" hidden="false" customHeight="false" outlineLevel="0" collapsed="false">
      <c r="A187" s="11" t="s">
        <v>26</v>
      </c>
      <c r="B187" s="12" t="s">
        <v>218</v>
      </c>
      <c r="C187" s="13" t="n">
        <f aca="false">300000+66500</f>
        <v>366500</v>
      </c>
      <c r="D187" s="13" t="n">
        <f aca="false">E187-C187</f>
        <v>0</v>
      </c>
      <c r="E187" s="13" t="n">
        <v>366500</v>
      </c>
    </row>
    <row r="188" customFormat="false" ht="15" hidden="false" customHeight="false" outlineLevel="0" collapsed="false">
      <c r="A188" s="11" t="s">
        <v>28</v>
      </c>
      <c r="B188" s="12" t="s">
        <v>219</v>
      </c>
      <c r="C188" s="13" t="n">
        <f aca="false">150000+216500</f>
        <v>366500</v>
      </c>
      <c r="D188" s="13" t="n">
        <f aca="false">E188-C188</f>
        <v>0</v>
      </c>
      <c r="E188" s="13" t="n">
        <v>366500</v>
      </c>
    </row>
    <row r="189" customFormat="false" ht="15" hidden="false" customHeight="false" outlineLevel="0" collapsed="false">
      <c r="A189" s="11" t="s">
        <v>30</v>
      </c>
      <c r="B189" s="12" t="s">
        <v>220</v>
      </c>
      <c r="C189" s="13" t="n">
        <f aca="false">216500+150000</f>
        <v>366500</v>
      </c>
      <c r="D189" s="13" t="n">
        <f aca="false">E189-C189</f>
        <v>0</v>
      </c>
      <c r="E189" s="13" t="n">
        <v>366500</v>
      </c>
    </row>
    <row r="190" customFormat="false" ht="15" hidden="false" customHeight="false" outlineLevel="0" collapsed="false">
      <c r="A190" s="11" t="s">
        <v>32</v>
      </c>
      <c r="B190" s="12" t="s">
        <v>221</v>
      </c>
      <c r="C190" s="13" t="n">
        <f aca="false">110000+100000+156500</f>
        <v>366500</v>
      </c>
      <c r="D190" s="13" t="n">
        <f aca="false">E190-C190</f>
        <v>0</v>
      </c>
      <c r="E190" s="13" t="n">
        <v>366500</v>
      </c>
    </row>
    <row r="191" customFormat="false" ht="15" hidden="false" customHeight="false" outlineLevel="0" collapsed="false">
      <c r="A191" s="11" t="s">
        <v>34</v>
      </c>
      <c r="B191" s="12" t="s">
        <v>222</v>
      </c>
      <c r="C191" s="13" t="n">
        <f aca="false">200000+100000+66500</f>
        <v>366500</v>
      </c>
      <c r="D191" s="13" t="n">
        <f aca="false">E191-C191</f>
        <v>0</v>
      </c>
      <c r="E191" s="13" t="n">
        <v>366500</v>
      </c>
    </row>
    <row r="192" customFormat="false" ht="15" hidden="false" customHeight="false" outlineLevel="0" collapsed="false">
      <c r="A192" s="11" t="s">
        <v>36</v>
      </c>
      <c r="B192" s="12" t="s">
        <v>223</v>
      </c>
      <c r="C192" s="13" t="n">
        <f aca="false">100000+45000+21000+40000+135000+25500</f>
        <v>366500</v>
      </c>
      <c r="D192" s="13" t="n">
        <f aca="false">E192-C192</f>
        <v>0</v>
      </c>
      <c r="E192" s="13" t="n">
        <v>366500</v>
      </c>
    </row>
    <row r="193" customFormat="false" ht="15" hidden="false" customHeight="false" outlineLevel="0" collapsed="false">
      <c r="A193" s="11" t="s">
        <v>38</v>
      </c>
      <c r="B193" s="12" t="s">
        <v>224</v>
      </c>
      <c r="C193" s="13" t="n">
        <f aca="false">100000+210000+56000+500</f>
        <v>366500</v>
      </c>
      <c r="D193" s="13" t="n">
        <f aca="false">E193-C193</f>
        <v>0</v>
      </c>
      <c r="E193" s="13" t="n">
        <v>366500</v>
      </c>
    </row>
    <row r="194" customFormat="false" ht="15" hidden="false" customHeight="false" outlineLevel="0" collapsed="false">
      <c r="A194" s="11" t="s">
        <v>40</v>
      </c>
      <c r="B194" s="12" t="s">
        <v>225</v>
      </c>
      <c r="C194" s="13" t="n">
        <f aca="false">110000+70000+50000+135500+1000</f>
        <v>366500</v>
      </c>
      <c r="D194" s="13" t="n">
        <f aca="false">E194-C194</f>
        <v>0</v>
      </c>
      <c r="E194" s="13" t="n">
        <v>366500</v>
      </c>
    </row>
    <row r="195" customFormat="false" ht="15" hidden="false" customHeight="false" outlineLevel="0" collapsed="false">
      <c r="A195" s="11" t="s">
        <v>42</v>
      </c>
      <c r="B195" s="12" t="s">
        <v>226</v>
      </c>
      <c r="C195" s="13" t="n">
        <f aca="false">50000+15000+1500+70000+40000+10000+13500+166500</f>
        <v>366500</v>
      </c>
      <c r="D195" s="13" t="n">
        <f aca="false">E195-C195</f>
        <v>0</v>
      </c>
      <c r="E195" s="13" t="n">
        <v>366500</v>
      </c>
    </row>
    <row r="196" customFormat="false" ht="15" hidden="false" customHeight="false" outlineLevel="0" collapsed="false">
      <c r="A196" s="11" t="s">
        <v>44</v>
      </c>
      <c r="B196" s="12" t="s">
        <v>227</v>
      </c>
      <c r="C196" s="13" t="n">
        <f aca="false">15000+190000+10000+150000+1500</f>
        <v>366500</v>
      </c>
      <c r="D196" s="13" t="n">
        <f aca="false">E196-C196</f>
        <v>0</v>
      </c>
      <c r="E196" s="13" t="n">
        <v>366500</v>
      </c>
    </row>
    <row r="197" customFormat="false" ht="15" hidden="false" customHeight="false" outlineLevel="0" collapsed="false">
      <c r="A197" s="11" t="s">
        <v>46</v>
      </c>
      <c r="B197" s="12" t="s">
        <v>228</v>
      </c>
      <c r="C197" s="13" t="n">
        <f aca="false">50000+15000+150000+35000+115000+1500</f>
        <v>366500</v>
      </c>
      <c r="D197" s="13" t="n">
        <f aca="false">E197-C197</f>
        <v>0</v>
      </c>
      <c r="E197" s="13" t="n">
        <v>366500</v>
      </c>
    </row>
    <row r="198" customFormat="false" ht="15" hidden="false" customHeight="false" outlineLevel="0" collapsed="false">
      <c r="A198" s="11" t="s">
        <v>48</v>
      </c>
      <c r="B198" s="12" t="s">
        <v>229</v>
      </c>
      <c r="C198" s="13" t="n">
        <f aca="false">191500+175000</f>
        <v>366500</v>
      </c>
      <c r="D198" s="13" t="n">
        <f aca="false">E198-C198</f>
        <v>0</v>
      </c>
      <c r="E198" s="13" t="n">
        <v>366500</v>
      </c>
    </row>
    <row r="199" customFormat="false" ht="15" hidden="false" customHeight="false" outlineLevel="0" collapsed="false">
      <c r="A199" s="11" t="s">
        <v>50</v>
      </c>
      <c r="B199" s="12" t="s">
        <v>230</v>
      </c>
      <c r="C199" s="13" t="n">
        <f aca="false">100000+200000</f>
        <v>300000</v>
      </c>
      <c r="D199" s="13" t="n">
        <f aca="false">E199-C199</f>
        <v>66500</v>
      </c>
      <c r="E199" s="13" t="n">
        <v>366500</v>
      </c>
    </row>
    <row r="200" customFormat="false" ht="15" hidden="false" customHeight="false" outlineLevel="0" collapsed="false">
      <c r="A200" s="11" t="s">
        <v>52</v>
      </c>
      <c r="B200" s="12" t="s">
        <v>231</v>
      </c>
      <c r="C200" s="13" t="n">
        <f aca="false">150000+216500</f>
        <v>366500</v>
      </c>
      <c r="D200" s="13" t="n">
        <f aca="false">E200-C200</f>
        <v>0</v>
      </c>
      <c r="E200" s="13" t="n">
        <v>366500</v>
      </c>
    </row>
    <row r="201" customFormat="false" ht="15" hidden="false" customHeight="false" outlineLevel="0" collapsed="false">
      <c r="A201" s="11" t="s">
        <v>54</v>
      </c>
      <c r="B201" s="12" t="s">
        <v>232</v>
      </c>
      <c r="C201" s="13" t="n">
        <f aca="false">150000+50000+166500</f>
        <v>366500</v>
      </c>
      <c r="D201" s="13" t="n">
        <f aca="false">E201-C201</f>
        <v>0</v>
      </c>
      <c r="E201" s="13" t="n">
        <v>366500</v>
      </c>
    </row>
    <row r="202" customFormat="false" ht="15" hidden="false" customHeight="false" outlineLevel="0" collapsed="false">
      <c r="A202" s="11" t="s">
        <v>56</v>
      </c>
      <c r="B202" s="12" t="s">
        <v>233</v>
      </c>
      <c r="C202" s="13" t="n">
        <f aca="false">120000+30000+100000+100000+16500</f>
        <v>366500</v>
      </c>
      <c r="D202" s="13" t="n">
        <f aca="false">E202-C202</f>
        <v>0</v>
      </c>
      <c r="E202" s="13" t="n">
        <v>366500</v>
      </c>
    </row>
    <row r="203" customFormat="false" ht="15" hidden="false" customHeight="false" outlineLevel="0" collapsed="false">
      <c r="A203" s="11" t="s">
        <v>58</v>
      </c>
      <c r="B203" s="12" t="s">
        <v>234</v>
      </c>
      <c r="C203" s="13" t="n">
        <f aca="false">180000+15000+171500</f>
        <v>366500</v>
      </c>
      <c r="D203" s="13" t="n">
        <f aca="false">E203-C203</f>
        <v>0</v>
      </c>
      <c r="E203" s="13" t="n">
        <v>366500</v>
      </c>
    </row>
    <row r="204" customFormat="false" ht="15" hidden="false" customHeight="false" outlineLevel="0" collapsed="false">
      <c r="A204" s="11" t="s">
        <v>60</v>
      </c>
      <c r="B204" s="12" t="s">
        <v>235</v>
      </c>
      <c r="C204" s="13" t="n">
        <f aca="false">100000+95000+171500</f>
        <v>366500</v>
      </c>
      <c r="D204" s="13" t="n">
        <f aca="false">E204-C204</f>
        <v>0</v>
      </c>
      <c r="E204" s="13" t="n">
        <v>366500</v>
      </c>
    </row>
    <row r="205" customFormat="false" ht="15" hidden="false" customHeight="false" outlineLevel="0" collapsed="false">
      <c r="A205" s="11" t="s">
        <v>62</v>
      </c>
      <c r="B205" s="12" t="s">
        <v>236</v>
      </c>
      <c r="C205" s="13" t="n">
        <f aca="false">100000+266500</f>
        <v>366500</v>
      </c>
      <c r="D205" s="13" t="n">
        <f aca="false">E205-C205</f>
        <v>0</v>
      </c>
      <c r="E205" s="13" t="n">
        <v>366500</v>
      </c>
    </row>
    <row r="206" customFormat="false" ht="15" hidden="false" customHeight="false" outlineLevel="0" collapsed="false">
      <c r="A206" s="11" t="s">
        <v>64</v>
      </c>
      <c r="B206" s="12" t="s">
        <v>237</v>
      </c>
      <c r="C206" s="13" t="n">
        <f aca="false">50000+150000+110000+56500</f>
        <v>366500</v>
      </c>
      <c r="D206" s="13" t="n">
        <f aca="false">E206-C206</f>
        <v>0</v>
      </c>
      <c r="E206" s="13" t="n">
        <v>366500</v>
      </c>
    </row>
    <row r="207" customFormat="false" ht="15" hidden="false" customHeight="false" outlineLevel="0" collapsed="false">
      <c r="A207" s="11" t="s">
        <v>66</v>
      </c>
      <c r="B207" s="12" t="s">
        <v>238</v>
      </c>
      <c r="C207" s="13" t="n">
        <f aca="false">100000+100000+50000+50000+66500</f>
        <v>366500</v>
      </c>
      <c r="D207" s="13" t="n">
        <f aca="false">E207-C207</f>
        <v>0</v>
      </c>
      <c r="E207" s="13" t="n">
        <v>366500</v>
      </c>
    </row>
    <row r="208" customFormat="false" ht="15" hidden="false" customHeight="false" outlineLevel="0" collapsed="false">
      <c r="A208" s="11" t="s">
        <v>68</v>
      </c>
      <c r="B208" s="12" t="s">
        <v>239</v>
      </c>
      <c r="C208" s="13" t="n">
        <f aca="false">130000+100000+50000+20000+66500</f>
        <v>366500</v>
      </c>
      <c r="D208" s="13" t="n">
        <f aca="false">E208-C208</f>
        <v>0</v>
      </c>
      <c r="E208" s="13" t="n">
        <v>366500</v>
      </c>
    </row>
    <row r="209" customFormat="false" ht="15" hidden="false" customHeight="false" outlineLevel="0" collapsed="false">
      <c r="A209" s="11" t="s">
        <v>70</v>
      </c>
      <c r="B209" s="12" t="s">
        <v>240</v>
      </c>
      <c r="C209" s="13" t="n">
        <f aca="false">200000+166500</f>
        <v>366500</v>
      </c>
      <c r="D209" s="13" t="n">
        <f aca="false">E209-C209</f>
        <v>0</v>
      </c>
      <c r="E209" s="13" t="n">
        <v>366500</v>
      </c>
    </row>
    <row r="210" customFormat="false" ht="15" hidden="false" customHeight="false" outlineLevel="0" collapsed="false">
      <c r="A210" s="11" t="s">
        <v>72</v>
      </c>
      <c r="B210" s="12" t="s">
        <v>241</v>
      </c>
      <c r="C210" s="13" t="n">
        <f aca="false">100000+16500+20000+50000+25000+130000+25000</f>
        <v>366500</v>
      </c>
      <c r="D210" s="13" t="n">
        <f aca="false">E210-C210</f>
        <v>0</v>
      </c>
      <c r="E210" s="13" t="n">
        <v>366500</v>
      </c>
    </row>
    <row r="211" customFormat="false" ht="15" hidden="false" customHeight="false" outlineLevel="0" collapsed="false">
      <c r="A211" s="11" t="s">
        <v>74</v>
      </c>
      <c r="B211" s="12" t="s">
        <v>242</v>
      </c>
      <c r="C211" s="13" t="n">
        <f aca="false">150000+150000+50000+16500</f>
        <v>366500</v>
      </c>
      <c r="D211" s="13" t="n">
        <f aca="false">E211-C211</f>
        <v>0</v>
      </c>
      <c r="E211" s="13" t="n">
        <v>366500</v>
      </c>
    </row>
    <row r="212" customFormat="false" ht="15" hidden="false" customHeight="false" outlineLevel="0" collapsed="false">
      <c r="A212" s="11" t="s">
        <v>76</v>
      </c>
      <c r="B212" s="12" t="s">
        <v>243</v>
      </c>
      <c r="C212" s="13" t="n">
        <f aca="false">110000+100000+15000+41500+100000</f>
        <v>366500</v>
      </c>
      <c r="D212" s="13" t="n">
        <f aca="false">E212-C212</f>
        <v>0</v>
      </c>
      <c r="E212" s="13" t="n">
        <v>366500</v>
      </c>
    </row>
    <row r="213" customFormat="false" ht="15" hidden="false" customHeight="false" outlineLevel="0" collapsed="false">
      <c r="A213" s="11" t="s">
        <v>78</v>
      </c>
      <c r="B213" s="12" t="s">
        <v>244</v>
      </c>
      <c r="C213" s="13" t="n">
        <f aca="false">50000+80000+21000+100000+115500</f>
        <v>366500</v>
      </c>
      <c r="D213" s="13" t="n">
        <f aca="false">E213-C213</f>
        <v>0</v>
      </c>
      <c r="E213" s="13" t="n">
        <v>366500</v>
      </c>
    </row>
    <row r="214" customFormat="false" ht="15" hidden="false" customHeight="false" outlineLevel="0" collapsed="false">
      <c r="A214" s="11" t="s">
        <v>80</v>
      </c>
      <c r="B214" s="12" t="s">
        <v>245</v>
      </c>
      <c r="C214" s="13" t="n">
        <f aca="false">100000+85000+181500</f>
        <v>366500</v>
      </c>
      <c r="D214" s="13" t="n">
        <f aca="false">E214-C214</f>
        <v>0</v>
      </c>
      <c r="E214" s="13" t="n">
        <v>366500</v>
      </c>
    </row>
    <row r="215" customFormat="false" ht="15" hidden="false" customHeight="false" outlineLevel="0" collapsed="false">
      <c r="A215" s="11" t="s">
        <v>82</v>
      </c>
      <c r="B215" s="12" t="s">
        <v>246</v>
      </c>
      <c r="C215" s="13" t="n">
        <f aca="false">90000+75000+10000+135000+46500+10000</f>
        <v>366500</v>
      </c>
      <c r="D215" s="13" t="n">
        <f aca="false">E215-C215</f>
        <v>0</v>
      </c>
      <c r="E215" s="13" t="n">
        <v>366500</v>
      </c>
    </row>
    <row r="216" customFormat="false" ht="15" hidden="false" customHeight="false" outlineLevel="0" collapsed="false">
      <c r="A216" s="11" t="s">
        <v>84</v>
      </c>
      <c r="B216" s="12" t="s">
        <v>247</v>
      </c>
      <c r="C216" s="13" t="n">
        <f aca="false">130000+200000+36500</f>
        <v>366500</v>
      </c>
      <c r="D216" s="13" t="n">
        <f aca="false">E216-C216</f>
        <v>0</v>
      </c>
      <c r="E216" s="13" t="n">
        <v>366500</v>
      </c>
    </row>
    <row r="217" customFormat="false" ht="15" hidden="false" customHeight="false" outlineLevel="0" collapsed="false">
      <c r="A217" s="11" t="s">
        <v>86</v>
      </c>
      <c r="B217" s="12" t="s">
        <v>248</v>
      </c>
      <c r="C217" s="13" t="n">
        <f aca="false">90000+100000+50000+70000+56500</f>
        <v>366500</v>
      </c>
      <c r="D217" s="13" t="n">
        <f aca="false">E217-C217</f>
        <v>0</v>
      </c>
      <c r="E217" s="13" t="n">
        <v>366500</v>
      </c>
    </row>
    <row r="218" customFormat="false" ht="15" hidden="false" customHeight="false" outlineLevel="0" collapsed="false">
      <c r="A218" s="11" t="s">
        <v>88</v>
      </c>
      <c r="B218" s="12" t="s">
        <v>249</v>
      </c>
      <c r="C218" s="13" t="n">
        <f aca="false">80000+70000+216500</f>
        <v>366500</v>
      </c>
      <c r="D218" s="13" t="n">
        <f aca="false">E218-C218</f>
        <v>0</v>
      </c>
      <c r="E218" s="13" t="n">
        <v>366500</v>
      </c>
    </row>
    <row r="219" customFormat="false" ht="15" hidden="false" customHeight="false" outlineLevel="0" collapsed="false">
      <c r="A219" s="11" t="s">
        <v>90</v>
      </c>
      <c r="B219" s="12" t="s">
        <v>250</v>
      </c>
      <c r="C219" s="13" t="n">
        <f aca="false">70000+100000+196500</f>
        <v>366500</v>
      </c>
      <c r="D219" s="13" t="n">
        <f aca="false">E219-C219</f>
        <v>0</v>
      </c>
      <c r="E219" s="13" t="n">
        <v>366500</v>
      </c>
    </row>
    <row r="220" customFormat="false" ht="15" hidden="false" customHeight="false" outlineLevel="0" collapsed="false">
      <c r="A220" s="11" t="s">
        <v>92</v>
      </c>
      <c r="B220" s="12" t="s">
        <v>251</v>
      </c>
      <c r="C220" s="13" t="n">
        <f aca="false">100000+85000+181500</f>
        <v>366500</v>
      </c>
      <c r="D220" s="13" t="n">
        <f aca="false">E220-C220</f>
        <v>0</v>
      </c>
      <c r="E220" s="13" t="n">
        <v>366500</v>
      </c>
    </row>
    <row r="221" customFormat="false" ht="15" hidden="false" customHeight="false" outlineLevel="0" collapsed="false">
      <c r="A221" s="11" t="s">
        <v>94</v>
      </c>
      <c r="B221" s="12" t="s">
        <v>252</v>
      </c>
      <c r="C221" s="13" t="n">
        <f aca="false">115000+251500</f>
        <v>366500</v>
      </c>
      <c r="D221" s="13" t="n">
        <f aca="false">E221-C221</f>
        <v>0</v>
      </c>
      <c r="E221" s="13" t="n">
        <v>366500</v>
      </c>
    </row>
    <row r="222" customFormat="false" ht="15" hidden="false" customHeight="false" outlineLevel="0" collapsed="false">
      <c r="A222" s="11" t="s">
        <v>96</v>
      </c>
      <c r="B222" s="12" t="s">
        <v>253</v>
      </c>
      <c r="C222" s="13" t="n">
        <f aca="false">170000+50000+100000+45500+1000</f>
        <v>366500</v>
      </c>
      <c r="D222" s="13" t="n">
        <f aca="false">E222-C222</f>
        <v>0</v>
      </c>
      <c r="E222" s="13" t="n">
        <v>366500</v>
      </c>
    </row>
    <row r="223" customFormat="false" ht="15" hidden="false" customHeight="false" outlineLevel="0" collapsed="false">
      <c r="A223" s="11" t="s">
        <v>254</v>
      </c>
      <c r="B223" s="12" t="s">
        <v>255</v>
      </c>
      <c r="C223" s="13" t="n">
        <f aca="false">80000+100000+136500+50000</f>
        <v>366500</v>
      </c>
      <c r="D223" s="13" t="n">
        <f aca="false">E223-C223</f>
        <v>0</v>
      </c>
      <c r="E223" s="13" t="n">
        <v>366500</v>
      </c>
    </row>
    <row r="224" customFormat="false" ht="15" hidden="false" customHeight="false" outlineLevel="0" collapsed="false">
      <c r="A224" s="11" t="s">
        <v>256</v>
      </c>
      <c r="B224" s="12" t="s">
        <v>257</v>
      </c>
      <c r="C224" s="13" t="n">
        <f aca="false">150000+50000+166000+500</f>
        <v>366500</v>
      </c>
      <c r="D224" s="13" t="n">
        <f aca="false">E224-C224</f>
        <v>0</v>
      </c>
      <c r="E224" s="13" t="n">
        <v>366500</v>
      </c>
    </row>
    <row r="225" customFormat="false" ht="15" hidden="false" customHeight="false" outlineLevel="0" collapsed="false">
      <c r="A225" s="11" t="s">
        <v>258</v>
      </c>
      <c r="B225" s="12" t="s">
        <v>259</v>
      </c>
      <c r="C225" s="13" t="n">
        <f aca="false">211500+155000</f>
        <v>366500</v>
      </c>
      <c r="D225" s="13" t="n">
        <f aca="false">E225-C225</f>
        <v>0</v>
      </c>
      <c r="E225" s="13" t="n">
        <v>366500</v>
      </c>
    </row>
    <row r="226" customFormat="false" ht="15" hidden="false" customHeight="false" outlineLevel="0" collapsed="false">
      <c r="A226" s="11" t="s">
        <v>260</v>
      </c>
      <c r="B226" s="12" t="s">
        <v>261</v>
      </c>
      <c r="C226" s="13" t="n">
        <f aca="false">150000+50000+166500</f>
        <v>366500</v>
      </c>
      <c r="D226" s="13" t="n">
        <f aca="false">E226-C226</f>
        <v>0</v>
      </c>
      <c r="E226" s="13" t="n">
        <v>366500</v>
      </c>
    </row>
    <row r="227" customFormat="false" ht="15" hidden="false" customHeight="false" outlineLevel="0" collapsed="false">
      <c r="A227" s="11" t="s">
        <v>262</v>
      </c>
      <c r="B227" s="12" t="s">
        <v>263</v>
      </c>
      <c r="C227" s="13" t="n">
        <f aca="false">250000+116500</f>
        <v>366500</v>
      </c>
      <c r="D227" s="13" t="n">
        <f aca="false">E227-C227</f>
        <v>0</v>
      </c>
      <c r="E227" s="13" t="n">
        <v>366500</v>
      </c>
    </row>
    <row r="228" customFormat="false" ht="15" hidden="false" customHeight="false" outlineLevel="0" collapsed="false">
      <c r="A228" s="11" t="s">
        <v>264</v>
      </c>
      <c r="B228" s="12" t="s">
        <v>265</v>
      </c>
      <c r="C228" s="13" t="n">
        <f aca="false">200000+115000+51500</f>
        <v>366500</v>
      </c>
      <c r="D228" s="13" t="n">
        <f aca="false">E228-C228</f>
        <v>0</v>
      </c>
      <c r="E228" s="13" t="n">
        <v>366500</v>
      </c>
    </row>
    <row r="229" customFormat="false" ht="15" hidden="false" customHeight="false" outlineLevel="0" collapsed="false">
      <c r="A229" s="11" t="s">
        <v>266</v>
      </c>
      <c r="B229" s="12" t="s">
        <v>267</v>
      </c>
      <c r="C229" s="13" t="n">
        <f aca="false">160000+191500+15000</f>
        <v>366500</v>
      </c>
      <c r="D229" s="13" t="n">
        <f aca="false">E229-C229</f>
        <v>0</v>
      </c>
      <c r="E229" s="13" t="n">
        <v>366500</v>
      </c>
    </row>
    <row r="230" customFormat="false" ht="15" hidden="false" customHeight="false" outlineLevel="0" collapsed="false">
      <c r="A230" s="11" t="s">
        <v>268</v>
      </c>
      <c r="B230" s="12" t="s">
        <v>269</v>
      </c>
      <c r="C230" s="13" t="n">
        <v>366500</v>
      </c>
      <c r="D230" s="13" t="n">
        <f aca="false">E230-C230</f>
        <v>0</v>
      </c>
      <c r="E230" s="13" t="n">
        <v>366500</v>
      </c>
    </row>
    <row r="231" customFormat="false" ht="15" hidden="false" customHeight="false" outlineLevel="0" collapsed="false">
      <c r="A231" s="11" t="s">
        <v>270</v>
      </c>
      <c r="B231" s="29" t="s">
        <v>271</v>
      </c>
      <c r="C231" s="13" t="n">
        <f aca="false">160000+30000+176500</f>
        <v>366500</v>
      </c>
      <c r="D231" s="13" t="n">
        <f aca="false">E231-C231</f>
        <v>0</v>
      </c>
      <c r="E231" s="13" t="n">
        <v>366500</v>
      </c>
    </row>
    <row r="232" customFormat="false" ht="15" hidden="false" customHeight="false" outlineLevel="0" collapsed="false">
      <c r="A232" s="11" t="s">
        <v>272</v>
      </c>
      <c r="B232" s="29" t="s">
        <v>273</v>
      </c>
      <c r="C232" s="13" t="n">
        <f aca="false">100000+100000+167000</f>
        <v>367000</v>
      </c>
      <c r="D232" s="13" t="n">
        <f aca="false">E232-C232</f>
        <v>-500</v>
      </c>
      <c r="E232" s="13" t="n">
        <v>366500</v>
      </c>
    </row>
    <row r="233" customFormat="false" ht="15" hidden="false" customHeight="false" outlineLevel="0" collapsed="false">
      <c r="A233" s="30"/>
      <c r="B233" s="31" t="s">
        <v>207</v>
      </c>
      <c r="C233" s="16" t="n">
        <f aca="false">SUM(C178:C232)</f>
        <v>20095500</v>
      </c>
      <c r="D233" s="16" t="n">
        <f aca="false">E233-C233</f>
        <v>62000</v>
      </c>
      <c r="E233" s="16" t="n">
        <f aca="false">SUM(E178:E232)</f>
        <v>20157500</v>
      </c>
    </row>
    <row r="234" customFormat="false" ht="17.35" hidden="false" customHeight="false" outlineLevel="0" collapsed="false">
      <c r="A234" s="5" t="s">
        <v>274</v>
      </c>
      <c r="B234" s="28"/>
      <c r="C234" s="6"/>
      <c r="D234" s="6"/>
      <c r="E234" s="7"/>
    </row>
    <row r="235" customFormat="false" ht="15" hidden="false" customHeight="false" outlineLevel="0" collapsed="false">
      <c r="A235" s="15" t="s">
        <v>3</v>
      </c>
      <c r="B235" s="15" t="s">
        <v>4</v>
      </c>
      <c r="C235" s="17" t="s">
        <v>5</v>
      </c>
      <c r="D235" s="15" t="s">
        <v>6</v>
      </c>
      <c r="E235" s="16" t="s">
        <v>7</v>
      </c>
    </row>
    <row r="236" customFormat="false" ht="15" hidden="false" customHeight="false" outlineLevel="0" collapsed="false">
      <c r="A236" s="11" t="s">
        <v>8</v>
      </c>
      <c r="B236" s="12" t="s">
        <v>275</v>
      </c>
      <c r="C236" s="13" t="n">
        <f aca="false">200000+120000+46500</f>
        <v>366500</v>
      </c>
      <c r="D236" s="13" t="n">
        <f aca="false">E236-C236</f>
        <v>0</v>
      </c>
      <c r="E236" s="13" t="n">
        <v>366500</v>
      </c>
    </row>
    <row r="237" customFormat="false" ht="15" hidden="false" customHeight="false" outlineLevel="0" collapsed="false">
      <c r="A237" s="11" t="s">
        <v>10</v>
      </c>
      <c r="B237" s="12" t="s">
        <v>276</v>
      </c>
      <c r="C237" s="13" t="n">
        <f aca="false">100000+100000+100000+65000+1500</f>
        <v>366500</v>
      </c>
      <c r="D237" s="13" t="n">
        <f aca="false">E237-C237</f>
        <v>0</v>
      </c>
      <c r="E237" s="13" t="n">
        <v>366500</v>
      </c>
    </row>
    <row r="238" customFormat="false" ht="15" hidden="false" customHeight="false" outlineLevel="0" collapsed="false">
      <c r="A238" s="11" t="s">
        <v>12</v>
      </c>
      <c r="B238" s="12" t="s">
        <v>277</v>
      </c>
      <c r="C238" s="13" t="n">
        <f aca="false">160000+16500+125000+65000</f>
        <v>366500</v>
      </c>
      <c r="D238" s="13" t="n">
        <f aca="false">E238-C238</f>
        <v>0</v>
      </c>
      <c r="E238" s="13" t="n">
        <v>366500</v>
      </c>
    </row>
    <row r="239" customFormat="false" ht="15" hidden="false" customHeight="false" outlineLevel="0" collapsed="false">
      <c r="A239" s="11" t="s">
        <v>14</v>
      </c>
      <c r="B239" s="12" t="s">
        <v>278</v>
      </c>
      <c r="C239" s="13" t="n">
        <f aca="false">50000+50000+100000+50000+115000+1500</f>
        <v>366500</v>
      </c>
      <c r="D239" s="13" t="n">
        <f aca="false">E239-C239</f>
        <v>0</v>
      </c>
      <c r="E239" s="13" t="n">
        <v>366500</v>
      </c>
    </row>
    <row r="240" customFormat="false" ht="15" hidden="false" customHeight="false" outlineLevel="0" collapsed="false">
      <c r="A240" s="11" t="s">
        <v>16</v>
      </c>
      <c r="B240" s="12" t="s">
        <v>279</v>
      </c>
      <c r="C240" s="13" t="n">
        <f aca="false">50000+50000+266500</f>
        <v>366500</v>
      </c>
      <c r="D240" s="13" t="n">
        <f aca="false">E240-C240</f>
        <v>0</v>
      </c>
      <c r="E240" s="13" t="n">
        <v>366500</v>
      </c>
    </row>
    <row r="241" customFormat="false" ht="15" hidden="false" customHeight="false" outlineLevel="0" collapsed="false">
      <c r="A241" s="11" t="s">
        <v>18</v>
      </c>
      <c r="B241" s="12" t="s">
        <v>280</v>
      </c>
      <c r="C241" s="13" t="n">
        <f aca="false">100000+75000+125000+66000+500</f>
        <v>366500</v>
      </c>
      <c r="D241" s="13" t="n">
        <f aca="false">E241-C241</f>
        <v>0</v>
      </c>
      <c r="E241" s="13" t="n">
        <v>366500</v>
      </c>
    </row>
    <row r="242" customFormat="false" ht="15" hidden="false" customHeight="false" outlineLevel="0" collapsed="false">
      <c r="A242" s="11" t="s">
        <v>20</v>
      </c>
      <c r="B242" s="12" t="s">
        <v>281</v>
      </c>
      <c r="C242" s="13" t="n">
        <f aca="false">150000+150000+66500</f>
        <v>366500</v>
      </c>
      <c r="D242" s="13" t="n">
        <f aca="false">E242-C242</f>
        <v>0</v>
      </c>
      <c r="E242" s="13" t="n">
        <v>366500</v>
      </c>
    </row>
    <row r="243" customFormat="false" ht="15" hidden="false" customHeight="false" outlineLevel="0" collapsed="false">
      <c r="A243" s="11" t="s">
        <v>22</v>
      </c>
      <c r="B243" s="12" t="s">
        <v>282</v>
      </c>
      <c r="C243" s="13" t="n">
        <f aca="false">100000+66500+80000+50000+70000</f>
        <v>366500</v>
      </c>
      <c r="D243" s="13" t="n">
        <f aca="false">E243-C243</f>
        <v>0</v>
      </c>
      <c r="E243" s="13" t="n">
        <v>366500</v>
      </c>
    </row>
    <row r="244" customFormat="false" ht="15" hidden="false" customHeight="false" outlineLevel="0" collapsed="false">
      <c r="A244" s="11" t="s">
        <v>24</v>
      </c>
      <c r="B244" s="12" t="s">
        <v>283</v>
      </c>
      <c r="C244" s="13" t="n">
        <f aca="false">100000+50000+60000+156500</f>
        <v>366500</v>
      </c>
      <c r="D244" s="13" t="n">
        <f aca="false">E244-C244</f>
        <v>0</v>
      </c>
      <c r="E244" s="13" t="n">
        <v>366500</v>
      </c>
    </row>
    <row r="245" customFormat="false" ht="15" hidden="false" customHeight="false" outlineLevel="0" collapsed="false">
      <c r="A245" s="11" t="s">
        <v>26</v>
      </c>
      <c r="B245" s="12" t="s">
        <v>284</v>
      </c>
      <c r="C245" s="13" t="n">
        <f aca="false">200000+166500</f>
        <v>366500</v>
      </c>
      <c r="D245" s="13" t="n">
        <f aca="false">E245-C245</f>
        <v>0</v>
      </c>
      <c r="E245" s="13" t="n">
        <v>366500</v>
      </c>
    </row>
    <row r="246" customFormat="false" ht="15" hidden="false" customHeight="false" outlineLevel="0" collapsed="false">
      <c r="A246" s="11" t="s">
        <v>28</v>
      </c>
      <c r="B246" s="12" t="s">
        <v>285</v>
      </c>
      <c r="C246" s="13" t="n">
        <f aca="false">200000+166500</f>
        <v>366500</v>
      </c>
      <c r="D246" s="13" t="n">
        <f aca="false">E246-C246</f>
        <v>0</v>
      </c>
      <c r="E246" s="13" t="n">
        <v>366500</v>
      </c>
    </row>
    <row r="247" customFormat="false" ht="15" hidden="false" customHeight="false" outlineLevel="0" collapsed="false">
      <c r="A247" s="11" t="s">
        <v>30</v>
      </c>
      <c r="B247" s="12" t="s">
        <v>286</v>
      </c>
      <c r="C247" s="13" t="n">
        <f aca="false">50000+50000</f>
        <v>100000</v>
      </c>
      <c r="D247" s="13" t="n">
        <f aca="false">E247-C247</f>
        <v>266500</v>
      </c>
      <c r="E247" s="13" t="n">
        <v>366500</v>
      </c>
    </row>
    <row r="248" customFormat="false" ht="15" hidden="false" customHeight="false" outlineLevel="0" collapsed="false">
      <c r="A248" s="11" t="s">
        <v>32</v>
      </c>
      <c r="B248" s="12" t="s">
        <v>287</v>
      </c>
      <c r="C248" s="13" t="n">
        <f aca="false">100000+150000+116000+500</f>
        <v>366500</v>
      </c>
      <c r="D248" s="13" t="n">
        <f aca="false">E248-C248</f>
        <v>0</v>
      </c>
      <c r="E248" s="13" t="n">
        <v>366500</v>
      </c>
    </row>
    <row r="249" customFormat="false" ht="15" hidden="false" customHeight="false" outlineLevel="0" collapsed="false">
      <c r="A249" s="11" t="s">
        <v>34</v>
      </c>
      <c r="B249" s="12" t="s">
        <v>288</v>
      </c>
      <c r="C249" s="13" t="n">
        <f aca="false">100000+200000+66500</f>
        <v>366500</v>
      </c>
      <c r="D249" s="13" t="n">
        <f aca="false">E249-C249</f>
        <v>0</v>
      </c>
      <c r="E249" s="13" t="n">
        <v>366500</v>
      </c>
    </row>
    <row r="250" customFormat="false" ht="15" hidden="false" customHeight="false" outlineLevel="0" collapsed="false">
      <c r="A250" s="11" t="s">
        <v>36</v>
      </c>
      <c r="B250" s="29" t="s">
        <v>289</v>
      </c>
      <c r="C250" s="13" t="n">
        <f aca="false">150000+200000+16500</f>
        <v>366500</v>
      </c>
      <c r="D250" s="13" t="n">
        <f aca="false">E250-C250</f>
        <v>0</v>
      </c>
      <c r="E250" s="13" t="n">
        <v>366500</v>
      </c>
    </row>
    <row r="251" customFormat="false" ht="15" hidden="false" customHeight="false" outlineLevel="0" collapsed="false">
      <c r="A251" s="11" t="s">
        <v>38</v>
      </c>
      <c r="B251" s="29" t="s">
        <v>290</v>
      </c>
      <c r="C251" s="13" t="n">
        <f aca="false">120000+80000+165000+1500</f>
        <v>366500</v>
      </c>
      <c r="D251" s="13" t="n">
        <f aca="false">E251-C251</f>
        <v>0</v>
      </c>
      <c r="E251" s="13" t="n">
        <v>366500</v>
      </c>
    </row>
    <row r="252" customFormat="false" ht="15" hidden="false" customHeight="false" outlineLevel="0" collapsed="false">
      <c r="A252" s="11" t="s">
        <v>40</v>
      </c>
      <c r="B252" s="29" t="s">
        <v>291</v>
      </c>
      <c r="C252" s="13" t="n">
        <f aca="false">191500+150000+25000</f>
        <v>366500</v>
      </c>
      <c r="D252" s="13" t="n">
        <f aca="false">E252-C252</f>
        <v>0</v>
      </c>
      <c r="E252" s="13" t="n">
        <v>366500</v>
      </c>
    </row>
    <row r="253" customFormat="false" ht="15" hidden="false" customHeight="false" outlineLevel="0" collapsed="false">
      <c r="A253" s="11" t="s">
        <v>42</v>
      </c>
      <c r="B253" s="29" t="s">
        <v>292</v>
      </c>
      <c r="C253" s="13" t="n">
        <f aca="false">200000+100000+20000+45500+1000</f>
        <v>366500</v>
      </c>
      <c r="D253" s="13" t="n">
        <f aca="false">E253-C253</f>
        <v>0</v>
      </c>
      <c r="E253" s="13" t="n">
        <v>366500</v>
      </c>
    </row>
    <row r="254" customFormat="false" ht="15" hidden="false" customHeight="false" outlineLevel="0" collapsed="false">
      <c r="A254" s="11" t="s">
        <v>44</v>
      </c>
      <c r="B254" s="29" t="s">
        <v>293</v>
      </c>
      <c r="C254" s="13" t="n">
        <f aca="false">100000+50000+50000+140000+26500</f>
        <v>366500</v>
      </c>
      <c r="D254" s="13" t="n">
        <f aca="false">E254-C254</f>
        <v>0</v>
      </c>
      <c r="E254" s="13" t="n">
        <v>366500</v>
      </c>
    </row>
    <row r="255" customFormat="false" ht="15" hidden="false" customHeight="false" outlineLevel="0" collapsed="false">
      <c r="A255" s="11" t="s">
        <v>46</v>
      </c>
      <c r="B255" s="29" t="s">
        <v>294</v>
      </c>
      <c r="C255" s="13" t="n">
        <f aca="false">50000+100000+150000+66000+500</f>
        <v>366500</v>
      </c>
      <c r="D255" s="13" t="n">
        <f aca="false">E255-C255</f>
        <v>0</v>
      </c>
      <c r="E255" s="13" t="n">
        <v>366500</v>
      </c>
    </row>
    <row r="256" customFormat="false" ht="15" hidden="false" customHeight="false" outlineLevel="0" collapsed="false">
      <c r="A256" s="11" t="s">
        <v>48</v>
      </c>
      <c r="B256" s="29" t="s">
        <v>295</v>
      </c>
      <c r="C256" s="13" t="n">
        <f aca="false">185000+175000+6500</f>
        <v>366500</v>
      </c>
      <c r="D256" s="13" t="n">
        <f aca="false">E256-C256</f>
        <v>0</v>
      </c>
      <c r="E256" s="13" t="n">
        <v>366500</v>
      </c>
    </row>
    <row r="257" customFormat="false" ht="15" hidden="false" customHeight="false" outlineLevel="0" collapsed="false">
      <c r="A257" s="26"/>
      <c r="B257" s="27" t="s">
        <v>207</v>
      </c>
      <c r="C257" s="16" t="n">
        <f aca="false">SUM(C236:C256)</f>
        <v>7430000</v>
      </c>
      <c r="D257" s="16" t="n">
        <f aca="false">E257-C257</f>
        <v>266500</v>
      </c>
      <c r="E257" s="16" t="n">
        <f aca="false">SUM(E236:E256)</f>
        <v>7696500</v>
      </c>
    </row>
    <row r="258" customFormat="false" ht="17.35" hidden="false" customHeight="false" outlineLevel="0" collapsed="false">
      <c r="A258" s="5" t="s">
        <v>296</v>
      </c>
      <c r="B258" s="28"/>
      <c r="C258" s="6"/>
      <c r="D258" s="6"/>
      <c r="E258" s="7"/>
    </row>
    <row r="259" customFormat="false" ht="15" hidden="false" customHeight="false" outlineLevel="0" collapsed="false">
      <c r="A259" s="15" t="s">
        <v>3</v>
      </c>
      <c r="B259" s="15" t="s">
        <v>4</v>
      </c>
      <c r="C259" s="17" t="s">
        <v>5</v>
      </c>
      <c r="D259" s="15" t="s">
        <v>6</v>
      </c>
      <c r="E259" s="16" t="s">
        <v>7</v>
      </c>
    </row>
    <row r="260" customFormat="false" ht="15" hidden="false" customHeight="false" outlineLevel="0" collapsed="false">
      <c r="A260" s="11" t="s">
        <v>8</v>
      </c>
      <c r="B260" s="12" t="s">
        <v>297</v>
      </c>
      <c r="C260" s="13" t="n">
        <f aca="false">160000+40000+166500</f>
        <v>366500</v>
      </c>
      <c r="D260" s="13" t="n">
        <f aca="false">E260-C260</f>
        <v>0</v>
      </c>
      <c r="E260" s="13" t="n">
        <v>366500</v>
      </c>
    </row>
    <row r="261" customFormat="false" ht="15" hidden="false" customHeight="false" outlineLevel="0" collapsed="false">
      <c r="A261" s="11" t="s">
        <v>10</v>
      </c>
      <c r="B261" s="12" t="s">
        <v>298</v>
      </c>
      <c r="C261" s="13" t="n">
        <f aca="false">43250+140000+183250</f>
        <v>366500</v>
      </c>
      <c r="D261" s="13" t="n">
        <f aca="false">E261-C261</f>
        <v>0</v>
      </c>
      <c r="E261" s="13" t="n">
        <v>366500</v>
      </c>
    </row>
    <row r="262" customFormat="false" ht="15" hidden="false" customHeight="false" outlineLevel="0" collapsed="false">
      <c r="A262" s="11" t="s">
        <v>12</v>
      </c>
      <c r="B262" s="12" t="s">
        <v>299</v>
      </c>
      <c r="C262" s="13" t="n">
        <f aca="false">50000+50000+40000+100000+500+26000+50000+50000</f>
        <v>366500</v>
      </c>
      <c r="D262" s="13" t="n">
        <f aca="false">E262-C262</f>
        <v>0</v>
      </c>
      <c r="E262" s="13" t="n">
        <v>366500</v>
      </c>
    </row>
    <row r="263" customFormat="false" ht="15" hidden="false" customHeight="false" outlineLevel="0" collapsed="false">
      <c r="A263" s="11" t="s">
        <v>14</v>
      </c>
      <c r="B263" s="12" t="s">
        <v>300</v>
      </c>
      <c r="C263" s="13" t="n">
        <f aca="false">200000+166500</f>
        <v>366500</v>
      </c>
      <c r="D263" s="13" t="n">
        <f aca="false">E263-C263</f>
        <v>0</v>
      </c>
      <c r="E263" s="13" t="n">
        <v>366500</v>
      </c>
    </row>
    <row r="264" customFormat="false" ht="15" hidden="false" customHeight="false" outlineLevel="0" collapsed="false">
      <c r="A264" s="11" t="s">
        <v>16</v>
      </c>
      <c r="B264" s="12" t="s">
        <v>301</v>
      </c>
      <c r="C264" s="13" t="n">
        <f aca="false">60000+32000+274500</f>
        <v>366500</v>
      </c>
      <c r="D264" s="13" t="n">
        <f aca="false">E264-C264</f>
        <v>0</v>
      </c>
      <c r="E264" s="13" t="n">
        <v>366500</v>
      </c>
    </row>
    <row r="265" customFormat="false" ht="15" hidden="false" customHeight="false" outlineLevel="0" collapsed="false">
      <c r="A265" s="11" t="s">
        <v>18</v>
      </c>
      <c r="B265" s="12" t="s">
        <v>302</v>
      </c>
      <c r="C265" s="13" t="n">
        <f aca="false">180000+186000+500</f>
        <v>366500</v>
      </c>
      <c r="D265" s="13" t="n">
        <f aca="false">E265-C265</f>
        <v>0</v>
      </c>
      <c r="E265" s="13" t="n">
        <v>366500</v>
      </c>
    </row>
    <row r="266" customFormat="false" ht="15" hidden="false" customHeight="false" outlineLevel="0" collapsed="false">
      <c r="A266" s="11" t="s">
        <v>20</v>
      </c>
      <c r="B266" s="12" t="s">
        <v>303</v>
      </c>
      <c r="C266" s="13" t="n">
        <f aca="false">180000+180500+6000</f>
        <v>366500</v>
      </c>
      <c r="D266" s="13" t="n">
        <f aca="false">E266-C266</f>
        <v>0</v>
      </c>
      <c r="E266" s="13" t="n">
        <v>366500</v>
      </c>
    </row>
    <row r="267" customFormat="false" ht="15" hidden="false" customHeight="false" outlineLevel="0" collapsed="false">
      <c r="A267" s="11" t="s">
        <v>22</v>
      </c>
      <c r="B267" s="12" t="s">
        <v>304</v>
      </c>
      <c r="C267" s="13" t="n">
        <f aca="false">200000+166500</f>
        <v>366500</v>
      </c>
      <c r="D267" s="13" t="n">
        <f aca="false">E267-C267</f>
        <v>0</v>
      </c>
      <c r="E267" s="13" t="n">
        <v>366500</v>
      </c>
    </row>
    <row r="268" customFormat="false" ht="15" hidden="false" customHeight="false" outlineLevel="0" collapsed="false">
      <c r="A268" s="11" t="s">
        <v>24</v>
      </c>
      <c r="B268" s="12" t="s">
        <v>305</v>
      </c>
      <c r="C268" s="13" t="n">
        <f aca="false">40000+325000+1500</f>
        <v>366500</v>
      </c>
      <c r="D268" s="13" t="n">
        <f aca="false">E268-C268</f>
        <v>0</v>
      </c>
      <c r="E268" s="13" t="n">
        <v>366500</v>
      </c>
    </row>
    <row r="269" customFormat="false" ht="15" hidden="false" customHeight="false" outlineLevel="0" collapsed="false">
      <c r="A269" s="11" t="s">
        <v>26</v>
      </c>
      <c r="B269" s="12" t="s">
        <v>306</v>
      </c>
      <c r="C269" s="13" t="n">
        <f aca="false">200000+166500</f>
        <v>366500</v>
      </c>
      <c r="D269" s="13" t="n">
        <f aca="false">E269-C269</f>
        <v>0</v>
      </c>
      <c r="E269" s="13" t="n">
        <v>366500</v>
      </c>
    </row>
    <row r="270" customFormat="false" ht="15" hidden="false" customHeight="false" outlineLevel="0" collapsed="false">
      <c r="A270" s="26"/>
      <c r="B270" s="27" t="s">
        <v>207</v>
      </c>
      <c r="C270" s="16" t="n">
        <f aca="false">SUM(C260:C269)</f>
        <v>3665000</v>
      </c>
      <c r="D270" s="16" t="n">
        <f aca="false">E270-C270</f>
        <v>0</v>
      </c>
      <c r="E270" s="16" t="n">
        <f aca="false">SUM(E260:E269)</f>
        <v>3665000</v>
      </c>
    </row>
    <row r="271" customFormat="false" ht="15" hidden="false" customHeight="false" outlineLevel="0" collapsed="false">
      <c r="A271" s="32"/>
      <c r="B271" s="33"/>
      <c r="C271" s="20"/>
      <c r="D271" s="20"/>
      <c r="E271" s="20"/>
    </row>
    <row r="272" customFormat="false" ht="15" hidden="false" customHeight="false" outlineLevel="0" collapsed="false">
      <c r="A272" s="32"/>
      <c r="B272" s="33"/>
      <c r="C272" s="20"/>
      <c r="D272" s="20"/>
      <c r="E272" s="20"/>
    </row>
    <row r="273" customFormat="false" ht="15" hidden="false" customHeight="false" outlineLevel="0" collapsed="false">
      <c r="A273" s="32"/>
      <c r="B273" s="33"/>
      <c r="C273" s="20"/>
      <c r="D273" s="20"/>
      <c r="E273" s="20"/>
    </row>
    <row r="274" customFormat="false" ht="15" hidden="false" customHeight="false" outlineLevel="0" collapsed="false">
      <c r="A274" s="32"/>
      <c r="B274" s="33"/>
      <c r="C274" s="20"/>
      <c r="D274" s="20"/>
      <c r="E274" s="20"/>
    </row>
    <row r="275" customFormat="false" ht="15" hidden="false" customHeight="false" outlineLevel="0" collapsed="false">
      <c r="A275" s="32"/>
      <c r="B275" s="33"/>
      <c r="C275" s="20"/>
      <c r="D275" s="20"/>
      <c r="E275" s="20"/>
    </row>
    <row r="276" customFormat="false" ht="15" hidden="false" customHeight="false" outlineLevel="0" collapsed="false">
      <c r="A276" s="32"/>
      <c r="B276" s="33"/>
      <c r="C276" s="20"/>
      <c r="D276" s="20"/>
      <c r="E276" s="20"/>
    </row>
    <row r="277" customFormat="false" ht="15" hidden="false" customHeight="false" outlineLevel="0" collapsed="false">
      <c r="A277" s="32"/>
      <c r="B277" s="33"/>
      <c r="C277" s="20"/>
      <c r="D277" s="20"/>
      <c r="E277" s="20"/>
    </row>
    <row r="278" customFormat="false" ht="15" hidden="false" customHeight="false" outlineLevel="0" collapsed="false">
      <c r="A278" s="32"/>
      <c r="B278" s="33"/>
      <c r="C278" s="20"/>
      <c r="D278" s="20"/>
      <c r="E278" s="20"/>
    </row>
    <row r="279" customFormat="false" ht="15" hidden="false" customHeight="false" outlineLevel="0" collapsed="false">
      <c r="A279" s="32"/>
      <c r="B279" s="33"/>
      <c r="C279" s="20"/>
      <c r="D279" s="20"/>
      <c r="E279" s="20"/>
    </row>
    <row r="280" customFormat="false" ht="15" hidden="false" customHeight="false" outlineLevel="0" collapsed="false">
      <c r="A280" s="32"/>
      <c r="B280" s="33"/>
      <c r="C280" s="20"/>
      <c r="D280" s="20"/>
      <c r="E280" s="20"/>
    </row>
    <row r="281" customFormat="false" ht="15" hidden="false" customHeight="false" outlineLevel="0" collapsed="false">
      <c r="A281" s="32"/>
      <c r="B281" s="33"/>
      <c r="C281" s="20"/>
      <c r="D281" s="20"/>
      <c r="E281" s="20"/>
    </row>
    <row r="282" customFormat="false" ht="15" hidden="false" customHeight="false" outlineLevel="0" collapsed="false">
      <c r="A282" s="32"/>
      <c r="B282" s="33"/>
      <c r="C282" s="20"/>
      <c r="D282" s="20"/>
      <c r="E282" s="20"/>
    </row>
    <row r="283" customFormat="false" ht="15" hidden="false" customHeight="false" outlineLevel="0" collapsed="false">
      <c r="A283" s="32"/>
      <c r="B283" s="33"/>
      <c r="C283" s="20"/>
      <c r="D283" s="20"/>
      <c r="E283" s="20"/>
    </row>
    <row r="284" customFormat="false" ht="15" hidden="false" customHeight="false" outlineLevel="0" collapsed="false">
      <c r="A284" s="32"/>
      <c r="B284" s="33"/>
      <c r="C284" s="20"/>
      <c r="D284" s="20"/>
      <c r="E284" s="20"/>
    </row>
    <row r="285" customFormat="false" ht="15" hidden="false" customHeight="false" outlineLevel="0" collapsed="false">
      <c r="A285" s="32"/>
      <c r="B285" s="33"/>
      <c r="C285" s="20"/>
      <c r="D285" s="20"/>
      <c r="E285" s="20"/>
    </row>
  </sheetData>
  <mergeCells count="4">
    <mergeCell ref="A50:B50"/>
    <mergeCell ref="A85:B85"/>
    <mergeCell ref="A103:B103"/>
    <mergeCell ref="A131:B131"/>
  </mergeCells>
  <printOptions headings="false" gridLines="false" gridLinesSet="true" horizontalCentered="false" verticalCentered="false"/>
  <pageMargins left="0.329861111111111" right="0.340277777777778" top="0.309722222222222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8"/>
  <sheetViews>
    <sheetView showFormulas="false" showGridLines="true" showRowColHeaders="true" showZeros="true" rightToLeft="false" tabSelected="false" showOutlineSymbols="true" defaultGridColor="true" view="normal" topLeftCell="A212" colorId="64" zoomScale="100" zoomScaleNormal="100" zoomScalePageLayoutView="100" workbookViewId="0">
      <selection pane="topLeft" activeCell="F101" activeCellId="0" sqref="F10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82" style="0" width="11.53"/>
  </cols>
  <sheetData>
    <row r="1" customFormat="false" ht="17.35" hidden="false" customHeight="false" outlineLevel="0" collapsed="false">
      <c r="A1" s="2"/>
      <c r="B1" s="3" t="s">
        <v>0</v>
      </c>
      <c r="C1" s="2"/>
      <c r="D1" s="2"/>
      <c r="E1" s="2"/>
    </row>
    <row r="2" customFormat="false" ht="17.35" hidden="false" customHeight="false" outlineLevel="0" collapsed="false">
      <c r="A2" s="2"/>
      <c r="B2" s="4" t="s">
        <v>307</v>
      </c>
      <c r="C2" s="34"/>
      <c r="D2" s="2"/>
      <c r="E2" s="2"/>
    </row>
    <row r="3" customFormat="false" ht="17.35" hidden="false" customHeight="false" outlineLevel="0" collapsed="false">
      <c r="A3" s="5" t="s">
        <v>2</v>
      </c>
      <c r="B3" s="6"/>
      <c r="C3" s="6"/>
      <c r="D3" s="6"/>
      <c r="E3" s="7"/>
    </row>
    <row r="4" customFormat="false" ht="15" hidden="false" customHeight="false" outlineLevel="0" collapsed="false">
      <c r="A4" s="15" t="s">
        <v>3</v>
      </c>
      <c r="B4" s="15" t="s">
        <v>4</v>
      </c>
      <c r="C4" s="17" t="s">
        <v>5</v>
      </c>
      <c r="D4" s="15" t="s">
        <v>6</v>
      </c>
      <c r="E4" s="16" t="s">
        <v>7</v>
      </c>
    </row>
    <row r="5" customFormat="false" ht="15" hidden="false" customHeight="false" outlineLevel="0" collapsed="false">
      <c r="A5" s="11" t="s">
        <v>8</v>
      </c>
      <c r="B5" s="12" t="s">
        <v>308</v>
      </c>
      <c r="C5" s="13" t="n">
        <f aca="false">100000+200000+66000+500</f>
        <v>366500</v>
      </c>
      <c r="D5" s="13" t="n">
        <f aca="false">E5-C5</f>
        <v>0</v>
      </c>
      <c r="E5" s="13" t="n">
        <v>366500</v>
      </c>
    </row>
    <row r="6" customFormat="false" ht="15" hidden="false" customHeight="false" outlineLevel="0" collapsed="false">
      <c r="A6" s="11" t="s">
        <v>10</v>
      </c>
      <c r="B6" s="12" t="s">
        <v>309</v>
      </c>
      <c r="C6" s="13" t="n">
        <f aca="false">100000+100000+50000+40000+30000+36500+10000</f>
        <v>366500</v>
      </c>
      <c r="D6" s="13" t="n">
        <f aca="false">E6-C6</f>
        <v>0</v>
      </c>
      <c r="E6" s="13" t="n">
        <v>366500</v>
      </c>
    </row>
    <row r="7" customFormat="false" ht="15" hidden="false" customHeight="false" outlineLevel="0" collapsed="false">
      <c r="A7" s="11" t="s">
        <v>12</v>
      </c>
      <c r="B7" s="12" t="s">
        <v>310</v>
      </c>
      <c r="C7" s="13" t="n">
        <f aca="false">50000+60000+70000+50000+60000+50000+26500</f>
        <v>366500</v>
      </c>
      <c r="D7" s="13" t="n">
        <f aca="false">E7-C7</f>
        <v>0</v>
      </c>
      <c r="E7" s="13" t="n">
        <v>366500</v>
      </c>
    </row>
    <row r="8" customFormat="false" ht="15" hidden="false" customHeight="false" outlineLevel="0" collapsed="false">
      <c r="A8" s="11" t="s">
        <v>14</v>
      </c>
      <c r="B8" s="12" t="s">
        <v>311</v>
      </c>
      <c r="C8" s="13" t="n">
        <f aca="false">60000+100000+40000+166500</f>
        <v>366500</v>
      </c>
      <c r="D8" s="13" t="n">
        <f aca="false">E8-C8</f>
        <v>0</v>
      </c>
      <c r="E8" s="13" t="n">
        <v>366500</v>
      </c>
    </row>
    <row r="9" customFormat="false" ht="15" hidden="false" customHeight="false" outlineLevel="0" collapsed="false">
      <c r="A9" s="11" t="s">
        <v>16</v>
      </c>
      <c r="B9" s="12" t="s">
        <v>312</v>
      </c>
      <c r="C9" s="13" t="n">
        <f aca="false">80000+30000+20000+80000+20000+20000+25000+91500</f>
        <v>366500</v>
      </c>
      <c r="D9" s="13" t="n">
        <f aca="false">E9-C9</f>
        <v>0</v>
      </c>
      <c r="E9" s="13" t="n">
        <v>366500</v>
      </c>
    </row>
    <row r="10" customFormat="false" ht="15" hidden="false" customHeight="false" outlineLevel="0" collapsed="false">
      <c r="A10" s="11" t="s">
        <v>18</v>
      </c>
      <c r="B10" s="12" t="s">
        <v>313</v>
      </c>
      <c r="C10" s="13" t="n">
        <f aca="false">50000+130000+50000+100000+36500</f>
        <v>366500</v>
      </c>
      <c r="D10" s="13" t="n">
        <f aca="false">E10-C10</f>
        <v>0</v>
      </c>
      <c r="E10" s="13" t="n">
        <v>366500</v>
      </c>
    </row>
    <row r="11" customFormat="false" ht="15" hidden="false" customHeight="false" outlineLevel="0" collapsed="false">
      <c r="A11" s="11" t="s">
        <v>20</v>
      </c>
      <c r="B11" s="12" t="s">
        <v>314</v>
      </c>
      <c r="C11" s="13" t="n">
        <f aca="false">100000+150000+116500</f>
        <v>366500</v>
      </c>
      <c r="D11" s="13" t="n">
        <f aca="false">E11-C11</f>
        <v>0</v>
      </c>
      <c r="E11" s="13" t="n">
        <v>366500</v>
      </c>
    </row>
    <row r="12" customFormat="false" ht="15" hidden="false" customHeight="false" outlineLevel="0" collapsed="false">
      <c r="A12" s="11" t="s">
        <v>22</v>
      </c>
      <c r="B12" s="12" t="s">
        <v>315</v>
      </c>
      <c r="C12" s="13" t="n">
        <f aca="false">366500</f>
        <v>366500</v>
      </c>
      <c r="D12" s="13" t="n">
        <f aca="false">E12-C12</f>
        <v>0</v>
      </c>
      <c r="E12" s="13" t="n">
        <v>366500</v>
      </c>
    </row>
    <row r="13" customFormat="false" ht="15" hidden="false" customHeight="false" outlineLevel="0" collapsed="false">
      <c r="A13" s="11" t="s">
        <v>24</v>
      </c>
      <c r="B13" s="12" t="s">
        <v>316</v>
      </c>
      <c r="C13" s="13" t="n">
        <f aca="false">100000+100000+50000+116500</f>
        <v>366500</v>
      </c>
      <c r="D13" s="13" t="n">
        <f aca="false">E13-C13</f>
        <v>0</v>
      </c>
      <c r="E13" s="13" t="n">
        <v>366500</v>
      </c>
    </row>
    <row r="14" customFormat="false" ht="15" hidden="false" customHeight="false" outlineLevel="0" collapsed="false">
      <c r="A14" s="11" t="s">
        <v>26</v>
      </c>
      <c r="B14" s="12" t="s">
        <v>317</v>
      </c>
      <c r="C14" s="13" t="n">
        <f aca="false">200000+166500</f>
        <v>366500</v>
      </c>
      <c r="D14" s="13" t="n">
        <f aca="false">E14-C14</f>
        <v>0</v>
      </c>
      <c r="E14" s="13" t="n">
        <v>366500</v>
      </c>
    </row>
    <row r="15" customFormat="false" ht="15" hidden="false" customHeight="false" outlineLevel="0" collapsed="false">
      <c r="A15" s="11" t="s">
        <v>28</v>
      </c>
      <c r="B15" s="12" t="s">
        <v>318</v>
      </c>
      <c r="C15" s="13" t="n">
        <f aca="false">150000+116500+100000</f>
        <v>366500</v>
      </c>
      <c r="D15" s="13" t="n">
        <f aca="false">E15-C15</f>
        <v>0</v>
      </c>
      <c r="E15" s="13" t="n">
        <v>366500</v>
      </c>
    </row>
    <row r="16" customFormat="false" ht="15" hidden="false" customHeight="false" outlineLevel="0" collapsed="false">
      <c r="A16" s="11" t="s">
        <v>30</v>
      </c>
      <c r="B16" s="12" t="s">
        <v>319</v>
      </c>
      <c r="C16" s="13" t="n">
        <f aca="false">100000+40000+60000+50000+120000</f>
        <v>370000</v>
      </c>
      <c r="D16" s="13" t="n">
        <f aca="false">E16-C16</f>
        <v>-3500</v>
      </c>
      <c r="E16" s="13" t="n">
        <v>366500</v>
      </c>
    </row>
    <row r="17" customFormat="false" ht="15" hidden="false" customHeight="false" outlineLevel="0" collapsed="false">
      <c r="A17" s="11" t="s">
        <v>32</v>
      </c>
      <c r="B17" s="12" t="s">
        <v>320</v>
      </c>
      <c r="C17" s="13" t="n">
        <f aca="false">6500+140000+155000+60000+5000</f>
        <v>366500</v>
      </c>
      <c r="D17" s="13" t="n">
        <f aca="false">E17-C17</f>
        <v>0</v>
      </c>
      <c r="E17" s="13" t="n">
        <v>366500</v>
      </c>
    </row>
    <row r="18" customFormat="false" ht="15" hidden="false" customHeight="false" outlineLevel="0" collapsed="false">
      <c r="A18" s="11" t="s">
        <v>34</v>
      </c>
      <c r="B18" s="12" t="s">
        <v>321</v>
      </c>
      <c r="C18" s="13" t="n">
        <f aca="false">120000+90000+150000</f>
        <v>360000</v>
      </c>
      <c r="D18" s="13" t="n">
        <f aca="false">E18-C18</f>
        <v>6500</v>
      </c>
      <c r="E18" s="13" t="n">
        <v>366500</v>
      </c>
    </row>
    <row r="19" customFormat="false" ht="15" hidden="false" customHeight="false" outlineLevel="0" collapsed="false">
      <c r="A19" s="11" t="s">
        <v>36</v>
      </c>
      <c r="B19" s="12" t="s">
        <v>322</v>
      </c>
      <c r="C19" s="13" t="n">
        <f aca="false">13500+35000+100000</f>
        <v>148500</v>
      </c>
      <c r="D19" s="13" t="n">
        <f aca="false">E19-C19</f>
        <v>218000</v>
      </c>
      <c r="E19" s="13" t="n">
        <v>366500</v>
      </c>
    </row>
    <row r="20" customFormat="false" ht="15" hidden="false" customHeight="false" outlineLevel="0" collapsed="false">
      <c r="A20" s="11" t="s">
        <v>38</v>
      </c>
      <c r="B20" s="12" t="s">
        <v>323</v>
      </c>
      <c r="C20" s="13" t="n">
        <f aca="false">160000+150000+50000+6500</f>
        <v>366500</v>
      </c>
      <c r="D20" s="13" t="n">
        <f aca="false">E20-C20</f>
        <v>0</v>
      </c>
      <c r="E20" s="13" t="n">
        <v>366500</v>
      </c>
    </row>
    <row r="21" customFormat="false" ht="15" hidden="false" customHeight="false" outlineLevel="0" collapsed="false">
      <c r="A21" s="11" t="s">
        <v>40</v>
      </c>
      <c r="B21" s="12" t="s">
        <v>324</v>
      </c>
      <c r="C21" s="13" t="n">
        <f aca="false">100000+50000+20000+65500+51000+80000</f>
        <v>366500</v>
      </c>
      <c r="D21" s="13" t="n">
        <f aca="false">E21-C21</f>
        <v>0</v>
      </c>
      <c r="E21" s="13" t="n">
        <v>366500</v>
      </c>
    </row>
    <row r="22" customFormat="false" ht="15" hidden="false" customHeight="false" outlineLevel="0" collapsed="false">
      <c r="A22" s="11" t="s">
        <v>42</v>
      </c>
      <c r="B22" s="12" t="s">
        <v>325</v>
      </c>
      <c r="C22" s="13" t="n">
        <f aca="false">50000+50000+150000+110000+10000</f>
        <v>370000</v>
      </c>
      <c r="D22" s="13" t="n">
        <f aca="false">E22-C22</f>
        <v>-3500</v>
      </c>
      <c r="E22" s="13" t="n">
        <v>366500</v>
      </c>
    </row>
    <row r="23" customFormat="false" ht="15" hidden="false" customHeight="false" outlineLevel="0" collapsed="false">
      <c r="A23" s="11" t="s">
        <v>44</v>
      </c>
      <c r="B23" s="12" t="s">
        <v>326</v>
      </c>
      <c r="C23" s="13" t="n">
        <f aca="false">180000+186500</f>
        <v>366500</v>
      </c>
      <c r="D23" s="13" t="n">
        <f aca="false">E23-C23</f>
        <v>0</v>
      </c>
      <c r="E23" s="13" t="n">
        <v>366500</v>
      </c>
    </row>
    <row r="24" customFormat="false" ht="15" hidden="false" customHeight="false" outlineLevel="0" collapsed="false">
      <c r="A24" s="11" t="s">
        <v>46</v>
      </c>
      <c r="B24" s="12" t="s">
        <v>327</v>
      </c>
      <c r="C24" s="13" t="n">
        <f aca="false">200000+165500+1000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48</v>
      </c>
      <c r="B25" s="12" t="s">
        <v>328</v>
      </c>
      <c r="C25" s="13" t="n">
        <f aca="false">100000+100000+100000+65000+1500</f>
        <v>366500</v>
      </c>
      <c r="D25" s="13" t="n">
        <f aca="false">E25-C25</f>
        <v>0</v>
      </c>
      <c r="E25" s="13" t="n">
        <v>366500</v>
      </c>
    </row>
    <row r="26" customFormat="false" ht="15" hidden="false" customHeight="false" outlineLevel="0" collapsed="false">
      <c r="A26" s="11" t="s">
        <v>50</v>
      </c>
      <c r="B26" s="12" t="s">
        <v>329</v>
      </c>
      <c r="C26" s="13" t="n">
        <f aca="false">50000+123500+70000+120000+3000</f>
        <v>366500</v>
      </c>
      <c r="D26" s="13" t="n">
        <f aca="false">E26-C26</f>
        <v>0</v>
      </c>
      <c r="E26" s="13" t="n">
        <v>366500</v>
      </c>
    </row>
    <row r="27" customFormat="false" ht="15" hidden="false" customHeight="false" outlineLevel="0" collapsed="false">
      <c r="A27" s="11" t="s">
        <v>52</v>
      </c>
      <c r="B27" s="12" t="s">
        <v>330</v>
      </c>
      <c r="C27" s="13" t="n">
        <f aca="false">70000+40000</f>
        <v>110000</v>
      </c>
      <c r="D27" s="13" t="n">
        <f aca="false">E27-C27</f>
        <v>256500</v>
      </c>
      <c r="E27" s="13" t="n">
        <v>366500</v>
      </c>
    </row>
    <row r="28" customFormat="false" ht="15" hidden="false" customHeight="false" outlineLevel="0" collapsed="false">
      <c r="A28" s="11" t="s">
        <v>54</v>
      </c>
      <c r="B28" s="12" t="s">
        <v>331</v>
      </c>
      <c r="C28" s="13" t="n">
        <f aca="false">180000+90000+96500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56</v>
      </c>
      <c r="B29" s="12" t="s">
        <v>332</v>
      </c>
      <c r="C29" s="13" t="n">
        <f aca="false">48500+180000</f>
        <v>228500</v>
      </c>
      <c r="D29" s="13" t="n">
        <f aca="false">E29-C29</f>
        <v>138000</v>
      </c>
      <c r="E29" s="13" t="n">
        <v>366500</v>
      </c>
    </row>
    <row r="30" customFormat="false" ht="15" hidden="false" customHeight="false" outlineLevel="0" collapsed="false">
      <c r="A30" s="11" t="s">
        <v>58</v>
      </c>
      <c r="B30" s="12" t="s">
        <v>333</v>
      </c>
      <c r="C30" s="13" t="n">
        <f aca="false">33000</f>
        <v>33000</v>
      </c>
      <c r="D30" s="13" t="n">
        <f aca="false">E30-C30</f>
        <v>333500</v>
      </c>
      <c r="E30" s="13" t="n">
        <v>366500</v>
      </c>
    </row>
    <row r="31" customFormat="false" ht="15" hidden="false" customHeight="false" outlineLevel="0" collapsed="false">
      <c r="A31" s="11" t="s">
        <v>60</v>
      </c>
      <c r="B31" s="12" t="s">
        <v>334</v>
      </c>
      <c r="C31" s="13" t="n">
        <f aca="false">185000+115000+66500</f>
        <v>366500</v>
      </c>
      <c r="D31" s="13" t="n">
        <f aca="false">E31-C31</f>
        <v>0</v>
      </c>
      <c r="E31" s="13" t="n">
        <v>366500</v>
      </c>
    </row>
    <row r="32" customFormat="false" ht="15" hidden="false" customHeight="false" outlineLevel="0" collapsed="false">
      <c r="A32" s="11" t="s">
        <v>62</v>
      </c>
      <c r="B32" s="12" t="s">
        <v>335</v>
      </c>
      <c r="C32" s="13" t="n">
        <f aca="false">150000+150000+66500</f>
        <v>366500</v>
      </c>
      <c r="D32" s="13" t="n">
        <f aca="false">E32-C32</f>
        <v>0</v>
      </c>
      <c r="E32" s="13" t="n">
        <v>366500</v>
      </c>
    </row>
    <row r="33" customFormat="false" ht="15" hidden="false" customHeight="false" outlineLevel="0" collapsed="false">
      <c r="A33" s="11" t="s">
        <v>64</v>
      </c>
      <c r="B33" s="12" t="s">
        <v>336</v>
      </c>
      <c r="C33" s="13" t="n">
        <f aca="false">100000+266500</f>
        <v>366500</v>
      </c>
      <c r="D33" s="13" t="n">
        <f aca="false">E33-C33</f>
        <v>0</v>
      </c>
      <c r="E33" s="13" t="n">
        <v>366500</v>
      </c>
    </row>
    <row r="34" customFormat="false" ht="15" hidden="false" customHeight="false" outlineLevel="0" collapsed="false">
      <c r="A34" s="11" t="s">
        <v>66</v>
      </c>
      <c r="B34" s="12" t="s">
        <v>337</v>
      </c>
      <c r="C34" s="13" t="n">
        <f aca="false">200000+166500</f>
        <v>366500</v>
      </c>
      <c r="D34" s="13" t="n">
        <f aca="false">E34-C34</f>
        <v>0</v>
      </c>
      <c r="E34" s="13" t="n">
        <v>366500</v>
      </c>
    </row>
    <row r="35" customFormat="false" ht="15" hidden="false" customHeight="false" outlineLevel="0" collapsed="false">
      <c r="A35" s="11" t="s">
        <v>68</v>
      </c>
      <c r="B35" s="12" t="s">
        <v>338</v>
      </c>
      <c r="C35" s="13" t="n">
        <f aca="false">15000+100000+85000+85000+81500</f>
        <v>366500</v>
      </c>
      <c r="D35" s="13" t="n">
        <f aca="false">E35-C35</f>
        <v>0</v>
      </c>
      <c r="E35" s="13" t="n">
        <v>366500</v>
      </c>
    </row>
    <row r="36" customFormat="false" ht="15" hidden="false" customHeight="false" outlineLevel="0" collapsed="false">
      <c r="A36" s="11" t="s">
        <v>70</v>
      </c>
      <c r="B36" s="12" t="s">
        <v>339</v>
      </c>
      <c r="C36" s="13" t="n">
        <f aca="false">170000+80000+100000+16500</f>
        <v>366500</v>
      </c>
      <c r="D36" s="13" t="n">
        <f aca="false">E36-C36</f>
        <v>0</v>
      </c>
      <c r="E36" s="13" t="n">
        <v>366500</v>
      </c>
    </row>
    <row r="37" customFormat="false" ht="15" hidden="false" customHeight="false" outlineLevel="0" collapsed="false">
      <c r="A37" s="11" t="s">
        <v>72</v>
      </c>
      <c r="B37" s="12" t="s">
        <v>340</v>
      </c>
      <c r="C37" s="13" t="n">
        <f aca="false">100000+200000+66500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1" t="s">
        <v>74</v>
      </c>
      <c r="B38" s="12" t="s">
        <v>341</v>
      </c>
      <c r="C38" s="13" t="n">
        <f aca="false">36000+164000+30000+30000+90000+17000</f>
        <v>367000</v>
      </c>
      <c r="D38" s="13" t="n">
        <f aca="false">E38-C38</f>
        <v>-500</v>
      </c>
      <c r="E38" s="13" t="n">
        <v>366500</v>
      </c>
    </row>
    <row r="39" customFormat="false" ht="15" hidden="false" customHeight="false" outlineLevel="0" collapsed="false">
      <c r="A39" s="15" t="s">
        <v>98</v>
      </c>
      <c r="B39" s="15"/>
      <c r="C39" s="16" t="n">
        <f aca="false">SUM(C5:C38)</f>
        <v>11516000</v>
      </c>
      <c r="D39" s="16" t="n">
        <f aca="false">E39-C39</f>
        <v>945000</v>
      </c>
      <c r="E39" s="16" t="n">
        <f aca="false">SUM(E5:E38)</f>
        <v>12461000</v>
      </c>
    </row>
    <row r="40" customFormat="false" ht="17.35" hidden="false" customHeight="false" outlineLevel="0" collapsed="false">
      <c r="A40" s="5" t="s">
        <v>342</v>
      </c>
      <c r="B40" s="6"/>
      <c r="C40" s="6"/>
      <c r="D40" s="6"/>
      <c r="E40" s="7"/>
    </row>
    <row r="41" customFormat="false" ht="15" hidden="false" customHeight="false" outlineLevel="0" collapsed="false">
      <c r="A41" s="15" t="s">
        <v>3</v>
      </c>
      <c r="B41" s="15" t="s">
        <v>4</v>
      </c>
      <c r="C41" s="17" t="s">
        <v>5</v>
      </c>
      <c r="D41" s="15" t="s">
        <v>6</v>
      </c>
      <c r="E41" s="16" t="s">
        <v>7</v>
      </c>
    </row>
    <row r="42" customFormat="false" ht="15" hidden="false" customHeight="false" outlineLevel="0" collapsed="false">
      <c r="A42" s="11" t="s">
        <v>8</v>
      </c>
      <c r="B42" s="12" t="s">
        <v>343</v>
      </c>
      <c r="C42" s="13" t="n">
        <f aca="false">100000+265000+1500</f>
        <v>366500</v>
      </c>
      <c r="D42" s="13" t="n">
        <f aca="false">E42-C42</f>
        <v>0</v>
      </c>
      <c r="E42" s="13" t="n">
        <v>366500</v>
      </c>
    </row>
    <row r="43" customFormat="false" ht="15" hidden="false" customHeight="false" outlineLevel="0" collapsed="false">
      <c r="A43" s="11" t="s">
        <v>10</v>
      </c>
      <c r="B43" s="12" t="s">
        <v>344</v>
      </c>
      <c r="C43" s="13" t="n">
        <f aca="false">100000+266500</f>
        <v>366500</v>
      </c>
      <c r="D43" s="13" t="n">
        <f aca="false">E43-C43</f>
        <v>0</v>
      </c>
      <c r="E43" s="13" t="n">
        <v>366500</v>
      </c>
    </row>
    <row r="44" customFormat="false" ht="15" hidden="false" customHeight="false" outlineLevel="0" collapsed="false">
      <c r="A44" s="11" t="s">
        <v>12</v>
      </c>
      <c r="B44" s="12" t="s">
        <v>345</v>
      </c>
      <c r="C44" s="13" t="n">
        <f aca="false">150000+35000+161500+20000</f>
        <v>366500</v>
      </c>
      <c r="D44" s="13" t="n">
        <f aca="false">E44-C44</f>
        <v>0</v>
      </c>
      <c r="E44" s="13" t="n">
        <v>366500</v>
      </c>
    </row>
    <row r="45" customFormat="false" ht="15" hidden="false" customHeight="false" outlineLevel="0" collapsed="false">
      <c r="A45" s="11" t="s">
        <v>14</v>
      </c>
      <c r="B45" s="12" t="s">
        <v>346</v>
      </c>
      <c r="C45" s="13" t="n">
        <f aca="false">175000+75000+116500</f>
        <v>366500</v>
      </c>
      <c r="D45" s="13" t="n">
        <f aca="false">E45-C45</f>
        <v>0</v>
      </c>
      <c r="E45" s="13" t="n">
        <v>366500</v>
      </c>
    </row>
    <row r="46" customFormat="false" ht="15" hidden="false" customHeight="false" outlineLevel="0" collapsed="false">
      <c r="A46" s="11" t="s">
        <v>16</v>
      </c>
      <c r="B46" s="12" t="s">
        <v>347</v>
      </c>
      <c r="C46" s="13" t="n">
        <f aca="false">150000+200000+16500</f>
        <v>366500</v>
      </c>
      <c r="D46" s="13" t="n">
        <f aca="false">E46-C46</f>
        <v>0</v>
      </c>
      <c r="E46" s="13" t="n">
        <v>366500</v>
      </c>
    </row>
    <row r="47" customFormat="false" ht="15" hidden="false" customHeight="false" outlineLevel="0" collapsed="false">
      <c r="A47" s="11" t="s">
        <v>18</v>
      </c>
      <c r="B47" s="12" t="s">
        <v>348</v>
      </c>
      <c r="C47" s="13" t="n">
        <f aca="false">250000+116500</f>
        <v>366500</v>
      </c>
      <c r="D47" s="13" t="n">
        <f aca="false">E47-C47</f>
        <v>0</v>
      </c>
      <c r="E47" s="13" t="n">
        <v>366500</v>
      </c>
    </row>
    <row r="48" customFormat="false" ht="15" hidden="false" customHeight="false" outlineLevel="0" collapsed="false">
      <c r="A48" s="11" t="s">
        <v>20</v>
      </c>
      <c r="B48" s="12" t="s">
        <v>349</v>
      </c>
      <c r="C48" s="13" t="n">
        <f aca="false">100000+266500</f>
        <v>366500</v>
      </c>
      <c r="D48" s="13" t="n">
        <f aca="false">E48-C48</f>
        <v>0</v>
      </c>
      <c r="E48" s="13" t="n">
        <v>366500</v>
      </c>
    </row>
    <row r="49" customFormat="false" ht="15" hidden="false" customHeight="false" outlineLevel="0" collapsed="false">
      <c r="A49" s="11" t="s">
        <v>22</v>
      </c>
      <c r="B49" s="12" t="s">
        <v>350</v>
      </c>
      <c r="C49" s="13" t="n">
        <f aca="false">66500+200000+50000+50000</f>
        <v>366500</v>
      </c>
      <c r="D49" s="13" t="n">
        <f aca="false">E49-C49</f>
        <v>0</v>
      </c>
      <c r="E49" s="13" t="n">
        <v>366500</v>
      </c>
    </row>
    <row r="50" customFormat="false" ht="15" hidden="false" customHeight="false" outlineLevel="0" collapsed="false">
      <c r="A50" s="11" t="s">
        <v>24</v>
      </c>
      <c r="B50" s="12" t="s">
        <v>351</v>
      </c>
      <c r="C50" s="13" t="n">
        <f aca="false">101500+15000+250000</f>
        <v>366500</v>
      </c>
      <c r="D50" s="13" t="n">
        <f aca="false">E50-C50</f>
        <v>0</v>
      </c>
      <c r="E50" s="13" t="n">
        <v>366500</v>
      </c>
    </row>
    <row r="51" customFormat="false" ht="15" hidden="false" customHeight="false" outlineLevel="0" collapsed="false">
      <c r="A51" s="11" t="s">
        <v>26</v>
      </c>
      <c r="B51" s="12" t="s">
        <v>352</v>
      </c>
      <c r="C51" s="13" t="n">
        <f aca="false">100000+200000+66500</f>
        <v>366500</v>
      </c>
      <c r="D51" s="13" t="n">
        <f aca="false">E51-C51</f>
        <v>0</v>
      </c>
      <c r="E51" s="13" t="n">
        <v>366500</v>
      </c>
    </row>
    <row r="52" customFormat="false" ht="15" hidden="false" customHeight="false" outlineLevel="0" collapsed="false">
      <c r="A52" s="11" t="s">
        <v>28</v>
      </c>
      <c r="B52" s="12" t="s">
        <v>353</v>
      </c>
      <c r="C52" s="13" t="n">
        <f aca="false">13500+50000+50000+50000+203000</f>
        <v>366500</v>
      </c>
      <c r="D52" s="13" t="n">
        <f aca="false">E52-C52</f>
        <v>0</v>
      </c>
      <c r="E52" s="13" t="n">
        <v>366500</v>
      </c>
    </row>
    <row r="53" customFormat="false" ht="15" hidden="false" customHeight="false" outlineLevel="0" collapsed="false">
      <c r="A53" s="11" t="s">
        <v>30</v>
      </c>
      <c r="B53" s="12" t="s">
        <v>354</v>
      </c>
      <c r="C53" s="13" t="n">
        <f aca="false">350000+15000+1500</f>
        <v>366500</v>
      </c>
      <c r="D53" s="13" t="n">
        <f aca="false">E53-C53</f>
        <v>0</v>
      </c>
      <c r="E53" s="13" t="n">
        <v>366500</v>
      </c>
    </row>
    <row r="54" customFormat="false" ht="15" hidden="false" customHeight="false" outlineLevel="0" collapsed="false">
      <c r="A54" s="11" t="s">
        <v>32</v>
      </c>
      <c r="B54" s="12" t="s">
        <v>355</v>
      </c>
      <c r="C54" s="13" t="n">
        <f aca="false">15000+185000+145000+15000+6500</f>
        <v>366500</v>
      </c>
      <c r="D54" s="13" t="n">
        <f aca="false">E54-C54</f>
        <v>0</v>
      </c>
      <c r="E54" s="13" t="n">
        <v>366500</v>
      </c>
    </row>
    <row r="55" customFormat="false" ht="15" hidden="false" customHeight="false" outlineLevel="0" collapsed="false">
      <c r="A55" s="11" t="s">
        <v>34</v>
      </c>
      <c r="B55" s="12" t="s">
        <v>356</v>
      </c>
      <c r="C55" s="13" t="n">
        <f aca="false">200000+166500</f>
        <v>366500</v>
      </c>
      <c r="D55" s="13" t="n">
        <f aca="false">E55-C55</f>
        <v>0</v>
      </c>
      <c r="E55" s="13" t="n">
        <v>366500</v>
      </c>
    </row>
    <row r="56" customFormat="false" ht="15" hidden="false" customHeight="false" outlineLevel="0" collapsed="false">
      <c r="A56" s="11" t="s">
        <v>36</v>
      </c>
      <c r="B56" s="12" t="s">
        <v>357</v>
      </c>
      <c r="C56" s="13" t="n">
        <f aca="false">266500+100000</f>
        <v>366500</v>
      </c>
      <c r="D56" s="13" t="n">
        <f aca="false">E56-C56</f>
        <v>0</v>
      </c>
      <c r="E56" s="13" t="n">
        <v>366500</v>
      </c>
    </row>
    <row r="57" customFormat="false" ht="15" hidden="false" customHeight="false" outlineLevel="0" collapsed="false">
      <c r="A57" s="11" t="s">
        <v>38</v>
      </c>
      <c r="B57" s="12" t="s">
        <v>358</v>
      </c>
      <c r="C57" s="13" t="n">
        <f aca="false">200000+166500</f>
        <v>366500</v>
      </c>
      <c r="D57" s="13" t="n">
        <f aca="false">E57-C57</f>
        <v>0</v>
      </c>
      <c r="E57" s="13" t="n">
        <v>366500</v>
      </c>
    </row>
    <row r="58" customFormat="false" ht="15" hidden="false" customHeight="false" outlineLevel="0" collapsed="false">
      <c r="A58" s="11" t="s">
        <v>40</v>
      </c>
      <c r="B58" s="12" t="s">
        <v>359</v>
      </c>
      <c r="C58" s="13" t="n">
        <f aca="false">320000+46500</f>
        <v>366500</v>
      </c>
      <c r="D58" s="13" t="n">
        <f aca="false">E58-C58</f>
        <v>0</v>
      </c>
      <c r="E58" s="13" t="n">
        <v>366500</v>
      </c>
    </row>
    <row r="59" customFormat="false" ht="15" hidden="false" customHeight="false" outlineLevel="0" collapsed="false">
      <c r="A59" s="11" t="s">
        <v>42</v>
      </c>
      <c r="B59" s="12" t="s">
        <v>360</v>
      </c>
      <c r="C59" s="13" t="n">
        <f aca="false">100000+200000+66500</f>
        <v>366500</v>
      </c>
      <c r="D59" s="13" t="n">
        <f aca="false">E59-C59</f>
        <v>0</v>
      </c>
      <c r="E59" s="13" t="n">
        <v>366500</v>
      </c>
    </row>
    <row r="60" customFormat="false" ht="15" hidden="false" customHeight="false" outlineLevel="0" collapsed="false">
      <c r="A60" s="11" t="s">
        <v>44</v>
      </c>
      <c r="B60" s="12" t="s">
        <v>361</v>
      </c>
      <c r="C60" s="13" t="n">
        <f aca="false">15000+300000+51500</f>
        <v>366500</v>
      </c>
      <c r="D60" s="13" t="n">
        <f aca="false">E60-C60</f>
        <v>0</v>
      </c>
      <c r="E60" s="13" t="n">
        <v>366500</v>
      </c>
    </row>
    <row r="61" customFormat="false" ht="15" hidden="false" customHeight="false" outlineLevel="0" collapsed="false">
      <c r="A61" s="11" t="s">
        <v>46</v>
      </c>
      <c r="B61" s="35" t="s">
        <v>362</v>
      </c>
      <c r="C61" s="13" t="n">
        <f aca="false">200000+60000+50000+20000+36500</f>
        <v>366500</v>
      </c>
      <c r="D61" s="13" t="n">
        <f aca="false">E61-C61</f>
        <v>0</v>
      </c>
      <c r="E61" s="13" t="n">
        <v>366500</v>
      </c>
    </row>
    <row r="62" customFormat="false" ht="15" hidden="false" customHeight="false" outlineLevel="0" collapsed="false">
      <c r="A62" s="11" t="s">
        <v>48</v>
      </c>
      <c r="B62" s="12" t="s">
        <v>363</v>
      </c>
      <c r="C62" s="13" t="n">
        <f aca="false">30000+70000+50000+100000+110000+6500</f>
        <v>366500</v>
      </c>
      <c r="D62" s="13" t="n">
        <f aca="false">E62-C62</f>
        <v>0</v>
      </c>
      <c r="E62" s="13" t="n">
        <v>366500</v>
      </c>
    </row>
    <row r="63" customFormat="false" ht="15" hidden="false" customHeight="false" outlineLevel="0" collapsed="false">
      <c r="A63" s="15" t="s">
        <v>98</v>
      </c>
      <c r="B63" s="15"/>
      <c r="C63" s="16" t="n">
        <f aca="false">SUM(C42:C62)</f>
        <v>7696500</v>
      </c>
      <c r="D63" s="16" t="n">
        <f aca="false">E63-C63</f>
        <v>0</v>
      </c>
      <c r="E63" s="16" t="n">
        <f aca="false">SUM(E42:E62)</f>
        <v>7696500</v>
      </c>
    </row>
    <row r="64" customFormat="false" ht="17.35" hidden="false" customHeight="false" outlineLevel="0" collapsed="false">
      <c r="A64" s="5" t="s">
        <v>364</v>
      </c>
      <c r="B64" s="6"/>
      <c r="C64" s="6"/>
      <c r="D64" s="6"/>
      <c r="E64" s="7"/>
    </row>
    <row r="65" customFormat="false" ht="15" hidden="false" customHeight="false" outlineLevel="0" collapsed="false">
      <c r="A65" s="15" t="s">
        <v>3</v>
      </c>
      <c r="B65" s="15" t="s">
        <v>4</v>
      </c>
      <c r="C65" s="17" t="s">
        <v>5</v>
      </c>
      <c r="D65" s="15" t="s">
        <v>6</v>
      </c>
      <c r="E65" s="16" t="s">
        <v>7</v>
      </c>
    </row>
    <row r="66" customFormat="false" ht="15" hidden="false" customHeight="false" outlineLevel="0" collapsed="false">
      <c r="A66" s="11" t="s">
        <v>8</v>
      </c>
      <c r="B66" s="12" t="s">
        <v>365</v>
      </c>
      <c r="C66" s="13" t="n">
        <f aca="false">100000+90000+50000+30000+100000</f>
        <v>370000</v>
      </c>
      <c r="D66" s="13" t="n">
        <f aca="false">E66-C66</f>
        <v>-3500</v>
      </c>
      <c r="E66" s="13" t="n">
        <v>366500</v>
      </c>
    </row>
    <row r="67" customFormat="false" ht="15" hidden="false" customHeight="false" outlineLevel="0" collapsed="false">
      <c r="A67" s="11" t="s">
        <v>10</v>
      </c>
      <c r="B67" s="12" t="s">
        <v>366</v>
      </c>
      <c r="C67" s="13" t="n">
        <f aca="false">23500+30000+47000+200000+64000+2000</f>
        <v>366500</v>
      </c>
      <c r="D67" s="13" t="n">
        <f aca="false">E67-C67</f>
        <v>0</v>
      </c>
      <c r="E67" s="13" t="n">
        <v>366500</v>
      </c>
    </row>
    <row r="68" customFormat="false" ht="15" hidden="false" customHeight="false" outlineLevel="0" collapsed="false">
      <c r="A68" s="11" t="s">
        <v>12</v>
      </c>
      <c r="B68" s="12" t="s">
        <v>367</v>
      </c>
      <c r="C68" s="13" t="n">
        <f aca="false">130000+70000+150000+16500</f>
        <v>366500</v>
      </c>
      <c r="D68" s="13" t="n">
        <f aca="false">E68-C68</f>
        <v>0</v>
      </c>
      <c r="E68" s="13" t="n">
        <v>366500</v>
      </c>
    </row>
    <row r="69" customFormat="false" ht="15" hidden="false" customHeight="false" outlineLevel="0" collapsed="false">
      <c r="A69" s="11" t="s">
        <v>14</v>
      </c>
      <c r="B69" s="12" t="s">
        <v>368</v>
      </c>
      <c r="C69" s="13" t="n">
        <f aca="false">200000+166500</f>
        <v>366500</v>
      </c>
      <c r="D69" s="13" t="n">
        <f aca="false">E69-C69</f>
        <v>0</v>
      </c>
      <c r="E69" s="13" t="n">
        <v>366500</v>
      </c>
    </row>
    <row r="70" customFormat="false" ht="15" hidden="false" customHeight="false" outlineLevel="0" collapsed="false">
      <c r="A70" s="11" t="s">
        <v>16</v>
      </c>
      <c r="B70" s="12" t="s">
        <v>369</v>
      </c>
      <c r="C70" s="13" t="n">
        <f aca="false">50000+50000+20000+16500+20000+50000+70000+70000+20000</f>
        <v>366500</v>
      </c>
      <c r="D70" s="13" t="n">
        <f aca="false">E70-C70</f>
        <v>0</v>
      </c>
      <c r="E70" s="13" t="n">
        <v>366500</v>
      </c>
    </row>
    <row r="71" customFormat="false" ht="15" hidden="false" customHeight="false" outlineLevel="0" collapsed="false">
      <c r="A71" s="11" t="s">
        <v>18</v>
      </c>
      <c r="B71" s="12" t="s">
        <v>370</v>
      </c>
      <c r="C71" s="13" t="n">
        <f aca="false">145000+130000+6500+85000</f>
        <v>366500</v>
      </c>
      <c r="D71" s="13" t="n">
        <f aca="false">E71-C71</f>
        <v>0</v>
      </c>
      <c r="E71" s="13" t="n">
        <v>366500</v>
      </c>
    </row>
    <row r="72" customFormat="false" ht="15" hidden="false" customHeight="false" outlineLevel="0" collapsed="false">
      <c r="A72" s="11" t="s">
        <v>20</v>
      </c>
      <c r="B72" s="12" t="s">
        <v>371</v>
      </c>
      <c r="C72" s="13" t="n">
        <f aca="false">100000+150000+80000+36500</f>
        <v>366500</v>
      </c>
      <c r="D72" s="13" t="n">
        <f aca="false">E72-C72</f>
        <v>0</v>
      </c>
      <c r="E72" s="13" t="n">
        <v>366500</v>
      </c>
      <c r="I72" s="1" t="n">
        <v>44000</v>
      </c>
      <c r="J72" s="1" t="n">
        <v>2200</v>
      </c>
    </row>
    <row r="73" customFormat="false" ht="15" hidden="false" customHeight="false" outlineLevel="0" collapsed="false">
      <c r="A73" s="11" t="s">
        <v>22</v>
      </c>
      <c r="B73" s="12" t="s">
        <v>372</v>
      </c>
      <c r="C73" s="13" t="n">
        <f aca="false">200000+166500</f>
        <v>366500</v>
      </c>
      <c r="D73" s="13" t="n">
        <f aca="false">E73-C73</f>
        <v>0</v>
      </c>
      <c r="E73" s="13" t="n">
        <v>366500</v>
      </c>
      <c r="I73" s="1" t="n">
        <v>3355932</v>
      </c>
      <c r="J73" s="1" t="n">
        <v>33564</v>
      </c>
    </row>
    <row r="74" customFormat="false" ht="15" hidden="false" customHeight="false" outlineLevel="0" collapsed="false">
      <c r="A74" s="11" t="s">
        <v>24</v>
      </c>
      <c r="B74" s="12" t="s">
        <v>373</v>
      </c>
      <c r="C74" s="13" t="n">
        <f aca="false">100000+20000+100000+50000+65000+30000+1500</f>
        <v>366500</v>
      </c>
      <c r="D74" s="13" t="n">
        <f aca="false">E74-C74</f>
        <v>0</v>
      </c>
      <c r="E74" s="13" t="n">
        <v>366500</v>
      </c>
      <c r="I74" s="1" t="n">
        <v>62761</v>
      </c>
      <c r="J74" s="1" t="n">
        <v>1883</v>
      </c>
    </row>
    <row r="75" customFormat="false" ht="15" hidden="false" customHeight="false" outlineLevel="0" collapsed="false">
      <c r="A75" s="11" t="s">
        <v>26</v>
      </c>
      <c r="B75" s="12" t="s">
        <v>374</v>
      </c>
      <c r="C75" s="13" t="n">
        <f aca="false">150000+100000+116500</f>
        <v>366500</v>
      </c>
      <c r="D75" s="13" t="n">
        <f aca="false">E75-C75</f>
        <v>0</v>
      </c>
      <c r="E75" s="13" t="n">
        <v>366500</v>
      </c>
      <c r="I75" s="1" t="n">
        <v>67164</v>
      </c>
      <c r="J75" s="1" t="n">
        <v>2015</v>
      </c>
    </row>
    <row r="76" customFormat="false" ht="15" hidden="false" customHeight="false" outlineLevel="0" collapsed="false">
      <c r="A76" s="11" t="s">
        <v>28</v>
      </c>
      <c r="B76" s="12" t="s">
        <v>375</v>
      </c>
      <c r="C76" s="13" t="n">
        <f aca="false">140000+160000+66000+500</f>
        <v>366500</v>
      </c>
      <c r="D76" s="13" t="n">
        <f aca="false">E76-C76</f>
        <v>0</v>
      </c>
      <c r="E76" s="13" t="n">
        <v>366500</v>
      </c>
      <c r="I76" s="1" t="n">
        <v>422350</v>
      </c>
      <c r="J76" s="1" t="n">
        <v>4244</v>
      </c>
    </row>
    <row r="77" customFormat="false" ht="15" hidden="false" customHeight="false" outlineLevel="0" collapsed="false">
      <c r="A77" s="11" t="s">
        <v>30</v>
      </c>
      <c r="B77" s="12" t="s">
        <v>376</v>
      </c>
      <c r="C77" s="13" t="n">
        <f aca="false">100000+100000+100000+66500</f>
        <v>366500</v>
      </c>
      <c r="D77" s="13" t="n">
        <f aca="false">E77-C77</f>
        <v>0</v>
      </c>
      <c r="E77" s="13" t="n">
        <v>366500</v>
      </c>
      <c r="I77" s="1" t="n">
        <v>90000</v>
      </c>
      <c r="J77" s="1" t="n">
        <v>900</v>
      </c>
    </row>
    <row r="78" customFormat="false" ht="15" hidden="false" customHeight="false" outlineLevel="0" collapsed="false">
      <c r="A78" s="15" t="s">
        <v>98</v>
      </c>
      <c r="B78" s="15"/>
      <c r="C78" s="16" t="n">
        <f aca="false">SUM(C66:C77)</f>
        <v>4401500</v>
      </c>
      <c r="D78" s="16" t="n">
        <f aca="false">E78-C78</f>
        <v>-3500</v>
      </c>
      <c r="E78" s="16" t="n">
        <f aca="false">SUM(E66:E77)</f>
        <v>4398000</v>
      </c>
      <c r="I78" s="1" t="n">
        <v>1186395</v>
      </c>
      <c r="J78" s="1" t="n">
        <v>40910</v>
      </c>
    </row>
    <row r="79" customFormat="false" ht="17.35" hidden="false" customHeight="false" outlineLevel="0" collapsed="false">
      <c r="A79" s="36"/>
      <c r="B79" s="6" t="s">
        <v>377</v>
      </c>
      <c r="C79" s="6"/>
      <c r="D79" s="6"/>
      <c r="E79" s="7"/>
      <c r="I79" s="1" t="n">
        <v>177737</v>
      </c>
      <c r="J79" s="1" t="n">
        <v>1777</v>
      </c>
    </row>
    <row r="80" customFormat="false" ht="15" hidden="false" customHeight="false" outlineLevel="0" collapsed="false">
      <c r="A80" s="15" t="s">
        <v>3</v>
      </c>
      <c r="B80" s="15" t="s">
        <v>4</v>
      </c>
      <c r="C80" s="17" t="s">
        <v>5</v>
      </c>
      <c r="D80" s="15" t="s">
        <v>6</v>
      </c>
      <c r="E80" s="16" t="s">
        <v>7</v>
      </c>
      <c r="I80" s="1" t="n">
        <v>277200</v>
      </c>
      <c r="J80" s="1" t="n">
        <v>2772</v>
      </c>
    </row>
    <row r="81" customFormat="false" ht="15" hidden="false" customHeight="false" outlineLevel="0" collapsed="false">
      <c r="A81" s="11" t="s">
        <v>8</v>
      </c>
      <c r="B81" s="12" t="s">
        <v>378</v>
      </c>
      <c r="C81" s="13" t="n">
        <v>0</v>
      </c>
      <c r="D81" s="13" t="n">
        <f aca="false">E81-C81</f>
        <v>366500</v>
      </c>
      <c r="E81" s="13" t="n">
        <v>366500</v>
      </c>
      <c r="I81" s="1" t="n">
        <v>4783478</v>
      </c>
      <c r="J81" s="1" t="n">
        <v>47835</v>
      </c>
    </row>
    <row r="82" customFormat="false" ht="15" hidden="false" customHeight="false" outlineLevel="0" collapsed="false">
      <c r="A82" s="11" t="s">
        <v>8</v>
      </c>
      <c r="B82" s="12" t="s">
        <v>379</v>
      </c>
      <c r="C82" s="13" t="n">
        <f aca="false">1500+15000+170000+40000+140000</f>
        <v>366500</v>
      </c>
      <c r="D82" s="13" t="n">
        <f aca="false">E82-C82</f>
        <v>0</v>
      </c>
      <c r="E82" s="13" t="n">
        <v>366500</v>
      </c>
      <c r="I82" s="1" t="n">
        <v>35000</v>
      </c>
      <c r="J82" s="1" t="n">
        <v>350</v>
      </c>
    </row>
    <row r="83" customFormat="false" ht="15" hidden="false" customHeight="false" outlineLevel="0" collapsed="false">
      <c r="A83" s="11" t="s">
        <v>10</v>
      </c>
      <c r="B83" s="12" t="s">
        <v>380</v>
      </c>
      <c r="C83" s="13" t="n">
        <f aca="false">45000</f>
        <v>45000</v>
      </c>
      <c r="D83" s="13" t="n">
        <f aca="false">E83-C83</f>
        <v>321500</v>
      </c>
      <c r="E83" s="13" t="n">
        <v>366500</v>
      </c>
      <c r="I83" s="1" t="n">
        <v>548305</v>
      </c>
      <c r="J83" s="1" t="n">
        <v>5483</v>
      </c>
    </row>
    <row r="84" customFormat="false" ht="15" hidden="false" customHeight="false" outlineLevel="0" collapsed="false">
      <c r="A84" s="11" t="s">
        <v>12</v>
      </c>
      <c r="B84" s="12" t="s">
        <v>381</v>
      </c>
      <c r="C84" s="13" t="n">
        <f aca="false">100000+80000+40000+135000+11500</f>
        <v>366500</v>
      </c>
      <c r="D84" s="13" t="n">
        <f aca="false">E84-C84</f>
        <v>0</v>
      </c>
      <c r="E84" s="13" t="n">
        <v>366500</v>
      </c>
      <c r="I84" s="1" t="n">
        <v>471483</v>
      </c>
      <c r="J84" s="1" t="n">
        <v>4715</v>
      </c>
    </row>
    <row r="85" customFormat="false" ht="15" hidden="false" customHeight="false" outlineLevel="0" collapsed="false">
      <c r="A85" s="11" t="s">
        <v>14</v>
      </c>
      <c r="B85" s="12" t="s">
        <v>382</v>
      </c>
      <c r="C85" s="13" t="n">
        <f aca="false">100000+130000+146000</f>
        <v>376000</v>
      </c>
      <c r="D85" s="13" t="n">
        <f aca="false">E85-C85</f>
        <v>-9500</v>
      </c>
      <c r="E85" s="13" t="n">
        <v>366500</v>
      </c>
      <c r="I85" s="1" t="n">
        <v>3490000</v>
      </c>
      <c r="J85" s="1" t="n">
        <v>34900</v>
      </c>
    </row>
    <row r="86" customFormat="false" ht="15" hidden="false" customHeight="false" outlineLevel="0" collapsed="false">
      <c r="A86" s="11" t="s">
        <v>16</v>
      </c>
      <c r="B86" s="12" t="s">
        <v>383</v>
      </c>
      <c r="C86" s="13" t="n">
        <f aca="false">100000+256500+10000</f>
        <v>366500</v>
      </c>
      <c r="D86" s="13" t="n">
        <f aca="false">E86-C86</f>
        <v>0</v>
      </c>
      <c r="E86" s="13" t="n">
        <v>366500</v>
      </c>
    </row>
    <row r="87" customFormat="false" ht="15" hidden="false" customHeight="false" outlineLevel="0" collapsed="false">
      <c r="A87" s="11" t="s">
        <v>18</v>
      </c>
      <c r="B87" s="12" t="s">
        <v>384</v>
      </c>
      <c r="C87" s="13" t="n">
        <f aca="false">100000+116500+65000+30000+50000+5000</f>
        <v>366500</v>
      </c>
      <c r="D87" s="13" t="n">
        <f aca="false">E87-C87</f>
        <v>0</v>
      </c>
      <c r="E87" s="13" t="n">
        <v>366500</v>
      </c>
      <c r="I87" s="1" t="n">
        <f aca="false">SUM(I72:I86)</f>
        <v>15011805</v>
      </c>
      <c r="J87" s="1" t="n">
        <f aca="false">SUM(J72:J86)</f>
        <v>183548</v>
      </c>
    </row>
    <row r="88" customFormat="false" ht="15" hidden="false" customHeight="false" outlineLevel="0" collapsed="false">
      <c r="A88" s="11" t="s">
        <v>20</v>
      </c>
      <c r="B88" s="12" t="s">
        <v>385</v>
      </c>
      <c r="C88" s="13" t="n">
        <f aca="false">150000+200000+1500+16500</f>
        <v>368000</v>
      </c>
      <c r="D88" s="13" t="n">
        <f aca="false">E88-C88</f>
        <v>-1500</v>
      </c>
      <c r="E88" s="13" t="n">
        <v>366500</v>
      </c>
    </row>
    <row r="89" customFormat="false" ht="15" hidden="false" customHeight="false" outlineLevel="0" collapsed="false">
      <c r="A89" s="11" t="s">
        <v>22</v>
      </c>
      <c r="B89" s="12" t="s">
        <v>386</v>
      </c>
      <c r="C89" s="13" t="n">
        <f aca="false">120000+80000+90000+76500</f>
        <v>366500</v>
      </c>
      <c r="D89" s="13" t="n">
        <f aca="false">E89-C89</f>
        <v>0</v>
      </c>
      <c r="E89" s="13" t="n">
        <v>366500</v>
      </c>
    </row>
    <row r="90" customFormat="false" ht="15" hidden="false" customHeight="false" outlineLevel="0" collapsed="false">
      <c r="A90" s="11" t="s">
        <v>24</v>
      </c>
      <c r="B90" s="12" t="s">
        <v>387</v>
      </c>
      <c r="C90" s="13" t="n">
        <f aca="false">50000+100000+50000+166500</f>
        <v>366500</v>
      </c>
      <c r="D90" s="13" t="n">
        <f aca="false">E90-C90</f>
        <v>0</v>
      </c>
      <c r="E90" s="13" t="n">
        <v>366500</v>
      </c>
    </row>
    <row r="91" customFormat="false" ht="15" hidden="false" customHeight="false" outlineLevel="0" collapsed="false">
      <c r="A91" s="11" t="s">
        <v>26</v>
      </c>
      <c r="B91" s="12" t="s">
        <v>388</v>
      </c>
      <c r="C91" s="13" t="n">
        <f aca="false">165000+100000+90000+11500</f>
        <v>366500</v>
      </c>
      <c r="D91" s="13" t="n">
        <f aca="false">E91-C91</f>
        <v>0</v>
      </c>
      <c r="E91" s="13" t="n">
        <v>366500</v>
      </c>
    </row>
    <row r="92" customFormat="false" ht="15" hidden="false" customHeight="false" outlineLevel="0" collapsed="false">
      <c r="A92" s="11" t="s">
        <v>28</v>
      </c>
      <c r="B92" s="12" t="s">
        <v>389</v>
      </c>
      <c r="C92" s="13" t="n">
        <f aca="false">100000+190000+70000+6500</f>
        <v>366500</v>
      </c>
      <c r="D92" s="13" t="n">
        <f aca="false">E92-C92</f>
        <v>0</v>
      </c>
      <c r="E92" s="13" t="n">
        <v>366500</v>
      </c>
    </row>
    <row r="93" customFormat="false" ht="15" hidden="false" customHeight="false" outlineLevel="0" collapsed="false">
      <c r="A93" s="11" t="s">
        <v>30</v>
      </c>
      <c r="B93" s="12" t="s">
        <v>390</v>
      </c>
      <c r="C93" s="13" t="n">
        <f aca="false">40250+326250</f>
        <v>366500</v>
      </c>
      <c r="D93" s="13" t="n">
        <f aca="false">E93-C93</f>
        <v>0</v>
      </c>
      <c r="E93" s="13" t="n">
        <v>366500</v>
      </c>
    </row>
    <row r="94" customFormat="false" ht="15" hidden="false" customHeight="false" outlineLevel="0" collapsed="false">
      <c r="A94" s="11" t="s">
        <v>32</v>
      </c>
      <c r="B94" s="12" t="s">
        <v>391</v>
      </c>
      <c r="C94" s="13" t="n">
        <f aca="false">90000+110000+166500</f>
        <v>366500</v>
      </c>
      <c r="D94" s="13" t="n">
        <f aca="false">E94-C94</f>
        <v>0</v>
      </c>
      <c r="E94" s="13" t="n">
        <v>366500</v>
      </c>
    </row>
    <row r="95" customFormat="false" ht="15" hidden="false" customHeight="false" outlineLevel="0" collapsed="false">
      <c r="A95" s="11" t="s">
        <v>34</v>
      </c>
      <c r="B95" s="12" t="s">
        <v>392</v>
      </c>
      <c r="C95" s="13" t="n">
        <f aca="false">170000+15000+1500+115000+65000</f>
        <v>366500</v>
      </c>
      <c r="D95" s="13" t="n">
        <f aca="false">E95-C95</f>
        <v>0</v>
      </c>
      <c r="E95" s="13" t="n">
        <v>366500</v>
      </c>
    </row>
    <row r="96" customFormat="false" ht="15" hidden="false" customHeight="false" outlineLevel="0" collapsed="false">
      <c r="A96" s="11" t="s">
        <v>36</v>
      </c>
      <c r="B96" s="12" t="s">
        <v>393</v>
      </c>
      <c r="C96" s="13" t="n">
        <f aca="false">150000+200000+16500</f>
        <v>366500</v>
      </c>
      <c r="D96" s="13" t="n">
        <f aca="false">E96-C96</f>
        <v>0</v>
      </c>
      <c r="E96" s="13" t="n">
        <v>366500</v>
      </c>
    </row>
    <row r="97" customFormat="false" ht="15" hidden="false" customHeight="false" outlineLevel="0" collapsed="false">
      <c r="A97" s="11" t="s">
        <v>38</v>
      </c>
      <c r="B97" s="12" t="s">
        <v>394</v>
      </c>
      <c r="C97" s="13" t="n">
        <f aca="false">115000+185000+66000+500</f>
        <v>366500</v>
      </c>
      <c r="D97" s="13" t="n">
        <f aca="false">E97-C97</f>
        <v>0</v>
      </c>
      <c r="E97" s="13" t="n">
        <v>366500</v>
      </c>
    </row>
    <row r="98" customFormat="false" ht="15" hidden="false" customHeight="false" outlineLevel="0" collapsed="false">
      <c r="A98" s="11" t="s">
        <v>40</v>
      </c>
      <c r="B98" s="12" t="s">
        <v>395</v>
      </c>
      <c r="C98" s="13" t="n">
        <f aca="false">100000+90000+45000+15000+70000+46500</f>
        <v>366500</v>
      </c>
      <c r="D98" s="13" t="n">
        <f aca="false">E98-C98</f>
        <v>0</v>
      </c>
      <c r="E98" s="13" t="n">
        <v>366500</v>
      </c>
    </row>
    <row r="99" customFormat="false" ht="15" hidden="false" customHeight="false" outlineLevel="0" collapsed="false">
      <c r="A99" s="11" t="s">
        <v>42</v>
      </c>
      <c r="B99" s="12" t="s">
        <v>396</v>
      </c>
      <c r="C99" s="13" t="n">
        <f aca="false">30000+70000+85000+15000</f>
        <v>200000</v>
      </c>
      <c r="D99" s="13" t="n">
        <f aca="false">E99-C99</f>
        <v>166500</v>
      </c>
      <c r="E99" s="13" t="n">
        <v>366500</v>
      </c>
    </row>
    <row r="100" customFormat="false" ht="15" hidden="false" customHeight="false" outlineLevel="0" collapsed="false">
      <c r="A100" s="11" t="s">
        <v>44</v>
      </c>
      <c r="B100" s="12" t="s">
        <v>397</v>
      </c>
      <c r="C100" s="13" t="n">
        <f aca="false">5000+45000</f>
        <v>50000</v>
      </c>
      <c r="D100" s="13" t="n">
        <f aca="false">E100-C100</f>
        <v>316500</v>
      </c>
      <c r="E100" s="13" t="n">
        <v>366500</v>
      </c>
    </row>
    <row r="101" customFormat="false" ht="15" hidden="false" customHeight="false" outlineLevel="0" collapsed="false">
      <c r="A101" s="11" t="s">
        <v>46</v>
      </c>
      <c r="B101" s="12" t="s">
        <v>398</v>
      </c>
      <c r="C101" s="13" t="n">
        <f aca="false">75000+276500+15000</f>
        <v>366500</v>
      </c>
      <c r="D101" s="13" t="n">
        <f aca="false">E101-C101</f>
        <v>0</v>
      </c>
      <c r="E101" s="13" t="n">
        <v>366500</v>
      </c>
    </row>
    <row r="102" customFormat="false" ht="15" hidden="false" customHeight="false" outlineLevel="0" collapsed="false">
      <c r="A102" s="11" t="s">
        <v>48</v>
      </c>
      <c r="B102" s="12" t="s">
        <v>399</v>
      </c>
      <c r="C102" s="13" t="n">
        <f aca="false">33500+333000</f>
        <v>366500</v>
      </c>
      <c r="D102" s="13" t="n">
        <f aca="false">E102-C102</f>
        <v>0</v>
      </c>
      <c r="E102" s="13" t="n">
        <v>366500</v>
      </c>
    </row>
    <row r="103" customFormat="false" ht="15" hidden="false" customHeight="false" outlineLevel="0" collapsed="false">
      <c r="A103" s="15" t="s">
        <v>98</v>
      </c>
      <c r="B103" s="15"/>
      <c r="C103" s="16" t="n">
        <f aca="false">SUM(C82:C102)</f>
        <v>6903000</v>
      </c>
      <c r="D103" s="16" t="n">
        <f aca="false">E103-C103</f>
        <v>793500</v>
      </c>
      <c r="E103" s="16" t="n">
        <f aca="false">SUM(E82:E102)</f>
        <v>7696500</v>
      </c>
    </row>
    <row r="104" customFormat="false" ht="17.35" hidden="false" customHeight="false" outlineLevel="0" collapsed="false">
      <c r="A104" s="5" t="s">
        <v>400</v>
      </c>
      <c r="B104" s="28"/>
      <c r="C104" s="6"/>
      <c r="D104" s="6"/>
      <c r="E104" s="7"/>
    </row>
    <row r="105" customFormat="false" ht="15" hidden="false" customHeight="false" outlineLevel="0" collapsed="false">
      <c r="A105" s="15" t="s">
        <v>3</v>
      </c>
      <c r="B105" s="15" t="s">
        <v>4</v>
      </c>
      <c r="C105" s="17" t="s">
        <v>5</v>
      </c>
      <c r="D105" s="15" t="s">
        <v>6</v>
      </c>
      <c r="E105" s="16" t="s">
        <v>7</v>
      </c>
    </row>
    <row r="106" customFormat="false" ht="15" hidden="false" customHeight="false" outlineLevel="0" collapsed="false">
      <c r="A106" s="11" t="s">
        <v>8</v>
      </c>
      <c r="B106" s="12" t="s">
        <v>401</v>
      </c>
      <c r="C106" s="13" t="n">
        <f aca="false">90000+160000+116500</f>
        <v>366500</v>
      </c>
      <c r="D106" s="13" t="n">
        <f aca="false">E106-C106</f>
        <v>0</v>
      </c>
      <c r="E106" s="13" t="n">
        <v>366500</v>
      </c>
    </row>
    <row r="107" customFormat="false" ht="15" hidden="false" customHeight="false" outlineLevel="0" collapsed="false">
      <c r="A107" s="11" t="s">
        <v>10</v>
      </c>
      <c r="B107" s="12" t="s">
        <v>402</v>
      </c>
      <c r="C107" s="13" t="n">
        <f aca="false">100000+266500</f>
        <v>366500</v>
      </c>
      <c r="D107" s="13" t="n">
        <f aca="false">E107-C107</f>
        <v>0</v>
      </c>
      <c r="E107" s="13" t="n">
        <v>366500</v>
      </c>
    </row>
    <row r="108" customFormat="false" ht="15" hidden="false" customHeight="false" outlineLevel="0" collapsed="false">
      <c r="A108" s="11" t="s">
        <v>12</v>
      </c>
      <c r="B108" s="12" t="s">
        <v>403</v>
      </c>
      <c r="C108" s="13" t="n">
        <f aca="false">100000+50000+100000+116500</f>
        <v>366500</v>
      </c>
      <c r="D108" s="13" t="n">
        <f aca="false">E108-C108</f>
        <v>0</v>
      </c>
      <c r="E108" s="13" t="n">
        <v>366500</v>
      </c>
    </row>
    <row r="109" customFormat="false" ht="15" hidden="false" customHeight="false" outlineLevel="0" collapsed="false">
      <c r="A109" s="11" t="s">
        <v>14</v>
      </c>
      <c r="B109" s="12" t="s">
        <v>404</v>
      </c>
      <c r="C109" s="13" t="n">
        <f aca="false">100000+200000+66500</f>
        <v>366500</v>
      </c>
      <c r="D109" s="13" t="n">
        <f aca="false">E109-C109</f>
        <v>0</v>
      </c>
      <c r="E109" s="13" t="n">
        <v>366500</v>
      </c>
    </row>
    <row r="110" customFormat="false" ht="15" hidden="false" customHeight="false" outlineLevel="0" collapsed="false">
      <c r="A110" s="11" t="s">
        <v>16</v>
      </c>
      <c r="B110" s="12" t="s">
        <v>405</v>
      </c>
      <c r="C110" s="13" t="n">
        <f aca="false">150000+100000+67000+41000+8500</f>
        <v>366500</v>
      </c>
      <c r="D110" s="13" t="n">
        <f aca="false">E110-C110</f>
        <v>0</v>
      </c>
      <c r="E110" s="13" t="n">
        <v>366500</v>
      </c>
    </row>
    <row r="111" customFormat="false" ht="15" hidden="false" customHeight="false" outlineLevel="0" collapsed="false">
      <c r="A111" s="11" t="s">
        <v>18</v>
      </c>
      <c r="B111" s="12" t="s">
        <v>406</v>
      </c>
      <c r="C111" s="13" t="n">
        <f aca="false">100000+100000+166500</f>
        <v>366500</v>
      </c>
      <c r="D111" s="13" t="n">
        <f aca="false">E111-C111</f>
        <v>0</v>
      </c>
      <c r="E111" s="13" t="n">
        <v>366500</v>
      </c>
    </row>
    <row r="112" customFormat="false" ht="15" hidden="false" customHeight="false" outlineLevel="0" collapsed="false">
      <c r="A112" s="11" t="s">
        <v>20</v>
      </c>
      <c r="B112" s="12" t="s">
        <v>407</v>
      </c>
      <c r="C112" s="13" t="n">
        <f aca="false">140000+166500+60000</f>
        <v>366500</v>
      </c>
      <c r="D112" s="13" t="n">
        <f aca="false">E112-C112</f>
        <v>0</v>
      </c>
      <c r="E112" s="13" t="n">
        <v>366500</v>
      </c>
    </row>
    <row r="113" customFormat="false" ht="15" hidden="false" customHeight="false" outlineLevel="0" collapsed="false">
      <c r="A113" s="11" t="s">
        <v>22</v>
      </c>
      <c r="B113" s="12" t="s">
        <v>408</v>
      </c>
      <c r="C113" s="13" t="n">
        <f aca="false">200000+100000+66500</f>
        <v>366500</v>
      </c>
      <c r="D113" s="13" t="n">
        <f aca="false">E113-C113</f>
        <v>0</v>
      </c>
      <c r="E113" s="13" t="n">
        <v>366500</v>
      </c>
    </row>
    <row r="114" customFormat="false" ht="15" hidden="false" customHeight="false" outlineLevel="0" collapsed="false">
      <c r="A114" s="11" t="s">
        <v>24</v>
      </c>
      <c r="B114" s="12" t="s">
        <v>409</v>
      </c>
      <c r="C114" s="13" t="n">
        <f aca="false">150000+30000+186500</f>
        <v>366500</v>
      </c>
      <c r="D114" s="13" t="n">
        <f aca="false">E114-C114</f>
        <v>0</v>
      </c>
      <c r="E114" s="13" t="n">
        <v>366500</v>
      </c>
    </row>
    <row r="115" customFormat="false" ht="15" hidden="false" customHeight="false" outlineLevel="0" collapsed="false">
      <c r="A115" s="11" t="s">
        <v>26</v>
      </c>
      <c r="B115" s="12" t="s">
        <v>410</v>
      </c>
      <c r="C115" s="13" t="n">
        <f aca="false">90000+60000+70000+145500+1000</f>
        <v>366500</v>
      </c>
      <c r="D115" s="13" t="n">
        <f aca="false">E115-C115</f>
        <v>0</v>
      </c>
      <c r="E115" s="13" t="n">
        <v>366500</v>
      </c>
    </row>
    <row r="116" customFormat="false" ht="15" hidden="false" customHeight="false" outlineLevel="0" collapsed="false">
      <c r="A116" s="11" t="s">
        <v>28</v>
      </c>
      <c r="B116" s="12" t="s">
        <v>411</v>
      </c>
      <c r="C116" s="13" t="n">
        <f aca="false">150000+150000+66500</f>
        <v>366500</v>
      </c>
      <c r="D116" s="13" t="n">
        <f aca="false">E116-C116</f>
        <v>0</v>
      </c>
      <c r="E116" s="13" t="n">
        <v>366500</v>
      </c>
    </row>
    <row r="117" customFormat="false" ht="15" hidden="false" customHeight="false" outlineLevel="0" collapsed="false">
      <c r="A117" s="11" t="s">
        <v>30</v>
      </c>
      <c r="B117" s="12" t="s">
        <v>412</v>
      </c>
      <c r="C117" s="13" t="n">
        <f aca="false">30000+150000+186500</f>
        <v>366500</v>
      </c>
      <c r="D117" s="13" t="n">
        <f aca="false">E117-C117</f>
        <v>0</v>
      </c>
      <c r="E117" s="13" t="n">
        <v>366500</v>
      </c>
    </row>
    <row r="118" customFormat="false" ht="15" hidden="false" customHeight="false" outlineLevel="0" collapsed="false">
      <c r="A118" s="11" t="s">
        <v>32</v>
      </c>
      <c r="B118" s="12" t="s">
        <v>413</v>
      </c>
      <c r="C118" s="13" t="n">
        <f aca="false">100000+50000+170000+45500+1000</f>
        <v>366500</v>
      </c>
      <c r="D118" s="13" t="n">
        <f aca="false">E118-C118</f>
        <v>0</v>
      </c>
      <c r="E118" s="13" t="n">
        <v>366500</v>
      </c>
    </row>
    <row r="119" customFormat="false" ht="15" hidden="false" customHeight="false" outlineLevel="0" collapsed="false">
      <c r="A119" s="11" t="s">
        <v>34</v>
      </c>
      <c r="B119" s="12" t="s">
        <v>414</v>
      </c>
      <c r="C119" s="13" t="n">
        <f aca="false">100000+50000+216500</f>
        <v>366500</v>
      </c>
      <c r="D119" s="13" t="n">
        <f aca="false">E119-C119</f>
        <v>0</v>
      </c>
      <c r="E119" s="13" t="n">
        <v>366500</v>
      </c>
    </row>
    <row r="120" customFormat="false" ht="15" hidden="false" customHeight="false" outlineLevel="0" collapsed="false">
      <c r="A120" s="11" t="s">
        <v>36</v>
      </c>
      <c r="B120" s="12" t="s">
        <v>415</v>
      </c>
      <c r="C120" s="13" t="n">
        <f aca="false">200000+100000+50000+16500</f>
        <v>366500</v>
      </c>
      <c r="D120" s="13" t="n">
        <f aca="false">E120-C120</f>
        <v>0</v>
      </c>
      <c r="E120" s="13" t="n">
        <v>366500</v>
      </c>
    </row>
    <row r="121" customFormat="false" ht="15" hidden="false" customHeight="false" outlineLevel="0" collapsed="false">
      <c r="A121" s="11" t="s">
        <v>38</v>
      </c>
      <c r="B121" s="12" t="s">
        <v>416</v>
      </c>
      <c r="C121" s="13" t="n">
        <f aca="false">170000+140000+56500</f>
        <v>366500</v>
      </c>
      <c r="D121" s="13" t="n">
        <f aca="false">E121-C121</f>
        <v>0</v>
      </c>
      <c r="E121" s="13" t="n">
        <v>366500</v>
      </c>
    </row>
    <row r="122" customFormat="false" ht="15" hidden="false" customHeight="false" outlineLevel="0" collapsed="false">
      <c r="A122" s="26"/>
      <c r="B122" s="27" t="s">
        <v>207</v>
      </c>
      <c r="C122" s="16" t="n">
        <f aca="false">SUM(C106:C121)</f>
        <v>5864000</v>
      </c>
      <c r="D122" s="16" t="n">
        <f aca="false">E122-C122</f>
        <v>0</v>
      </c>
      <c r="E122" s="16" t="n">
        <f aca="false">SUM(E106:E121)</f>
        <v>5864000</v>
      </c>
    </row>
    <row r="123" customFormat="false" ht="17.35" hidden="false" customHeight="false" outlineLevel="0" collapsed="false">
      <c r="A123" s="5" t="s">
        <v>417</v>
      </c>
      <c r="B123" s="28"/>
      <c r="C123" s="6"/>
      <c r="D123" s="6"/>
      <c r="E123" s="7"/>
    </row>
    <row r="124" customFormat="false" ht="15" hidden="false" customHeight="false" outlineLevel="0" collapsed="false">
      <c r="A124" s="15" t="s">
        <v>3</v>
      </c>
      <c r="B124" s="15" t="s">
        <v>4</v>
      </c>
      <c r="C124" s="17" t="s">
        <v>5</v>
      </c>
      <c r="D124" s="15" t="s">
        <v>6</v>
      </c>
      <c r="E124" s="16" t="s">
        <v>7</v>
      </c>
    </row>
    <row r="125" customFormat="false" ht="15" hidden="false" customHeight="false" outlineLevel="0" collapsed="false">
      <c r="A125" s="11" t="s">
        <v>8</v>
      </c>
      <c r="B125" s="12" t="s">
        <v>418</v>
      </c>
      <c r="C125" s="13" t="n">
        <f aca="false">150000+216500</f>
        <v>366500</v>
      </c>
      <c r="D125" s="13" t="n">
        <f aca="false">E125-C125</f>
        <v>0</v>
      </c>
      <c r="E125" s="13" t="n">
        <v>366500</v>
      </c>
    </row>
    <row r="126" customFormat="false" ht="15" hidden="false" customHeight="false" outlineLevel="0" collapsed="false">
      <c r="A126" s="11" t="s">
        <v>10</v>
      </c>
      <c r="B126" s="12" t="s">
        <v>419</v>
      </c>
      <c r="C126" s="13" t="n">
        <f aca="false">100000+266500</f>
        <v>366500</v>
      </c>
      <c r="D126" s="13" t="n">
        <f aca="false">E126-C126</f>
        <v>0</v>
      </c>
      <c r="E126" s="13" t="n">
        <v>366500</v>
      </c>
    </row>
    <row r="127" customFormat="false" ht="15" hidden="false" customHeight="false" outlineLevel="0" collapsed="false">
      <c r="A127" s="11" t="s">
        <v>12</v>
      </c>
      <c r="B127" s="12" t="s">
        <v>420</v>
      </c>
      <c r="C127" s="13" t="n">
        <f aca="false">100000+50000+50000+50000+116500</f>
        <v>366500</v>
      </c>
      <c r="D127" s="13" t="n">
        <f aca="false">E127-C127</f>
        <v>0</v>
      </c>
      <c r="E127" s="13" t="n">
        <v>366500</v>
      </c>
    </row>
    <row r="128" customFormat="false" ht="15" hidden="false" customHeight="false" outlineLevel="0" collapsed="false">
      <c r="A128" s="11" t="s">
        <v>14</v>
      </c>
      <c r="B128" s="12" t="s">
        <v>421</v>
      </c>
      <c r="C128" s="13" t="n">
        <f aca="false">200000+166500</f>
        <v>366500</v>
      </c>
      <c r="D128" s="13" t="n">
        <f aca="false">E128-C128</f>
        <v>0</v>
      </c>
      <c r="E128" s="13" t="n">
        <v>366500</v>
      </c>
    </row>
    <row r="129" customFormat="false" ht="15" hidden="false" customHeight="false" outlineLevel="0" collapsed="false">
      <c r="A129" s="11" t="s">
        <v>16</v>
      </c>
      <c r="B129" s="12" t="s">
        <v>422</v>
      </c>
      <c r="C129" s="13" t="n">
        <f aca="false">15000+101500+100000+50000+100000</f>
        <v>366500</v>
      </c>
      <c r="D129" s="13" t="n">
        <f aca="false">E129-C129</f>
        <v>0</v>
      </c>
      <c r="E129" s="13" t="n">
        <v>366500</v>
      </c>
    </row>
    <row r="130" customFormat="false" ht="15" hidden="false" customHeight="false" outlineLevel="0" collapsed="false">
      <c r="A130" s="11" t="s">
        <v>18</v>
      </c>
      <c r="B130" s="12" t="s">
        <v>423</v>
      </c>
      <c r="C130" s="13" t="n">
        <f aca="false">200000+166500</f>
        <v>366500</v>
      </c>
      <c r="D130" s="13" t="n">
        <f aca="false">E130-C130</f>
        <v>0</v>
      </c>
      <c r="E130" s="13" t="n">
        <v>366500</v>
      </c>
    </row>
    <row r="131" customFormat="false" ht="15" hidden="false" customHeight="false" outlineLevel="0" collapsed="false">
      <c r="A131" s="11" t="s">
        <v>20</v>
      </c>
      <c r="B131" s="12" t="s">
        <v>424</v>
      </c>
      <c r="C131" s="13" t="n">
        <f aca="false">150000+190000+26500</f>
        <v>366500</v>
      </c>
      <c r="D131" s="13" t="n">
        <f aca="false">E131-C131</f>
        <v>0</v>
      </c>
      <c r="E131" s="13" t="n">
        <v>366500</v>
      </c>
    </row>
    <row r="132" customFormat="false" ht="15" hidden="false" customHeight="false" outlineLevel="0" collapsed="false">
      <c r="A132" s="11" t="s">
        <v>22</v>
      </c>
      <c r="B132" s="12" t="s">
        <v>425</v>
      </c>
      <c r="C132" s="13" t="n">
        <f aca="false">270000+95000+1500</f>
        <v>366500</v>
      </c>
      <c r="D132" s="13" t="n">
        <f aca="false">E132-C132</f>
        <v>0</v>
      </c>
      <c r="E132" s="13" t="n">
        <v>366500</v>
      </c>
    </row>
    <row r="133" customFormat="false" ht="15" hidden="false" customHeight="false" outlineLevel="0" collapsed="false">
      <c r="A133" s="11" t="s">
        <v>24</v>
      </c>
      <c r="B133" s="12" t="s">
        <v>426</v>
      </c>
      <c r="C133" s="13" t="n">
        <f aca="false">200000+70000+96500</f>
        <v>366500</v>
      </c>
      <c r="D133" s="13" t="n">
        <f aca="false">E133-C133</f>
        <v>0</v>
      </c>
      <c r="E133" s="13" t="n">
        <v>366500</v>
      </c>
    </row>
    <row r="134" customFormat="false" ht="15" hidden="false" customHeight="false" outlineLevel="0" collapsed="false">
      <c r="A134" s="11" t="s">
        <v>26</v>
      </c>
      <c r="B134" s="12" t="s">
        <v>427</v>
      </c>
      <c r="C134" s="13" t="n">
        <f aca="false">180000+186500</f>
        <v>366500</v>
      </c>
      <c r="D134" s="13" t="n">
        <f aca="false">E134-C134</f>
        <v>0</v>
      </c>
      <c r="E134" s="13" t="n">
        <v>366500</v>
      </c>
    </row>
    <row r="135" customFormat="false" ht="15" hidden="false" customHeight="false" outlineLevel="0" collapsed="false">
      <c r="A135" s="11" t="s">
        <v>28</v>
      </c>
      <c r="B135" s="12" t="s">
        <v>428</v>
      </c>
      <c r="C135" s="13" t="n">
        <f aca="false">200000+15000+151500</f>
        <v>366500</v>
      </c>
      <c r="D135" s="13" t="n">
        <f aca="false">E135-C135</f>
        <v>0</v>
      </c>
      <c r="E135" s="13" t="n">
        <v>366500</v>
      </c>
    </row>
    <row r="136" customFormat="false" ht="15" hidden="false" customHeight="false" outlineLevel="0" collapsed="false">
      <c r="A136" s="11" t="s">
        <v>30</v>
      </c>
      <c r="B136" s="12" t="s">
        <v>429</v>
      </c>
      <c r="C136" s="13" t="n">
        <f aca="false">150000+201500+15000</f>
        <v>366500</v>
      </c>
      <c r="D136" s="13" t="n">
        <f aca="false">E136-C136</f>
        <v>0</v>
      </c>
      <c r="E136" s="13" t="n">
        <v>366500</v>
      </c>
    </row>
    <row r="137" customFormat="false" ht="15" hidden="false" customHeight="false" outlineLevel="0" collapsed="false">
      <c r="A137" s="11" t="s">
        <v>32</v>
      </c>
      <c r="B137" s="12" t="s">
        <v>430</v>
      </c>
      <c r="C137" s="13" t="n">
        <f aca="false">190000+176500</f>
        <v>366500</v>
      </c>
      <c r="D137" s="13" t="n">
        <f aca="false">E137-C137</f>
        <v>0</v>
      </c>
      <c r="E137" s="13" t="n">
        <v>366500</v>
      </c>
    </row>
    <row r="138" customFormat="false" ht="15" hidden="false" customHeight="false" outlineLevel="0" collapsed="false">
      <c r="A138" s="11" t="s">
        <v>34</v>
      </c>
      <c r="B138" s="12" t="s">
        <v>431</v>
      </c>
      <c r="C138" s="13" t="n">
        <f aca="false">100000+120000+16500+80000+50000</f>
        <v>366500</v>
      </c>
      <c r="D138" s="13" t="n">
        <f aca="false">E138-C138</f>
        <v>0</v>
      </c>
      <c r="E138" s="13" t="n">
        <v>366500</v>
      </c>
    </row>
    <row r="139" customFormat="false" ht="15" hidden="false" customHeight="false" outlineLevel="0" collapsed="false">
      <c r="A139" s="11" t="s">
        <v>36</v>
      </c>
      <c r="B139" s="12" t="s">
        <v>432</v>
      </c>
      <c r="C139" s="13" t="n">
        <f aca="false">200000+151500+15000</f>
        <v>366500</v>
      </c>
      <c r="D139" s="13" t="n">
        <f aca="false">E139-C139</f>
        <v>0</v>
      </c>
      <c r="E139" s="13" t="n">
        <v>366500</v>
      </c>
    </row>
    <row r="140" customFormat="false" ht="15" hidden="false" customHeight="false" outlineLevel="0" collapsed="false">
      <c r="A140" s="11" t="s">
        <v>38</v>
      </c>
      <c r="B140" s="12" t="s">
        <v>433</v>
      </c>
      <c r="C140" s="13" t="n">
        <f aca="false">88500+65000+100000+50000+50000+13000</f>
        <v>366500</v>
      </c>
      <c r="D140" s="13" t="n">
        <f aca="false">E140-C140</f>
        <v>0</v>
      </c>
      <c r="E140" s="13" t="n">
        <v>366500</v>
      </c>
    </row>
    <row r="141" customFormat="false" ht="15" hidden="false" customHeight="false" outlineLevel="0" collapsed="false">
      <c r="A141" s="11" t="s">
        <v>40</v>
      </c>
      <c r="B141" s="12" t="s">
        <v>434</v>
      </c>
      <c r="C141" s="13" t="n">
        <f aca="false">140000+226500</f>
        <v>366500</v>
      </c>
      <c r="D141" s="13" t="n">
        <f aca="false">E141-C141</f>
        <v>0</v>
      </c>
      <c r="E141" s="13" t="n">
        <v>366500</v>
      </c>
    </row>
    <row r="142" customFormat="false" ht="15" hidden="false" customHeight="false" outlineLevel="0" collapsed="false">
      <c r="A142" s="11" t="s">
        <v>42</v>
      </c>
      <c r="B142" s="12" t="s">
        <v>435</v>
      </c>
      <c r="C142" s="13" t="n">
        <f aca="false">145000+210000+6500+5000</f>
        <v>366500</v>
      </c>
      <c r="D142" s="13" t="n">
        <f aca="false">E142-C142</f>
        <v>0</v>
      </c>
      <c r="E142" s="13" t="n">
        <v>366500</v>
      </c>
    </row>
    <row r="143" customFormat="false" ht="15" hidden="false" customHeight="false" outlineLevel="0" collapsed="false">
      <c r="A143" s="11" t="s">
        <v>44</v>
      </c>
      <c r="B143" s="12" t="s">
        <v>436</v>
      </c>
      <c r="C143" s="13" t="n">
        <f aca="false">50000+50000+150000+50000+36000+30500</f>
        <v>366500</v>
      </c>
      <c r="D143" s="13" t="n">
        <f aca="false">E143-C143</f>
        <v>0</v>
      </c>
      <c r="E143" s="13" t="n">
        <v>366500</v>
      </c>
    </row>
    <row r="144" customFormat="false" ht="15" hidden="false" customHeight="false" outlineLevel="0" collapsed="false">
      <c r="A144" s="11" t="s">
        <v>46</v>
      </c>
      <c r="B144" s="12" t="s">
        <v>437</v>
      </c>
      <c r="C144" s="13" t="n">
        <f aca="false">200000+165500+1000</f>
        <v>366500</v>
      </c>
      <c r="D144" s="13" t="n">
        <f aca="false">E144-C144</f>
        <v>0</v>
      </c>
      <c r="E144" s="13" t="n">
        <v>366500</v>
      </c>
    </row>
    <row r="145" customFormat="false" ht="15" hidden="false" customHeight="false" outlineLevel="0" collapsed="false">
      <c r="A145" s="11" t="s">
        <v>48</v>
      </c>
      <c r="B145" s="12" t="s">
        <v>438</v>
      </c>
      <c r="C145" s="13" t="n">
        <f aca="false">150000+200000+16500</f>
        <v>366500</v>
      </c>
      <c r="D145" s="13" t="n">
        <f aca="false">E145-C145</f>
        <v>0</v>
      </c>
      <c r="E145" s="13" t="n">
        <v>366500</v>
      </c>
    </row>
    <row r="146" customFormat="false" ht="15" hidden="false" customHeight="false" outlineLevel="0" collapsed="false">
      <c r="A146" s="11" t="s">
        <v>50</v>
      </c>
      <c r="B146" s="12" t="s">
        <v>439</v>
      </c>
      <c r="C146" s="13" t="n">
        <f aca="false">150000+33000+150000+33500</f>
        <v>366500</v>
      </c>
      <c r="D146" s="13" t="n">
        <f aca="false">E146-C146</f>
        <v>0</v>
      </c>
      <c r="E146" s="13" t="n">
        <v>366500</v>
      </c>
    </row>
    <row r="147" customFormat="false" ht="15" hidden="false" customHeight="false" outlineLevel="0" collapsed="false">
      <c r="A147" s="11" t="s">
        <v>52</v>
      </c>
      <c r="B147" s="12" t="s">
        <v>440</v>
      </c>
      <c r="C147" s="13" t="n">
        <f aca="false">120000+80000+100000+66500</f>
        <v>366500</v>
      </c>
      <c r="D147" s="13" t="n">
        <f aca="false">E147-C147</f>
        <v>0</v>
      </c>
      <c r="E147" s="13" t="n">
        <v>366500</v>
      </c>
    </row>
    <row r="148" customFormat="false" ht="15" hidden="false" customHeight="false" outlineLevel="0" collapsed="false">
      <c r="A148" s="11" t="s">
        <v>54</v>
      </c>
      <c r="B148" s="12" t="s">
        <v>441</v>
      </c>
      <c r="C148" s="13" t="n">
        <f aca="false">100000+50000</f>
        <v>150000</v>
      </c>
      <c r="D148" s="13" t="n">
        <f aca="false">E148-C148</f>
        <v>216500</v>
      </c>
      <c r="E148" s="13" t="n">
        <v>366500</v>
      </c>
    </row>
    <row r="149" customFormat="false" ht="15" hidden="false" customHeight="false" outlineLevel="0" collapsed="false">
      <c r="A149" s="11" t="s">
        <v>56</v>
      </c>
      <c r="B149" s="12" t="s">
        <v>442</v>
      </c>
      <c r="C149" s="13" t="n">
        <f aca="false">175000+191500</f>
        <v>366500</v>
      </c>
      <c r="D149" s="13" t="n">
        <f aca="false">E149-C149</f>
        <v>0</v>
      </c>
      <c r="E149" s="13" t="n">
        <v>366500</v>
      </c>
    </row>
    <row r="150" customFormat="false" ht="15" hidden="false" customHeight="false" outlineLevel="0" collapsed="false">
      <c r="A150" s="11" t="s">
        <v>58</v>
      </c>
      <c r="B150" s="12" t="s">
        <v>443</v>
      </c>
      <c r="C150" s="13" t="n">
        <f aca="false">200000+166000+500</f>
        <v>366500</v>
      </c>
      <c r="D150" s="13" t="n">
        <f aca="false">E150-C150</f>
        <v>0</v>
      </c>
      <c r="E150" s="13" t="n">
        <v>366500</v>
      </c>
    </row>
    <row r="151" customFormat="false" ht="15" hidden="false" customHeight="false" outlineLevel="0" collapsed="false">
      <c r="A151" s="11" t="s">
        <v>60</v>
      </c>
      <c r="B151" s="12" t="s">
        <v>444</v>
      </c>
      <c r="C151" s="13" t="n">
        <f aca="false">100000+100000+166500</f>
        <v>366500</v>
      </c>
      <c r="D151" s="13" t="n">
        <f aca="false">E151-C151</f>
        <v>0</v>
      </c>
      <c r="E151" s="13" t="n">
        <v>366500</v>
      </c>
    </row>
    <row r="152" customFormat="false" ht="15" hidden="false" customHeight="false" outlineLevel="0" collapsed="false">
      <c r="A152" s="11" t="s">
        <v>62</v>
      </c>
      <c r="B152" s="12" t="s">
        <v>445</v>
      </c>
      <c r="C152" s="13" t="n">
        <f aca="false">50000+48500+51500+50000</f>
        <v>200000</v>
      </c>
      <c r="D152" s="13" t="n">
        <f aca="false">E152-C152</f>
        <v>166500</v>
      </c>
      <c r="E152" s="13" t="n">
        <v>366500</v>
      </c>
    </row>
    <row r="153" customFormat="false" ht="15" hidden="false" customHeight="false" outlineLevel="0" collapsed="false">
      <c r="A153" s="11" t="s">
        <v>64</v>
      </c>
      <c r="B153" s="12" t="s">
        <v>446</v>
      </c>
      <c r="C153" s="13" t="n">
        <f aca="false">190000+176500</f>
        <v>366500</v>
      </c>
      <c r="D153" s="13" t="n">
        <f aca="false">E153-C153</f>
        <v>0</v>
      </c>
      <c r="E153" s="13" t="n">
        <v>366500</v>
      </c>
    </row>
    <row r="154" customFormat="false" ht="15" hidden="false" customHeight="false" outlineLevel="0" collapsed="false">
      <c r="A154" s="11" t="s">
        <v>66</v>
      </c>
      <c r="B154" s="12" t="s">
        <v>447</v>
      </c>
      <c r="C154" s="13" t="n">
        <f aca="false">300000+66500</f>
        <v>366500</v>
      </c>
      <c r="D154" s="13" t="n">
        <f aca="false">E154-C154</f>
        <v>0</v>
      </c>
      <c r="E154" s="13" t="n">
        <v>366500</v>
      </c>
    </row>
    <row r="155" customFormat="false" ht="15" hidden="false" customHeight="false" outlineLevel="0" collapsed="false">
      <c r="A155" s="11" t="s">
        <v>68</v>
      </c>
      <c r="B155" s="12" t="s">
        <v>448</v>
      </c>
      <c r="C155" s="13" t="n">
        <f aca="false">100000+110500+50000+106000</f>
        <v>366500</v>
      </c>
      <c r="D155" s="13" t="n">
        <f aca="false">E155-C155</f>
        <v>0</v>
      </c>
      <c r="E155" s="13" t="n">
        <v>366500</v>
      </c>
    </row>
    <row r="156" customFormat="false" ht="15" hidden="false" customHeight="false" outlineLevel="0" collapsed="false">
      <c r="A156" s="11" t="s">
        <v>70</v>
      </c>
      <c r="B156" s="12" t="s">
        <v>449</v>
      </c>
      <c r="C156" s="13" t="n">
        <f aca="false">150000+110000+106500</f>
        <v>366500</v>
      </c>
      <c r="D156" s="13" t="n">
        <f aca="false">E156-C156</f>
        <v>0</v>
      </c>
      <c r="E156" s="13" t="n">
        <v>366500</v>
      </c>
    </row>
    <row r="157" customFormat="false" ht="15" hidden="false" customHeight="false" outlineLevel="0" collapsed="false">
      <c r="A157" s="11" t="s">
        <v>72</v>
      </c>
      <c r="B157" s="12" t="s">
        <v>450</v>
      </c>
      <c r="C157" s="13" t="n">
        <f aca="false">500+90500+60000+216000</f>
        <v>367000</v>
      </c>
      <c r="D157" s="13" t="n">
        <f aca="false">E157-C157</f>
        <v>-500</v>
      </c>
      <c r="E157" s="13" t="n">
        <v>366500</v>
      </c>
    </row>
    <row r="158" customFormat="false" ht="15" hidden="false" customHeight="false" outlineLevel="0" collapsed="false">
      <c r="A158" s="26"/>
      <c r="B158" s="27" t="s">
        <v>207</v>
      </c>
      <c r="C158" s="16" t="n">
        <f aca="false">SUM(C125:C157)</f>
        <v>11712000</v>
      </c>
      <c r="D158" s="16" t="n">
        <f aca="false">SUM(D125:D157)</f>
        <v>382500</v>
      </c>
      <c r="E158" s="16" t="n">
        <f aca="false">SUM(E125:E157)</f>
        <v>12094500</v>
      </c>
    </row>
  </sheetData>
  <mergeCells count="4">
    <mergeCell ref="A39:B39"/>
    <mergeCell ref="A63:B63"/>
    <mergeCell ref="A78:B78"/>
    <mergeCell ref="A103:B103"/>
  </mergeCells>
  <printOptions headings="false" gridLines="false" gridLinesSet="true" horizontalCentered="false" verticalCentered="false"/>
  <pageMargins left="0.329861111111111" right="0.390277777777778" top="0.320138888888889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66" activeCellId="0" sqref="F6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3" min="3" style="1" width="14.41"/>
    <col collapsed="false" customWidth="true" hidden="false" outlineLevel="0" max="4" min="4" style="1" width="16.43"/>
    <col collapsed="false" customWidth="true" hidden="false" outlineLevel="0" max="5" min="5" style="1" width="14.41"/>
    <col collapsed="false" customWidth="true" hidden="false" outlineLevel="0" max="16384" min="16383" style="0" width="11.53"/>
  </cols>
  <sheetData>
    <row r="3" customFormat="false" ht="17.35" hidden="false" customHeight="false" outlineLevel="0" collapsed="false">
      <c r="A3" s="2"/>
      <c r="B3" s="3" t="s">
        <v>0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2"/>
      <c r="B5" s="4" t="s">
        <v>451</v>
      </c>
      <c r="C5" s="34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7.35" hidden="false" customHeight="false" outlineLevel="0" collapsed="false">
      <c r="A7" s="5" t="s">
        <v>452</v>
      </c>
      <c r="B7" s="6"/>
      <c r="C7" s="6"/>
      <c r="D7" s="6"/>
      <c r="E7" s="7"/>
    </row>
    <row r="8" customFormat="false" ht="15" hidden="false" customHeight="false" outlineLevel="0" collapsed="false">
      <c r="A8" s="15" t="s">
        <v>3</v>
      </c>
      <c r="B8" s="15" t="s">
        <v>4</v>
      </c>
      <c r="C8" s="17" t="s">
        <v>5</v>
      </c>
      <c r="D8" s="15" t="s">
        <v>6</v>
      </c>
      <c r="E8" s="16" t="s">
        <v>7</v>
      </c>
    </row>
    <row r="9" customFormat="false" ht="15" hidden="false" customHeight="false" outlineLevel="0" collapsed="false">
      <c r="A9" s="11" t="s">
        <v>8</v>
      </c>
      <c r="B9" s="12" t="s">
        <v>453</v>
      </c>
      <c r="C9" s="13" t="n">
        <f aca="false">83500+40000+200000+43000</f>
        <v>366500</v>
      </c>
      <c r="D9" s="13" t="n">
        <f aca="false">E9-C9</f>
        <v>0</v>
      </c>
      <c r="E9" s="13" t="n">
        <v>366500</v>
      </c>
    </row>
    <row r="10" customFormat="false" ht="15" hidden="false" customHeight="false" outlineLevel="0" collapsed="false">
      <c r="A10" s="11" t="s">
        <v>10</v>
      </c>
      <c r="B10" s="12" t="s">
        <v>454</v>
      </c>
      <c r="C10" s="13" t="n">
        <f aca="false">200000+100000+66500</f>
        <v>366500</v>
      </c>
      <c r="D10" s="13" t="n">
        <f aca="false">E10-C10</f>
        <v>0</v>
      </c>
      <c r="E10" s="13" t="n">
        <v>366500</v>
      </c>
    </row>
    <row r="11" customFormat="false" ht="15" hidden="false" customHeight="false" outlineLevel="0" collapsed="false">
      <c r="A11" s="11" t="s">
        <v>12</v>
      </c>
      <c r="B11" s="12" t="s">
        <v>455</v>
      </c>
      <c r="C11" s="13" t="n">
        <f aca="false">500+40000+35000+220000+20000+30000+21000</f>
        <v>366500</v>
      </c>
      <c r="D11" s="13" t="n">
        <f aca="false">E11-C11</f>
        <v>0</v>
      </c>
      <c r="E11" s="13" t="n">
        <v>366500</v>
      </c>
    </row>
    <row r="12" customFormat="false" ht="15" hidden="false" customHeight="false" outlineLevel="0" collapsed="false">
      <c r="A12" s="11" t="s">
        <v>14</v>
      </c>
      <c r="B12" s="12" t="s">
        <v>456</v>
      </c>
      <c r="C12" s="13" t="n">
        <v>0</v>
      </c>
      <c r="D12" s="13" t="n">
        <f aca="false">E12-C12</f>
        <v>366500</v>
      </c>
      <c r="E12" s="13" t="n">
        <v>366500</v>
      </c>
    </row>
    <row r="13" customFormat="false" ht="15" hidden="false" customHeight="false" outlineLevel="0" collapsed="false">
      <c r="A13" s="11" t="s">
        <v>16</v>
      </c>
      <c r="B13" s="12" t="s">
        <v>457</v>
      </c>
      <c r="C13" s="13" t="n">
        <f aca="false">200000+122000+45000</f>
        <v>367000</v>
      </c>
      <c r="D13" s="13" t="n">
        <f aca="false">E13-C13</f>
        <v>-500</v>
      </c>
      <c r="E13" s="13" t="n">
        <v>366500</v>
      </c>
    </row>
    <row r="14" customFormat="false" ht="15" hidden="false" customHeight="false" outlineLevel="0" collapsed="false">
      <c r="A14" s="11" t="s">
        <v>18</v>
      </c>
      <c r="B14" s="12" t="s">
        <v>458</v>
      </c>
      <c r="C14" s="13" t="n">
        <f aca="false">150000+150000+66500</f>
        <v>366500</v>
      </c>
      <c r="D14" s="13" t="n">
        <f aca="false">E14-C14</f>
        <v>0</v>
      </c>
      <c r="E14" s="13" t="n">
        <v>366500</v>
      </c>
    </row>
    <row r="15" customFormat="false" ht="15" hidden="false" customHeight="false" outlineLevel="0" collapsed="false">
      <c r="A15" s="11" t="s">
        <v>20</v>
      </c>
      <c r="B15" s="37" t="s">
        <v>459</v>
      </c>
      <c r="C15" s="38" t="n">
        <f aca="false">100000+70000+30000+60000+90000+16500</f>
        <v>366500</v>
      </c>
      <c r="D15" s="38" t="n">
        <f aca="false">E15-C15</f>
        <v>0</v>
      </c>
      <c r="E15" s="38" t="n">
        <v>366500</v>
      </c>
      <c r="F15" s="39"/>
      <c r="G15" s="39"/>
      <c r="H15" s="39"/>
    </row>
    <row r="16" customFormat="false" ht="15" hidden="false" customHeight="false" outlineLevel="0" collapsed="false">
      <c r="A16" s="11" t="s">
        <v>22</v>
      </c>
      <c r="B16" s="40" t="s">
        <v>460</v>
      </c>
      <c r="C16" s="13" t="n">
        <v>0</v>
      </c>
      <c r="D16" s="13" t="n">
        <f aca="false">E16-C16</f>
        <v>366500</v>
      </c>
      <c r="E16" s="13" t="n">
        <v>366500</v>
      </c>
    </row>
    <row r="17" customFormat="false" ht="15" hidden="false" customHeight="false" outlineLevel="0" collapsed="false">
      <c r="A17" s="11" t="s">
        <v>24</v>
      </c>
      <c r="B17" s="12" t="s">
        <v>461</v>
      </c>
      <c r="C17" s="13" t="n">
        <f aca="false">100000+50000+50000+50000+50000+66500</f>
        <v>366500</v>
      </c>
      <c r="D17" s="13" t="n">
        <f aca="false">E17-C17</f>
        <v>0</v>
      </c>
      <c r="E17" s="13" t="n">
        <v>366500</v>
      </c>
    </row>
    <row r="18" customFormat="false" ht="15" hidden="false" customHeight="false" outlineLevel="0" collapsed="false">
      <c r="A18" s="11" t="s">
        <v>26</v>
      </c>
      <c r="B18" s="40" t="s">
        <v>462</v>
      </c>
      <c r="C18" s="13" t="n">
        <f aca="false">115000</f>
        <v>115000</v>
      </c>
      <c r="D18" s="13" t="n">
        <f aca="false">E18-C18</f>
        <v>251500</v>
      </c>
      <c r="E18" s="13" t="n">
        <v>366500</v>
      </c>
    </row>
    <row r="19" customFormat="false" ht="15" hidden="false" customHeight="false" outlineLevel="0" collapsed="false">
      <c r="A19" s="11" t="s">
        <v>28</v>
      </c>
      <c r="B19" s="12" t="s">
        <v>463</v>
      </c>
      <c r="C19" s="13" t="n">
        <f aca="false">100000+100000+110000</f>
        <v>310000</v>
      </c>
      <c r="D19" s="13" t="n">
        <f aca="false">E19-C19</f>
        <v>56500</v>
      </c>
      <c r="E19" s="13" t="n">
        <v>366500</v>
      </c>
    </row>
    <row r="20" customFormat="false" ht="15" hidden="false" customHeight="false" outlineLevel="0" collapsed="false">
      <c r="A20" s="11" t="s">
        <v>30</v>
      </c>
      <c r="B20" s="12" t="s">
        <v>464</v>
      </c>
      <c r="C20" s="13" t="n">
        <f aca="false">80000+136500+150000</f>
        <v>366500</v>
      </c>
      <c r="D20" s="13" t="n">
        <f aca="false">E20-C20</f>
        <v>0</v>
      </c>
      <c r="E20" s="13" t="n">
        <v>366500</v>
      </c>
    </row>
    <row r="21" customFormat="false" ht="15" hidden="false" customHeight="false" outlineLevel="0" collapsed="false">
      <c r="A21" s="11" t="s">
        <v>32</v>
      </c>
      <c r="B21" s="12" t="s">
        <v>465</v>
      </c>
      <c r="C21" s="13" t="n">
        <f aca="false">150000+150000+50000+16500</f>
        <v>366500</v>
      </c>
      <c r="D21" s="13" t="n">
        <f aca="false">E21-C21</f>
        <v>0</v>
      </c>
      <c r="E21" s="13" t="n">
        <v>366500</v>
      </c>
    </row>
    <row r="22" customFormat="false" ht="15" hidden="false" customHeight="false" outlineLevel="0" collapsed="false">
      <c r="A22" s="11" t="s">
        <v>34</v>
      </c>
      <c r="B22" s="12" t="s">
        <v>466</v>
      </c>
      <c r="C22" s="13" t="n">
        <v>0</v>
      </c>
      <c r="D22" s="13" t="n">
        <f aca="false">E22-C22</f>
        <v>366500</v>
      </c>
      <c r="E22" s="13" t="n">
        <v>366500</v>
      </c>
    </row>
    <row r="23" customFormat="false" ht="15" hidden="false" customHeight="false" outlineLevel="0" collapsed="false">
      <c r="A23" s="11" t="s">
        <v>36</v>
      </c>
      <c r="B23" s="12" t="s">
        <v>467</v>
      </c>
      <c r="C23" s="13" t="n">
        <f aca="false">200000+50000+116500</f>
        <v>366500</v>
      </c>
      <c r="D23" s="13" t="n">
        <f aca="false">E23-C23</f>
        <v>0</v>
      </c>
      <c r="E23" s="13" t="n">
        <v>366500</v>
      </c>
    </row>
    <row r="24" customFormat="false" ht="15" hidden="false" customHeight="false" outlineLevel="0" collapsed="false">
      <c r="A24" s="11" t="s">
        <v>38</v>
      </c>
      <c r="B24" s="12" t="s">
        <v>468</v>
      </c>
      <c r="C24" s="13" t="n">
        <f aca="false">200000+50000+116500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40</v>
      </c>
      <c r="B25" s="12" t="s">
        <v>469</v>
      </c>
      <c r="C25" s="13" t="n">
        <f aca="false">50000+50000+50000</f>
        <v>150000</v>
      </c>
      <c r="D25" s="13" t="n">
        <f aca="false">E25-C25</f>
        <v>216500</v>
      </c>
      <c r="E25" s="13" t="n">
        <v>366500</v>
      </c>
    </row>
    <row r="26" customFormat="false" ht="15" hidden="false" customHeight="false" outlineLevel="0" collapsed="false">
      <c r="A26" s="11" t="s">
        <v>42</v>
      </c>
      <c r="B26" s="12" t="s">
        <v>470</v>
      </c>
      <c r="C26" s="13" t="n">
        <f aca="false">108000+142000+116500</f>
        <v>366500</v>
      </c>
      <c r="D26" s="13" t="n">
        <f aca="false">E26-C26</f>
        <v>0</v>
      </c>
      <c r="E26" s="13" t="n">
        <v>366500</v>
      </c>
    </row>
    <row r="27" customFormat="false" ht="15" hidden="false" customHeight="false" outlineLevel="0" collapsed="false">
      <c r="A27" s="11" t="s">
        <v>44</v>
      </c>
      <c r="B27" s="12" t="s">
        <v>471</v>
      </c>
      <c r="C27" s="13" t="n">
        <v>366500</v>
      </c>
      <c r="D27" s="13" t="n">
        <f aca="false">E27-C27</f>
        <v>0</v>
      </c>
      <c r="E27" s="13" t="n">
        <v>366500</v>
      </c>
    </row>
    <row r="28" customFormat="false" ht="15" hidden="false" customHeight="false" outlineLevel="0" collapsed="false">
      <c r="A28" s="11" t="s">
        <v>46</v>
      </c>
      <c r="B28" s="12" t="s">
        <v>472</v>
      </c>
      <c r="C28" s="13" t="n">
        <f aca="false">161500+20000+20000+65000+20000+80000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48</v>
      </c>
      <c r="B29" s="12" t="s">
        <v>473</v>
      </c>
      <c r="C29" s="13" t="n">
        <f aca="false">100000+50000+101500+115000</f>
        <v>366500</v>
      </c>
      <c r="D29" s="13" t="n">
        <f aca="false">E29-C29</f>
        <v>0</v>
      </c>
      <c r="E29" s="13" t="n">
        <v>366500</v>
      </c>
    </row>
    <row r="30" customFormat="false" ht="15" hidden="false" customHeight="false" outlineLevel="0" collapsed="false">
      <c r="A30" s="11" t="s">
        <v>50</v>
      </c>
      <c r="B30" s="12" t="s">
        <v>474</v>
      </c>
      <c r="C30" s="13" t="n">
        <f aca="false">13500+5000+35000+135000+11000+40000+15000+15000+97000</f>
        <v>366500</v>
      </c>
      <c r="D30" s="13" t="n">
        <f aca="false">E30-C30</f>
        <v>0</v>
      </c>
      <c r="E30" s="13" t="n">
        <v>366500</v>
      </c>
    </row>
    <row r="31" customFormat="false" ht="15" hidden="false" customHeight="false" outlineLevel="0" collapsed="false">
      <c r="A31" s="11" t="s">
        <v>52</v>
      </c>
      <c r="B31" s="12" t="s">
        <v>475</v>
      </c>
      <c r="C31" s="13" t="n">
        <f aca="false">150000+100000+116500</f>
        <v>366500</v>
      </c>
      <c r="D31" s="13" t="n">
        <f aca="false">E31-C31</f>
        <v>0</v>
      </c>
      <c r="E31" s="13" t="n">
        <v>366500</v>
      </c>
    </row>
    <row r="32" customFormat="false" ht="15" hidden="false" customHeight="false" outlineLevel="0" collapsed="false">
      <c r="A32" s="11" t="s">
        <v>54</v>
      </c>
      <c r="B32" s="12" t="s">
        <v>476</v>
      </c>
      <c r="C32" s="13" t="n">
        <f aca="false">100000+151500+50000</f>
        <v>301500</v>
      </c>
      <c r="D32" s="13" t="n">
        <f aca="false">E32-C32</f>
        <v>65000</v>
      </c>
      <c r="E32" s="13" t="n">
        <v>366500</v>
      </c>
    </row>
    <row r="33" customFormat="false" ht="15" hidden="false" customHeight="false" outlineLevel="0" collapsed="false">
      <c r="A33" s="11" t="s">
        <v>56</v>
      </c>
      <c r="B33" s="12" t="s">
        <v>477</v>
      </c>
      <c r="C33" s="13" t="n">
        <f aca="false">200000+100000+66500</f>
        <v>366500</v>
      </c>
      <c r="D33" s="13" t="n">
        <f aca="false">E33-C33</f>
        <v>0</v>
      </c>
      <c r="E33" s="13" t="n">
        <v>366500</v>
      </c>
    </row>
    <row r="34" customFormat="false" ht="15" hidden="false" customHeight="false" outlineLevel="0" collapsed="false">
      <c r="A34" s="11" t="s">
        <v>58</v>
      </c>
      <c r="B34" s="12" t="s">
        <v>478</v>
      </c>
      <c r="C34" s="13" t="n">
        <f aca="false">116500+100000+110000+38500+1500</f>
        <v>366500</v>
      </c>
      <c r="D34" s="13" t="n">
        <f aca="false">E34-C34</f>
        <v>0</v>
      </c>
      <c r="E34" s="13" t="n">
        <v>366500</v>
      </c>
    </row>
    <row r="35" customFormat="false" ht="15" hidden="false" customHeight="false" outlineLevel="0" collapsed="false">
      <c r="A35" s="11" t="s">
        <v>60</v>
      </c>
      <c r="B35" s="12" t="s">
        <v>479</v>
      </c>
      <c r="C35" s="13" t="n">
        <f aca="false">200500+100000+66000</f>
        <v>366500</v>
      </c>
      <c r="D35" s="13" t="n">
        <f aca="false">E35-C35</f>
        <v>0</v>
      </c>
      <c r="E35" s="13" t="n">
        <v>366500</v>
      </c>
    </row>
    <row r="36" customFormat="false" ht="15" hidden="false" customHeight="false" outlineLevel="0" collapsed="false">
      <c r="A36" s="11" t="s">
        <v>62</v>
      </c>
      <c r="B36" s="12" t="s">
        <v>480</v>
      </c>
      <c r="C36" s="13" t="n">
        <f aca="false">195500+171000</f>
        <v>366500</v>
      </c>
      <c r="D36" s="13" t="n">
        <f aca="false">E36-C36</f>
        <v>0</v>
      </c>
      <c r="E36" s="13" t="n">
        <v>366500</v>
      </c>
    </row>
    <row r="37" customFormat="false" ht="15" hidden="false" customHeight="false" outlineLevel="0" collapsed="false">
      <c r="A37" s="11" t="s">
        <v>64</v>
      </c>
      <c r="B37" s="12" t="s">
        <v>481</v>
      </c>
      <c r="C37" s="13" t="n">
        <f aca="false">366500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1" t="s">
        <v>66</v>
      </c>
      <c r="B38" s="12" t="s">
        <v>482</v>
      </c>
      <c r="C38" s="13" t="n">
        <f aca="false">183500+100000+83000</f>
        <v>366500</v>
      </c>
      <c r="D38" s="13" t="n">
        <f aca="false">E38-C38</f>
        <v>0</v>
      </c>
      <c r="E38" s="13" t="n">
        <v>366500</v>
      </c>
    </row>
    <row r="39" customFormat="false" ht="15" hidden="false" customHeight="false" outlineLevel="0" collapsed="false">
      <c r="A39" s="11" t="s">
        <v>68</v>
      </c>
      <c r="B39" s="12" t="s">
        <v>483</v>
      </c>
      <c r="C39" s="13" t="n">
        <f aca="false">150000+1500+215000</f>
        <v>366500</v>
      </c>
      <c r="D39" s="13" t="n">
        <f aca="false">E39-C39</f>
        <v>0</v>
      </c>
      <c r="E39" s="13" t="n">
        <v>366500</v>
      </c>
    </row>
    <row r="40" customFormat="false" ht="15" hidden="false" customHeight="false" outlineLevel="0" collapsed="false">
      <c r="A40" s="11" t="s">
        <v>70</v>
      </c>
      <c r="B40" s="40" t="s">
        <v>484</v>
      </c>
      <c r="C40" s="41" t="n">
        <v>0</v>
      </c>
      <c r="D40" s="13" t="n">
        <f aca="false">E40-C40</f>
        <v>366500</v>
      </c>
      <c r="E40" s="13" t="n">
        <v>366500</v>
      </c>
    </row>
    <row r="41" customFormat="false" ht="15" hidden="false" customHeight="false" outlineLevel="0" collapsed="false">
      <c r="A41" s="11" t="s">
        <v>72</v>
      </c>
      <c r="B41" s="12" t="s">
        <v>485</v>
      </c>
      <c r="C41" s="13" t="n">
        <f aca="false">25000+75000+130000+20000+71500+45000</f>
        <v>366500</v>
      </c>
      <c r="D41" s="13" t="n">
        <f aca="false">E41-C41</f>
        <v>0</v>
      </c>
      <c r="E41" s="13" t="n">
        <v>366500</v>
      </c>
    </row>
    <row r="42" customFormat="false" ht="15" hidden="false" customHeight="false" outlineLevel="0" collapsed="false">
      <c r="A42" s="11" t="s">
        <v>74</v>
      </c>
      <c r="B42" s="12" t="s">
        <v>486</v>
      </c>
      <c r="C42" s="13" t="n">
        <f aca="false">150000+150000+66500</f>
        <v>366500</v>
      </c>
      <c r="D42" s="13" t="n">
        <f aca="false">E42-C42</f>
        <v>0</v>
      </c>
      <c r="E42" s="13" t="n">
        <v>366500</v>
      </c>
    </row>
    <row r="43" customFormat="false" ht="15" hidden="false" customHeight="false" outlineLevel="0" collapsed="false">
      <c r="A43" s="11" t="s">
        <v>76</v>
      </c>
      <c r="B43" s="12" t="s">
        <v>487</v>
      </c>
      <c r="C43" s="13" t="n">
        <v>0</v>
      </c>
      <c r="D43" s="13" t="n">
        <f aca="false">E43-C43</f>
        <v>366500</v>
      </c>
      <c r="E43" s="13" t="n">
        <v>366500</v>
      </c>
    </row>
    <row r="44" customFormat="false" ht="15" hidden="false" customHeight="false" outlineLevel="0" collapsed="false">
      <c r="A44" s="11" t="s">
        <v>78</v>
      </c>
      <c r="B44" s="12" t="s">
        <v>488</v>
      </c>
      <c r="C44" s="13" t="n">
        <f aca="false">100000</f>
        <v>100000</v>
      </c>
      <c r="D44" s="13" t="n">
        <f aca="false">E44-C44</f>
        <v>266500</v>
      </c>
      <c r="E44" s="13" t="n">
        <v>366500</v>
      </c>
    </row>
    <row r="45" customFormat="false" ht="15" hidden="false" customHeight="false" outlineLevel="0" collapsed="false">
      <c r="A45" s="15" t="s">
        <v>98</v>
      </c>
      <c r="B45" s="15"/>
      <c r="C45" s="16" t="n">
        <f aca="false">SUM(C9:C44)</f>
        <v>10506000</v>
      </c>
      <c r="D45" s="16" t="n">
        <f aca="false">E45-C45</f>
        <v>2688000</v>
      </c>
      <c r="E45" s="16" t="n">
        <f aca="false">SUM(E9:E44)</f>
        <v>13194000</v>
      </c>
    </row>
    <row r="46" customFormat="false" ht="17.35" hidden="false" customHeight="false" outlineLevel="0" collapsed="false">
      <c r="A46" s="5" t="s">
        <v>489</v>
      </c>
      <c r="B46" s="6"/>
      <c r="C46" s="6"/>
      <c r="D46" s="6"/>
      <c r="E46" s="7"/>
    </row>
    <row r="47" customFormat="false" ht="15" hidden="false" customHeight="false" outlineLevel="0" collapsed="false">
      <c r="A47" s="15" t="s">
        <v>3</v>
      </c>
      <c r="B47" s="15" t="s">
        <v>4</v>
      </c>
      <c r="C47" s="17" t="s">
        <v>5</v>
      </c>
      <c r="D47" s="15" t="s">
        <v>6</v>
      </c>
      <c r="E47" s="16" t="s">
        <v>7</v>
      </c>
    </row>
    <row r="48" customFormat="false" ht="15" hidden="false" customHeight="false" outlineLevel="0" collapsed="false">
      <c r="A48" s="11" t="s">
        <v>8</v>
      </c>
      <c r="B48" s="12" t="s">
        <v>490</v>
      </c>
      <c r="C48" s="13" t="n">
        <f aca="false">148500+150000+68000</f>
        <v>366500</v>
      </c>
      <c r="D48" s="13" t="n">
        <f aca="false">E48-C48</f>
        <v>0</v>
      </c>
      <c r="E48" s="13" t="n">
        <v>366500</v>
      </c>
    </row>
    <row r="49" customFormat="false" ht="15" hidden="false" customHeight="false" outlineLevel="0" collapsed="false">
      <c r="A49" s="11" t="s">
        <v>10</v>
      </c>
      <c r="B49" s="12" t="s">
        <v>491</v>
      </c>
      <c r="C49" s="13" t="n">
        <f aca="false">100000+50000+35000+15000+166500</f>
        <v>366500</v>
      </c>
      <c r="D49" s="13" t="n">
        <f aca="false">E49-C49</f>
        <v>0</v>
      </c>
      <c r="E49" s="13" t="n">
        <v>366500</v>
      </c>
    </row>
    <row r="50" customFormat="false" ht="15" hidden="false" customHeight="false" outlineLevel="0" collapsed="false">
      <c r="A50" s="11" t="s">
        <v>12</v>
      </c>
      <c r="B50" s="12" t="s">
        <v>492</v>
      </c>
      <c r="C50" s="13" t="n">
        <f aca="false">100000+15000+100000+100000+52000</f>
        <v>367000</v>
      </c>
      <c r="D50" s="13" t="n">
        <f aca="false">E50-C50</f>
        <v>-500</v>
      </c>
      <c r="E50" s="13" t="n">
        <v>366500</v>
      </c>
    </row>
    <row r="51" customFormat="false" ht="15" hidden="false" customHeight="false" outlineLevel="0" collapsed="false">
      <c r="A51" s="11" t="s">
        <v>14</v>
      </c>
      <c r="B51" s="12" t="s">
        <v>493</v>
      </c>
      <c r="C51" s="13" t="n">
        <f aca="false">70000+70000+100000+100000+26500</f>
        <v>366500</v>
      </c>
      <c r="D51" s="13" t="n">
        <f aca="false">E51-C51</f>
        <v>0</v>
      </c>
      <c r="E51" s="13" t="n">
        <v>366500</v>
      </c>
    </row>
    <row r="52" customFormat="false" ht="15" hidden="false" customHeight="false" outlineLevel="0" collapsed="false">
      <c r="A52" s="11" t="s">
        <v>16</v>
      </c>
      <c r="B52" s="12" t="s">
        <v>494</v>
      </c>
      <c r="C52" s="13" t="n">
        <f aca="false">52000+150000+30000+134500</f>
        <v>366500</v>
      </c>
      <c r="D52" s="13" t="n">
        <f aca="false">E52-C52</f>
        <v>0</v>
      </c>
      <c r="E52" s="13" t="n">
        <v>366500</v>
      </c>
    </row>
    <row r="53" customFormat="false" ht="15" hidden="false" customHeight="false" outlineLevel="0" collapsed="false">
      <c r="A53" s="11" t="s">
        <v>18</v>
      </c>
      <c r="B53" s="12" t="s">
        <v>495</v>
      </c>
      <c r="C53" s="13" t="n">
        <f aca="false">15000+150000+201500</f>
        <v>366500</v>
      </c>
      <c r="D53" s="13" t="n">
        <f aca="false">E53-C53</f>
        <v>0</v>
      </c>
      <c r="E53" s="13" t="n">
        <v>366500</v>
      </c>
    </row>
    <row r="54" customFormat="false" ht="15" hidden="false" customHeight="false" outlineLevel="0" collapsed="false">
      <c r="A54" s="11" t="s">
        <v>20</v>
      </c>
      <c r="B54" s="12" t="s">
        <v>496</v>
      </c>
      <c r="C54" s="13" t="n">
        <f aca="false">150000+130000+1500+85000</f>
        <v>366500</v>
      </c>
      <c r="D54" s="13" t="n">
        <f aca="false">E54-C54</f>
        <v>0</v>
      </c>
      <c r="E54" s="13" t="n">
        <v>366500</v>
      </c>
    </row>
    <row r="55" customFormat="false" ht="15" hidden="false" customHeight="false" outlineLevel="0" collapsed="false">
      <c r="A55" s="11" t="s">
        <v>22</v>
      </c>
      <c r="B55" s="12" t="s">
        <v>497</v>
      </c>
      <c r="C55" s="13" t="n">
        <f aca="false">99000+75000+191500</f>
        <v>365500</v>
      </c>
      <c r="D55" s="13" t="n">
        <f aca="false">E55-C55</f>
        <v>1000</v>
      </c>
      <c r="E55" s="13" t="n">
        <v>366500</v>
      </c>
    </row>
    <row r="56" customFormat="false" ht="15" hidden="false" customHeight="false" outlineLevel="0" collapsed="false">
      <c r="A56" s="11" t="s">
        <v>24</v>
      </c>
      <c r="B56" s="12" t="s">
        <v>498</v>
      </c>
      <c r="C56" s="13" t="n">
        <f aca="false">200000+15000+151500</f>
        <v>366500</v>
      </c>
      <c r="D56" s="13" t="n">
        <f aca="false">E56-C56</f>
        <v>0</v>
      </c>
      <c r="E56" s="13" t="n">
        <v>366500</v>
      </c>
    </row>
    <row r="57" customFormat="false" ht="15" hidden="false" customHeight="false" outlineLevel="0" collapsed="false">
      <c r="A57" s="11" t="s">
        <v>26</v>
      </c>
      <c r="B57" s="12" t="s">
        <v>499</v>
      </c>
      <c r="C57" s="13" t="n">
        <f aca="false">150000+140000+30000+46500</f>
        <v>366500</v>
      </c>
      <c r="D57" s="13" t="n">
        <f aca="false">E57-C57</f>
        <v>0</v>
      </c>
      <c r="E57" s="13" t="n">
        <v>366500</v>
      </c>
    </row>
    <row r="58" customFormat="false" ht="15" hidden="false" customHeight="false" outlineLevel="0" collapsed="false">
      <c r="A58" s="11" t="s">
        <v>28</v>
      </c>
      <c r="B58" s="12" t="s">
        <v>500</v>
      </c>
      <c r="C58" s="13" t="n">
        <f aca="false">100000+100000+100000+66500</f>
        <v>366500</v>
      </c>
      <c r="D58" s="13" t="n">
        <f aca="false">E58-C58</f>
        <v>0</v>
      </c>
      <c r="E58" s="13" t="n">
        <v>366500</v>
      </c>
    </row>
    <row r="59" customFormat="false" ht="15" hidden="false" customHeight="false" outlineLevel="0" collapsed="false">
      <c r="A59" s="11" t="s">
        <v>30</v>
      </c>
      <c r="B59" s="12" t="s">
        <v>501</v>
      </c>
      <c r="C59" s="13" t="n">
        <f aca="false">50000+50000+266500</f>
        <v>366500</v>
      </c>
      <c r="D59" s="13" t="n">
        <f aca="false">E59-C59</f>
        <v>0</v>
      </c>
      <c r="E59" s="13" t="n">
        <v>366500</v>
      </c>
    </row>
    <row r="60" customFormat="false" ht="15" hidden="false" customHeight="false" outlineLevel="0" collapsed="false">
      <c r="A60" s="11" t="s">
        <v>32</v>
      </c>
      <c r="B60" s="12" t="s">
        <v>502</v>
      </c>
      <c r="C60" s="13" t="n">
        <f aca="false">35500+100000+60000+70000+101000</f>
        <v>366500</v>
      </c>
      <c r="D60" s="13" t="n">
        <f aca="false">E60-C60</f>
        <v>0</v>
      </c>
      <c r="E60" s="13" t="n">
        <v>366500</v>
      </c>
    </row>
    <row r="61" customFormat="false" ht="15" hidden="false" customHeight="false" outlineLevel="0" collapsed="false">
      <c r="A61" s="11" t="s">
        <v>34</v>
      </c>
      <c r="B61" s="12" t="s">
        <v>503</v>
      </c>
      <c r="C61" s="13" t="n">
        <f aca="false">140000+160000+66500</f>
        <v>366500</v>
      </c>
      <c r="D61" s="13" t="n">
        <f aca="false">E61-C61</f>
        <v>0</v>
      </c>
      <c r="E61" s="13" t="n">
        <v>366500</v>
      </c>
    </row>
    <row r="62" customFormat="false" ht="15" hidden="false" customHeight="false" outlineLevel="0" collapsed="false">
      <c r="A62" s="11" t="s">
        <v>36</v>
      </c>
      <c r="B62" s="12" t="s">
        <v>504</v>
      </c>
      <c r="C62" s="13" t="n">
        <f aca="false">50000+250000+15000+51500</f>
        <v>366500</v>
      </c>
      <c r="D62" s="13" t="n">
        <f aca="false">E62-C62</f>
        <v>0</v>
      </c>
      <c r="E62" s="13" t="n">
        <v>366500</v>
      </c>
    </row>
    <row r="63" customFormat="false" ht="15" hidden="false" customHeight="false" outlineLevel="0" collapsed="false">
      <c r="A63" s="11" t="s">
        <v>38</v>
      </c>
      <c r="B63" s="12" t="s">
        <v>505</v>
      </c>
      <c r="C63" s="13" t="n">
        <f aca="false">100000+100000+166500</f>
        <v>366500</v>
      </c>
      <c r="D63" s="13" t="n">
        <f aca="false">E63-C63</f>
        <v>0</v>
      </c>
      <c r="E63" s="13" t="n">
        <v>366500</v>
      </c>
    </row>
    <row r="64" customFormat="false" ht="15" hidden="false" customHeight="false" outlineLevel="0" collapsed="false">
      <c r="A64" s="11" t="s">
        <v>40</v>
      </c>
      <c r="B64" s="12" t="s">
        <v>506</v>
      </c>
      <c r="C64" s="13" t="n">
        <f aca="false">130000+120000+90000+25000</f>
        <v>365000</v>
      </c>
      <c r="D64" s="13" t="n">
        <f aca="false">E64-C64</f>
        <v>1500</v>
      </c>
      <c r="E64" s="13" t="n">
        <v>366500</v>
      </c>
    </row>
    <row r="65" customFormat="false" ht="15" hidden="false" customHeight="false" outlineLevel="0" collapsed="false">
      <c r="A65" s="11" t="s">
        <v>42</v>
      </c>
      <c r="B65" s="12" t="s">
        <v>507</v>
      </c>
      <c r="C65" s="13" t="n">
        <f aca="false">15000+190000+120000+41500</f>
        <v>366500</v>
      </c>
      <c r="D65" s="13" t="n">
        <f aca="false">E65-C65</f>
        <v>0</v>
      </c>
      <c r="E65" s="13" t="n">
        <v>366500</v>
      </c>
    </row>
    <row r="66" customFormat="false" ht="15" hidden="false" customHeight="false" outlineLevel="0" collapsed="false">
      <c r="A66" s="11" t="s">
        <v>44</v>
      </c>
      <c r="B66" s="12" t="s">
        <v>508</v>
      </c>
      <c r="C66" s="13" t="n">
        <f aca="false">43500+160000+140000+20000</f>
        <v>363500</v>
      </c>
      <c r="D66" s="13" t="n">
        <f aca="false">E66-C66</f>
        <v>3000</v>
      </c>
      <c r="E66" s="13" t="n">
        <v>366500</v>
      </c>
    </row>
    <row r="67" customFormat="false" ht="15" hidden="false" customHeight="false" outlineLevel="0" collapsed="false">
      <c r="A67" s="11" t="s">
        <v>46</v>
      </c>
      <c r="B67" s="12" t="s">
        <v>509</v>
      </c>
      <c r="C67" s="13" t="n">
        <f aca="false">33500+90000+243000</f>
        <v>366500</v>
      </c>
      <c r="D67" s="13" t="n">
        <f aca="false">E67-C67</f>
        <v>0</v>
      </c>
      <c r="E67" s="13" t="n">
        <v>366500</v>
      </c>
    </row>
    <row r="68" customFormat="false" ht="15" hidden="false" customHeight="false" outlineLevel="0" collapsed="false">
      <c r="A68" s="11" t="s">
        <v>48</v>
      </c>
      <c r="B68" s="12" t="s">
        <v>510</v>
      </c>
      <c r="C68" s="13" t="n">
        <f aca="false">165000+201500</f>
        <v>366500</v>
      </c>
      <c r="D68" s="13" t="n">
        <f aca="false">E68-C68</f>
        <v>0</v>
      </c>
      <c r="E68" s="13" t="n">
        <v>366500</v>
      </c>
    </row>
    <row r="69" customFormat="false" ht="15" hidden="false" customHeight="false" outlineLevel="0" collapsed="false">
      <c r="A69" s="11" t="s">
        <v>50</v>
      </c>
      <c r="B69" s="12" t="s">
        <v>511</v>
      </c>
      <c r="C69" s="13" t="n">
        <f aca="false">15000+35000+55000+161500+100000</f>
        <v>366500</v>
      </c>
      <c r="D69" s="13" t="n">
        <f aca="false">E69-C69</f>
        <v>0</v>
      </c>
      <c r="E69" s="13" t="n">
        <v>366500</v>
      </c>
    </row>
    <row r="70" customFormat="false" ht="15" hidden="false" customHeight="false" outlineLevel="0" collapsed="false">
      <c r="A70" s="11" t="s">
        <v>52</v>
      </c>
      <c r="B70" s="12" t="s">
        <v>512</v>
      </c>
      <c r="C70" s="13" t="n">
        <v>0</v>
      </c>
      <c r="D70" s="13" t="n">
        <f aca="false">E70-C70</f>
        <v>366500</v>
      </c>
      <c r="E70" s="13" t="n">
        <v>366500</v>
      </c>
    </row>
    <row r="71" customFormat="false" ht="15" hidden="false" customHeight="false" outlineLevel="0" collapsed="false">
      <c r="A71" s="11" t="s">
        <v>54</v>
      </c>
      <c r="B71" s="12" t="s">
        <v>513</v>
      </c>
      <c r="C71" s="13" t="n">
        <f aca="false">100000+50000+15000+20000+100000+81500</f>
        <v>366500</v>
      </c>
      <c r="D71" s="13" t="n">
        <f aca="false">E71-C71</f>
        <v>0</v>
      </c>
      <c r="E71" s="13" t="n">
        <v>366500</v>
      </c>
    </row>
    <row r="72" customFormat="false" ht="15" hidden="false" customHeight="false" outlineLevel="0" collapsed="false">
      <c r="A72" s="11" t="s">
        <v>56</v>
      </c>
      <c r="B72" s="12" t="s">
        <v>514</v>
      </c>
      <c r="C72" s="13" t="n">
        <f aca="false">130000+170000+66500</f>
        <v>366500</v>
      </c>
      <c r="D72" s="13" t="n">
        <f aca="false">E72-C72</f>
        <v>0</v>
      </c>
      <c r="E72" s="13" t="n">
        <v>366500</v>
      </c>
    </row>
    <row r="73" customFormat="false" ht="15" hidden="false" customHeight="false" outlineLevel="0" collapsed="false">
      <c r="A73" s="11" t="s">
        <v>58</v>
      </c>
      <c r="B73" s="12" t="s">
        <v>515</v>
      </c>
      <c r="C73" s="13" t="n">
        <f aca="false">130000+16500+35000+100000+35000+50000</f>
        <v>366500</v>
      </c>
      <c r="D73" s="13" t="n">
        <f aca="false">E73-C73</f>
        <v>0</v>
      </c>
      <c r="E73" s="13" t="n">
        <v>366500</v>
      </c>
    </row>
    <row r="74" customFormat="false" ht="15" hidden="false" customHeight="false" outlineLevel="0" collapsed="false">
      <c r="A74" s="11" t="s">
        <v>60</v>
      </c>
      <c r="B74" s="12" t="s">
        <v>516</v>
      </c>
      <c r="C74" s="13" t="n">
        <f aca="false">50000+50000+50000+70000+50000+96500</f>
        <v>366500</v>
      </c>
      <c r="D74" s="13" t="n">
        <f aca="false">E74-C74</f>
        <v>0</v>
      </c>
      <c r="E74" s="13" t="n">
        <v>366500</v>
      </c>
    </row>
    <row r="75" customFormat="false" ht="15" hidden="false" customHeight="false" outlineLevel="0" collapsed="false">
      <c r="A75" s="15" t="s">
        <v>98</v>
      </c>
      <c r="B75" s="15"/>
      <c r="C75" s="16" t="n">
        <f aca="false">SUM(C48:C74)</f>
        <v>9524000</v>
      </c>
      <c r="D75" s="16" t="n">
        <f aca="false">E75-C75</f>
        <v>371500</v>
      </c>
      <c r="E75" s="16" t="n">
        <f aca="false">SUM(E48:E74)</f>
        <v>9895500</v>
      </c>
    </row>
    <row r="76" customFormat="false" ht="17.35" hidden="false" customHeight="false" outlineLevel="0" collapsed="false">
      <c r="A76" s="5" t="s">
        <v>517</v>
      </c>
      <c r="B76" s="6"/>
      <c r="C76" s="6"/>
      <c r="D76" s="6"/>
      <c r="E76" s="7"/>
    </row>
    <row r="77" customFormat="false" ht="15" hidden="false" customHeight="false" outlineLevel="0" collapsed="false">
      <c r="A77" s="15" t="s">
        <v>3</v>
      </c>
      <c r="B77" s="15" t="s">
        <v>4</v>
      </c>
      <c r="C77" s="17" t="s">
        <v>5</v>
      </c>
      <c r="D77" s="15" t="s">
        <v>6</v>
      </c>
      <c r="E77" s="16" t="s">
        <v>7</v>
      </c>
    </row>
    <row r="78" customFormat="false" ht="15" hidden="false" customHeight="false" outlineLevel="0" collapsed="false">
      <c r="A78" s="11" t="s">
        <v>8</v>
      </c>
      <c r="B78" s="12" t="s">
        <v>518</v>
      </c>
      <c r="C78" s="13" t="n">
        <f aca="false">150000+100000+50000+50000+16500</f>
        <v>366500</v>
      </c>
      <c r="D78" s="13" t="n">
        <f aca="false">E78-C78</f>
        <v>0</v>
      </c>
      <c r="E78" s="13" t="n">
        <v>366500</v>
      </c>
    </row>
    <row r="79" customFormat="false" ht="15" hidden="false" customHeight="false" outlineLevel="0" collapsed="false">
      <c r="A79" s="11" t="s">
        <v>10</v>
      </c>
      <c r="B79" s="12" t="s">
        <v>519</v>
      </c>
      <c r="C79" s="13" t="n">
        <f aca="false">100000+45000+70000+70000</f>
        <v>285000</v>
      </c>
      <c r="D79" s="13" t="n">
        <f aca="false">E79-C79</f>
        <v>81500</v>
      </c>
      <c r="E79" s="13" t="n">
        <v>366500</v>
      </c>
    </row>
    <row r="80" customFormat="false" ht="15" hidden="false" customHeight="false" outlineLevel="0" collapsed="false">
      <c r="A80" s="11" t="s">
        <v>12</v>
      </c>
      <c r="B80" s="12" t="s">
        <v>520</v>
      </c>
      <c r="C80" s="13" t="n">
        <f aca="false">116500+155000+85000+10000</f>
        <v>366500</v>
      </c>
      <c r="D80" s="13" t="n">
        <f aca="false">E80-C80</f>
        <v>0</v>
      </c>
      <c r="E80" s="13" t="n">
        <v>366500</v>
      </c>
    </row>
    <row r="81" customFormat="false" ht="15" hidden="false" customHeight="false" outlineLevel="0" collapsed="false">
      <c r="A81" s="11" t="s">
        <v>14</v>
      </c>
      <c r="B81" s="12" t="s">
        <v>521</v>
      </c>
      <c r="C81" s="13" t="n">
        <f aca="false">200000+50000+100000+16500</f>
        <v>366500</v>
      </c>
      <c r="D81" s="13" t="n">
        <f aca="false">E81-C81</f>
        <v>0</v>
      </c>
      <c r="E81" s="13" t="n">
        <v>366500</v>
      </c>
    </row>
    <row r="82" customFormat="false" ht="15" hidden="false" customHeight="false" outlineLevel="0" collapsed="false">
      <c r="A82" s="11" t="s">
        <v>16</v>
      </c>
      <c r="B82" s="12" t="s">
        <v>522</v>
      </c>
      <c r="C82" s="13" t="n">
        <f aca="false">200000+100000+65500+1000</f>
        <v>366500</v>
      </c>
      <c r="D82" s="13" t="n">
        <f aca="false">E82-C82</f>
        <v>0</v>
      </c>
      <c r="E82" s="13" t="n">
        <v>366500</v>
      </c>
    </row>
    <row r="83" customFormat="false" ht="15" hidden="false" customHeight="false" outlineLevel="0" collapsed="false">
      <c r="A83" s="11" t="s">
        <v>18</v>
      </c>
      <c r="B83" s="12" t="s">
        <v>523</v>
      </c>
      <c r="C83" s="13" t="n">
        <f aca="false">100000+40000+70000+70000+50000+36500</f>
        <v>366500</v>
      </c>
      <c r="D83" s="13" t="n">
        <f aca="false">E83-C83</f>
        <v>0</v>
      </c>
      <c r="E83" s="13" t="n">
        <v>366500</v>
      </c>
    </row>
    <row r="84" customFormat="false" ht="15" hidden="false" customHeight="false" outlineLevel="0" collapsed="false">
      <c r="A84" s="11" t="s">
        <v>20</v>
      </c>
      <c r="B84" s="12" t="s">
        <v>524</v>
      </c>
      <c r="C84" s="13" t="n">
        <f aca="false">149500+217000</f>
        <v>366500</v>
      </c>
      <c r="D84" s="13" t="n">
        <f aca="false">E84-C84</f>
        <v>0</v>
      </c>
      <c r="E84" s="13" t="n">
        <v>366500</v>
      </c>
    </row>
    <row r="85" customFormat="false" ht="15" hidden="false" customHeight="false" outlineLevel="0" collapsed="false">
      <c r="A85" s="11" t="s">
        <v>22</v>
      </c>
      <c r="B85" s="12" t="s">
        <v>525</v>
      </c>
      <c r="C85" s="13" t="n">
        <f aca="false">150000+100000+16500+50000+50000</f>
        <v>366500</v>
      </c>
      <c r="D85" s="13" t="n">
        <f aca="false">E85-C85</f>
        <v>0</v>
      </c>
      <c r="E85" s="13" t="n">
        <v>366500</v>
      </c>
    </row>
    <row r="86" customFormat="false" ht="15" hidden="false" customHeight="false" outlineLevel="0" collapsed="false">
      <c r="A86" s="11" t="s">
        <v>24</v>
      </c>
      <c r="B86" s="12" t="s">
        <v>526</v>
      </c>
      <c r="C86" s="13" t="n">
        <f aca="false">100000+100000+60000+106500</f>
        <v>366500</v>
      </c>
      <c r="D86" s="13" t="n">
        <f aca="false">E86-C86</f>
        <v>0</v>
      </c>
      <c r="E86" s="13" t="n">
        <v>366500</v>
      </c>
    </row>
    <row r="87" customFormat="false" ht="15" hidden="false" customHeight="false" outlineLevel="0" collapsed="false">
      <c r="A87" s="11" t="s">
        <v>26</v>
      </c>
      <c r="B87" s="12" t="s">
        <v>527</v>
      </c>
      <c r="C87" s="13" t="n">
        <f aca="false">30500+70000+30000+50000+40000+30000+32000+20000+60000+4000</f>
        <v>366500</v>
      </c>
      <c r="D87" s="13" t="n">
        <f aca="false">E87-C87</f>
        <v>0</v>
      </c>
      <c r="E87" s="13" t="n">
        <v>366500</v>
      </c>
    </row>
    <row r="88" customFormat="false" ht="15" hidden="false" customHeight="false" outlineLevel="0" collapsed="false">
      <c r="A88" s="11" t="s">
        <v>28</v>
      </c>
      <c r="B88" s="12" t="s">
        <v>528</v>
      </c>
      <c r="C88" s="13" t="n">
        <f aca="false">124500+160000+82000</f>
        <v>366500</v>
      </c>
      <c r="D88" s="13" t="n">
        <f aca="false">E88-C88</f>
        <v>0</v>
      </c>
      <c r="E88" s="13" t="n">
        <v>366500</v>
      </c>
    </row>
    <row r="89" customFormat="false" ht="15" hidden="false" customHeight="false" outlineLevel="0" collapsed="false">
      <c r="A89" s="11" t="s">
        <v>30</v>
      </c>
      <c r="B89" s="12" t="s">
        <v>529</v>
      </c>
      <c r="C89" s="42" t="n">
        <f aca="false">366500</f>
        <v>366500</v>
      </c>
      <c r="D89" s="13" t="n">
        <f aca="false">E89-C89</f>
        <v>0</v>
      </c>
      <c r="E89" s="13" t="n">
        <v>366500</v>
      </c>
    </row>
    <row r="90" customFormat="false" ht="15" hidden="false" customHeight="false" outlineLevel="0" collapsed="false">
      <c r="A90" s="11" t="s">
        <v>32</v>
      </c>
      <c r="B90" s="12" t="s">
        <v>530</v>
      </c>
      <c r="C90" s="13" t="n">
        <f aca="false">60000+90000+50000+100000+66500</f>
        <v>366500</v>
      </c>
      <c r="D90" s="13" t="n">
        <f aca="false">E90-C90</f>
        <v>0</v>
      </c>
      <c r="E90" s="13" t="n">
        <v>366500</v>
      </c>
    </row>
    <row r="91" customFormat="false" ht="15" hidden="false" customHeight="false" outlineLevel="0" collapsed="false">
      <c r="A91" s="11" t="s">
        <v>34</v>
      </c>
      <c r="B91" s="12" t="s">
        <v>531</v>
      </c>
      <c r="C91" s="13" t="n">
        <f aca="false">216000+50000+50000</f>
        <v>316000</v>
      </c>
      <c r="D91" s="13" t="n">
        <f aca="false">E91-C91</f>
        <v>50500</v>
      </c>
      <c r="E91" s="13" t="n">
        <v>366500</v>
      </c>
    </row>
    <row r="92" customFormat="false" ht="15" hidden="false" customHeight="false" outlineLevel="0" collapsed="false">
      <c r="A92" s="11" t="s">
        <v>36</v>
      </c>
      <c r="B92" s="12" t="s">
        <v>532</v>
      </c>
      <c r="C92" s="13" t="n">
        <f aca="false">17000+100000+150000+33000+66500</f>
        <v>366500</v>
      </c>
      <c r="D92" s="13" t="n">
        <f aca="false">E92-C92</f>
        <v>0</v>
      </c>
      <c r="E92" s="13" t="n">
        <v>366500</v>
      </c>
    </row>
    <row r="93" customFormat="false" ht="15" hidden="false" customHeight="false" outlineLevel="0" collapsed="false">
      <c r="A93" s="11" t="s">
        <v>38</v>
      </c>
      <c r="B93" s="12" t="s">
        <v>533</v>
      </c>
      <c r="C93" s="13" t="n">
        <f aca="false">19000+200000</f>
        <v>219000</v>
      </c>
      <c r="D93" s="13" t="n">
        <f aca="false">E93-C93</f>
        <v>147500</v>
      </c>
      <c r="E93" s="13" t="n">
        <v>366500</v>
      </c>
    </row>
    <row r="94" customFormat="false" ht="15" hidden="false" customHeight="false" outlineLevel="0" collapsed="false">
      <c r="A94" s="11" t="s">
        <v>40</v>
      </c>
      <c r="B94" s="12" t="s">
        <v>534</v>
      </c>
      <c r="C94" s="13" t="n">
        <f aca="false">100000+83000+100000+83500</f>
        <v>366500</v>
      </c>
      <c r="D94" s="13" t="n">
        <f aca="false">E94-C94</f>
        <v>0</v>
      </c>
      <c r="E94" s="13" t="n">
        <v>366500</v>
      </c>
    </row>
    <row r="95" customFormat="false" ht="15" hidden="false" customHeight="false" outlineLevel="0" collapsed="false">
      <c r="A95" s="11" t="s">
        <v>42</v>
      </c>
      <c r="B95" s="12" t="s">
        <v>535</v>
      </c>
      <c r="C95" s="13" t="n">
        <f aca="false">100000+200000+66500</f>
        <v>366500</v>
      </c>
      <c r="D95" s="13" t="n">
        <f aca="false">E95-C95</f>
        <v>0</v>
      </c>
      <c r="E95" s="13" t="n">
        <v>366500</v>
      </c>
    </row>
    <row r="96" customFormat="false" ht="15" hidden="false" customHeight="false" outlineLevel="0" collapsed="false">
      <c r="A96" s="15" t="s">
        <v>98</v>
      </c>
      <c r="B96" s="15"/>
      <c r="C96" s="43" t="n">
        <f aca="false">SUM(C77:C95)</f>
        <v>6317500</v>
      </c>
      <c r="D96" s="16" t="n">
        <f aca="false">E96-C96</f>
        <v>279500</v>
      </c>
      <c r="E96" s="16" t="n">
        <f aca="false">SUM(E78:E95)</f>
        <v>6597000</v>
      </c>
      <c r="K96" s="1" t="n">
        <v>0</v>
      </c>
    </row>
    <row r="97" customFormat="false" ht="17.35" hidden="false" customHeight="false" outlineLevel="0" collapsed="false">
      <c r="A97" s="36"/>
      <c r="B97" s="6" t="s">
        <v>536</v>
      </c>
      <c r="C97" s="44"/>
      <c r="D97" s="6"/>
      <c r="E97" s="7"/>
    </row>
    <row r="98" customFormat="false" ht="15" hidden="false" customHeight="false" outlineLevel="0" collapsed="false">
      <c r="A98" s="15" t="s">
        <v>3</v>
      </c>
      <c r="B98" s="15" t="s">
        <v>4</v>
      </c>
      <c r="C98" s="17" t="s">
        <v>5</v>
      </c>
      <c r="D98" s="15" t="s">
        <v>6</v>
      </c>
      <c r="E98" s="16" t="s">
        <v>7</v>
      </c>
    </row>
    <row r="99" customFormat="false" ht="15" hidden="false" customHeight="false" outlineLevel="0" collapsed="false">
      <c r="A99" s="11" t="s">
        <v>8</v>
      </c>
      <c r="B99" s="12" t="s">
        <v>537</v>
      </c>
      <c r="C99" s="13" t="n">
        <f aca="false">30000</f>
        <v>30000</v>
      </c>
      <c r="D99" s="13" t="n">
        <f aca="false">E99-C99</f>
        <v>336500</v>
      </c>
      <c r="E99" s="13" t="n">
        <v>366500</v>
      </c>
    </row>
    <row r="100" customFormat="false" ht="15" hidden="false" customHeight="false" outlineLevel="0" collapsed="false">
      <c r="A100" s="11" t="s">
        <v>10</v>
      </c>
      <c r="B100" s="12" t="s">
        <v>538</v>
      </c>
      <c r="C100" s="13" t="n">
        <v>210000</v>
      </c>
      <c r="D100" s="13" t="n">
        <f aca="false">E100-C100</f>
        <v>156500</v>
      </c>
      <c r="E100" s="13" t="n">
        <v>366500</v>
      </c>
    </row>
    <row r="101" customFormat="false" ht="15" hidden="false" customHeight="false" outlineLevel="0" collapsed="false">
      <c r="A101" s="11" t="s">
        <v>12</v>
      </c>
      <c r="B101" s="12" t="s">
        <v>539</v>
      </c>
      <c r="C101" s="13" t="n">
        <f aca="false">15000+136500+50000+100000+65000</f>
        <v>366500</v>
      </c>
      <c r="D101" s="13" t="n">
        <f aca="false">E101-C101</f>
        <v>0</v>
      </c>
      <c r="E101" s="13" t="n">
        <v>366500</v>
      </c>
    </row>
    <row r="102" customFormat="false" ht="15" hidden="false" customHeight="false" outlineLevel="0" collapsed="false">
      <c r="A102" s="11" t="s">
        <v>14</v>
      </c>
      <c r="B102" s="12" t="s">
        <v>540</v>
      </c>
      <c r="C102" s="13" t="n">
        <f aca="false">50000+50000</f>
        <v>100000</v>
      </c>
      <c r="D102" s="13" t="n">
        <f aca="false">E102-C102</f>
        <v>266500</v>
      </c>
      <c r="E102" s="13" t="n">
        <v>366500</v>
      </c>
    </row>
    <row r="103" customFormat="false" ht="15" hidden="false" customHeight="false" outlineLevel="0" collapsed="false">
      <c r="A103" s="11" t="s">
        <v>16</v>
      </c>
      <c r="B103" s="12" t="s">
        <v>541</v>
      </c>
      <c r="C103" s="13" t="n">
        <f aca="false">200000+100000+66500</f>
        <v>366500</v>
      </c>
      <c r="D103" s="13" t="n">
        <f aca="false">E103-C103</f>
        <v>0</v>
      </c>
      <c r="E103" s="13" t="n">
        <v>366500</v>
      </c>
    </row>
    <row r="104" customFormat="false" ht="15" hidden="false" customHeight="false" outlineLevel="0" collapsed="false">
      <c r="A104" s="11" t="s">
        <v>18</v>
      </c>
      <c r="B104" s="12" t="s">
        <v>542</v>
      </c>
      <c r="C104" s="13" t="n">
        <f aca="false">100000+200000+66500</f>
        <v>366500</v>
      </c>
      <c r="D104" s="13" t="n">
        <f aca="false">E104-C104</f>
        <v>0</v>
      </c>
      <c r="E104" s="13" t="n">
        <v>366500</v>
      </c>
    </row>
    <row r="105" customFormat="false" ht="15" hidden="false" customHeight="false" outlineLevel="0" collapsed="false">
      <c r="A105" s="11" t="s">
        <v>20</v>
      </c>
      <c r="B105" s="12" t="s">
        <v>543</v>
      </c>
      <c r="C105" s="13" t="n">
        <f aca="false">150000+201500+15000</f>
        <v>366500</v>
      </c>
      <c r="D105" s="13" t="n">
        <f aca="false">E105-C105</f>
        <v>0</v>
      </c>
      <c r="E105" s="13" t="n">
        <v>366500</v>
      </c>
    </row>
    <row r="106" customFormat="false" ht="15" hidden="false" customHeight="false" outlineLevel="0" collapsed="false">
      <c r="A106" s="11" t="s">
        <v>22</v>
      </c>
      <c r="B106" s="12" t="s">
        <v>544</v>
      </c>
      <c r="C106" s="13" t="n">
        <f aca="false">180000+186500</f>
        <v>366500</v>
      </c>
      <c r="D106" s="13" t="n">
        <f aca="false">E106-C106</f>
        <v>0</v>
      </c>
      <c r="E106" s="13" t="n">
        <v>366500</v>
      </c>
    </row>
    <row r="107" customFormat="false" ht="15" hidden="false" customHeight="false" outlineLevel="0" collapsed="false">
      <c r="A107" s="11" t="s">
        <v>24</v>
      </c>
      <c r="B107" s="12" t="s">
        <v>545</v>
      </c>
      <c r="C107" s="13" t="n">
        <v>99000</v>
      </c>
      <c r="D107" s="13" t="n">
        <f aca="false">E107-C107</f>
        <v>267500</v>
      </c>
      <c r="E107" s="13" t="n">
        <v>366500</v>
      </c>
    </row>
    <row r="108" customFormat="false" ht="15" hidden="false" customHeight="false" outlineLevel="0" collapsed="false">
      <c r="A108" s="11" t="s">
        <v>26</v>
      </c>
      <c r="B108" s="12" t="s">
        <v>546</v>
      </c>
      <c r="C108" s="13" t="n">
        <f aca="false">62000+100000</f>
        <v>162000</v>
      </c>
      <c r="D108" s="13" t="n">
        <f aca="false">E108-C108</f>
        <v>204500</v>
      </c>
      <c r="E108" s="13" t="n">
        <v>366500</v>
      </c>
    </row>
    <row r="109" customFormat="false" ht="15" hidden="false" customHeight="false" outlineLevel="0" collapsed="false">
      <c r="A109" s="11" t="s">
        <v>28</v>
      </c>
      <c r="B109" s="12" t="s">
        <v>547</v>
      </c>
      <c r="C109" s="13" t="n">
        <f aca="false">100000+230000+36500</f>
        <v>366500</v>
      </c>
      <c r="D109" s="13" t="n">
        <f aca="false">E109-C109</f>
        <v>0</v>
      </c>
      <c r="E109" s="13" t="n">
        <v>366500</v>
      </c>
    </row>
    <row r="110" customFormat="false" ht="15" hidden="false" customHeight="false" outlineLevel="0" collapsed="false">
      <c r="A110" s="11" t="s">
        <v>30</v>
      </c>
      <c r="B110" s="12" t="s">
        <v>548</v>
      </c>
      <c r="C110" s="13" t="n">
        <f aca="false">140000+50000+55000+101000+20500</f>
        <v>366500</v>
      </c>
      <c r="D110" s="13" t="n">
        <f aca="false">E110-C110</f>
        <v>0</v>
      </c>
      <c r="E110" s="13" t="n">
        <v>366500</v>
      </c>
    </row>
    <row r="111" customFormat="false" ht="15" hidden="false" customHeight="false" outlineLevel="0" collapsed="false">
      <c r="A111" s="11" t="s">
        <v>32</v>
      </c>
      <c r="B111" s="12" t="s">
        <v>549</v>
      </c>
      <c r="C111" s="13" t="n">
        <v>0</v>
      </c>
      <c r="D111" s="13" t="n">
        <f aca="false">E111-C111</f>
        <v>366500</v>
      </c>
      <c r="E111" s="13" t="n">
        <v>366500</v>
      </c>
    </row>
    <row r="112" customFormat="false" ht="15" hidden="false" customHeight="false" outlineLevel="0" collapsed="false">
      <c r="A112" s="15" t="s">
        <v>98</v>
      </c>
      <c r="B112" s="15"/>
      <c r="C112" s="16" t="n">
        <f aca="false">SUM(C99:C111)</f>
        <v>3166500</v>
      </c>
      <c r="D112" s="16" t="n">
        <f aca="false">E112-C112</f>
        <v>1598000</v>
      </c>
      <c r="E112" s="16" t="n">
        <f aca="false">SUM(E99:E111)</f>
        <v>4764500</v>
      </c>
    </row>
    <row r="113" customFormat="false" ht="17.35" hidden="false" customHeight="false" outlineLevel="0" collapsed="false">
      <c r="A113" s="5" t="s">
        <v>550</v>
      </c>
      <c r="B113" s="28"/>
      <c r="C113" s="6"/>
      <c r="D113" s="6"/>
      <c r="E113" s="7"/>
    </row>
    <row r="114" customFormat="false" ht="15" hidden="false" customHeight="false" outlineLevel="0" collapsed="false">
      <c r="A114" s="15" t="s">
        <v>3</v>
      </c>
      <c r="B114" s="15" t="s">
        <v>4</v>
      </c>
      <c r="C114" s="17" t="s">
        <v>5</v>
      </c>
      <c r="D114" s="15" t="s">
        <v>6</v>
      </c>
      <c r="E114" s="16" t="s">
        <v>7</v>
      </c>
    </row>
    <row r="115" customFormat="false" ht="15" hidden="false" customHeight="false" outlineLevel="0" collapsed="false">
      <c r="A115" s="11" t="s">
        <v>8</v>
      </c>
      <c r="B115" s="12" t="s">
        <v>551</v>
      </c>
      <c r="C115" s="13" t="n">
        <f aca="false">100000+266500</f>
        <v>366500</v>
      </c>
      <c r="D115" s="13" t="n">
        <f aca="false">E115-C115</f>
        <v>0</v>
      </c>
      <c r="E115" s="13" t="n">
        <v>366500</v>
      </c>
    </row>
    <row r="116" customFormat="false" ht="15" hidden="false" customHeight="false" outlineLevel="0" collapsed="false">
      <c r="A116" s="11" t="s">
        <v>10</v>
      </c>
      <c r="B116" s="12" t="s">
        <v>552</v>
      </c>
      <c r="C116" s="13" t="n">
        <f aca="false">150000+206500+10000</f>
        <v>366500</v>
      </c>
      <c r="D116" s="13" t="n">
        <f aca="false">E116-C116</f>
        <v>0</v>
      </c>
      <c r="E116" s="13" t="n">
        <v>366500</v>
      </c>
    </row>
    <row r="117" customFormat="false" ht="15" hidden="false" customHeight="false" outlineLevel="0" collapsed="false">
      <c r="A117" s="11" t="s">
        <v>12</v>
      </c>
      <c r="B117" s="12" t="s">
        <v>553</v>
      </c>
      <c r="C117" s="13" t="n">
        <f aca="false">100000+66500+100000+50000+50000</f>
        <v>366500</v>
      </c>
      <c r="D117" s="13" t="n">
        <f aca="false">E117-C117</f>
        <v>0</v>
      </c>
      <c r="E117" s="13" t="n">
        <v>366500</v>
      </c>
    </row>
    <row r="118" customFormat="false" ht="15" hidden="false" customHeight="false" outlineLevel="0" collapsed="false">
      <c r="A118" s="11" t="s">
        <v>14</v>
      </c>
      <c r="B118" s="12" t="s">
        <v>554</v>
      </c>
      <c r="C118" s="13" t="n">
        <f aca="false">200000+166500</f>
        <v>366500</v>
      </c>
      <c r="D118" s="13" t="n">
        <f aca="false">E118-C118</f>
        <v>0</v>
      </c>
      <c r="E118" s="13" t="n">
        <v>366500</v>
      </c>
    </row>
    <row r="119" customFormat="false" ht="15" hidden="false" customHeight="false" outlineLevel="0" collapsed="false">
      <c r="A119" s="11" t="s">
        <v>16</v>
      </c>
      <c r="B119" s="12" t="s">
        <v>555</v>
      </c>
      <c r="C119" s="13" t="n">
        <f aca="false">180000+186500</f>
        <v>366500</v>
      </c>
      <c r="D119" s="13" t="n">
        <f aca="false">E119-C119</f>
        <v>0</v>
      </c>
      <c r="E119" s="13" t="n">
        <v>366500</v>
      </c>
    </row>
    <row r="120" customFormat="false" ht="15" hidden="false" customHeight="false" outlineLevel="0" collapsed="false">
      <c r="A120" s="11" t="s">
        <v>18</v>
      </c>
      <c r="B120" s="12" t="s">
        <v>556</v>
      </c>
      <c r="C120" s="41" t="n">
        <f aca="false">366500</f>
        <v>366500</v>
      </c>
      <c r="D120" s="13" t="n">
        <f aca="false">E120-C120</f>
        <v>0</v>
      </c>
      <c r="E120" s="13" t="n">
        <v>366500</v>
      </c>
    </row>
    <row r="121" customFormat="false" ht="15" hidden="false" customHeight="false" outlineLevel="0" collapsed="false">
      <c r="A121" s="11" t="s">
        <v>20</v>
      </c>
      <c r="B121" s="12" t="s">
        <v>557</v>
      </c>
      <c r="C121" s="13" t="n">
        <f aca="false">300000+66500</f>
        <v>366500</v>
      </c>
      <c r="D121" s="13" t="n">
        <f aca="false">E121-C121</f>
        <v>0</v>
      </c>
      <c r="E121" s="13" t="n">
        <v>366500</v>
      </c>
    </row>
    <row r="122" customFormat="false" ht="15" hidden="false" customHeight="false" outlineLevel="0" collapsed="false">
      <c r="A122" s="11"/>
      <c r="B122" s="27" t="s">
        <v>207</v>
      </c>
      <c r="C122" s="16" t="n">
        <f aca="false">SUM(C115:C121)</f>
        <v>2565500</v>
      </c>
      <c r="D122" s="16" t="n">
        <f aca="false">E122-C122</f>
        <v>0</v>
      </c>
      <c r="E122" s="16" t="n">
        <f aca="false">SUM(E115:E121)</f>
        <v>2565500</v>
      </c>
    </row>
  </sheetData>
  <mergeCells count="4">
    <mergeCell ref="A45:B45"/>
    <mergeCell ref="A75:B75"/>
    <mergeCell ref="A96:B96"/>
    <mergeCell ref="A112:B112"/>
  </mergeCells>
  <printOptions headings="false" gridLines="false" gridLinesSet="true" horizontalCentered="false" verticalCentered="false"/>
  <pageMargins left="0.3" right="0.370138888888889" top="0.429861111111111" bottom="0.5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87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F14" activeCellId="0" sqref="F1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29.28"/>
    <col collapsed="false" customWidth="true" hidden="false" outlineLevel="0" max="3" min="3" style="1" width="14.56"/>
    <col collapsed="false" customWidth="true" hidden="false" outlineLevel="0" max="5" min="4" style="1" width="14.41"/>
    <col collapsed="false" customWidth="true" hidden="false" outlineLevel="0" max="16384" min="16382" style="0" width="11.53"/>
  </cols>
  <sheetData>
    <row r="3" customFormat="false" ht="17.35" hidden="false" customHeight="false" outlineLevel="0" collapsed="false">
      <c r="A3" s="2"/>
      <c r="B3" s="3" t="s">
        <v>0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2"/>
      <c r="B5" s="4" t="s">
        <v>558</v>
      </c>
      <c r="C5" s="34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7.35" hidden="false" customHeight="false" outlineLevel="0" collapsed="false">
      <c r="A7" s="5" t="s">
        <v>559</v>
      </c>
      <c r="B7" s="6"/>
      <c r="C7" s="6"/>
      <c r="D7" s="6"/>
      <c r="E7" s="7"/>
    </row>
    <row r="8" customFormat="false" ht="15" hidden="false" customHeight="false" outlineLevel="0" collapsed="false">
      <c r="A8" s="15" t="s">
        <v>3</v>
      </c>
      <c r="B8" s="15" t="s">
        <v>4</v>
      </c>
      <c r="C8" s="17" t="s">
        <v>5</v>
      </c>
      <c r="D8" s="15" t="s">
        <v>6</v>
      </c>
      <c r="E8" s="16" t="s">
        <v>7</v>
      </c>
    </row>
    <row r="9" customFormat="false" ht="15" hidden="false" customHeight="false" outlineLevel="0" collapsed="false">
      <c r="A9" s="11" t="s">
        <v>8</v>
      </c>
      <c r="B9" s="12" t="s">
        <v>560</v>
      </c>
      <c r="C9" s="13" t="n">
        <f aca="false">48500+50000+100000+100000+50000</f>
        <v>348500</v>
      </c>
      <c r="D9" s="13" t="n">
        <f aca="false">E9-C9</f>
        <v>18000</v>
      </c>
      <c r="E9" s="13" t="n">
        <v>366500</v>
      </c>
    </row>
    <row r="10" customFormat="false" ht="15" hidden="false" customHeight="false" outlineLevel="0" collapsed="false">
      <c r="A10" s="11" t="s">
        <v>10</v>
      </c>
      <c r="B10" s="12" t="s">
        <v>561</v>
      </c>
      <c r="C10" s="13" t="n">
        <f aca="false">50000+250000+65000+1500</f>
        <v>366500</v>
      </c>
      <c r="D10" s="13" t="n">
        <f aca="false">E10-C10</f>
        <v>0</v>
      </c>
      <c r="E10" s="13" t="n">
        <v>366500</v>
      </c>
    </row>
    <row r="11" customFormat="false" ht="15" hidden="false" customHeight="false" outlineLevel="0" collapsed="false">
      <c r="A11" s="11" t="s">
        <v>12</v>
      </c>
      <c r="B11" s="12" t="s">
        <v>562</v>
      </c>
      <c r="C11" s="13" t="s">
        <v>563</v>
      </c>
      <c r="D11" s="13" t="e">
        <f aca="false">E11-C11</f>
        <v>#VALUE!</v>
      </c>
      <c r="E11" s="13" t="n">
        <v>366500</v>
      </c>
    </row>
    <row r="12" customFormat="false" ht="15" hidden="false" customHeight="false" outlineLevel="0" collapsed="false">
      <c r="A12" s="11" t="s">
        <v>14</v>
      </c>
      <c r="B12" s="12" t="s">
        <v>564</v>
      </c>
      <c r="C12" s="13" t="n">
        <f aca="false">103500+265500</f>
        <v>369000</v>
      </c>
      <c r="D12" s="13" t="n">
        <f aca="false">E12-C12</f>
        <v>-2500</v>
      </c>
      <c r="E12" s="13" t="n">
        <v>366500</v>
      </c>
    </row>
    <row r="13" customFormat="false" ht="15" hidden="false" customHeight="false" outlineLevel="0" collapsed="false">
      <c r="A13" s="11" t="s">
        <v>16</v>
      </c>
      <c r="B13" s="12" t="s">
        <v>565</v>
      </c>
      <c r="C13" s="13" t="n">
        <f aca="false">8500+50000+50000+190000+28000+40000</f>
        <v>366500</v>
      </c>
      <c r="D13" s="13" t="n">
        <f aca="false">E13-C13</f>
        <v>0</v>
      </c>
      <c r="E13" s="13" t="n">
        <v>366500</v>
      </c>
    </row>
    <row r="14" customFormat="false" ht="15" hidden="false" customHeight="false" outlineLevel="0" collapsed="false">
      <c r="A14" s="11" t="s">
        <v>18</v>
      </c>
      <c r="B14" s="12" t="s">
        <v>566</v>
      </c>
      <c r="C14" s="13" t="n">
        <v>0</v>
      </c>
      <c r="D14" s="13" t="n">
        <f aca="false">E14-C14</f>
        <v>366500</v>
      </c>
      <c r="E14" s="13" t="n">
        <v>366500</v>
      </c>
    </row>
    <row r="15" customFormat="false" ht="15" hidden="false" customHeight="false" outlineLevel="0" collapsed="false">
      <c r="A15" s="11" t="s">
        <v>20</v>
      </c>
      <c r="B15" s="12" t="s">
        <v>567</v>
      </c>
      <c r="C15" s="13" t="n">
        <f aca="false">100000+266500</f>
        <v>366500</v>
      </c>
      <c r="D15" s="13" t="n">
        <f aca="false">E15-C15</f>
        <v>0</v>
      </c>
      <c r="E15" s="13" t="n">
        <v>366500</v>
      </c>
    </row>
    <row r="16" customFormat="false" ht="15" hidden="false" customHeight="false" outlineLevel="0" collapsed="false">
      <c r="A16" s="11" t="s">
        <v>22</v>
      </c>
      <c r="B16" s="12" t="s">
        <v>568</v>
      </c>
      <c r="C16" s="13" t="n">
        <f aca="false">180000+186000+500</f>
        <v>366500</v>
      </c>
      <c r="D16" s="13" t="n">
        <f aca="false">E16-C16</f>
        <v>0</v>
      </c>
      <c r="E16" s="13" t="n">
        <v>366500</v>
      </c>
    </row>
    <row r="17" customFormat="false" ht="15" hidden="false" customHeight="false" outlineLevel="0" collapsed="false">
      <c r="A17" s="11" t="s">
        <v>24</v>
      </c>
      <c r="B17" s="12" t="s">
        <v>569</v>
      </c>
      <c r="C17" s="13" t="n">
        <v>0</v>
      </c>
      <c r="D17" s="13" t="n">
        <f aca="false">E17-C17</f>
        <v>366500</v>
      </c>
      <c r="E17" s="13" t="n">
        <v>366500</v>
      </c>
    </row>
    <row r="18" customFormat="false" ht="15" hidden="false" customHeight="false" outlineLevel="0" collapsed="false">
      <c r="A18" s="11" t="s">
        <v>26</v>
      </c>
      <c r="B18" s="12" t="s">
        <v>570</v>
      </c>
      <c r="C18" s="13" t="n">
        <f aca="false">7500+50000+50000+150000+50000+59000</f>
        <v>366500</v>
      </c>
      <c r="D18" s="13" t="n">
        <f aca="false">E18-C18</f>
        <v>0</v>
      </c>
      <c r="E18" s="13" t="n">
        <v>366500</v>
      </c>
    </row>
    <row r="19" customFormat="false" ht="15" hidden="false" customHeight="false" outlineLevel="0" collapsed="false">
      <c r="A19" s="11" t="s">
        <v>28</v>
      </c>
      <c r="B19" s="12" t="s">
        <v>571</v>
      </c>
      <c r="C19" s="13" t="n">
        <f aca="false">100000+66500+50000+150000</f>
        <v>366500</v>
      </c>
      <c r="D19" s="13" t="n">
        <f aca="false">E19-C19</f>
        <v>0</v>
      </c>
      <c r="E19" s="13" t="n">
        <v>366500</v>
      </c>
    </row>
    <row r="20" customFormat="false" ht="15" hidden="false" customHeight="false" outlineLevel="0" collapsed="false">
      <c r="A20" s="11" t="s">
        <v>30</v>
      </c>
      <c r="B20" s="12" t="s">
        <v>572</v>
      </c>
      <c r="C20" s="13" t="n">
        <v>366500</v>
      </c>
      <c r="D20" s="13" t="n">
        <f aca="false">E20-C20</f>
        <v>0</v>
      </c>
      <c r="E20" s="13" t="n">
        <v>366500</v>
      </c>
    </row>
    <row r="21" customFormat="false" ht="15" hidden="false" customHeight="false" outlineLevel="0" collapsed="false">
      <c r="A21" s="11" t="s">
        <v>32</v>
      </c>
      <c r="B21" s="12" t="s">
        <v>573</v>
      </c>
      <c r="C21" s="13" t="n">
        <v>0</v>
      </c>
      <c r="D21" s="13" t="n">
        <f aca="false">E21-C21</f>
        <v>366500</v>
      </c>
      <c r="E21" s="13" t="n">
        <v>366500</v>
      </c>
    </row>
    <row r="22" customFormat="false" ht="15" hidden="false" customHeight="false" outlineLevel="0" collapsed="false">
      <c r="A22" s="11" t="s">
        <v>34</v>
      </c>
      <c r="B22" s="12" t="s">
        <v>574</v>
      </c>
      <c r="C22" s="13" t="n">
        <f aca="false">33500</f>
        <v>33500</v>
      </c>
      <c r="D22" s="13" t="n">
        <f aca="false">E22-C22</f>
        <v>333000</v>
      </c>
      <c r="E22" s="13" t="n">
        <v>366500</v>
      </c>
    </row>
    <row r="23" customFormat="false" ht="15" hidden="false" customHeight="false" outlineLevel="0" collapsed="false">
      <c r="A23" s="11" t="s">
        <v>36</v>
      </c>
      <c r="B23" s="12" t="s">
        <v>575</v>
      </c>
      <c r="C23" s="13" t="n">
        <f aca="false">200000</f>
        <v>200000</v>
      </c>
      <c r="D23" s="13" t="n">
        <f aca="false">E23-C23</f>
        <v>166500</v>
      </c>
      <c r="E23" s="13" t="n">
        <v>366500</v>
      </c>
    </row>
    <row r="24" customFormat="false" ht="15" hidden="false" customHeight="false" outlineLevel="0" collapsed="false">
      <c r="A24" s="11" t="s">
        <v>38</v>
      </c>
      <c r="B24" s="12" t="s">
        <v>576</v>
      </c>
      <c r="C24" s="13" t="n">
        <f aca="false">50000+100000+100000+40000+76500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40</v>
      </c>
      <c r="B25" s="12" t="s">
        <v>577</v>
      </c>
      <c r="C25" s="13" t="n">
        <f aca="false">49000+100000+50000+50000+117500</f>
        <v>366500</v>
      </c>
      <c r="D25" s="13" t="n">
        <f aca="false">E25-C25</f>
        <v>0</v>
      </c>
      <c r="E25" s="13" t="n">
        <v>366500</v>
      </c>
    </row>
    <row r="26" customFormat="false" ht="15" hidden="false" customHeight="false" outlineLevel="0" collapsed="false">
      <c r="A26" s="11" t="s">
        <v>42</v>
      </c>
      <c r="B26" s="12" t="s">
        <v>578</v>
      </c>
      <c r="C26" s="13" t="n">
        <f aca="false">133500</f>
        <v>133500</v>
      </c>
      <c r="D26" s="13" t="n">
        <f aca="false">E26-C26</f>
        <v>233000</v>
      </c>
      <c r="E26" s="13" t="n">
        <v>366500</v>
      </c>
    </row>
    <row r="27" customFormat="false" ht="15" hidden="false" customHeight="false" outlineLevel="0" collapsed="false">
      <c r="A27" s="11" t="s">
        <v>44</v>
      </c>
      <c r="B27" s="12" t="s">
        <v>579</v>
      </c>
      <c r="C27" s="13" t="n">
        <f aca="false">51500+15000+110000+190000</f>
        <v>366500</v>
      </c>
      <c r="D27" s="13" t="n">
        <f aca="false">E27-C27</f>
        <v>0</v>
      </c>
      <c r="E27" s="13" t="n">
        <v>366500</v>
      </c>
    </row>
    <row r="28" customFormat="false" ht="15" hidden="false" customHeight="false" outlineLevel="0" collapsed="false">
      <c r="A28" s="11" t="s">
        <v>46</v>
      </c>
      <c r="B28" s="12" t="s">
        <v>580</v>
      </c>
      <c r="C28" s="13" t="n">
        <f aca="false">50000+200000+116500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48</v>
      </c>
      <c r="B29" s="12" t="s">
        <v>581</v>
      </c>
      <c r="C29" s="13" t="n">
        <f aca="false">90000+50000+60000+66500+60000+40000</f>
        <v>366500</v>
      </c>
      <c r="D29" s="13" t="n">
        <f aca="false">E29-C29</f>
        <v>0</v>
      </c>
      <c r="E29" s="13" t="n">
        <v>366500</v>
      </c>
    </row>
    <row r="30" customFormat="false" ht="15" hidden="false" customHeight="false" outlineLevel="0" collapsed="false">
      <c r="A30" s="11" t="s">
        <v>50</v>
      </c>
      <c r="B30" s="12" t="s">
        <v>582</v>
      </c>
      <c r="C30" s="13" t="n">
        <f aca="false">60000</f>
        <v>60000</v>
      </c>
      <c r="D30" s="13" t="n">
        <f aca="false">E30-C30</f>
        <v>306500</v>
      </c>
      <c r="E30" s="13" t="n">
        <v>366500</v>
      </c>
    </row>
    <row r="31" customFormat="false" ht="15" hidden="false" customHeight="false" outlineLevel="0" collapsed="false">
      <c r="A31" s="11" t="s">
        <v>52</v>
      </c>
      <c r="B31" s="12" t="s">
        <v>583</v>
      </c>
      <c r="C31" s="13" t="n">
        <v>0</v>
      </c>
      <c r="D31" s="13" t="n">
        <f aca="false">E31-C31</f>
        <v>366500</v>
      </c>
      <c r="E31" s="13" t="n">
        <v>366500</v>
      </c>
    </row>
    <row r="32" customFormat="false" ht="15" hidden="false" customHeight="false" outlineLevel="0" collapsed="false">
      <c r="A32" s="15" t="s">
        <v>98</v>
      </c>
      <c r="B32" s="15"/>
      <c r="C32" s="16" t="n">
        <f aca="false">SUM(C9:C31)</f>
        <v>5542500</v>
      </c>
      <c r="D32" s="16" t="n">
        <f aca="false">E32-C32</f>
        <v>2887000</v>
      </c>
      <c r="E32" s="16" t="n">
        <f aca="false">SUM(E9:E31)</f>
        <v>8429500</v>
      </c>
    </row>
    <row r="33" customFormat="false" ht="17.35" hidden="false" customHeight="false" outlineLevel="0" collapsed="false">
      <c r="A33" s="5" t="s">
        <v>584</v>
      </c>
      <c r="B33" s="6"/>
      <c r="C33" s="6"/>
      <c r="D33" s="6"/>
      <c r="E33" s="7"/>
    </row>
    <row r="34" customFormat="false" ht="15" hidden="false" customHeight="false" outlineLevel="0" collapsed="false">
      <c r="A34" s="15" t="s">
        <v>3</v>
      </c>
      <c r="B34" s="15" t="s">
        <v>4</v>
      </c>
      <c r="C34" s="17" t="s">
        <v>5</v>
      </c>
      <c r="D34" s="15" t="s">
        <v>6</v>
      </c>
      <c r="E34" s="16" t="s">
        <v>7</v>
      </c>
    </row>
    <row r="35" customFormat="false" ht="15" hidden="false" customHeight="false" outlineLevel="0" collapsed="false">
      <c r="A35" s="11" t="s">
        <v>8</v>
      </c>
      <c r="B35" s="12" t="s">
        <v>585</v>
      </c>
      <c r="C35" s="13" t="n">
        <f aca="false">30000+270000+66500</f>
        <v>366500</v>
      </c>
      <c r="D35" s="13" t="n">
        <f aca="false">E35-C35</f>
        <v>0</v>
      </c>
      <c r="E35" s="13" t="n">
        <v>366500</v>
      </c>
    </row>
    <row r="36" customFormat="false" ht="15" hidden="false" customHeight="false" outlineLevel="0" collapsed="false">
      <c r="A36" s="11" t="s">
        <v>10</v>
      </c>
      <c r="B36" s="45" t="s">
        <v>586</v>
      </c>
      <c r="C36" s="13" t="n">
        <f aca="false">130000+20000+222000</f>
        <v>372000</v>
      </c>
      <c r="D36" s="13" t="n">
        <f aca="false">E36-C36</f>
        <v>-5500</v>
      </c>
      <c r="E36" s="13" t="n">
        <v>366500</v>
      </c>
    </row>
    <row r="37" customFormat="false" ht="15" hidden="false" customHeight="false" outlineLevel="0" collapsed="false">
      <c r="A37" s="11" t="s">
        <v>12</v>
      </c>
      <c r="B37" s="12" t="s">
        <v>587</v>
      </c>
      <c r="C37" s="13" t="n">
        <f aca="false">150000+50000+166500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1" t="s">
        <v>14</v>
      </c>
      <c r="B38" s="12" t="s">
        <v>588</v>
      </c>
      <c r="C38" s="13" t="n">
        <f aca="false">366500</f>
        <v>366500</v>
      </c>
      <c r="D38" s="13" t="n">
        <f aca="false">E38-C38</f>
        <v>0</v>
      </c>
      <c r="E38" s="13" t="n">
        <v>366500</v>
      </c>
    </row>
    <row r="39" customFormat="false" ht="15" hidden="false" customHeight="false" outlineLevel="0" collapsed="false">
      <c r="A39" s="11" t="s">
        <v>16</v>
      </c>
      <c r="B39" s="12" t="s">
        <v>589</v>
      </c>
      <c r="C39" s="13" t="n">
        <f aca="false">100000</f>
        <v>100000</v>
      </c>
      <c r="D39" s="13" t="n">
        <f aca="false">E39-C39</f>
        <v>266500</v>
      </c>
      <c r="E39" s="13" t="n">
        <v>366500</v>
      </c>
    </row>
    <row r="40" customFormat="false" ht="15" hidden="false" customHeight="false" outlineLevel="0" collapsed="false">
      <c r="A40" s="11" t="s">
        <v>18</v>
      </c>
      <c r="B40" s="12" t="s">
        <v>590</v>
      </c>
      <c r="C40" s="13" t="n">
        <f aca="false">200000+166500</f>
        <v>366500</v>
      </c>
      <c r="D40" s="13" t="n">
        <f aca="false">E40-C40</f>
        <v>0</v>
      </c>
      <c r="E40" s="13" t="n">
        <v>366500</v>
      </c>
    </row>
    <row r="41" customFormat="false" ht="15" hidden="false" customHeight="false" outlineLevel="0" collapsed="false">
      <c r="A41" s="11" t="s">
        <v>20</v>
      </c>
      <c r="B41" s="12" t="s">
        <v>591</v>
      </c>
      <c r="C41" s="13" t="n">
        <f aca="false">50000+316000+500</f>
        <v>366500</v>
      </c>
      <c r="D41" s="13" t="n">
        <f aca="false">E41-C41</f>
        <v>0</v>
      </c>
      <c r="E41" s="13" t="n">
        <v>366500</v>
      </c>
    </row>
    <row r="42" customFormat="false" ht="15" hidden="false" customHeight="false" outlineLevel="0" collapsed="false">
      <c r="A42" s="11" t="s">
        <v>22</v>
      </c>
      <c r="B42" s="12" t="s">
        <v>592</v>
      </c>
      <c r="C42" s="13" t="n">
        <f aca="false">200000+166500</f>
        <v>366500</v>
      </c>
      <c r="D42" s="13" t="n">
        <f aca="false">E42-C42</f>
        <v>0</v>
      </c>
      <c r="E42" s="13" t="n">
        <v>366500</v>
      </c>
    </row>
    <row r="43" customFormat="false" ht="15" hidden="false" customHeight="false" outlineLevel="0" collapsed="false">
      <c r="A43" s="11" t="s">
        <v>24</v>
      </c>
      <c r="B43" s="12" t="s">
        <v>593</v>
      </c>
      <c r="C43" s="13" t="n">
        <f aca="false">8500+358000</f>
        <v>366500</v>
      </c>
      <c r="D43" s="13" t="n">
        <f aca="false">E43-C43</f>
        <v>0</v>
      </c>
      <c r="E43" s="13" t="n">
        <v>366500</v>
      </c>
    </row>
    <row r="44" customFormat="false" ht="15" hidden="false" customHeight="false" outlineLevel="0" collapsed="false">
      <c r="A44" s="11" t="s">
        <v>26</v>
      </c>
      <c r="B44" s="12" t="s">
        <v>594</v>
      </c>
      <c r="C44" s="13" t="n">
        <f aca="false">200000+166500</f>
        <v>366500</v>
      </c>
      <c r="D44" s="13" t="n">
        <f aca="false">E44-C44</f>
        <v>0</v>
      </c>
      <c r="E44" s="13" t="n">
        <v>366500</v>
      </c>
    </row>
    <row r="45" customFormat="false" ht="15" hidden="false" customHeight="false" outlineLevel="0" collapsed="false">
      <c r="A45" s="11" t="s">
        <v>28</v>
      </c>
      <c r="B45" s="12" t="s">
        <v>595</v>
      </c>
      <c r="C45" s="13" t="n">
        <v>366500</v>
      </c>
      <c r="D45" s="13" t="n">
        <f aca="false">E45-C45</f>
        <v>0</v>
      </c>
      <c r="E45" s="13" t="n">
        <v>366500</v>
      </c>
    </row>
    <row r="46" customFormat="false" ht="15" hidden="false" customHeight="false" outlineLevel="0" collapsed="false">
      <c r="A46" s="11" t="s">
        <v>30</v>
      </c>
      <c r="B46" s="12" t="s">
        <v>596</v>
      </c>
      <c r="C46" s="13" t="n">
        <f aca="false">100000+200000+66000+500</f>
        <v>366500</v>
      </c>
      <c r="D46" s="13" t="n">
        <f aca="false">E46-C46</f>
        <v>0</v>
      </c>
      <c r="E46" s="13" t="n">
        <v>366500</v>
      </c>
    </row>
    <row r="47" customFormat="false" ht="15" hidden="false" customHeight="false" outlineLevel="0" collapsed="false">
      <c r="A47" s="11" t="s">
        <v>32</v>
      </c>
      <c r="B47" s="12" t="s">
        <v>597</v>
      </c>
      <c r="C47" s="13" t="n">
        <f aca="false">100000+266500</f>
        <v>366500</v>
      </c>
      <c r="D47" s="13" t="n">
        <f aca="false">E47-C47</f>
        <v>0</v>
      </c>
      <c r="E47" s="13" t="n">
        <v>366500</v>
      </c>
    </row>
    <row r="48" customFormat="false" ht="15" hidden="false" customHeight="false" outlineLevel="0" collapsed="false">
      <c r="A48" s="11" t="s">
        <v>34</v>
      </c>
      <c r="B48" s="12" t="s">
        <v>598</v>
      </c>
      <c r="C48" s="13" t="n">
        <f aca="false">50000+316500</f>
        <v>366500</v>
      </c>
      <c r="D48" s="13" t="n">
        <f aca="false">E48-C48</f>
        <v>0</v>
      </c>
      <c r="E48" s="13" t="n">
        <v>366500</v>
      </c>
    </row>
    <row r="49" customFormat="false" ht="15" hidden="false" customHeight="false" outlineLevel="0" collapsed="false">
      <c r="A49" s="11" t="s">
        <v>36</v>
      </c>
      <c r="B49" s="12" t="s">
        <v>599</v>
      </c>
      <c r="C49" s="13" t="n">
        <f aca="false">52000+314500</f>
        <v>366500</v>
      </c>
      <c r="D49" s="13" t="n">
        <f aca="false">E49-C49</f>
        <v>0</v>
      </c>
      <c r="E49" s="13" t="n">
        <v>366500</v>
      </c>
    </row>
    <row r="50" customFormat="false" ht="15" hidden="false" customHeight="false" outlineLevel="0" collapsed="false">
      <c r="A50" s="11" t="s">
        <v>38</v>
      </c>
      <c r="B50" s="12" t="s">
        <v>600</v>
      </c>
      <c r="C50" s="13" t="n">
        <f aca="false">72000+23000+190000+80500</f>
        <v>365500</v>
      </c>
      <c r="D50" s="13" t="n">
        <f aca="false">E50-C50</f>
        <v>1000</v>
      </c>
      <c r="E50" s="13" t="n">
        <v>366500</v>
      </c>
    </row>
    <row r="51" customFormat="false" ht="15" hidden="false" customHeight="false" outlineLevel="0" collapsed="false">
      <c r="A51" s="11" t="s">
        <v>40</v>
      </c>
      <c r="B51" s="12" t="s">
        <v>601</v>
      </c>
      <c r="C51" s="13" t="n">
        <f aca="false">100000+266500</f>
        <v>366500</v>
      </c>
      <c r="D51" s="13" t="n">
        <f aca="false">E51-C51</f>
        <v>0</v>
      </c>
      <c r="E51" s="13" t="n">
        <v>366500</v>
      </c>
    </row>
    <row r="52" customFormat="false" ht="15" hidden="false" customHeight="false" outlineLevel="0" collapsed="false">
      <c r="A52" s="11" t="s">
        <v>42</v>
      </c>
      <c r="B52" s="12" t="s">
        <v>602</v>
      </c>
      <c r="C52" s="13" t="n">
        <v>0</v>
      </c>
      <c r="D52" s="13" t="n">
        <f aca="false">E52-C52</f>
        <v>366500</v>
      </c>
      <c r="E52" s="13" t="n">
        <v>366500</v>
      </c>
    </row>
    <row r="53" customFormat="false" ht="15" hidden="false" customHeight="false" outlineLevel="0" collapsed="false">
      <c r="A53" s="11" t="s">
        <v>44</v>
      </c>
      <c r="B53" s="12" t="s">
        <v>603</v>
      </c>
      <c r="C53" s="13" t="n">
        <f aca="false">200000+166500</f>
        <v>366500</v>
      </c>
      <c r="D53" s="13" t="n">
        <f aca="false">E53-C53</f>
        <v>0</v>
      </c>
      <c r="E53" s="13" t="n">
        <v>366500</v>
      </c>
    </row>
    <row r="54" customFormat="false" ht="15" hidden="false" customHeight="false" outlineLevel="0" collapsed="false">
      <c r="A54" s="15" t="s">
        <v>98</v>
      </c>
      <c r="B54" s="15"/>
      <c r="C54" s="16" t="n">
        <f aca="false">SUM(C35:C53)</f>
        <v>6335000</v>
      </c>
      <c r="D54" s="16" t="n">
        <f aca="false">E54-C54</f>
        <v>628500</v>
      </c>
      <c r="E54" s="16" t="n">
        <f aca="false">SUM(E35:E53)</f>
        <v>6963500</v>
      </c>
    </row>
    <row r="55" customFormat="false" ht="17.35" hidden="false" customHeight="false" outlineLevel="0" collapsed="false">
      <c r="A55" s="5" t="s">
        <v>604</v>
      </c>
      <c r="B55" s="6"/>
      <c r="C55" s="6"/>
      <c r="D55" s="6"/>
      <c r="E55" s="7"/>
    </row>
    <row r="56" customFormat="false" ht="15" hidden="false" customHeight="false" outlineLevel="0" collapsed="false">
      <c r="A56" s="15" t="s">
        <v>3</v>
      </c>
      <c r="B56" s="15" t="s">
        <v>4</v>
      </c>
      <c r="C56" s="17" t="s">
        <v>5</v>
      </c>
      <c r="D56" s="15" t="s">
        <v>6</v>
      </c>
      <c r="E56" s="16" t="s">
        <v>7</v>
      </c>
    </row>
    <row r="57" customFormat="false" ht="15" hidden="false" customHeight="false" outlineLevel="0" collapsed="false">
      <c r="A57" s="11" t="s">
        <v>8</v>
      </c>
      <c r="B57" s="12" t="s">
        <v>605</v>
      </c>
      <c r="C57" s="13" t="n">
        <f aca="false">100000+100000+100000+66500</f>
        <v>366500</v>
      </c>
      <c r="D57" s="13" t="n">
        <f aca="false">E57-C57</f>
        <v>0</v>
      </c>
      <c r="E57" s="13" t="n">
        <v>366500</v>
      </c>
    </row>
    <row r="58" customFormat="false" ht="15" hidden="false" customHeight="false" outlineLevel="0" collapsed="false">
      <c r="A58" s="11" t="s">
        <v>10</v>
      </c>
      <c r="B58" s="12" t="s">
        <v>606</v>
      </c>
      <c r="C58" s="13" t="n">
        <f aca="false">80000+200000+86500</f>
        <v>366500</v>
      </c>
      <c r="D58" s="13" t="n">
        <f aca="false">E58-C58</f>
        <v>0</v>
      </c>
      <c r="E58" s="13" t="n">
        <v>366500</v>
      </c>
    </row>
    <row r="59" customFormat="false" ht="15" hidden="false" customHeight="false" outlineLevel="0" collapsed="false">
      <c r="A59" s="11" t="s">
        <v>12</v>
      </c>
      <c r="B59" s="12" t="s">
        <v>607</v>
      </c>
      <c r="C59" s="13" t="n">
        <f aca="false">100000+100000+100000+66500</f>
        <v>366500</v>
      </c>
      <c r="D59" s="13" t="n">
        <f aca="false">E59-C59</f>
        <v>0</v>
      </c>
      <c r="E59" s="13" t="n">
        <v>366500</v>
      </c>
    </row>
    <row r="60" customFormat="false" ht="15" hidden="false" customHeight="false" outlineLevel="0" collapsed="false">
      <c r="A60" s="11" t="s">
        <v>14</v>
      </c>
      <c r="B60" s="12" t="s">
        <v>608</v>
      </c>
      <c r="C60" s="13" t="n">
        <f aca="false">140000+226500</f>
        <v>366500</v>
      </c>
      <c r="D60" s="13" t="n">
        <f aca="false">E60-C60</f>
        <v>0</v>
      </c>
      <c r="E60" s="13" t="n">
        <v>366500</v>
      </c>
    </row>
    <row r="61" customFormat="false" ht="15" hidden="false" customHeight="false" outlineLevel="0" collapsed="false">
      <c r="A61" s="11" t="s">
        <v>16</v>
      </c>
      <c r="B61" s="12" t="s">
        <v>609</v>
      </c>
      <c r="C61" s="13" t="n">
        <f aca="false">150000+216500</f>
        <v>366500</v>
      </c>
      <c r="D61" s="13" t="n">
        <f aca="false">E61-C61</f>
        <v>0</v>
      </c>
      <c r="E61" s="13" t="n">
        <v>366500</v>
      </c>
    </row>
    <row r="62" customFormat="false" ht="15" hidden="false" customHeight="false" outlineLevel="0" collapsed="false">
      <c r="A62" s="11" t="s">
        <v>18</v>
      </c>
      <c r="B62" s="12" t="s">
        <v>610</v>
      </c>
      <c r="C62" s="13" t="n">
        <f aca="false">200000+166500</f>
        <v>366500</v>
      </c>
      <c r="D62" s="13" t="n">
        <f aca="false">E62-C62</f>
        <v>0</v>
      </c>
      <c r="E62" s="13" t="n">
        <v>366500</v>
      </c>
    </row>
    <row r="63" customFormat="false" ht="15" hidden="false" customHeight="false" outlineLevel="0" collapsed="false">
      <c r="A63" s="11" t="s">
        <v>20</v>
      </c>
      <c r="B63" s="12" t="s">
        <v>611</v>
      </c>
      <c r="C63" s="13" t="n">
        <f aca="false">130500+20000+50000</f>
        <v>200500</v>
      </c>
      <c r="D63" s="13" t="n">
        <f aca="false">E63-C63</f>
        <v>166000</v>
      </c>
      <c r="E63" s="13" t="n">
        <v>366500</v>
      </c>
    </row>
    <row r="64" customFormat="false" ht="15" hidden="false" customHeight="false" outlineLevel="0" collapsed="false">
      <c r="A64" s="11" t="s">
        <v>22</v>
      </c>
      <c r="B64" s="12" t="s">
        <v>612</v>
      </c>
      <c r="C64" s="13" t="n">
        <f aca="false">133500+233000</f>
        <v>366500</v>
      </c>
      <c r="D64" s="13" t="n">
        <f aca="false">E64-C64</f>
        <v>0</v>
      </c>
      <c r="E64" s="13" t="n">
        <v>366500</v>
      </c>
    </row>
    <row r="65" customFormat="false" ht="15" hidden="false" customHeight="false" outlineLevel="0" collapsed="false">
      <c r="A65" s="11" t="s">
        <v>24</v>
      </c>
      <c r="B65" s="12" t="s">
        <v>613</v>
      </c>
      <c r="C65" s="13" t="n">
        <v>366500</v>
      </c>
      <c r="D65" s="13" t="n">
        <f aca="false">E65-C65</f>
        <v>0</v>
      </c>
      <c r="E65" s="13" t="n">
        <v>366500</v>
      </c>
    </row>
    <row r="66" customFormat="false" ht="15" hidden="false" customHeight="false" outlineLevel="0" collapsed="false">
      <c r="A66" s="11" t="s">
        <v>26</v>
      </c>
      <c r="B66" s="12" t="s">
        <v>614</v>
      </c>
      <c r="C66" s="13" t="n">
        <f aca="false">100000+266500</f>
        <v>366500</v>
      </c>
      <c r="D66" s="13" t="n">
        <f aca="false">E66-C66</f>
        <v>0</v>
      </c>
      <c r="E66" s="13" t="n">
        <v>366500</v>
      </c>
    </row>
    <row r="67" customFormat="false" ht="15" hidden="false" customHeight="false" outlineLevel="0" collapsed="false">
      <c r="A67" s="11" t="s">
        <v>28</v>
      </c>
      <c r="B67" s="12" t="s">
        <v>615</v>
      </c>
      <c r="C67" s="13" t="n">
        <v>0</v>
      </c>
      <c r="D67" s="13" t="n">
        <f aca="false">E67-C67</f>
        <v>366500</v>
      </c>
      <c r="E67" s="13" t="n">
        <v>366500</v>
      </c>
    </row>
    <row r="68" customFormat="false" ht="15" hidden="false" customHeight="false" outlineLevel="0" collapsed="false">
      <c r="A68" s="11" t="s">
        <v>30</v>
      </c>
      <c r="B68" s="12" t="s">
        <v>616</v>
      </c>
      <c r="C68" s="13" t="n">
        <f aca="false">140000+80000+80000+66000+500</f>
        <v>366500</v>
      </c>
      <c r="D68" s="13" t="n">
        <f aca="false">E68-C68</f>
        <v>0</v>
      </c>
      <c r="E68" s="13" t="n">
        <v>366500</v>
      </c>
    </row>
    <row r="69" customFormat="false" ht="15" hidden="false" customHeight="false" outlineLevel="0" collapsed="false">
      <c r="A69" s="11" t="s">
        <v>32</v>
      </c>
      <c r="B69" s="12" t="s">
        <v>617</v>
      </c>
      <c r="C69" s="13" t="n">
        <f aca="false">39000+40000+90000+100000+97500</f>
        <v>366500</v>
      </c>
      <c r="D69" s="13" t="n">
        <f aca="false">E69-C69</f>
        <v>0</v>
      </c>
      <c r="E69" s="13" t="n">
        <v>366500</v>
      </c>
    </row>
    <row r="70" customFormat="false" ht="15" hidden="false" customHeight="false" outlineLevel="0" collapsed="false">
      <c r="A70" s="11" t="s">
        <v>34</v>
      </c>
      <c r="B70" s="12" t="s">
        <v>618</v>
      </c>
      <c r="C70" s="13" t="n">
        <v>0</v>
      </c>
      <c r="D70" s="13" t="n">
        <f aca="false">E70-C70</f>
        <v>366500</v>
      </c>
      <c r="E70" s="13" t="n">
        <v>366500</v>
      </c>
    </row>
    <row r="71" customFormat="false" ht="15" hidden="false" customHeight="false" outlineLevel="0" collapsed="false">
      <c r="A71" s="11" t="s">
        <v>36</v>
      </c>
      <c r="B71" s="12" t="s">
        <v>619</v>
      </c>
      <c r="C71" s="13" t="n">
        <f aca="false">43500+106000+100000+117000</f>
        <v>366500</v>
      </c>
      <c r="D71" s="13" t="n">
        <f aca="false">E71-C71</f>
        <v>0</v>
      </c>
      <c r="E71" s="13" t="n">
        <v>366500</v>
      </c>
    </row>
    <row r="72" customFormat="false" ht="15" hidden="false" customHeight="false" outlineLevel="0" collapsed="false">
      <c r="A72" s="11" t="s">
        <v>38</v>
      </c>
      <c r="B72" s="12" t="s">
        <v>620</v>
      </c>
      <c r="C72" s="13" t="n">
        <f aca="false">365500+1000</f>
        <v>366500</v>
      </c>
      <c r="D72" s="13" t="n">
        <f aca="false">E72-C72</f>
        <v>0</v>
      </c>
      <c r="E72" s="13" t="n">
        <v>366500</v>
      </c>
    </row>
    <row r="73" customFormat="false" ht="15" hidden="false" customHeight="false" outlineLevel="0" collapsed="false">
      <c r="A73" s="15" t="s">
        <v>98</v>
      </c>
      <c r="B73" s="15"/>
      <c r="C73" s="16" t="n">
        <f aca="false">SUM(C57:C72)</f>
        <v>4965000</v>
      </c>
      <c r="D73" s="16" t="n">
        <f aca="false">E73-C73</f>
        <v>899000</v>
      </c>
      <c r="E73" s="16" t="n">
        <f aca="false">SUM(E57:E72)</f>
        <v>5864000</v>
      </c>
    </row>
    <row r="74" customFormat="false" ht="17.35" hidden="false" customHeight="false" outlineLevel="0" collapsed="false">
      <c r="A74" s="5" t="s">
        <v>536</v>
      </c>
      <c r="B74" s="6"/>
      <c r="C74" s="6"/>
      <c r="D74" s="6"/>
      <c r="E74" s="7"/>
    </row>
    <row r="75" customFormat="false" ht="15" hidden="false" customHeight="false" outlineLevel="0" collapsed="false">
      <c r="A75" s="15" t="s">
        <v>3</v>
      </c>
      <c r="B75" s="15" t="s">
        <v>4</v>
      </c>
      <c r="C75" s="17" t="s">
        <v>5</v>
      </c>
      <c r="D75" s="15" t="s">
        <v>6</v>
      </c>
      <c r="E75" s="16" t="s">
        <v>7</v>
      </c>
    </row>
    <row r="76" customFormat="false" ht="15" hidden="false" customHeight="false" outlineLevel="0" collapsed="false">
      <c r="A76" s="11" t="s">
        <v>8</v>
      </c>
      <c r="B76" s="12" t="s">
        <v>621</v>
      </c>
      <c r="C76" s="13" t="n">
        <v>0</v>
      </c>
      <c r="D76" s="13" t="n">
        <f aca="false">E76-C76</f>
        <v>366500</v>
      </c>
      <c r="E76" s="13" t="n">
        <v>366500</v>
      </c>
    </row>
    <row r="77" customFormat="false" ht="15" hidden="false" customHeight="false" outlineLevel="0" collapsed="false">
      <c r="A77" s="11" t="s">
        <v>10</v>
      </c>
      <c r="B77" s="12" t="s">
        <v>622</v>
      </c>
      <c r="C77" s="13" t="n">
        <f aca="false">200000+166500</f>
        <v>366500</v>
      </c>
      <c r="D77" s="13" t="n">
        <f aca="false">E77-C77</f>
        <v>0</v>
      </c>
      <c r="E77" s="13" t="n">
        <v>366500</v>
      </c>
    </row>
    <row r="78" customFormat="false" ht="15" hidden="false" customHeight="false" outlineLevel="0" collapsed="false">
      <c r="A78" s="11" t="s">
        <v>12</v>
      </c>
      <c r="B78" s="12" t="s">
        <v>623</v>
      </c>
      <c r="C78" s="13" t="n">
        <f aca="false">100000+266500</f>
        <v>366500</v>
      </c>
      <c r="D78" s="13" t="n">
        <f aca="false">E78-C78</f>
        <v>0</v>
      </c>
      <c r="E78" s="13" t="n">
        <v>366500</v>
      </c>
    </row>
    <row r="79" customFormat="false" ht="15" hidden="false" customHeight="false" outlineLevel="0" collapsed="false">
      <c r="A79" s="11" t="s">
        <v>14</v>
      </c>
      <c r="B79" s="12" t="s">
        <v>624</v>
      </c>
      <c r="C79" s="13" t="n">
        <f aca="false">53500+250000+63500</f>
        <v>367000</v>
      </c>
      <c r="D79" s="13" t="n">
        <f aca="false">E79-C79</f>
        <v>-500</v>
      </c>
      <c r="E79" s="13" t="n">
        <v>366500</v>
      </c>
    </row>
    <row r="80" customFormat="false" ht="15" hidden="false" customHeight="false" outlineLevel="0" collapsed="false">
      <c r="A80" s="11" t="s">
        <v>16</v>
      </c>
      <c r="B80" s="12" t="s">
        <v>625</v>
      </c>
      <c r="C80" s="13" t="n">
        <f aca="false">200000+166500</f>
        <v>366500</v>
      </c>
      <c r="D80" s="13" t="n">
        <f aca="false">E80-C80</f>
        <v>0</v>
      </c>
      <c r="E80" s="13" t="n">
        <v>366500</v>
      </c>
      <c r="F80" s="1" t="s">
        <v>626</v>
      </c>
    </row>
    <row r="81" customFormat="false" ht="15" hidden="false" customHeight="false" outlineLevel="0" collapsed="false">
      <c r="A81" s="11" t="s">
        <v>18</v>
      </c>
      <c r="B81" s="12" t="s">
        <v>627</v>
      </c>
      <c r="C81" s="13" t="n">
        <f aca="false">200000+115000+51500</f>
        <v>366500</v>
      </c>
      <c r="D81" s="13" t="n">
        <f aca="false">E81-C81</f>
        <v>0</v>
      </c>
      <c r="E81" s="13" t="n">
        <v>366500</v>
      </c>
    </row>
    <row r="82" customFormat="false" ht="15" hidden="false" customHeight="false" outlineLevel="0" collapsed="false">
      <c r="A82" s="11" t="s">
        <v>20</v>
      </c>
      <c r="B82" s="12" t="s">
        <v>628</v>
      </c>
      <c r="C82" s="13"/>
      <c r="D82" s="13" t="n">
        <f aca="false">E82-C82</f>
        <v>366500</v>
      </c>
      <c r="E82" s="13" t="n">
        <v>366500</v>
      </c>
    </row>
    <row r="83" customFormat="false" ht="15" hidden="false" customHeight="false" outlineLevel="0" collapsed="false">
      <c r="A83" s="11" t="s">
        <v>22</v>
      </c>
      <c r="B83" s="12" t="s">
        <v>629</v>
      </c>
      <c r="C83" s="13" t="n">
        <f aca="false">366500</f>
        <v>366500</v>
      </c>
      <c r="D83" s="13" t="n">
        <f aca="false">E83-C83</f>
        <v>0</v>
      </c>
      <c r="E83" s="13" t="n">
        <v>366500</v>
      </c>
    </row>
    <row r="84" customFormat="false" ht="15" hidden="false" customHeight="false" outlineLevel="0" collapsed="false">
      <c r="A84" s="11" t="s">
        <v>24</v>
      </c>
      <c r="B84" s="12" t="s">
        <v>630</v>
      </c>
      <c r="C84" s="13" t="n">
        <f aca="false">366500</f>
        <v>366500</v>
      </c>
      <c r="D84" s="13" t="n">
        <f aca="false">E84-C84</f>
        <v>0</v>
      </c>
      <c r="E84" s="13" t="n">
        <v>366500</v>
      </c>
    </row>
    <row r="85" customFormat="false" ht="15" hidden="false" customHeight="false" outlineLevel="0" collapsed="false">
      <c r="A85" s="11" t="s">
        <v>26</v>
      </c>
      <c r="B85" s="12" t="s">
        <v>631</v>
      </c>
      <c r="C85" s="13" t="n">
        <v>0</v>
      </c>
      <c r="D85" s="13" t="n">
        <f aca="false">E85-C85</f>
        <v>366500</v>
      </c>
      <c r="E85" s="13" t="n">
        <v>366500</v>
      </c>
    </row>
    <row r="86" customFormat="false" ht="15" hidden="false" customHeight="false" outlineLevel="0" collapsed="false">
      <c r="A86" s="11" t="s">
        <v>28</v>
      </c>
      <c r="B86" s="12" t="s">
        <v>632</v>
      </c>
      <c r="C86" s="13" t="n">
        <v>366500</v>
      </c>
      <c r="D86" s="13" t="n">
        <f aca="false">E86-C86</f>
        <v>0</v>
      </c>
      <c r="E86" s="13" t="n">
        <v>366500</v>
      </c>
    </row>
    <row r="87" customFormat="false" ht="15" hidden="false" customHeight="false" outlineLevel="0" collapsed="false">
      <c r="A87" s="15" t="s">
        <v>98</v>
      </c>
      <c r="B87" s="15"/>
      <c r="C87" s="16" t="n">
        <f aca="false">SUM(C76:C86)</f>
        <v>2932500</v>
      </c>
      <c r="D87" s="16" t="n">
        <f aca="false">E87-C87</f>
        <v>1099000</v>
      </c>
      <c r="E87" s="16" t="n">
        <f aca="false">SUM(E76:E86)</f>
        <v>4031500</v>
      </c>
    </row>
  </sheetData>
  <mergeCells count="4">
    <mergeCell ref="A32:B32"/>
    <mergeCell ref="A54:B54"/>
    <mergeCell ref="A73:B73"/>
    <mergeCell ref="A87:B87"/>
  </mergeCells>
  <printOptions headings="false" gridLines="false" gridLinesSet="true" horizontalCentered="false" verticalCentered="false"/>
  <pageMargins left="0.3" right="0.409722222222222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F11" activeCellId="0" sqref="F1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28.28"/>
    <col collapsed="false" customWidth="true" hidden="false" outlineLevel="0" max="3" min="3" style="1" width="14.7"/>
    <col collapsed="false" customWidth="true" hidden="false" outlineLevel="0" max="4" min="4" style="1" width="12.42"/>
    <col collapsed="false" customWidth="true" hidden="false" outlineLevel="0" max="5" min="5" style="1" width="14.41"/>
    <col collapsed="false" customWidth="true" hidden="false" outlineLevel="0" max="16384" min="16376" style="0" width="11.53"/>
  </cols>
  <sheetData>
    <row r="3" customFormat="false" ht="17.35" hidden="false" customHeight="false" outlineLevel="0" collapsed="false">
      <c r="A3" s="2"/>
      <c r="B3" s="3" t="s">
        <v>633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2"/>
      <c r="B5" s="46" t="s">
        <v>634</v>
      </c>
      <c r="C5" s="2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7.35" hidden="false" customHeight="false" outlineLevel="0" collapsed="false">
      <c r="A7" s="5" t="s">
        <v>635</v>
      </c>
      <c r="B7" s="6"/>
      <c r="C7" s="6"/>
      <c r="D7" s="6"/>
      <c r="E7" s="7"/>
    </row>
    <row r="8" customFormat="false" ht="15" hidden="false" customHeight="false" outlineLevel="0" collapsed="false">
      <c r="A8" s="15" t="s">
        <v>3</v>
      </c>
      <c r="B8" s="15" t="s">
        <v>4</v>
      </c>
      <c r="C8" s="17" t="s">
        <v>5</v>
      </c>
      <c r="D8" s="15" t="s">
        <v>6</v>
      </c>
      <c r="E8" s="16" t="s">
        <v>7</v>
      </c>
    </row>
    <row r="9" customFormat="false" ht="15" hidden="false" customHeight="false" outlineLevel="0" collapsed="false">
      <c r="A9" s="11" t="s">
        <v>8</v>
      </c>
      <c r="B9" s="12" t="s">
        <v>636</v>
      </c>
      <c r="C9" s="13" t="n">
        <f aca="false">265500+1000+100000</f>
        <v>366500</v>
      </c>
      <c r="D9" s="13" t="n">
        <f aca="false">E9-C9</f>
        <v>0</v>
      </c>
      <c r="E9" s="13" t="n">
        <v>366500</v>
      </c>
    </row>
    <row r="10" customFormat="false" ht="15" hidden="false" customHeight="false" outlineLevel="0" collapsed="false">
      <c r="A10" s="11" t="s">
        <v>10</v>
      </c>
      <c r="B10" s="12" t="s">
        <v>637</v>
      </c>
      <c r="C10" s="13" t="n">
        <f aca="false">100000+195000</f>
        <v>295000</v>
      </c>
      <c r="D10" s="13" t="n">
        <f aca="false">E10-C10</f>
        <v>71500</v>
      </c>
      <c r="E10" s="13" t="n">
        <v>366500</v>
      </c>
    </row>
    <row r="11" customFormat="false" ht="15" hidden="false" customHeight="false" outlineLevel="0" collapsed="false">
      <c r="A11" s="11" t="s">
        <v>12</v>
      </c>
      <c r="B11" s="12" t="s">
        <v>638</v>
      </c>
      <c r="C11" s="13" t="n">
        <f aca="false">200000+151000+15000+500</f>
        <v>366500</v>
      </c>
      <c r="D11" s="13" t="n">
        <f aca="false">E11-C11</f>
        <v>0</v>
      </c>
      <c r="E11" s="13" t="n">
        <v>366500</v>
      </c>
    </row>
    <row r="12" customFormat="false" ht="15" hidden="false" customHeight="false" outlineLevel="0" collapsed="false">
      <c r="A12" s="11" t="s">
        <v>14</v>
      </c>
      <c r="B12" s="12" t="s">
        <v>639</v>
      </c>
      <c r="C12" s="13" t="n">
        <f aca="false">150000+200000</f>
        <v>350000</v>
      </c>
      <c r="D12" s="13" t="n">
        <f aca="false">E12-C12</f>
        <v>16500</v>
      </c>
      <c r="E12" s="13" t="n">
        <v>366500</v>
      </c>
    </row>
    <row r="13" customFormat="false" ht="15" hidden="false" customHeight="false" outlineLevel="0" collapsed="false">
      <c r="A13" s="11" t="s">
        <v>16</v>
      </c>
      <c r="B13" s="12" t="s">
        <v>640</v>
      </c>
      <c r="C13" s="13" t="n">
        <f aca="false">150000+200000</f>
        <v>350000</v>
      </c>
      <c r="D13" s="13" t="n">
        <f aca="false">E13-C13</f>
        <v>16500</v>
      </c>
      <c r="E13" s="13" t="n">
        <v>366500</v>
      </c>
    </row>
    <row r="14" customFormat="false" ht="15" hidden="false" customHeight="false" outlineLevel="0" collapsed="false">
      <c r="A14" s="11" t="s">
        <v>18</v>
      </c>
      <c r="B14" s="12" t="s">
        <v>641</v>
      </c>
      <c r="C14" s="13" t="n">
        <f aca="false">150000+216000+500</f>
        <v>366500</v>
      </c>
      <c r="D14" s="13" t="n">
        <f aca="false">E14-C14</f>
        <v>0</v>
      </c>
      <c r="E14" s="13" t="n">
        <v>366500</v>
      </c>
    </row>
    <row r="15" customFormat="false" ht="15" hidden="false" customHeight="false" outlineLevel="0" collapsed="false">
      <c r="A15" s="11" t="s">
        <v>20</v>
      </c>
      <c r="B15" s="12" t="s">
        <v>642</v>
      </c>
      <c r="C15" s="13" t="n">
        <f aca="false">200000+166500</f>
        <v>366500</v>
      </c>
      <c r="D15" s="13" t="n">
        <f aca="false">E15-C15</f>
        <v>0</v>
      </c>
      <c r="E15" s="13" t="n">
        <v>366500</v>
      </c>
    </row>
    <row r="16" customFormat="false" ht="15" hidden="false" customHeight="false" outlineLevel="0" collapsed="false">
      <c r="A16" s="11" t="s">
        <v>22</v>
      </c>
      <c r="B16" s="12" t="s">
        <v>643</v>
      </c>
      <c r="C16" s="13" t="n">
        <f aca="false">150000+216500</f>
        <v>366500</v>
      </c>
      <c r="D16" s="13" t="n">
        <f aca="false">E16-C16</f>
        <v>0</v>
      </c>
      <c r="E16" s="13" t="n">
        <v>366500</v>
      </c>
    </row>
    <row r="17" customFormat="false" ht="15" hidden="false" customHeight="false" outlineLevel="0" collapsed="false">
      <c r="A17" s="11" t="s">
        <v>24</v>
      </c>
      <c r="B17" s="12" t="s">
        <v>644</v>
      </c>
      <c r="C17" s="13" t="n">
        <f aca="false">100000+200000</f>
        <v>300000</v>
      </c>
      <c r="D17" s="13" t="n">
        <f aca="false">E17-C17</f>
        <v>66500</v>
      </c>
      <c r="E17" s="13" t="n">
        <v>366500</v>
      </c>
    </row>
    <row r="18" customFormat="false" ht="15" hidden="false" customHeight="false" outlineLevel="0" collapsed="false">
      <c r="A18" s="11" t="s">
        <v>26</v>
      </c>
      <c r="B18" s="12" t="s">
        <v>645</v>
      </c>
      <c r="C18" s="13" t="n">
        <f aca="false">100000+100000</f>
        <v>200000</v>
      </c>
      <c r="D18" s="13" t="n">
        <f aca="false">E18-C18</f>
        <v>166500</v>
      </c>
      <c r="E18" s="13" t="n">
        <v>366500</v>
      </c>
    </row>
    <row r="19" customFormat="false" ht="15" hidden="false" customHeight="false" outlineLevel="0" collapsed="false">
      <c r="A19" s="11" t="s">
        <v>28</v>
      </c>
      <c r="B19" s="12" t="s">
        <v>646</v>
      </c>
      <c r="C19" s="13" t="n">
        <f aca="false">20000+80000+200000</f>
        <v>300000</v>
      </c>
      <c r="D19" s="13" t="n">
        <f aca="false">E19-C19</f>
        <v>66500</v>
      </c>
      <c r="E19" s="13" t="n">
        <v>366500</v>
      </c>
    </row>
    <row r="20" customFormat="false" ht="15" hidden="false" customHeight="false" outlineLevel="0" collapsed="false">
      <c r="A20" s="11" t="s">
        <v>30</v>
      </c>
      <c r="B20" s="12" t="s">
        <v>647</v>
      </c>
      <c r="C20" s="13" t="n">
        <f aca="false">100000+256500</f>
        <v>356500</v>
      </c>
      <c r="D20" s="13" t="n">
        <f aca="false">E20-C20</f>
        <v>10000</v>
      </c>
      <c r="E20" s="13" t="n">
        <v>366500</v>
      </c>
    </row>
    <row r="21" customFormat="false" ht="15" hidden="false" customHeight="false" outlineLevel="0" collapsed="false">
      <c r="A21" s="11" t="s">
        <v>32</v>
      </c>
      <c r="B21" s="12" t="s">
        <v>648</v>
      </c>
      <c r="C21" s="13" t="n">
        <f aca="false">100000+200000</f>
        <v>300000</v>
      </c>
      <c r="D21" s="13" t="n">
        <f aca="false">E21-C21</f>
        <v>66500</v>
      </c>
      <c r="E21" s="13" t="n">
        <v>366500</v>
      </c>
    </row>
    <row r="22" customFormat="false" ht="15" hidden="false" customHeight="false" outlineLevel="0" collapsed="false">
      <c r="A22" s="11" t="s">
        <v>34</v>
      </c>
      <c r="B22" s="12" t="s">
        <v>649</v>
      </c>
      <c r="C22" s="13" t="n">
        <f aca="false">100000+200000</f>
        <v>300000</v>
      </c>
      <c r="D22" s="13" t="n">
        <f aca="false">E22-C22</f>
        <v>66500</v>
      </c>
      <c r="E22" s="13" t="n">
        <v>366500</v>
      </c>
    </row>
    <row r="23" customFormat="false" ht="15" hidden="false" customHeight="false" outlineLevel="0" collapsed="false">
      <c r="A23" s="11" t="s">
        <v>36</v>
      </c>
      <c r="B23" s="12" t="s">
        <v>650</v>
      </c>
      <c r="C23" s="13" t="n">
        <f aca="false">100000+200000+66500</f>
        <v>366500</v>
      </c>
      <c r="D23" s="13" t="n">
        <f aca="false">E23-C23</f>
        <v>0</v>
      </c>
      <c r="E23" s="13" t="n">
        <v>366500</v>
      </c>
    </row>
    <row r="24" customFormat="false" ht="15" hidden="false" customHeight="false" outlineLevel="0" collapsed="false">
      <c r="A24" s="11" t="s">
        <v>38</v>
      </c>
      <c r="B24" s="12" t="s">
        <v>651</v>
      </c>
      <c r="C24" s="13" t="n">
        <f aca="false">5000+111500+100000+150000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40</v>
      </c>
      <c r="B25" s="18" t="s">
        <v>652</v>
      </c>
      <c r="C25" s="13" t="n">
        <f aca="false">366500</f>
        <v>366500</v>
      </c>
      <c r="D25" s="13" t="n">
        <f aca="false">E25-C25</f>
        <v>0</v>
      </c>
      <c r="E25" s="13" t="n">
        <v>366500</v>
      </c>
    </row>
    <row r="26" customFormat="false" ht="15" hidden="false" customHeight="false" outlineLevel="0" collapsed="false">
      <c r="A26" s="11" t="s">
        <v>42</v>
      </c>
      <c r="B26" s="12" t="s">
        <v>653</v>
      </c>
      <c r="C26" s="13" t="n">
        <f aca="false">200000+166500</f>
        <v>366500</v>
      </c>
      <c r="D26" s="13" t="n">
        <f aca="false">E26-C26</f>
        <v>0</v>
      </c>
      <c r="E26" s="13" t="n">
        <v>366500</v>
      </c>
    </row>
    <row r="27" customFormat="false" ht="15" hidden="false" customHeight="false" outlineLevel="0" collapsed="false">
      <c r="A27" s="11" t="s">
        <v>44</v>
      </c>
      <c r="B27" s="12" t="s">
        <v>654</v>
      </c>
      <c r="C27" s="13" t="n">
        <f aca="false">150000+50000+166500</f>
        <v>366500</v>
      </c>
      <c r="D27" s="13" t="n">
        <f aca="false">E27-C27</f>
        <v>0</v>
      </c>
      <c r="E27" s="13" t="n">
        <v>366500</v>
      </c>
    </row>
    <row r="28" customFormat="false" ht="15" hidden="false" customHeight="false" outlineLevel="0" collapsed="false">
      <c r="A28" s="11" t="s">
        <v>46</v>
      </c>
      <c r="B28" s="12" t="s">
        <v>655</v>
      </c>
      <c r="C28" s="13" t="n">
        <f aca="false">300000+66500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48</v>
      </c>
      <c r="B29" s="12" t="s">
        <v>656</v>
      </c>
      <c r="C29" s="13" t="n">
        <f aca="false">200000+166500</f>
        <v>366500</v>
      </c>
      <c r="D29" s="13" t="n">
        <f aca="false">E29-C29</f>
        <v>0</v>
      </c>
      <c r="E29" s="13" t="n">
        <v>366500</v>
      </c>
    </row>
    <row r="30" customFormat="false" ht="15" hidden="false" customHeight="false" outlineLevel="0" collapsed="false">
      <c r="A30" s="15" t="s">
        <v>98</v>
      </c>
      <c r="B30" s="15"/>
      <c r="C30" s="16" t="n">
        <f aca="false">SUM(C9:C29)</f>
        <v>7149500</v>
      </c>
      <c r="D30" s="16" t="n">
        <f aca="false">E30-C30</f>
        <v>547000</v>
      </c>
      <c r="E30" s="16" t="n">
        <f aca="false">SUM(E9:E29)</f>
        <v>7696500</v>
      </c>
    </row>
    <row r="31" customFormat="false" ht="15" hidden="false" customHeight="false" outlineLevel="0" collapsed="false">
      <c r="A31" s="19"/>
      <c r="B31" s="19"/>
      <c r="C31" s="20"/>
      <c r="D31" s="20"/>
      <c r="E31" s="20"/>
    </row>
    <row r="32" customFormat="false" ht="15" hidden="false" customHeight="false" outlineLevel="0" collapsed="false">
      <c r="A32" s="19"/>
      <c r="B32" s="19"/>
      <c r="C32" s="20"/>
      <c r="D32" s="20"/>
      <c r="E32" s="20"/>
    </row>
    <row r="33" customFormat="false" ht="15" hidden="false" customHeight="false" outlineLevel="0" collapsed="false">
      <c r="A33" s="19"/>
      <c r="B33" s="19"/>
      <c r="C33" s="20"/>
      <c r="D33" s="20"/>
      <c r="E33" s="20"/>
    </row>
    <row r="34" customFormat="false" ht="17.35" hidden="false" customHeight="false" outlineLevel="0" collapsed="false">
      <c r="A34" s="47" t="s">
        <v>657</v>
      </c>
      <c r="B34" s="47"/>
      <c r="C34" s="47"/>
      <c r="D34" s="47"/>
      <c r="E34" s="47"/>
    </row>
    <row r="35" customFormat="false" ht="15" hidden="false" customHeight="false" outlineLevel="0" collapsed="false">
      <c r="A35" s="15" t="s">
        <v>3</v>
      </c>
      <c r="B35" s="15" t="s">
        <v>4</v>
      </c>
      <c r="C35" s="17" t="s">
        <v>5</v>
      </c>
      <c r="D35" s="15" t="s">
        <v>6</v>
      </c>
      <c r="E35" s="16" t="s">
        <v>7</v>
      </c>
    </row>
    <row r="36" customFormat="false" ht="15" hidden="false" customHeight="false" outlineLevel="0" collapsed="false">
      <c r="A36" s="11" t="s">
        <v>8</v>
      </c>
      <c r="B36" s="12" t="s">
        <v>658</v>
      </c>
      <c r="C36" s="13" t="n">
        <f aca="false">100000+200000+66500</f>
        <v>366500</v>
      </c>
      <c r="D36" s="13" t="n">
        <f aca="false">E36-C36</f>
        <v>0</v>
      </c>
      <c r="E36" s="13" t="n">
        <v>366500</v>
      </c>
    </row>
    <row r="37" customFormat="false" ht="15" hidden="false" customHeight="false" outlineLevel="0" collapsed="false">
      <c r="A37" s="11" t="s">
        <v>10</v>
      </c>
      <c r="B37" s="12" t="s">
        <v>659</v>
      </c>
      <c r="C37" s="13" t="n">
        <f aca="false">100000+150000+50000+66500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1" t="s">
        <v>12</v>
      </c>
      <c r="B38" s="12" t="s">
        <v>660</v>
      </c>
      <c r="C38" s="13" t="n">
        <f aca="false">100000+150000+50000+66500</f>
        <v>366500</v>
      </c>
      <c r="D38" s="13" t="n">
        <f aca="false">E38-C38</f>
        <v>0</v>
      </c>
      <c r="E38" s="13" t="n">
        <v>366500</v>
      </c>
    </row>
    <row r="39" customFormat="false" ht="15" hidden="false" customHeight="false" outlineLevel="0" collapsed="false">
      <c r="A39" s="11" t="s">
        <v>14</v>
      </c>
      <c r="B39" s="12" t="s">
        <v>661</v>
      </c>
      <c r="C39" s="13" t="n">
        <f aca="false">120000+200000+46500</f>
        <v>366500</v>
      </c>
      <c r="D39" s="13" t="n">
        <f aca="false">E39-C39</f>
        <v>0</v>
      </c>
      <c r="E39" s="13" t="n">
        <v>366500</v>
      </c>
    </row>
    <row r="40" customFormat="false" ht="15" hidden="false" customHeight="false" outlineLevel="0" collapsed="false">
      <c r="A40" s="11" t="s">
        <v>16</v>
      </c>
      <c r="B40" s="12" t="s">
        <v>662</v>
      </c>
      <c r="C40" s="13" t="n">
        <f aca="false">200000+140000+26500</f>
        <v>366500</v>
      </c>
      <c r="D40" s="13" t="n">
        <f aca="false">E40-C40</f>
        <v>0</v>
      </c>
      <c r="E40" s="13" t="n">
        <v>366500</v>
      </c>
    </row>
    <row r="41" customFormat="false" ht="15" hidden="false" customHeight="false" outlineLevel="0" collapsed="false">
      <c r="A41" s="11" t="s">
        <v>18</v>
      </c>
      <c r="B41" s="12" t="s">
        <v>663</v>
      </c>
      <c r="C41" s="13" t="n">
        <f aca="false">150000+216500</f>
        <v>366500</v>
      </c>
      <c r="D41" s="13" t="n">
        <f aca="false">E41-C41</f>
        <v>0</v>
      </c>
      <c r="E41" s="13" t="n">
        <v>366500</v>
      </c>
    </row>
    <row r="42" customFormat="false" ht="15" hidden="false" customHeight="false" outlineLevel="0" collapsed="false">
      <c r="A42" s="11" t="s">
        <v>20</v>
      </c>
      <c r="B42" s="12" t="s">
        <v>664</v>
      </c>
      <c r="C42" s="13" t="n">
        <f aca="false">150000+150000+66500</f>
        <v>366500</v>
      </c>
      <c r="D42" s="13" t="n">
        <f aca="false">E42-C42</f>
        <v>0</v>
      </c>
      <c r="E42" s="13" t="n">
        <v>366500</v>
      </c>
    </row>
    <row r="43" customFormat="false" ht="15" hidden="false" customHeight="false" outlineLevel="0" collapsed="false">
      <c r="A43" s="11" t="s">
        <v>22</v>
      </c>
      <c r="B43" s="12" t="s">
        <v>665</v>
      </c>
      <c r="C43" s="13" t="n">
        <f aca="false">200000+166500</f>
        <v>366500</v>
      </c>
      <c r="D43" s="13" t="n">
        <f aca="false">E43-C43</f>
        <v>0</v>
      </c>
      <c r="E43" s="13" t="n">
        <v>366500</v>
      </c>
    </row>
    <row r="44" customFormat="false" ht="15" hidden="false" customHeight="false" outlineLevel="0" collapsed="false">
      <c r="A44" s="11" t="s">
        <v>24</v>
      </c>
      <c r="B44" s="12" t="s">
        <v>666</v>
      </c>
      <c r="C44" s="13" t="n">
        <f aca="false">100000+100000+150000+16500</f>
        <v>366500</v>
      </c>
      <c r="D44" s="13" t="n">
        <f aca="false">E44-C44</f>
        <v>0</v>
      </c>
      <c r="E44" s="13" t="n">
        <v>366500</v>
      </c>
    </row>
    <row r="45" customFormat="false" ht="15" hidden="false" customHeight="false" outlineLevel="0" collapsed="false">
      <c r="A45" s="11" t="s">
        <v>26</v>
      </c>
      <c r="B45" s="12" t="s">
        <v>667</v>
      </c>
      <c r="C45" s="13" t="n">
        <f aca="false">100000+266500</f>
        <v>366500</v>
      </c>
      <c r="D45" s="13" t="n">
        <f aca="false">E45-C45</f>
        <v>0</v>
      </c>
      <c r="E45" s="13" t="n">
        <v>366500</v>
      </c>
    </row>
    <row r="46" customFormat="false" ht="15" hidden="false" customHeight="false" outlineLevel="0" collapsed="false">
      <c r="A46" s="11" t="s">
        <v>28</v>
      </c>
      <c r="B46" s="12" t="s">
        <v>668</v>
      </c>
      <c r="C46" s="13" t="n">
        <f aca="false">150000+216000+500</f>
        <v>366500</v>
      </c>
      <c r="D46" s="13" t="n">
        <f aca="false">E46-C46</f>
        <v>0</v>
      </c>
      <c r="E46" s="13" t="n">
        <v>366500</v>
      </c>
    </row>
    <row r="47" customFormat="false" ht="15" hidden="false" customHeight="false" outlineLevel="0" collapsed="false">
      <c r="A47" s="11" t="s">
        <v>30</v>
      </c>
      <c r="B47" s="12" t="s">
        <v>669</v>
      </c>
      <c r="C47" s="13" t="n">
        <f aca="false">80000+120000+120000+20000+26500</f>
        <v>366500</v>
      </c>
      <c r="D47" s="13" t="n">
        <f aca="false">E47-C47</f>
        <v>0</v>
      </c>
      <c r="E47" s="13" t="n">
        <v>366500</v>
      </c>
    </row>
    <row r="48" customFormat="false" ht="15" hidden="false" customHeight="false" outlineLevel="0" collapsed="false">
      <c r="A48" s="11" t="s">
        <v>32</v>
      </c>
      <c r="B48" s="12" t="s">
        <v>670</v>
      </c>
      <c r="C48" s="13" t="n">
        <f aca="false">166500+100000+100000</f>
        <v>366500</v>
      </c>
      <c r="D48" s="13" t="n">
        <f aca="false">E48-C48</f>
        <v>0</v>
      </c>
      <c r="E48" s="13" t="n">
        <v>366500</v>
      </c>
    </row>
    <row r="49" customFormat="false" ht="15" hidden="false" customHeight="false" outlineLevel="0" collapsed="false">
      <c r="A49" s="11" t="s">
        <v>34</v>
      </c>
      <c r="B49" s="12" t="s">
        <v>671</v>
      </c>
      <c r="C49" s="13" t="n">
        <f aca="false">100000+200000+66500</f>
        <v>366500</v>
      </c>
      <c r="D49" s="13" t="n">
        <f aca="false">E49-C49</f>
        <v>0</v>
      </c>
      <c r="E49" s="13" t="n">
        <v>366500</v>
      </c>
    </row>
    <row r="50" customFormat="false" ht="15" hidden="false" customHeight="false" outlineLevel="0" collapsed="false">
      <c r="A50" s="15" t="s">
        <v>98</v>
      </c>
      <c r="B50" s="15"/>
      <c r="C50" s="16" t="n">
        <f aca="false">SUM(C36:C49)</f>
        <v>5131000</v>
      </c>
      <c r="D50" s="16" t="n">
        <f aca="false">E50-C50</f>
        <v>0</v>
      </c>
      <c r="E50" s="16" t="n">
        <f aca="false">SUM(E36:E49)</f>
        <v>5131000</v>
      </c>
    </row>
  </sheetData>
  <mergeCells count="2">
    <mergeCell ref="A30:B30"/>
    <mergeCell ref="A50:B50"/>
  </mergeCells>
  <printOptions headings="false" gridLines="false" gridLinesSet="true" horizontalCentered="false" verticalCentered="false"/>
  <pageMargins left="0.329861111111111" right="0.409722222222222" top="0.429861111111111" bottom="0.6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6" activeCellId="0" sqref="F5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31.7"/>
    <col collapsed="false" customWidth="true" hidden="false" outlineLevel="0" max="3" min="3" style="1" width="14.28"/>
    <col collapsed="false" customWidth="true" hidden="false" outlineLevel="0" max="4" min="4" style="1" width="14.41"/>
    <col collapsed="false" customWidth="true" hidden="false" outlineLevel="0" max="5" min="5" style="1" width="14.28"/>
    <col collapsed="false" customWidth="true" hidden="false" outlineLevel="0" max="16384" min="16383" style="0" width="11.53"/>
  </cols>
  <sheetData>
    <row r="1" customFormat="false" ht="17.35" hidden="false" customHeight="false" outlineLevel="0" collapsed="false">
      <c r="A1" s="3" t="s">
        <v>672</v>
      </c>
      <c r="B1" s="3"/>
      <c r="C1" s="2"/>
      <c r="D1" s="2"/>
      <c r="E1" s="2"/>
    </row>
    <row r="2" customFormat="false" ht="17.35" hidden="false" customHeight="false" outlineLevel="0" collapsed="false">
      <c r="A2" s="47" t="s">
        <v>673</v>
      </c>
      <c r="B2" s="47"/>
      <c r="C2" s="47"/>
      <c r="D2" s="47"/>
      <c r="E2" s="47"/>
      <c r="I2" s="1" t="s">
        <v>674</v>
      </c>
    </row>
    <row r="3" customFormat="false" ht="15" hidden="false" customHeight="false" outlineLevel="0" collapsed="false">
      <c r="A3" s="15" t="s">
        <v>3</v>
      </c>
      <c r="B3" s="15" t="s">
        <v>4</v>
      </c>
      <c r="C3" s="17" t="s">
        <v>5</v>
      </c>
      <c r="D3" s="15" t="s">
        <v>6</v>
      </c>
      <c r="E3" s="16" t="s">
        <v>7</v>
      </c>
    </row>
    <row r="4" customFormat="false" ht="15" hidden="false" customHeight="false" outlineLevel="0" collapsed="false">
      <c r="A4" s="11" t="s">
        <v>8</v>
      </c>
      <c r="B4" s="12" t="s">
        <v>675</v>
      </c>
      <c r="C4" s="13" t="n">
        <f aca="false">155000+20000+80000+55000+40000+16500</f>
        <v>366500</v>
      </c>
      <c r="D4" s="13" t="n">
        <f aca="false">E4-C4</f>
        <v>0</v>
      </c>
      <c r="E4" s="13" t="n">
        <v>366500</v>
      </c>
    </row>
    <row r="5" customFormat="false" ht="15" hidden="false" customHeight="false" outlineLevel="0" collapsed="false">
      <c r="A5" s="11" t="s">
        <v>10</v>
      </c>
      <c r="B5" s="12" t="s">
        <v>676</v>
      </c>
      <c r="C5" s="13" t="n">
        <f aca="false">200000+166500</f>
        <v>366500</v>
      </c>
      <c r="D5" s="13" t="n">
        <f aca="false">E5-C5</f>
        <v>0</v>
      </c>
      <c r="E5" s="13" t="n">
        <v>366500</v>
      </c>
    </row>
    <row r="6" customFormat="false" ht="15" hidden="false" customHeight="false" outlineLevel="0" collapsed="false">
      <c r="A6" s="11" t="s">
        <v>12</v>
      </c>
      <c r="B6" s="12" t="s">
        <v>677</v>
      </c>
      <c r="C6" s="13" t="n">
        <f aca="false">100000+83000+100000+80000+3500</f>
        <v>366500</v>
      </c>
      <c r="D6" s="13" t="n">
        <f aca="false">E6-C6</f>
        <v>0</v>
      </c>
      <c r="E6" s="13" t="n">
        <v>366500</v>
      </c>
    </row>
    <row r="7" customFormat="false" ht="15" hidden="false" customHeight="false" outlineLevel="0" collapsed="false">
      <c r="A7" s="11" t="s">
        <v>14</v>
      </c>
      <c r="B7" s="12" t="s">
        <v>678</v>
      </c>
      <c r="C7" s="13" t="n">
        <f aca="false">100000+50000+216500</f>
        <v>366500</v>
      </c>
      <c r="D7" s="13" t="n">
        <f aca="false">E7-C7</f>
        <v>0</v>
      </c>
      <c r="E7" s="13" t="n">
        <v>366500</v>
      </c>
    </row>
    <row r="8" customFormat="false" ht="15" hidden="false" customHeight="false" outlineLevel="0" collapsed="false">
      <c r="A8" s="11" t="s">
        <v>16</v>
      </c>
      <c r="B8" s="12" t="s">
        <v>679</v>
      </c>
      <c r="C8" s="13" t="n">
        <f aca="false">100000+50000+100000+100000+16500</f>
        <v>366500</v>
      </c>
      <c r="D8" s="13" t="n">
        <f aca="false">E8-C8</f>
        <v>0</v>
      </c>
      <c r="E8" s="13" t="n">
        <v>366500</v>
      </c>
    </row>
    <row r="9" customFormat="false" ht="15" hidden="false" customHeight="false" outlineLevel="0" collapsed="false">
      <c r="A9" s="11" t="s">
        <v>18</v>
      </c>
      <c r="B9" s="12" t="s">
        <v>680</v>
      </c>
      <c r="C9" s="13" t="n">
        <f aca="false">183000+183500</f>
        <v>366500</v>
      </c>
      <c r="D9" s="13" t="n">
        <f aca="false">E9-C9</f>
        <v>0</v>
      </c>
      <c r="E9" s="13" t="n">
        <v>366500</v>
      </c>
    </row>
    <row r="10" customFormat="false" ht="15" hidden="false" customHeight="false" outlineLevel="0" collapsed="false">
      <c r="A10" s="11" t="s">
        <v>20</v>
      </c>
      <c r="B10" s="12" t="s">
        <v>681</v>
      </c>
      <c r="C10" s="13" t="n">
        <f aca="false">25000+175000+166500</f>
        <v>366500</v>
      </c>
      <c r="D10" s="13" t="n">
        <f aca="false">E10-C10</f>
        <v>0</v>
      </c>
      <c r="E10" s="13" t="n">
        <v>366500</v>
      </c>
    </row>
    <row r="11" customFormat="false" ht="15" hidden="false" customHeight="false" outlineLevel="0" collapsed="false">
      <c r="A11" s="11" t="s">
        <v>22</v>
      </c>
      <c r="B11" s="12" t="s">
        <v>682</v>
      </c>
      <c r="C11" s="13" t="n">
        <f aca="false">200000+166500</f>
        <v>366500</v>
      </c>
      <c r="D11" s="13" t="n">
        <f aca="false">E11-C11</f>
        <v>0</v>
      </c>
      <c r="E11" s="13" t="n">
        <v>366500</v>
      </c>
    </row>
    <row r="12" customFormat="false" ht="15" hidden="false" customHeight="false" outlineLevel="0" collapsed="false">
      <c r="A12" s="11" t="s">
        <v>24</v>
      </c>
      <c r="B12" s="12" t="s">
        <v>683</v>
      </c>
      <c r="C12" s="13" t="n">
        <f aca="false">50000+100000+100000+100000+16500</f>
        <v>366500</v>
      </c>
      <c r="D12" s="13" t="n">
        <f aca="false">E12-C12</f>
        <v>0</v>
      </c>
      <c r="E12" s="13" t="n">
        <v>366500</v>
      </c>
    </row>
    <row r="13" customFormat="false" ht="15" hidden="false" customHeight="false" outlineLevel="0" collapsed="false">
      <c r="A13" s="11" t="s">
        <v>26</v>
      </c>
      <c r="B13" s="12" t="s">
        <v>684</v>
      </c>
      <c r="C13" s="13" t="n">
        <f aca="false">120000+60000+110000+15000+61500</f>
        <v>366500</v>
      </c>
      <c r="D13" s="13" t="n">
        <f aca="false">E13-C13</f>
        <v>0</v>
      </c>
      <c r="E13" s="13" t="n">
        <v>366500</v>
      </c>
    </row>
    <row r="14" customFormat="false" ht="15" hidden="false" customHeight="false" outlineLevel="0" collapsed="false">
      <c r="A14" s="11" t="s">
        <v>28</v>
      </c>
      <c r="B14" s="12" t="s">
        <v>685</v>
      </c>
      <c r="C14" s="13" t="n">
        <f aca="false">150000+180000+36500</f>
        <v>366500</v>
      </c>
      <c r="D14" s="13" t="n">
        <f aca="false">E14-C14</f>
        <v>0</v>
      </c>
      <c r="E14" s="13" t="n">
        <v>366500</v>
      </c>
    </row>
    <row r="15" customFormat="false" ht="15" hidden="false" customHeight="false" outlineLevel="0" collapsed="false">
      <c r="A15" s="11" t="s">
        <v>30</v>
      </c>
      <c r="B15" s="12" t="s">
        <v>686</v>
      </c>
      <c r="C15" s="13" t="n">
        <f aca="false">185000+156500+25000</f>
        <v>366500</v>
      </c>
      <c r="D15" s="13" t="n">
        <f aca="false">E15-C15</f>
        <v>0</v>
      </c>
      <c r="E15" s="13" t="n">
        <v>366500</v>
      </c>
    </row>
    <row r="16" customFormat="false" ht="15" hidden="false" customHeight="false" outlineLevel="0" collapsed="false">
      <c r="A16" s="11" t="s">
        <v>32</v>
      </c>
      <c r="B16" s="12" t="s">
        <v>687</v>
      </c>
      <c r="C16" s="13" t="n">
        <f aca="false">80000+100000+70000+50000+25000+41500</f>
        <v>366500</v>
      </c>
      <c r="D16" s="13" t="n">
        <f aca="false">E16-C16</f>
        <v>0</v>
      </c>
      <c r="E16" s="13" t="n">
        <v>366500</v>
      </c>
    </row>
    <row r="17" customFormat="false" ht="15" hidden="false" customHeight="false" outlineLevel="0" collapsed="false">
      <c r="A17" s="11" t="s">
        <v>34</v>
      </c>
      <c r="B17" s="12" t="s">
        <v>688</v>
      </c>
      <c r="C17" s="13" t="n">
        <f aca="false">35000+150000+181500</f>
        <v>366500</v>
      </c>
      <c r="D17" s="13" t="n">
        <f aca="false">E17-C17</f>
        <v>0</v>
      </c>
      <c r="E17" s="13" t="n">
        <v>366500</v>
      </c>
    </row>
    <row r="18" customFormat="false" ht="15" hidden="false" customHeight="false" outlineLevel="0" collapsed="false">
      <c r="A18" s="11" t="s">
        <v>36</v>
      </c>
      <c r="B18" s="12" t="s">
        <v>689</v>
      </c>
      <c r="C18" s="13" t="n">
        <f aca="false">185000+181500</f>
        <v>366500</v>
      </c>
      <c r="D18" s="13" t="n">
        <f aca="false">E18-C18</f>
        <v>0</v>
      </c>
      <c r="E18" s="13" t="n">
        <v>366500</v>
      </c>
    </row>
    <row r="19" customFormat="false" ht="15" hidden="false" customHeight="false" outlineLevel="0" collapsed="false">
      <c r="A19" s="11" t="s">
        <v>38</v>
      </c>
      <c r="B19" s="12" t="s">
        <v>690</v>
      </c>
      <c r="C19" s="13" t="n">
        <f aca="false">110000+70000+95000+35000+56500</f>
        <v>366500</v>
      </c>
      <c r="D19" s="13" t="n">
        <f aca="false">E19-C19</f>
        <v>0</v>
      </c>
      <c r="E19" s="13" t="n">
        <v>366500</v>
      </c>
    </row>
    <row r="20" customFormat="false" ht="15" hidden="false" customHeight="false" outlineLevel="0" collapsed="false">
      <c r="A20" s="11" t="s">
        <v>40</v>
      </c>
      <c r="B20" s="12" t="s">
        <v>691</v>
      </c>
      <c r="C20" s="13" t="n">
        <f aca="false">100000+50000+160000+25000+31500</f>
        <v>366500</v>
      </c>
      <c r="D20" s="13" t="n">
        <f aca="false">E20-C20</f>
        <v>0</v>
      </c>
      <c r="E20" s="13" t="n">
        <v>366500</v>
      </c>
    </row>
    <row r="21" customFormat="false" ht="15" hidden="false" customHeight="false" outlineLevel="0" collapsed="false">
      <c r="A21" s="11" t="s">
        <v>42</v>
      </c>
      <c r="B21" s="12" t="s">
        <v>692</v>
      </c>
      <c r="C21" s="13" t="n">
        <f aca="false">200000+100000+65500+1000</f>
        <v>366500</v>
      </c>
      <c r="D21" s="13" t="n">
        <f aca="false">E21-C21</f>
        <v>0</v>
      </c>
      <c r="E21" s="13" t="n">
        <v>366500</v>
      </c>
    </row>
    <row r="22" customFormat="false" ht="15" hidden="false" customHeight="false" outlineLevel="0" collapsed="false">
      <c r="A22" s="11" t="s">
        <v>44</v>
      </c>
      <c r="B22" s="12" t="s">
        <v>693</v>
      </c>
      <c r="C22" s="13" t="n">
        <f aca="false">100000+83000+100000+80000+3500</f>
        <v>366500</v>
      </c>
      <c r="D22" s="13" t="n">
        <f aca="false">E22-C22</f>
        <v>0</v>
      </c>
      <c r="E22" s="13" t="n">
        <v>366500</v>
      </c>
    </row>
    <row r="23" customFormat="false" ht="15" hidden="false" customHeight="false" outlineLevel="0" collapsed="false">
      <c r="A23" s="11" t="s">
        <v>46</v>
      </c>
      <c r="B23" s="12" t="s">
        <v>694</v>
      </c>
      <c r="C23" s="13" t="n">
        <f aca="false">90000+50000+50000+176500</f>
        <v>366500</v>
      </c>
      <c r="D23" s="13" t="n">
        <f aca="false">E23-C23</f>
        <v>0</v>
      </c>
      <c r="E23" s="13" t="n">
        <v>366500</v>
      </c>
    </row>
    <row r="24" customFormat="false" ht="15" hidden="false" customHeight="false" outlineLevel="0" collapsed="false">
      <c r="A24" s="11" t="s">
        <v>48</v>
      </c>
      <c r="B24" s="12" t="s">
        <v>695</v>
      </c>
      <c r="C24" s="13" t="n">
        <f aca="false">100000+100000+120000+46500</f>
        <v>366500</v>
      </c>
      <c r="D24" s="13" t="n">
        <f aca="false">E24-C24</f>
        <v>0</v>
      </c>
      <c r="E24" s="13" t="n">
        <v>366500</v>
      </c>
    </row>
    <row r="25" customFormat="false" ht="15" hidden="false" customHeight="false" outlineLevel="0" collapsed="false">
      <c r="A25" s="11" t="s">
        <v>50</v>
      </c>
      <c r="B25" s="12" t="s">
        <v>696</v>
      </c>
      <c r="C25" s="13" t="n">
        <f aca="false">200000+100000+66500</f>
        <v>366500</v>
      </c>
      <c r="D25" s="13" t="n">
        <f aca="false">E25-C25</f>
        <v>0</v>
      </c>
      <c r="E25" s="13" t="n">
        <v>366500</v>
      </c>
    </row>
    <row r="26" customFormat="false" ht="15" hidden="false" customHeight="false" outlineLevel="0" collapsed="false">
      <c r="A26" s="11" t="s">
        <v>52</v>
      </c>
      <c r="B26" s="12" t="s">
        <v>697</v>
      </c>
      <c r="C26" s="13" t="n">
        <f aca="false">80000+70000+116500+100000</f>
        <v>366500</v>
      </c>
      <c r="D26" s="13" t="n">
        <f aca="false">E26-C26</f>
        <v>0</v>
      </c>
      <c r="E26" s="13" t="n">
        <v>366500</v>
      </c>
    </row>
    <row r="27" customFormat="false" ht="15" hidden="false" customHeight="false" outlineLevel="0" collapsed="false">
      <c r="A27" s="11" t="s">
        <v>54</v>
      </c>
      <c r="B27" s="12" t="s">
        <v>698</v>
      </c>
      <c r="C27" s="13" t="n">
        <f aca="false">1500+15000+350000</f>
        <v>366500</v>
      </c>
      <c r="D27" s="13" t="n">
        <f aca="false">E27-C27</f>
        <v>0</v>
      </c>
      <c r="E27" s="13" t="n">
        <v>366500</v>
      </c>
    </row>
    <row r="28" customFormat="false" ht="15" hidden="false" customHeight="false" outlineLevel="0" collapsed="false">
      <c r="A28" s="11" t="s">
        <v>56</v>
      </c>
      <c r="B28" s="12" t="s">
        <v>699</v>
      </c>
      <c r="C28" s="13" t="n">
        <f aca="false">100000+100000+166500</f>
        <v>366500</v>
      </c>
      <c r="D28" s="13" t="n">
        <f aca="false">E28-C28</f>
        <v>0</v>
      </c>
      <c r="E28" s="13" t="n">
        <v>366500</v>
      </c>
    </row>
    <row r="29" customFormat="false" ht="15" hidden="false" customHeight="false" outlineLevel="0" collapsed="false">
      <c r="A29" s="11" t="s">
        <v>58</v>
      </c>
      <c r="B29" s="12" t="s">
        <v>700</v>
      </c>
      <c r="C29" s="13" t="n">
        <f aca="false">200000+166500</f>
        <v>366500</v>
      </c>
      <c r="D29" s="13" t="n">
        <f aca="false">E29-C29</f>
        <v>0</v>
      </c>
      <c r="E29" s="13" t="n">
        <v>366500</v>
      </c>
    </row>
    <row r="30" customFormat="false" ht="15" hidden="false" customHeight="false" outlineLevel="0" collapsed="false">
      <c r="A30" s="11" t="s">
        <v>60</v>
      </c>
      <c r="B30" s="12" t="s">
        <v>701</v>
      </c>
      <c r="C30" s="13" t="n">
        <f aca="false">100000</f>
        <v>100000</v>
      </c>
      <c r="D30" s="13" t="n">
        <f aca="false">E30-C30</f>
        <v>266500</v>
      </c>
      <c r="E30" s="13" t="n">
        <v>366500</v>
      </c>
    </row>
    <row r="31" customFormat="false" ht="15" hidden="false" customHeight="false" outlineLevel="0" collapsed="false">
      <c r="A31" s="11" t="s">
        <v>62</v>
      </c>
      <c r="B31" s="12" t="s">
        <v>702</v>
      </c>
      <c r="C31" s="13" t="n">
        <f aca="false">120000+20000+160000+66500</f>
        <v>366500</v>
      </c>
      <c r="D31" s="13" t="n">
        <f aca="false">E31-C31</f>
        <v>0</v>
      </c>
      <c r="E31" s="13" t="n">
        <v>366500</v>
      </c>
    </row>
    <row r="32" customFormat="false" ht="15" hidden="false" customHeight="false" outlineLevel="0" collapsed="false">
      <c r="A32" s="11" t="s">
        <v>64</v>
      </c>
      <c r="B32" s="12" t="s">
        <v>703</v>
      </c>
      <c r="C32" s="13" t="n">
        <f aca="false">70000+30000+100000+150000+16500</f>
        <v>366500</v>
      </c>
      <c r="D32" s="13" t="n">
        <f aca="false">E32-C32</f>
        <v>0</v>
      </c>
      <c r="E32" s="13" t="n">
        <v>366500</v>
      </c>
    </row>
    <row r="33" customFormat="false" ht="15" hidden="false" customHeight="false" outlineLevel="0" collapsed="false">
      <c r="A33" s="11" t="s">
        <v>66</v>
      </c>
      <c r="B33" s="12" t="s">
        <v>704</v>
      </c>
      <c r="C33" s="13" t="n">
        <f aca="false">200000+100000+66500</f>
        <v>366500</v>
      </c>
      <c r="D33" s="13" t="n">
        <f aca="false">E33-C33</f>
        <v>0</v>
      </c>
      <c r="E33" s="13" t="n">
        <v>366500</v>
      </c>
    </row>
    <row r="34" customFormat="false" ht="15" hidden="false" customHeight="false" outlineLevel="0" collapsed="false">
      <c r="A34" s="11" t="s">
        <v>68</v>
      </c>
      <c r="B34" s="12" t="s">
        <v>705</v>
      </c>
      <c r="C34" s="13" t="n">
        <f aca="false">166500+200000</f>
        <v>366500</v>
      </c>
      <c r="D34" s="13" t="n">
        <f aca="false">E34-C34</f>
        <v>0</v>
      </c>
      <c r="E34" s="13" t="n">
        <v>366500</v>
      </c>
    </row>
    <row r="35" customFormat="false" ht="15" hidden="false" customHeight="false" outlineLevel="0" collapsed="false">
      <c r="A35" s="11" t="s">
        <v>70</v>
      </c>
      <c r="B35" s="12" t="s">
        <v>706</v>
      </c>
      <c r="C35" s="13" t="n">
        <f aca="false">50000+132500+100000+17500+70000</f>
        <v>370000</v>
      </c>
      <c r="D35" s="13" t="n">
        <f aca="false">E35-C35</f>
        <v>-3500</v>
      </c>
      <c r="E35" s="13" t="n">
        <v>366500</v>
      </c>
    </row>
    <row r="36" customFormat="false" ht="15" hidden="false" customHeight="false" outlineLevel="0" collapsed="false">
      <c r="A36" s="11" t="s">
        <v>72</v>
      </c>
      <c r="B36" s="12" t="s">
        <v>707</v>
      </c>
      <c r="C36" s="13" t="n">
        <f aca="false">100000+60000+90000+100000+16500</f>
        <v>366500</v>
      </c>
      <c r="D36" s="13" t="n">
        <f aca="false">E36-C36</f>
        <v>0</v>
      </c>
      <c r="E36" s="13" t="n">
        <v>366500</v>
      </c>
    </row>
    <row r="37" customFormat="false" ht="15" hidden="false" customHeight="false" outlineLevel="0" collapsed="false">
      <c r="A37" s="11" t="s">
        <v>74</v>
      </c>
      <c r="B37" s="12" t="s">
        <v>708</v>
      </c>
      <c r="C37" s="13" t="n">
        <f aca="false">366500</f>
        <v>366500</v>
      </c>
      <c r="D37" s="13" t="n">
        <f aca="false">E37-C37</f>
        <v>0</v>
      </c>
      <c r="E37" s="13" t="n">
        <v>366500</v>
      </c>
    </row>
    <row r="38" customFormat="false" ht="15" hidden="false" customHeight="false" outlineLevel="0" collapsed="false">
      <c r="A38" s="15" t="s">
        <v>98</v>
      </c>
      <c r="B38" s="15"/>
      <c r="C38" s="16" t="n">
        <f aca="false">SUM(C4:C37)</f>
        <v>12198000</v>
      </c>
      <c r="D38" s="16" t="n">
        <f aca="false">E38-C38</f>
        <v>263000</v>
      </c>
      <c r="E38" s="16" t="n">
        <f aca="false">SUM(E4:E37)</f>
        <v>12461000</v>
      </c>
    </row>
    <row r="39" customFormat="false" ht="15" hidden="false" customHeight="false" outlineLevel="0" collapsed="false">
      <c r="A39" s="19"/>
      <c r="B39" s="19"/>
      <c r="C39" s="20"/>
      <c r="D39" s="20"/>
      <c r="E39" s="20"/>
    </row>
    <row r="40" customFormat="false" ht="15" hidden="false" customHeight="false" outlineLevel="0" collapsed="false">
      <c r="A40" s="19"/>
      <c r="B40" s="19"/>
      <c r="C40" s="20"/>
      <c r="D40" s="20"/>
      <c r="E40" s="20"/>
    </row>
    <row r="41" customFormat="false" ht="15" hidden="false" customHeight="false" outlineLevel="0" collapsed="false">
      <c r="A41" s="19"/>
      <c r="B41" s="19"/>
      <c r="C41" s="20"/>
      <c r="D41" s="20"/>
      <c r="E41" s="20"/>
    </row>
    <row r="42" customFormat="false" ht="15" hidden="false" customHeight="false" outlineLevel="0" collapsed="false">
      <c r="A42" s="19"/>
      <c r="B42" s="19"/>
      <c r="C42" s="20"/>
      <c r="D42" s="20"/>
      <c r="E42" s="20"/>
    </row>
    <row r="43" customFormat="false" ht="15" hidden="false" customHeight="false" outlineLevel="0" collapsed="false">
      <c r="A43" s="19"/>
      <c r="B43" s="19"/>
      <c r="C43" s="20"/>
      <c r="D43" s="20"/>
      <c r="E43" s="20"/>
    </row>
    <row r="44" customFormat="false" ht="15" hidden="false" customHeight="false" outlineLevel="0" collapsed="false">
      <c r="A44" s="19"/>
      <c r="B44" s="19"/>
      <c r="C44" s="20"/>
      <c r="D44" s="20"/>
      <c r="E44" s="20"/>
    </row>
    <row r="45" customFormat="false" ht="15" hidden="false" customHeight="false" outlineLevel="0" collapsed="false">
      <c r="A45" s="19"/>
      <c r="B45" s="19"/>
      <c r="C45" s="20"/>
      <c r="D45" s="20"/>
      <c r="E45" s="20"/>
    </row>
    <row r="46" customFormat="false" ht="15" hidden="false" customHeight="false" outlineLevel="0" collapsed="false">
      <c r="A46" s="19"/>
      <c r="B46" s="19"/>
      <c r="C46" s="20"/>
      <c r="D46" s="20"/>
      <c r="E46" s="20"/>
    </row>
    <row r="47" customFormat="false" ht="15" hidden="false" customHeight="false" outlineLevel="0" collapsed="false">
      <c r="A47" s="19"/>
      <c r="B47" s="19"/>
      <c r="C47" s="20"/>
      <c r="D47" s="20"/>
      <c r="E47" s="20"/>
    </row>
    <row r="48" customFormat="false" ht="15" hidden="false" customHeight="false" outlineLevel="0" collapsed="false">
      <c r="A48" s="19"/>
      <c r="B48" s="19"/>
      <c r="C48" s="20"/>
      <c r="D48" s="20"/>
      <c r="E48" s="20"/>
    </row>
    <row r="49" customFormat="false" ht="15" hidden="false" customHeight="false" outlineLevel="0" collapsed="false">
      <c r="A49" s="19"/>
      <c r="B49" s="19"/>
      <c r="C49" s="20"/>
      <c r="D49" s="20"/>
      <c r="E49" s="20"/>
    </row>
    <row r="50" customFormat="false" ht="15" hidden="false" customHeight="false" outlineLevel="0" collapsed="false">
      <c r="A50" s="19"/>
      <c r="B50" s="19"/>
      <c r="C50" s="20"/>
      <c r="D50" s="20"/>
      <c r="E50" s="20"/>
    </row>
    <row r="51" customFormat="false" ht="15" hidden="false" customHeight="false" outlineLevel="0" collapsed="false">
      <c r="A51" s="19"/>
      <c r="B51" s="19"/>
      <c r="C51" s="20"/>
      <c r="D51" s="20"/>
      <c r="E51" s="20"/>
    </row>
    <row r="52" customFormat="false" ht="15" hidden="false" customHeight="false" outlineLevel="0" collapsed="false">
      <c r="A52" s="19"/>
      <c r="B52" s="19"/>
      <c r="C52" s="20"/>
      <c r="D52" s="20"/>
      <c r="E52" s="20"/>
    </row>
    <row r="53" customFormat="false" ht="15" hidden="false" customHeight="false" outlineLevel="0" collapsed="false">
      <c r="A53" s="19"/>
      <c r="B53" s="19"/>
      <c r="C53" s="20"/>
      <c r="D53" s="20"/>
      <c r="E53" s="20"/>
    </row>
    <row r="54" customFormat="false" ht="15" hidden="false" customHeight="false" outlineLevel="0" collapsed="false">
      <c r="A54" s="19"/>
      <c r="B54" s="19"/>
      <c r="C54" s="20"/>
      <c r="D54" s="20"/>
      <c r="E54" s="20"/>
    </row>
    <row r="55" customFormat="false" ht="17.35" hidden="false" customHeight="false" outlineLevel="0" collapsed="false">
      <c r="A55" s="47" t="s">
        <v>709</v>
      </c>
      <c r="B55" s="47"/>
      <c r="C55" s="47"/>
      <c r="D55" s="47"/>
      <c r="E55" s="47"/>
    </row>
    <row r="56" customFormat="false" ht="15" hidden="false" customHeight="false" outlineLevel="0" collapsed="false">
      <c r="A56" s="15" t="s">
        <v>3</v>
      </c>
      <c r="B56" s="15" t="s">
        <v>4</v>
      </c>
      <c r="C56" s="17" t="s">
        <v>5</v>
      </c>
      <c r="D56" s="15" t="s">
        <v>6</v>
      </c>
      <c r="E56" s="16" t="s">
        <v>7</v>
      </c>
    </row>
    <row r="57" customFormat="false" ht="15" hidden="false" customHeight="false" outlineLevel="0" collapsed="false">
      <c r="A57" s="11" t="s">
        <v>8</v>
      </c>
      <c r="B57" s="12" t="s">
        <v>710</v>
      </c>
      <c r="C57" s="13" t="n">
        <f aca="false">150000+150000+66500</f>
        <v>366500</v>
      </c>
      <c r="D57" s="13" t="n">
        <f aca="false">E57-C57</f>
        <v>0</v>
      </c>
      <c r="E57" s="13" t="n">
        <v>366500</v>
      </c>
    </row>
    <row r="58" customFormat="false" ht="15" hidden="false" customHeight="false" outlineLevel="0" collapsed="false">
      <c r="A58" s="11" t="s">
        <v>10</v>
      </c>
      <c r="B58" s="12" t="s">
        <v>711</v>
      </c>
      <c r="C58" s="13" t="n">
        <f aca="false">100000+20000+40000+25000+102000+80000</f>
        <v>367000</v>
      </c>
      <c r="D58" s="13" t="n">
        <f aca="false">E58-C58</f>
        <v>-500</v>
      </c>
      <c r="E58" s="13" t="n">
        <v>366500</v>
      </c>
    </row>
    <row r="59" customFormat="false" ht="15" hidden="false" customHeight="false" outlineLevel="0" collapsed="false">
      <c r="A59" s="11" t="s">
        <v>12</v>
      </c>
      <c r="B59" s="12" t="s">
        <v>712</v>
      </c>
      <c r="C59" s="13" t="n">
        <f aca="false">60000+200000+46000+61000</f>
        <v>367000</v>
      </c>
      <c r="D59" s="13" t="n">
        <f aca="false">E59-C59</f>
        <v>-500</v>
      </c>
      <c r="E59" s="13" t="n">
        <v>366500</v>
      </c>
    </row>
    <row r="60" customFormat="false" ht="15" hidden="false" customHeight="false" outlineLevel="0" collapsed="false">
      <c r="A60" s="11" t="s">
        <v>14</v>
      </c>
      <c r="B60" s="12" t="s">
        <v>713</v>
      </c>
      <c r="C60" s="13" t="n">
        <f aca="false">150000+150000+66500</f>
        <v>366500</v>
      </c>
      <c r="D60" s="13" t="n">
        <f aca="false">E60-C60</f>
        <v>0</v>
      </c>
      <c r="E60" s="13" t="n">
        <v>366500</v>
      </c>
    </row>
    <row r="61" customFormat="false" ht="15" hidden="false" customHeight="false" outlineLevel="0" collapsed="false">
      <c r="A61" s="11" t="s">
        <v>16</v>
      </c>
      <c r="B61" s="12" t="s">
        <v>714</v>
      </c>
      <c r="C61" s="13" t="n">
        <v>0</v>
      </c>
      <c r="D61" s="13" t="n">
        <f aca="false">E61-C61</f>
        <v>366500</v>
      </c>
      <c r="E61" s="13" t="n">
        <v>366500</v>
      </c>
    </row>
    <row r="62" customFormat="false" ht="15" hidden="false" customHeight="false" outlineLevel="0" collapsed="false">
      <c r="A62" s="11" t="s">
        <v>18</v>
      </c>
      <c r="B62" s="12" t="s">
        <v>715</v>
      </c>
      <c r="C62" s="13" t="n">
        <f aca="false">200000+130000+36500</f>
        <v>366500</v>
      </c>
      <c r="D62" s="13" t="n">
        <f aca="false">E62-C62</f>
        <v>0</v>
      </c>
      <c r="E62" s="13" t="n">
        <v>366500</v>
      </c>
    </row>
    <row r="63" customFormat="false" ht="15" hidden="false" customHeight="false" outlineLevel="0" collapsed="false">
      <c r="A63" s="11" t="s">
        <v>20</v>
      </c>
      <c r="B63" s="12" t="s">
        <v>716</v>
      </c>
      <c r="C63" s="13" t="n">
        <f aca="false">100000+260000+6500</f>
        <v>366500</v>
      </c>
      <c r="D63" s="13" t="n">
        <f aca="false">E63-C63</f>
        <v>0</v>
      </c>
      <c r="E63" s="13" t="n">
        <v>366500</v>
      </c>
    </row>
    <row r="64" customFormat="false" ht="15" hidden="false" customHeight="false" outlineLevel="0" collapsed="false">
      <c r="A64" s="11" t="s">
        <v>22</v>
      </c>
      <c r="B64" s="12" t="s">
        <v>717</v>
      </c>
      <c r="C64" s="13" t="n">
        <f aca="false">100000+150000+80000+36500</f>
        <v>366500</v>
      </c>
      <c r="D64" s="13" t="n">
        <f aca="false">E64-C64</f>
        <v>0</v>
      </c>
      <c r="E64" s="13" t="n">
        <v>366500</v>
      </c>
    </row>
    <row r="65" customFormat="false" ht="15" hidden="false" customHeight="false" outlineLevel="0" collapsed="false">
      <c r="A65" s="11" t="s">
        <v>24</v>
      </c>
      <c r="B65" s="12" t="s">
        <v>718</v>
      </c>
      <c r="C65" s="13" t="n">
        <f aca="false">66500+300000</f>
        <v>366500</v>
      </c>
      <c r="D65" s="13" t="n">
        <f aca="false">E65-C65</f>
        <v>0</v>
      </c>
      <c r="E65" s="13" t="n">
        <v>366500</v>
      </c>
    </row>
    <row r="66" customFormat="false" ht="15" hidden="false" customHeight="false" outlineLevel="0" collapsed="false">
      <c r="A66" s="11" t="s">
        <v>26</v>
      </c>
      <c r="B66" s="12" t="s">
        <v>719</v>
      </c>
      <c r="C66" s="13" t="n">
        <f aca="false">200000+130000+15000</f>
        <v>345000</v>
      </c>
      <c r="D66" s="13" t="n">
        <f aca="false">E66-C66</f>
        <v>21500</v>
      </c>
      <c r="E66" s="13" t="n">
        <v>366500</v>
      </c>
    </row>
    <row r="67" customFormat="false" ht="15" hidden="false" customHeight="false" outlineLevel="0" collapsed="false">
      <c r="A67" s="11" t="s">
        <v>28</v>
      </c>
      <c r="B67" s="12" t="s">
        <v>720</v>
      </c>
      <c r="C67" s="13" t="n">
        <f aca="false">200000+166500</f>
        <v>366500</v>
      </c>
      <c r="D67" s="13" t="n">
        <f aca="false">E67-C67</f>
        <v>0</v>
      </c>
      <c r="E67" s="13" t="n">
        <v>366500</v>
      </c>
    </row>
    <row r="68" customFormat="false" ht="15" hidden="false" customHeight="false" outlineLevel="0" collapsed="false">
      <c r="A68" s="11" t="s">
        <v>30</v>
      </c>
      <c r="B68" s="12" t="s">
        <v>721</v>
      </c>
      <c r="C68" s="13" t="n">
        <f aca="false">33500</f>
        <v>33500</v>
      </c>
      <c r="D68" s="13" t="n">
        <f aca="false">E68-C68</f>
        <v>333000</v>
      </c>
      <c r="E68" s="13" t="n">
        <v>366500</v>
      </c>
    </row>
    <row r="69" customFormat="false" ht="15" hidden="false" customHeight="false" outlineLevel="0" collapsed="false">
      <c r="A69" s="11" t="s">
        <v>32</v>
      </c>
      <c r="B69" s="12" t="s">
        <v>722</v>
      </c>
      <c r="C69" s="13" t="n">
        <f aca="false">50000+15000+150000+151500</f>
        <v>366500</v>
      </c>
      <c r="D69" s="13" t="n">
        <f aca="false">E69-C69</f>
        <v>0</v>
      </c>
      <c r="E69" s="13" t="n">
        <v>366500</v>
      </c>
    </row>
    <row r="70" customFormat="false" ht="15" hidden="false" customHeight="false" outlineLevel="0" collapsed="false">
      <c r="A70" s="11" t="s">
        <v>34</v>
      </c>
      <c r="B70" s="12" t="s">
        <v>723</v>
      </c>
      <c r="C70" s="13" t="n">
        <f aca="false">80000+50000+20000+216500</f>
        <v>366500</v>
      </c>
      <c r="D70" s="13" t="n">
        <f aca="false">E70-C70</f>
        <v>0</v>
      </c>
      <c r="E70" s="13" t="n">
        <v>366500</v>
      </c>
    </row>
    <row r="71" customFormat="false" ht="15" hidden="false" customHeight="false" outlineLevel="0" collapsed="false">
      <c r="A71" s="11" t="s">
        <v>36</v>
      </c>
      <c r="B71" s="12" t="s">
        <v>724</v>
      </c>
      <c r="C71" s="13" t="n">
        <f aca="false">200000+166500</f>
        <v>366500</v>
      </c>
      <c r="D71" s="13" t="n">
        <f aca="false">E71-C71</f>
        <v>0</v>
      </c>
      <c r="E71" s="13" t="n">
        <v>366500</v>
      </c>
    </row>
    <row r="72" customFormat="false" ht="15" hidden="false" customHeight="false" outlineLevel="0" collapsed="false">
      <c r="A72" s="11" t="s">
        <v>38</v>
      </c>
      <c r="B72" s="12" t="s">
        <v>725</v>
      </c>
      <c r="C72" s="13" t="n">
        <v>0</v>
      </c>
      <c r="D72" s="13" t="n">
        <f aca="false">E72-C72</f>
        <v>366500</v>
      </c>
      <c r="E72" s="13" t="n">
        <v>366500</v>
      </c>
    </row>
    <row r="73" customFormat="false" ht="15" hidden="false" customHeight="false" outlineLevel="0" collapsed="false">
      <c r="A73" s="11" t="s">
        <v>40</v>
      </c>
      <c r="B73" s="12" t="s">
        <v>726</v>
      </c>
      <c r="C73" s="13" t="n">
        <f aca="false">83500+110000+60000+100000+13000</f>
        <v>366500</v>
      </c>
      <c r="D73" s="13" t="n">
        <f aca="false">E73-C73</f>
        <v>0</v>
      </c>
      <c r="E73" s="13" t="n">
        <v>366500</v>
      </c>
    </row>
    <row r="74" customFormat="false" ht="15" hidden="false" customHeight="false" outlineLevel="0" collapsed="false">
      <c r="A74" s="11" t="s">
        <v>42</v>
      </c>
      <c r="B74" s="12" t="s">
        <v>727</v>
      </c>
      <c r="C74" s="13" t="n">
        <f aca="false">130000+236500</f>
        <v>366500</v>
      </c>
      <c r="D74" s="13" t="n">
        <f aca="false">E74-C74</f>
        <v>0</v>
      </c>
      <c r="E74" s="13" t="n">
        <v>366500</v>
      </c>
    </row>
    <row r="75" customFormat="false" ht="15" hidden="false" customHeight="false" outlineLevel="0" collapsed="false">
      <c r="A75" s="11" t="s">
        <v>44</v>
      </c>
      <c r="B75" s="12" t="s">
        <v>728</v>
      </c>
      <c r="C75" s="13" t="n">
        <f aca="false">80000+40000+100000+100000</f>
        <v>320000</v>
      </c>
      <c r="D75" s="13" t="n">
        <f aca="false">E75-C75</f>
        <v>46500</v>
      </c>
      <c r="E75" s="13" t="n">
        <v>366500</v>
      </c>
    </row>
    <row r="76" customFormat="false" ht="15" hidden="false" customHeight="false" outlineLevel="0" collapsed="false">
      <c r="A76" s="11" t="s">
        <v>46</v>
      </c>
      <c r="B76" s="12" t="s">
        <v>729</v>
      </c>
      <c r="C76" s="13" t="n">
        <f aca="false">55000+15000+80000+40000+30000</f>
        <v>220000</v>
      </c>
      <c r="D76" s="13" t="n">
        <f aca="false">E76-C76</f>
        <v>146500</v>
      </c>
      <c r="E76" s="13" t="n">
        <v>366500</v>
      </c>
    </row>
    <row r="77" customFormat="false" ht="15" hidden="false" customHeight="false" outlineLevel="0" collapsed="false">
      <c r="A77" s="11" t="s">
        <v>48</v>
      </c>
      <c r="B77" s="12" t="s">
        <v>730</v>
      </c>
      <c r="C77" s="13" t="n">
        <f aca="false">100000+150000+116500</f>
        <v>366500</v>
      </c>
      <c r="D77" s="13" t="n">
        <f aca="false">E77-C77</f>
        <v>0</v>
      </c>
      <c r="E77" s="13" t="n">
        <v>366500</v>
      </c>
    </row>
    <row r="78" customFormat="false" ht="15" hidden="false" customHeight="false" outlineLevel="0" collapsed="false">
      <c r="A78" s="11" t="s">
        <v>50</v>
      </c>
      <c r="B78" s="12" t="s">
        <v>731</v>
      </c>
      <c r="C78" s="13" t="n">
        <f aca="false">50000+16500+100000+50000+100000</f>
        <v>316500</v>
      </c>
      <c r="D78" s="13" t="n">
        <f aca="false">E78-C78</f>
        <v>50000</v>
      </c>
      <c r="E78" s="13" t="n">
        <v>366500</v>
      </c>
    </row>
    <row r="79" customFormat="false" ht="15" hidden="false" customHeight="false" outlineLevel="0" collapsed="false">
      <c r="A79" s="11" t="s">
        <v>52</v>
      </c>
      <c r="B79" s="12" t="s">
        <v>732</v>
      </c>
      <c r="C79" s="13" t="n">
        <f aca="false">100000+30000+170000+40000+26500</f>
        <v>366500</v>
      </c>
      <c r="D79" s="13" t="n">
        <f aca="false">E79-C79</f>
        <v>0</v>
      </c>
      <c r="E79" s="13" t="n">
        <v>366500</v>
      </c>
    </row>
    <row r="80" customFormat="false" ht="15" hidden="false" customHeight="false" outlineLevel="0" collapsed="false">
      <c r="A80" s="11" t="s">
        <v>54</v>
      </c>
      <c r="B80" s="12" t="s">
        <v>733</v>
      </c>
      <c r="C80" s="13" t="n">
        <f aca="false">70000+150000+30000+116500</f>
        <v>366500</v>
      </c>
      <c r="D80" s="13" t="n">
        <f aca="false">E80-C80</f>
        <v>0</v>
      </c>
      <c r="E80" s="13" t="n">
        <v>366500</v>
      </c>
    </row>
    <row r="81" customFormat="false" ht="15" hidden="false" customHeight="false" outlineLevel="0" collapsed="false">
      <c r="A81" s="11" t="s">
        <v>56</v>
      </c>
      <c r="B81" s="12" t="s">
        <v>734</v>
      </c>
      <c r="C81" s="13" t="n">
        <f aca="false">300000+30000</f>
        <v>330000</v>
      </c>
      <c r="D81" s="13" t="n">
        <f aca="false">E81-C81</f>
        <v>36500</v>
      </c>
      <c r="E81" s="13" t="n">
        <v>366500</v>
      </c>
    </row>
    <row r="82" customFormat="false" ht="15" hidden="false" customHeight="false" outlineLevel="0" collapsed="false">
      <c r="A82" s="11" t="s">
        <v>58</v>
      </c>
      <c r="B82" s="12" t="s">
        <v>735</v>
      </c>
      <c r="C82" s="13" t="n">
        <f aca="false">185000+182000</f>
        <v>367000</v>
      </c>
      <c r="D82" s="13" t="n">
        <f aca="false">E82-C82</f>
        <v>-500</v>
      </c>
      <c r="E82" s="13" t="n">
        <v>366500</v>
      </c>
    </row>
    <row r="83" customFormat="false" ht="15" hidden="false" customHeight="false" outlineLevel="0" collapsed="false">
      <c r="A83" s="11" t="s">
        <v>60</v>
      </c>
      <c r="B83" s="12" t="s">
        <v>736</v>
      </c>
      <c r="C83" s="13" t="n">
        <f aca="false">100000+50000+116000+100500</f>
        <v>366500</v>
      </c>
      <c r="D83" s="13" t="n">
        <f aca="false">E83-C83</f>
        <v>0</v>
      </c>
      <c r="E83" s="13" t="n">
        <v>366500</v>
      </c>
    </row>
    <row r="84" customFormat="false" ht="15" hidden="false" customHeight="false" outlineLevel="0" collapsed="false">
      <c r="A84" s="11" t="s">
        <v>62</v>
      </c>
      <c r="B84" s="12" t="s">
        <v>737</v>
      </c>
      <c r="C84" s="13" t="n">
        <f aca="false">200000+166500</f>
        <v>366500</v>
      </c>
      <c r="D84" s="13" t="n">
        <f aca="false">E84-C84</f>
        <v>0</v>
      </c>
      <c r="E84" s="13" t="n">
        <v>366500</v>
      </c>
    </row>
    <row r="85" customFormat="false" ht="15" hidden="false" customHeight="false" outlineLevel="0" collapsed="false">
      <c r="A85" s="15" t="s">
        <v>98</v>
      </c>
      <c r="B85" s="15"/>
      <c r="C85" s="16" t="n">
        <f aca="false">SUM(C57:C84)</f>
        <v>8896500</v>
      </c>
      <c r="D85" s="16" t="n">
        <f aca="false">E85-C85</f>
        <v>1365500</v>
      </c>
      <c r="E85" s="16" t="n">
        <f aca="false">SUM(E57:E84)</f>
        <v>10262000</v>
      </c>
    </row>
    <row r="86" customFormat="false" ht="15" hidden="false" customHeight="false" outlineLevel="0" collapsed="false">
      <c r="A86" s="19"/>
      <c r="B86" s="19"/>
      <c r="C86" s="20"/>
      <c r="D86" s="20"/>
      <c r="E86" s="20"/>
    </row>
    <row r="87" customFormat="false" ht="15" hidden="false" customHeight="false" outlineLevel="0" collapsed="false">
      <c r="A87" s="19"/>
      <c r="B87" s="19"/>
      <c r="C87" s="20"/>
      <c r="D87" s="20"/>
      <c r="E87" s="20"/>
    </row>
    <row r="88" customFormat="false" ht="15" hidden="false" customHeight="false" outlineLevel="0" collapsed="false">
      <c r="A88" s="19"/>
      <c r="B88" s="19"/>
      <c r="C88" s="20"/>
      <c r="D88" s="20"/>
      <c r="E88" s="20"/>
    </row>
    <row r="89" customFormat="false" ht="15" hidden="false" customHeight="false" outlineLevel="0" collapsed="false">
      <c r="A89" s="19"/>
      <c r="B89" s="19"/>
      <c r="C89" s="20"/>
      <c r="D89" s="20"/>
      <c r="E89" s="20"/>
    </row>
    <row r="90" customFormat="false" ht="15" hidden="false" customHeight="false" outlineLevel="0" collapsed="false">
      <c r="A90" s="19"/>
      <c r="B90" s="19"/>
      <c r="C90" s="20"/>
      <c r="D90" s="20"/>
      <c r="E90" s="20"/>
    </row>
    <row r="91" customFormat="false" ht="15" hidden="false" customHeight="false" outlineLevel="0" collapsed="false">
      <c r="A91" s="19"/>
      <c r="B91" s="19"/>
      <c r="C91" s="20"/>
      <c r="D91" s="20"/>
      <c r="E91" s="20"/>
    </row>
    <row r="92" customFormat="false" ht="15" hidden="false" customHeight="false" outlineLevel="0" collapsed="false">
      <c r="A92" s="19"/>
      <c r="B92" s="19"/>
      <c r="C92" s="20"/>
      <c r="D92" s="20"/>
      <c r="E92" s="20"/>
    </row>
    <row r="93" customFormat="false" ht="15" hidden="false" customHeight="false" outlineLevel="0" collapsed="false">
      <c r="A93" s="19"/>
      <c r="B93" s="19"/>
      <c r="C93" s="20"/>
      <c r="D93" s="20"/>
      <c r="E93" s="20"/>
    </row>
    <row r="94" customFormat="false" ht="15" hidden="false" customHeight="false" outlineLevel="0" collapsed="false">
      <c r="A94" s="19"/>
      <c r="B94" s="19"/>
      <c r="C94" s="20"/>
      <c r="D94" s="20"/>
      <c r="E94" s="20"/>
    </row>
    <row r="95" customFormat="false" ht="15" hidden="false" customHeight="false" outlineLevel="0" collapsed="false">
      <c r="A95" s="19"/>
      <c r="B95" s="19"/>
      <c r="C95" s="20"/>
      <c r="D95" s="20"/>
      <c r="E95" s="20"/>
    </row>
    <row r="96" customFormat="false" ht="15" hidden="false" customHeight="false" outlineLevel="0" collapsed="false">
      <c r="A96" s="19"/>
      <c r="B96" s="19"/>
      <c r="C96" s="20"/>
      <c r="D96" s="20"/>
      <c r="E96" s="20"/>
    </row>
    <row r="97" customFormat="false" ht="15" hidden="false" customHeight="false" outlineLevel="0" collapsed="false">
      <c r="A97" s="19"/>
      <c r="B97" s="19"/>
      <c r="C97" s="20"/>
      <c r="D97" s="20"/>
      <c r="E97" s="20"/>
    </row>
    <row r="98" customFormat="false" ht="15" hidden="false" customHeight="false" outlineLevel="0" collapsed="false">
      <c r="A98" s="19"/>
      <c r="B98" s="19"/>
      <c r="C98" s="20"/>
      <c r="D98" s="20"/>
      <c r="E98" s="20"/>
    </row>
    <row r="99" customFormat="false" ht="15" hidden="false" customHeight="false" outlineLevel="0" collapsed="false">
      <c r="A99" s="19"/>
      <c r="B99" s="19"/>
      <c r="C99" s="20"/>
      <c r="D99" s="20"/>
      <c r="E99" s="20"/>
    </row>
    <row r="100" customFormat="false" ht="15" hidden="false" customHeight="false" outlineLevel="0" collapsed="false">
      <c r="A100" s="19"/>
      <c r="B100" s="19"/>
      <c r="C100" s="20"/>
      <c r="D100" s="20"/>
      <c r="E100" s="20"/>
    </row>
    <row r="101" customFormat="false" ht="15" hidden="false" customHeight="false" outlineLevel="0" collapsed="false">
      <c r="A101" s="19"/>
      <c r="B101" s="19"/>
      <c r="C101" s="20"/>
      <c r="D101" s="20"/>
      <c r="E101" s="20"/>
    </row>
    <row r="102" customFormat="false" ht="15" hidden="false" customHeight="false" outlineLevel="0" collapsed="false">
      <c r="A102" s="19"/>
      <c r="B102" s="19"/>
      <c r="C102" s="20"/>
      <c r="D102" s="20"/>
      <c r="E102" s="20"/>
    </row>
    <row r="103" customFormat="false" ht="15" hidden="false" customHeight="false" outlineLevel="0" collapsed="false">
      <c r="A103" s="19"/>
      <c r="B103" s="19"/>
      <c r="C103" s="20"/>
      <c r="D103" s="20"/>
      <c r="E103" s="20"/>
    </row>
    <row r="104" customFormat="false" ht="15" hidden="false" customHeight="false" outlineLevel="0" collapsed="false">
      <c r="A104" s="19"/>
      <c r="B104" s="19"/>
      <c r="C104" s="20"/>
      <c r="D104" s="20"/>
      <c r="E104" s="20"/>
    </row>
    <row r="105" customFormat="false" ht="15" hidden="false" customHeight="false" outlineLevel="0" collapsed="false">
      <c r="A105" s="19"/>
      <c r="B105" s="19"/>
      <c r="C105" s="20"/>
      <c r="D105" s="20"/>
      <c r="E105" s="20"/>
    </row>
    <row r="106" customFormat="false" ht="15" hidden="false" customHeight="false" outlineLevel="0" collapsed="false">
      <c r="A106" s="19"/>
      <c r="B106" s="19"/>
      <c r="C106" s="20"/>
      <c r="D106" s="20"/>
      <c r="E106" s="20"/>
    </row>
    <row r="107" customFormat="false" ht="15" hidden="false" customHeight="false" outlineLevel="0" collapsed="false">
      <c r="A107" s="19"/>
      <c r="B107" s="19"/>
      <c r="C107" s="20"/>
      <c r="D107" s="20"/>
      <c r="E107" s="20"/>
    </row>
    <row r="108" customFormat="false" ht="15" hidden="false" customHeight="false" outlineLevel="0" collapsed="false">
      <c r="A108" s="19"/>
      <c r="B108" s="19"/>
      <c r="C108" s="20"/>
      <c r="D108" s="20"/>
      <c r="E108" s="20"/>
    </row>
    <row r="109" customFormat="false" ht="15" hidden="false" customHeight="false" outlineLevel="0" collapsed="false">
      <c r="A109" s="19"/>
      <c r="B109" s="19"/>
      <c r="C109" s="20"/>
      <c r="D109" s="20"/>
      <c r="E109" s="20"/>
    </row>
    <row r="110" customFormat="false" ht="15" hidden="false" customHeight="false" outlineLevel="0" collapsed="false">
      <c r="A110" s="19"/>
      <c r="B110" s="19"/>
      <c r="C110" s="20"/>
      <c r="D110" s="20"/>
      <c r="E110" s="20"/>
    </row>
    <row r="111" customFormat="false" ht="15" hidden="false" customHeight="false" outlineLevel="0" collapsed="false">
      <c r="A111" s="19"/>
      <c r="B111" s="19"/>
      <c r="C111" s="20"/>
      <c r="D111" s="20"/>
      <c r="E111" s="20"/>
    </row>
    <row r="112" customFormat="false" ht="17.35" hidden="false" customHeight="false" outlineLevel="0" collapsed="false">
      <c r="A112" s="47" t="s">
        <v>738</v>
      </c>
      <c r="B112" s="47"/>
      <c r="C112" s="47"/>
      <c r="D112" s="47"/>
      <c r="E112" s="47"/>
    </row>
    <row r="113" customFormat="false" ht="15" hidden="false" customHeight="false" outlineLevel="0" collapsed="false">
      <c r="A113" s="15" t="s">
        <v>3</v>
      </c>
      <c r="B113" s="15" t="s">
        <v>4</v>
      </c>
      <c r="C113" s="17" t="s">
        <v>5</v>
      </c>
      <c r="D113" s="15" t="s">
        <v>6</v>
      </c>
      <c r="E113" s="16" t="s">
        <v>7</v>
      </c>
    </row>
    <row r="114" customFormat="false" ht="15" hidden="false" customHeight="false" outlineLevel="0" collapsed="false">
      <c r="A114" s="11" t="s">
        <v>8</v>
      </c>
      <c r="B114" s="12" t="s">
        <v>739</v>
      </c>
      <c r="C114" s="13" t="n">
        <v>0</v>
      </c>
      <c r="D114" s="13" t="n">
        <f aca="false">E114-C114</f>
        <v>191500</v>
      </c>
      <c r="E114" s="13" t="n">
        <v>191500</v>
      </c>
    </row>
    <row r="115" customFormat="false" ht="15" hidden="false" customHeight="false" outlineLevel="0" collapsed="false">
      <c r="A115" s="11" t="s">
        <v>10</v>
      </c>
      <c r="B115" s="12" t="s">
        <v>740</v>
      </c>
      <c r="C115" s="13" t="n">
        <v>0</v>
      </c>
      <c r="D115" s="13" t="n">
        <f aca="false">E115-C115</f>
        <v>191500</v>
      </c>
      <c r="E115" s="13" t="n">
        <v>191500</v>
      </c>
    </row>
    <row r="116" customFormat="false" ht="15" hidden="false" customHeight="false" outlineLevel="0" collapsed="false">
      <c r="A116" s="11" t="s">
        <v>12</v>
      </c>
      <c r="B116" s="12" t="s">
        <v>741</v>
      </c>
      <c r="C116" s="13" t="n">
        <f aca="false">166500+25000</f>
        <v>191500</v>
      </c>
      <c r="D116" s="13" t="n">
        <f aca="false">E116-C116</f>
        <v>0</v>
      </c>
      <c r="E116" s="13" t="n">
        <v>191500</v>
      </c>
    </row>
    <row r="117" customFormat="false" ht="15" hidden="false" customHeight="false" outlineLevel="0" collapsed="false">
      <c r="A117" s="11" t="s">
        <v>14</v>
      </c>
      <c r="B117" s="12" t="s">
        <v>742</v>
      </c>
      <c r="C117" s="13" t="n">
        <f aca="false">141500+30000+10000+10000</f>
        <v>191500</v>
      </c>
      <c r="D117" s="13" t="n">
        <f aca="false">E117-C117</f>
        <v>0</v>
      </c>
      <c r="E117" s="13" t="n">
        <v>191500</v>
      </c>
    </row>
    <row r="118" customFormat="false" ht="15" hidden="false" customHeight="false" outlineLevel="0" collapsed="false">
      <c r="A118" s="11" t="s">
        <v>16</v>
      </c>
      <c r="B118" s="12" t="s">
        <v>743</v>
      </c>
      <c r="C118" s="13" t="n">
        <f aca="false">500</f>
        <v>500</v>
      </c>
      <c r="D118" s="13" t="n">
        <f aca="false">E118-C118</f>
        <v>191000</v>
      </c>
      <c r="E118" s="13" t="n">
        <v>191500</v>
      </c>
    </row>
    <row r="119" customFormat="false" ht="15" hidden="false" customHeight="false" outlineLevel="0" collapsed="false">
      <c r="A119" s="11" t="s">
        <v>18</v>
      </c>
      <c r="B119" s="12" t="s">
        <v>744</v>
      </c>
      <c r="C119" s="13" t="n">
        <v>191500</v>
      </c>
      <c r="D119" s="13" t="n">
        <f aca="false">E119-C119</f>
        <v>0</v>
      </c>
      <c r="E119" s="13" t="n">
        <v>191500</v>
      </c>
    </row>
    <row r="120" customFormat="false" ht="15" hidden="false" customHeight="false" outlineLevel="0" collapsed="false">
      <c r="A120" s="11" t="s">
        <v>20</v>
      </c>
      <c r="B120" s="12" t="s">
        <v>745</v>
      </c>
      <c r="C120" s="13" t="n">
        <f aca="false">30000+10000+20000+34000+34000+40000+23500</f>
        <v>191500</v>
      </c>
      <c r="D120" s="13" t="n">
        <f aca="false">E120-C120</f>
        <v>0</v>
      </c>
      <c r="E120" s="13" t="n">
        <v>191500</v>
      </c>
    </row>
    <row r="121" customFormat="false" ht="15" hidden="false" customHeight="false" outlineLevel="0" collapsed="false">
      <c r="A121" s="11" t="s">
        <v>22</v>
      </c>
      <c r="B121" s="12" t="s">
        <v>746</v>
      </c>
      <c r="C121" s="13" t="n">
        <v>0</v>
      </c>
      <c r="D121" s="13" t="n">
        <f aca="false">E121-C121</f>
        <v>191500</v>
      </c>
      <c r="E121" s="13" t="n">
        <v>191500</v>
      </c>
    </row>
    <row r="122" customFormat="false" ht="15" hidden="false" customHeight="false" outlineLevel="0" collapsed="false">
      <c r="A122" s="11" t="s">
        <v>24</v>
      </c>
      <c r="B122" s="12" t="s">
        <v>747</v>
      </c>
      <c r="C122" s="13" t="n">
        <f aca="false">200000</f>
        <v>200000</v>
      </c>
      <c r="D122" s="13" t="n">
        <f aca="false">E122-C122</f>
        <v>-8500</v>
      </c>
      <c r="E122" s="13" t="n">
        <v>191500</v>
      </c>
    </row>
    <row r="123" customFormat="false" ht="15" hidden="false" customHeight="false" outlineLevel="0" collapsed="false">
      <c r="A123" s="11" t="s">
        <v>26</v>
      </c>
      <c r="B123" s="12" t="s">
        <v>748</v>
      </c>
      <c r="C123" s="13" t="n">
        <f aca="false">150000+41500</f>
        <v>191500</v>
      </c>
      <c r="D123" s="13" t="n">
        <f aca="false">E123-C123</f>
        <v>0</v>
      </c>
      <c r="E123" s="13" t="n">
        <v>191500</v>
      </c>
    </row>
    <row r="124" customFormat="false" ht="15" hidden="false" customHeight="false" outlineLevel="0" collapsed="false">
      <c r="A124" s="11" t="s">
        <v>28</v>
      </c>
      <c r="B124" s="12" t="s">
        <v>749</v>
      </c>
      <c r="C124" s="13" t="n">
        <v>191500</v>
      </c>
      <c r="D124" s="13" t="n">
        <f aca="false">E124-C124</f>
        <v>0</v>
      </c>
      <c r="E124" s="13" t="n">
        <v>191500</v>
      </c>
    </row>
    <row r="125" customFormat="false" ht="15" hidden="false" customHeight="false" outlineLevel="0" collapsed="false">
      <c r="A125" s="11" t="s">
        <v>30</v>
      </c>
      <c r="B125" s="12" t="s">
        <v>750</v>
      </c>
      <c r="C125" s="13" t="n">
        <v>0</v>
      </c>
      <c r="D125" s="13" t="n">
        <f aca="false">E125-C125</f>
        <v>191500</v>
      </c>
      <c r="E125" s="13" t="n">
        <v>191500</v>
      </c>
    </row>
    <row r="126" customFormat="false" ht="15" hidden="false" customHeight="false" outlineLevel="0" collapsed="false">
      <c r="A126" s="11" t="s">
        <v>32</v>
      </c>
      <c r="B126" s="12" t="s">
        <v>751</v>
      </c>
      <c r="C126" s="13" t="n">
        <f aca="false">191500</f>
        <v>191500</v>
      </c>
      <c r="D126" s="13" t="n">
        <f aca="false">E126-C126</f>
        <v>0</v>
      </c>
      <c r="E126" s="13" t="n">
        <v>191500</v>
      </c>
    </row>
    <row r="127" customFormat="false" ht="15" hidden="false" customHeight="false" outlineLevel="0" collapsed="false">
      <c r="A127" s="11" t="s">
        <v>34</v>
      </c>
      <c r="B127" s="12" t="s">
        <v>752</v>
      </c>
      <c r="C127" s="13" t="n">
        <v>0</v>
      </c>
      <c r="D127" s="13" t="n">
        <f aca="false">E127-C127</f>
        <v>191500</v>
      </c>
      <c r="E127" s="13" t="n">
        <v>191500</v>
      </c>
    </row>
    <row r="128" customFormat="false" ht="15" hidden="false" customHeight="false" outlineLevel="0" collapsed="false">
      <c r="A128" s="11" t="s">
        <v>36</v>
      </c>
      <c r="B128" s="12" t="s">
        <v>753</v>
      </c>
      <c r="C128" s="13" t="n">
        <f aca="false">191500</f>
        <v>191500</v>
      </c>
      <c r="D128" s="13" t="n">
        <f aca="false">E128-C128</f>
        <v>0</v>
      </c>
      <c r="E128" s="13" t="n">
        <v>191500</v>
      </c>
    </row>
    <row r="129" customFormat="false" ht="15" hidden="false" customHeight="false" outlineLevel="0" collapsed="false">
      <c r="A129" s="11" t="s">
        <v>38</v>
      </c>
      <c r="B129" s="12" t="s">
        <v>754</v>
      </c>
      <c r="C129" s="13" t="n">
        <f aca="false">7000+120000+64500</f>
        <v>191500</v>
      </c>
      <c r="D129" s="13" t="n">
        <f aca="false">E129-C129</f>
        <v>0</v>
      </c>
      <c r="E129" s="13" t="n">
        <v>191500</v>
      </c>
    </row>
    <row r="130" customFormat="false" ht="15" hidden="false" customHeight="false" outlineLevel="0" collapsed="false">
      <c r="A130" s="11" t="s">
        <v>40</v>
      </c>
      <c r="B130" s="12" t="s">
        <v>755</v>
      </c>
      <c r="C130" s="13" t="n">
        <v>0</v>
      </c>
      <c r="D130" s="13" t="n">
        <f aca="false">E130-C130</f>
        <v>191500</v>
      </c>
      <c r="E130" s="13" t="n">
        <v>191500</v>
      </c>
    </row>
    <row r="131" customFormat="false" ht="15" hidden="false" customHeight="false" outlineLevel="0" collapsed="false">
      <c r="A131" s="11" t="s">
        <v>42</v>
      </c>
      <c r="B131" s="12" t="s">
        <v>756</v>
      </c>
      <c r="C131" s="13" t="n">
        <v>0</v>
      </c>
      <c r="D131" s="13" t="n">
        <f aca="false">E131-C131</f>
        <v>191500</v>
      </c>
      <c r="E131" s="13" t="n">
        <v>191500</v>
      </c>
    </row>
    <row r="132" customFormat="false" ht="15" hidden="false" customHeight="false" outlineLevel="0" collapsed="false">
      <c r="A132" s="11" t="s">
        <v>44</v>
      </c>
      <c r="B132" s="12" t="s">
        <v>757</v>
      </c>
      <c r="C132" s="13" t="n">
        <v>0</v>
      </c>
      <c r="D132" s="13" t="n">
        <f aca="false">E132-C132</f>
        <v>191500</v>
      </c>
      <c r="E132" s="13" t="n">
        <v>191500</v>
      </c>
    </row>
    <row r="133" customFormat="false" ht="15" hidden="false" customHeight="false" outlineLevel="0" collapsed="false">
      <c r="A133" s="11" t="s">
        <v>46</v>
      </c>
      <c r="B133" s="12" t="s">
        <v>758</v>
      </c>
      <c r="C133" s="13" t="n">
        <f aca="false">150000+31500+10000</f>
        <v>191500</v>
      </c>
      <c r="D133" s="13" t="n">
        <f aca="false">E133-C133</f>
        <v>0</v>
      </c>
      <c r="E133" s="13" t="n">
        <v>191500</v>
      </c>
    </row>
    <row r="134" customFormat="false" ht="15" hidden="false" customHeight="false" outlineLevel="0" collapsed="false">
      <c r="A134" s="11" t="s">
        <v>48</v>
      </c>
      <c r="B134" s="12" t="s">
        <v>759</v>
      </c>
      <c r="C134" s="13" t="n">
        <f aca="false">191500</f>
        <v>191500</v>
      </c>
      <c r="D134" s="13" t="n">
        <f aca="false">E134-C134</f>
        <v>0</v>
      </c>
      <c r="E134" s="13" t="n">
        <v>191500</v>
      </c>
    </row>
    <row r="135" customFormat="false" ht="15" hidden="false" customHeight="false" outlineLevel="0" collapsed="false">
      <c r="A135" s="11" t="s">
        <v>50</v>
      </c>
      <c r="B135" s="12" t="s">
        <v>760</v>
      </c>
      <c r="C135" s="13" t="n">
        <v>0</v>
      </c>
      <c r="D135" s="13" t="n">
        <f aca="false">E135-C135</f>
        <v>191500</v>
      </c>
      <c r="E135" s="13" t="n">
        <v>191500</v>
      </c>
    </row>
    <row r="136" customFormat="false" ht="15" hidden="false" customHeight="false" outlineLevel="0" collapsed="false">
      <c r="A136" s="11" t="s">
        <v>52</v>
      </c>
      <c r="B136" s="12" t="s">
        <v>761</v>
      </c>
      <c r="C136" s="13" t="n">
        <f aca="false">193000</f>
        <v>193000</v>
      </c>
      <c r="D136" s="13" t="n">
        <f aca="false">E136-C136</f>
        <v>-1500</v>
      </c>
      <c r="E136" s="13" t="n">
        <v>191500</v>
      </c>
    </row>
    <row r="137" customFormat="false" ht="15" hidden="false" customHeight="false" outlineLevel="0" collapsed="false">
      <c r="A137" s="11" t="s">
        <v>54</v>
      </c>
      <c r="B137" s="12" t="s">
        <v>762</v>
      </c>
      <c r="C137" s="13" t="n">
        <f aca="false">100000+83275+8225</f>
        <v>191500</v>
      </c>
      <c r="D137" s="13" t="n">
        <f aca="false">E137-C137</f>
        <v>0</v>
      </c>
      <c r="E137" s="13" t="n">
        <v>191500</v>
      </c>
    </row>
    <row r="138" customFormat="false" ht="15" hidden="false" customHeight="false" outlineLevel="0" collapsed="false">
      <c r="A138" s="11" t="s">
        <v>56</v>
      </c>
      <c r="B138" s="12" t="s">
        <v>763</v>
      </c>
      <c r="C138" s="13" t="n">
        <v>191500</v>
      </c>
      <c r="D138" s="13" t="n">
        <f aca="false">E138-C138</f>
        <v>0</v>
      </c>
      <c r="E138" s="13" t="n">
        <v>191500</v>
      </c>
    </row>
    <row r="139" customFormat="false" ht="15" hidden="false" customHeight="false" outlineLevel="0" collapsed="false">
      <c r="A139" s="11" t="s">
        <v>58</v>
      </c>
      <c r="B139" s="12" t="s">
        <v>764</v>
      </c>
      <c r="C139" s="13" t="n">
        <v>0</v>
      </c>
      <c r="D139" s="13" t="n">
        <f aca="false">E139-C139</f>
        <v>191500</v>
      </c>
      <c r="E139" s="13" t="n">
        <v>191500</v>
      </c>
    </row>
    <row r="140" customFormat="false" ht="15" hidden="false" customHeight="false" outlineLevel="0" collapsed="false">
      <c r="A140" s="15" t="s">
        <v>98</v>
      </c>
      <c r="B140" s="15"/>
      <c r="C140" s="16" t="n">
        <f aca="false">SUM(C114:C139)</f>
        <v>2883000</v>
      </c>
      <c r="D140" s="16" t="n">
        <f aca="false">E140-C140</f>
        <v>2096000</v>
      </c>
      <c r="E140" s="16" t="n">
        <f aca="false">SUM(E114:E139)</f>
        <v>4979000</v>
      </c>
    </row>
  </sheetData>
  <mergeCells count="3">
    <mergeCell ref="A38:B38"/>
    <mergeCell ref="A85:B85"/>
    <mergeCell ref="A140:B140"/>
  </mergeCells>
  <printOptions headings="false" gridLines="false" gridLinesSet="true" horizontalCentered="false" verticalCentered="false"/>
  <pageMargins left="0.4" right="0.440277777777778" top="0.479861111111111" bottom="0.5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295" colorId="64" zoomScale="100" zoomScaleNormal="100" zoomScalePageLayoutView="100" workbookViewId="0">
      <selection pane="topLeft" activeCell="A81" activeCellId="0" sqref="A8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85"/>
    <col collapsed="false" customWidth="true" hidden="false" outlineLevel="0" max="2" min="2" style="1" width="28.41"/>
    <col collapsed="false" customWidth="true" hidden="false" outlineLevel="0" max="3" min="3" style="1" width="13.56"/>
    <col collapsed="false" customWidth="true" hidden="false" outlineLevel="0" max="4" min="4" style="1" width="13.7"/>
    <col collapsed="false" customWidth="true" hidden="false" outlineLevel="0" max="5" min="5" style="1" width="12.99"/>
  </cols>
  <sheetData>
    <row r="2" customFormat="false" ht="12.75" hidden="false" customHeight="false" outlineLevel="0" collapsed="false">
      <c r="A2" s="48"/>
      <c r="B2" s="48"/>
      <c r="C2" s="48"/>
      <c r="D2" s="48"/>
      <c r="E2" s="48"/>
    </row>
    <row r="3" customFormat="false" ht="17.35" hidden="false" customHeight="false" outlineLevel="0" collapsed="false">
      <c r="A3" s="49" t="s">
        <v>765</v>
      </c>
      <c r="B3" s="49"/>
      <c r="C3" s="49"/>
      <c r="D3" s="49"/>
      <c r="E3" s="49"/>
    </row>
    <row r="4" customFormat="false" ht="12.75" hidden="false" customHeight="false" outlineLevel="0" collapsed="false">
      <c r="A4" s="48"/>
      <c r="B4" s="48"/>
      <c r="C4" s="50"/>
      <c r="D4" s="48"/>
      <c r="E4" s="51"/>
    </row>
    <row r="5" customFormat="false" ht="12.75" hidden="false" customHeight="false" outlineLevel="0" collapsed="false">
      <c r="A5" s="48"/>
      <c r="B5" s="48"/>
      <c r="C5" s="50"/>
      <c r="D5" s="48"/>
      <c r="E5" s="51"/>
    </row>
    <row r="6" customFormat="false" ht="15" hidden="false" customHeight="false" outlineLevel="0" collapsed="false">
      <c r="A6" s="52" t="s">
        <v>3</v>
      </c>
      <c r="B6" s="52" t="s">
        <v>4</v>
      </c>
      <c r="C6" s="17" t="s">
        <v>5</v>
      </c>
      <c r="D6" s="52" t="s">
        <v>6</v>
      </c>
      <c r="E6" s="17" t="s">
        <v>7</v>
      </c>
    </row>
    <row r="7" customFormat="false" ht="15" hidden="false" customHeight="false" outlineLevel="0" collapsed="false">
      <c r="A7" s="53" t="n">
        <v>1</v>
      </c>
      <c r="B7" s="54" t="s">
        <v>766</v>
      </c>
      <c r="C7" s="55" t="n">
        <f aca="false">80000+250000+286500</f>
        <v>616500</v>
      </c>
      <c r="D7" s="55" t="n">
        <f aca="false">E7-C7</f>
        <v>0</v>
      </c>
      <c r="E7" s="55" t="n">
        <v>616500</v>
      </c>
    </row>
    <row r="8" customFormat="false" ht="15" hidden="false" customHeight="false" outlineLevel="0" collapsed="false">
      <c r="A8" s="53" t="n">
        <v>2</v>
      </c>
      <c r="B8" s="54" t="s">
        <v>767</v>
      </c>
      <c r="C8" s="55" t="n">
        <f aca="false">349975+200000+66525</f>
        <v>616500</v>
      </c>
      <c r="D8" s="55" t="n">
        <f aca="false">E8-C8</f>
        <v>0</v>
      </c>
      <c r="E8" s="55" t="n">
        <v>616500</v>
      </c>
    </row>
    <row r="9" customFormat="false" ht="15" hidden="false" customHeight="false" outlineLevel="0" collapsed="false">
      <c r="A9" s="53" t="n">
        <v>3</v>
      </c>
      <c r="B9" s="54" t="s">
        <v>768</v>
      </c>
      <c r="C9" s="55" t="n">
        <v>616500</v>
      </c>
      <c r="D9" s="55" t="n">
        <f aca="false">E9-C9</f>
        <v>0</v>
      </c>
      <c r="E9" s="55" t="n">
        <v>616500</v>
      </c>
    </row>
    <row r="10" customFormat="false" ht="15" hidden="false" customHeight="false" outlineLevel="0" collapsed="false">
      <c r="A10" s="53" t="n">
        <v>4</v>
      </c>
      <c r="B10" s="54" t="s">
        <v>769</v>
      </c>
      <c r="C10" s="55" t="n">
        <f aca="false">300000+316500</f>
        <v>616500</v>
      </c>
      <c r="D10" s="55" t="n">
        <f aca="false">E10-C10</f>
        <v>0</v>
      </c>
      <c r="E10" s="55" t="n">
        <v>616500</v>
      </c>
    </row>
    <row r="11" customFormat="false" ht="15" hidden="false" customHeight="false" outlineLevel="0" collapsed="false">
      <c r="A11" s="53" t="n">
        <v>5</v>
      </c>
      <c r="B11" s="54" t="s">
        <v>770</v>
      </c>
      <c r="C11" s="55" t="n">
        <f aca="false">16500+200000+400000</f>
        <v>616500</v>
      </c>
      <c r="D11" s="55" t="n">
        <f aca="false">E11-C11</f>
        <v>0</v>
      </c>
      <c r="E11" s="55" t="n">
        <v>616500</v>
      </c>
    </row>
    <row r="12" customFormat="false" ht="15" hidden="false" customHeight="false" outlineLevel="0" collapsed="false">
      <c r="A12" s="53" t="n">
        <v>6</v>
      </c>
      <c r="B12" s="54" t="s">
        <v>771</v>
      </c>
      <c r="C12" s="55" t="n">
        <f aca="false">316525+5000+295000</f>
        <v>616525</v>
      </c>
      <c r="D12" s="55" t="n">
        <f aca="false">E12-C12</f>
        <v>-25</v>
      </c>
      <c r="E12" s="55" t="n">
        <v>616500</v>
      </c>
    </row>
    <row r="13" customFormat="false" ht="15" hidden="false" customHeight="false" outlineLevel="0" collapsed="false">
      <c r="A13" s="53" t="n">
        <v>7</v>
      </c>
      <c r="B13" s="54" t="s">
        <v>772</v>
      </c>
      <c r="C13" s="55" t="n">
        <f aca="false">20000+300000+296500</f>
        <v>616500</v>
      </c>
      <c r="D13" s="55" t="n">
        <f aca="false">E13-C13</f>
        <v>0</v>
      </c>
      <c r="E13" s="55" t="n">
        <v>616500</v>
      </c>
    </row>
    <row r="14" customFormat="false" ht="15" hidden="false" customHeight="false" outlineLevel="0" collapsed="false">
      <c r="A14" s="53" t="n">
        <v>8</v>
      </c>
      <c r="B14" s="54" t="s">
        <v>773</v>
      </c>
      <c r="C14" s="55" t="n">
        <f aca="false">16500+300000+300000</f>
        <v>616500</v>
      </c>
      <c r="D14" s="55" t="n">
        <f aca="false">E14-C14</f>
        <v>0</v>
      </c>
      <c r="E14" s="55" t="n">
        <v>616500</v>
      </c>
    </row>
    <row r="15" customFormat="false" ht="15" hidden="false" customHeight="false" outlineLevel="0" collapsed="false">
      <c r="A15" s="53" t="n">
        <v>9</v>
      </c>
      <c r="B15" s="54" t="s">
        <v>774</v>
      </c>
      <c r="C15" s="55" t="n">
        <f aca="false">300000+16500+300000</f>
        <v>616500</v>
      </c>
      <c r="D15" s="55" t="n">
        <f aca="false">E15-C15</f>
        <v>0</v>
      </c>
      <c r="E15" s="55" t="n">
        <v>616500</v>
      </c>
    </row>
    <row r="16" customFormat="false" ht="15" hidden="false" customHeight="false" outlineLevel="0" collapsed="false">
      <c r="A16" s="53" t="n">
        <v>10</v>
      </c>
      <c r="B16" s="56" t="s">
        <v>775</v>
      </c>
      <c r="C16" s="55" t="n">
        <f aca="false">16500+145000+280000</f>
        <v>441500</v>
      </c>
      <c r="D16" s="55" t="n">
        <f aca="false">E16-C16</f>
        <v>175000</v>
      </c>
      <c r="E16" s="55" t="n">
        <v>616500</v>
      </c>
    </row>
    <row r="17" customFormat="false" ht="15" hidden="false" customHeight="false" outlineLevel="0" collapsed="false">
      <c r="A17" s="53" t="n">
        <v>11</v>
      </c>
      <c r="B17" s="56" t="s">
        <v>776</v>
      </c>
      <c r="C17" s="55" t="n">
        <f aca="false">100000+100000+116500+300000</f>
        <v>616500</v>
      </c>
      <c r="D17" s="55" t="n">
        <f aca="false">E17-C17</f>
        <v>0</v>
      </c>
      <c r="E17" s="55" t="n">
        <v>616500</v>
      </c>
    </row>
    <row r="18" customFormat="false" ht="15" hidden="false" customHeight="false" outlineLevel="0" collapsed="false">
      <c r="A18" s="53" t="n">
        <v>12</v>
      </c>
      <c r="B18" s="56" t="s">
        <v>777</v>
      </c>
      <c r="C18" s="55" t="n">
        <f aca="false">16500+600000</f>
        <v>616500</v>
      </c>
      <c r="D18" s="55" t="n">
        <f aca="false">E18-C18</f>
        <v>0</v>
      </c>
      <c r="E18" s="55" t="n">
        <v>616500</v>
      </c>
    </row>
    <row r="19" customFormat="false" ht="15" hidden="false" customHeight="false" outlineLevel="0" collapsed="false">
      <c r="A19" s="53" t="n">
        <v>13</v>
      </c>
      <c r="B19" s="56" t="s">
        <v>778</v>
      </c>
      <c r="C19" s="55" t="n">
        <f aca="false">300000+315000+1500</f>
        <v>616500</v>
      </c>
      <c r="D19" s="55" t="n">
        <f aca="false">E19-C19</f>
        <v>0</v>
      </c>
      <c r="E19" s="55" t="n">
        <v>616500</v>
      </c>
    </row>
    <row r="20" customFormat="false" ht="15" hidden="false" customHeight="false" outlineLevel="0" collapsed="false">
      <c r="A20" s="53" t="n">
        <v>14</v>
      </c>
      <c r="B20" s="56" t="s">
        <v>779</v>
      </c>
      <c r="C20" s="55" t="n">
        <f aca="false">316500+300000</f>
        <v>616500</v>
      </c>
      <c r="D20" s="55" t="n">
        <f aca="false">E20-C20</f>
        <v>0</v>
      </c>
      <c r="E20" s="55" t="n">
        <v>616500</v>
      </c>
    </row>
    <row r="21" customFormat="false" ht="15" hidden="false" customHeight="false" outlineLevel="0" collapsed="false">
      <c r="A21" s="53" t="n">
        <v>15</v>
      </c>
      <c r="B21" s="56" t="s">
        <v>780</v>
      </c>
      <c r="C21" s="55" t="n">
        <f aca="false">316500+300000</f>
        <v>616500</v>
      </c>
      <c r="D21" s="55" t="n">
        <f aca="false">E21-C21</f>
        <v>0</v>
      </c>
      <c r="E21" s="55" t="n">
        <v>616500</v>
      </c>
    </row>
    <row r="22" customFormat="false" ht="15" hidden="false" customHeight="false" outlineLevel="0" collapsed="false">
      <c r="A22" s="53" t="n">
        <v>16</v>
      </c>
      <c r="B22" s="56" t="s">
        <v>781</v>
      </c>
      <c r="C22" s="55" t="n">
        <f aca="false">483000+80000+53500</f>
        <v>616500</v>
      </c>
      <c r="D22" s="55" t="n">
        <f aca="false">E22-C22</f>
        <v>0</v>
      </c>
      <c r="E22" s="55" t="n">
        <v>616500</v>
      </c>
    </row>
    <row r="23" customFormat="false" ht="15" hidden="false" customHeight="false" outlineLevel="0" collapsed="false">
      <c r="A23" s="53" t="n">
        <v>17</v>
      </c>
      <c r="B23" s="56" t="s">
        <v>782</v>
      </c>
      <c r="C23" s="55" t="n">
        <f aca="false">16500+600000</f>
        <v>616500</v>
      </c>
      <c r="D23" s="55" t="n">
        <f aca="false">E23-C23</f>
        <v>0</v>
      </c>
      <c r="E23" s="55" t="n">
        <v>616500</v>
      </c>
    </row>
    <row r="24" customFormat="false" ht="15" hidden="false" customHeight="false" outlineLevel="0" collapsed="false">
      <c r="A24" s="53" t="n">
        <v>18</v>
      </c>
      <c r="B24" s="56" t="s">
        <v>783</v>
      </c>
      <c r="C24" s="55" t="n">
        <v>616500</v>
      </c>
      <c r="D24" s="55" t="n">
        <f aca="false">E24-C24</f>
        <v>0</v>
      </c>
      <c r="E24" s="55" t="n">
        <v>616500</v>
      </c>
    </row>
    <row r="25" customFormat="false" ht="15" hidden="false" customHeight="false" outlineLevel="0" collapsed="false">
      <c r="A25" s="52" t="s">
        <v>98</v>
      </c>
      <c r="B25" s="52"/>
      <c r="C25" s="17" t="n">
        <f aca="false">SUM(C7:C24)</f>
        <v>10922025</v>
      </c>
      <c r="D25" s="17" t="n">
        <f aca="false">SUM(D7:D24)</f>
        <v>174975</v>
      </c>
      <c r="E25" s="17" t="n">
        <f aca="false">SUM(E7:E24)</f>
        <v>11097000</v>
      </c>
    </row>
    <row r="26" customFormat="false" ht="15" hidden="false" customHeight="false" outlineLevel="0" collapsed="false">
      <c r="A26" s="57"/>
      <c r="B26" s="57"/>
      <c r="C26" s="58"/>
      <c r="D26" s="58"/>
      <c r="E26" s="58"/>
    </row>
    <row r="27" customFormat="false" ht="15" hidden="false" customHeight="false" outlineLevel="0" collapsed="false">
      <c r="A27" s="57"/>
      <c r="B27" s="59" t="s">
        <v>784</v>
      </c>
      <c r="C27" s="58"/>
      <c r="D27" s="58"/>
      <c r="E27" s="58"/>
    </row>
    <row r="28" customFormat="false" ht="15" hidden="false" customHeight="false" outlineLevel="0" collapsed="false">
      <c r="A28" s="57"/>
      <c r="B28" s="59"/>
      <c r="C28" s="58"/>
      <c r="D28" s="58"/>
      <c r="E28" s="58"/>
    </row>
    <row r="29" customFormat="false" ht="15" hidden="false" customHeight="false" outlineLevel="0" collapsed="false">
      <c r="A29" s="57"/>
      <c r="B29" s="59"/>
      <c r="C29" s="58"/>
      <c r="D29" s="58"/>
      <c r="E29" s="58"/>
    </row>
    <row r="30" customFormat="false" ht="15" hidden="false" customHeight="false" outlineLevel="0" collapsed="false">
      <c r="A30" s="57"/>
      <c r="B30" s="59"/>
      <c r="C30" s="58"/>
      <c r="D30" s="58"/>
      <c r="E30" s="58"/>
    </row>
    <row r="31" customFormat="false" ht="15" hidden="false" customHeight="false" outlineLevel="0" collapsed="false">
      <c r="A31" s="57"/>
      <c r="B31" s="59"/>
      <c r="C31" s="58"/>
      <c r="D31" s="58"/>
      <c r="E31" s="58"/>
    </row>
    <row r="32" customFormat="false" ht="15" hidden="false" customHeight="false" outlineLevel="0" collapsed="false">
      <c r="A32" s="57"/>
      <c r="B32" s="59"/>
      <c r="C32" s="58"/>
      <c r="D32" s="58"/>
      <c r="E32" s="58"/>
    </row>
    <row r="33" customFormat="false" ht="15" hidden="false" customHeight="false" outlineLevel="0" collapsed="false">
      <c r="A33" s="57"/>
      <c r="B33" s="59"/>
      <c r="C33" s="58"/>
      <c r="D33" s="58"/>
      <c r="E33" s="58"/>
    </row>
    <row r="34" customFormat="false" ht="15" hidden="false" customHeight="false" outlineLevel="0" collapsed="false">
      <c r="A34" s="57"/>
      <c r="B34" s="59"/>
      <c r="C34" s="58"/>
      <c r="D34" s="58"/>
      <c r="E34" s="58"/>
    </row>
    <row r="35" customFormat="false" ht="15" hidden="false" customHeight="false" outlineLevel="0" collapsed="false">
      <c r="A35" s="57"/>
      <c r="B35" s="59"/>
      <c r="C35" s="58"/>
      <c r="D35" s="58"/>
      <c r="E35" s="58"/>
    </row>
    <row r="36" customFormat="false" ht="15" hidden="false" customHeight="false" outlineLevel="0" collapsed="false">
      <c r="A36" s="57"/>
      <c r="B36" s="59"/>
      <c r="C36" s="58"/>
      <c r="D36" s="58"/>
      <c r="E36" s="58"/>
    </row>
    <row r="37" customFormat="false" ht="15" hidden="false" customHeight="false" outlineLevel="0" collapsed="false">
      <c r="A37" s="57"/>
      <c r="B37" s="59"/>
      <c r="C37" s="58"/>
      <c r="D37" s="58"/>
      <c r="E37" s="58"/>
    </row>
    <row r="38" customFormat="false" ht="15" hidden="false" customHeight="false" outlineLevel="0" collapsed="false">
      <c r="A38" s="57"/>
      <c r="B38" s="59"/>
      <c r="C38" s="58"/>
      <c r="D38" s="58"/>
      <c r="E38" s="58"/>
    </row>
    <row r="39" customFormat="false" ht="15" hidden="false" customHeight="false" outlineLevel="0" collapsed="false">
      <c r="A39" s="57"/>
      <c r="B39" s="59"/>
      <c r="C39" s="58"/>
      <c r="D39" s="58"/>
      <c r="E39" s="58"/>
    </row>
    <row r="40" customFormat="false" ht="15" hidden="false" customHeight="false" outlineLevel="0" collapsed="false">
      <c r="A40" s="57"/>
      <c r="B40" s="59"/>
      <c r="C40" s="58"/>
      <c r="D40" s="58"/>
      <c r="E40" s="58"/>
    </row>
    <row r="41" customFormat="false" ht="15" hidden="false" customHeight="false" outlineLevel="0" collapsed="false">
      <c r="A41" s="57"/>
      <c r="B41" s="59"/>
      <c r="C41" s="58"/>
      <c r="D41" s="58"/>
      <c r="E41" s="58"/>
    </row>
    <row r="42" customFormat="false" ht="15" hidden="false" customHeight="false" outlineLevel="0" collapsed="false">
      <c r="A42" s="57"/>
      <c r="B42" s="59"/>
      <c r="C42" s="58"/>
      <c r="D42" s="58"/>
      <c r="E42" s="58"/>
    </row>
    <row r="43" customFormat="false" ht="15" hidden="false" customHeight="false" outlineLevel="0" collapsed="false">
      <c r="A43" s="57"/>
      <c r="B43" s="59"/>
      <c r="C43" s="58"/>
      <c r="D43" s="58"/>
      <c r="E43" s="58"/>
    </row>
    <row r="44" customFormat="false" ht="15" hidden="false" customHeight="false" outlineLevel="0" collapsed="false">
      <c r="A44" s="57"/>
      <c r="B44" s="59"/>
      <c r="C44" s="58"/>
      <c r="D44" s="58"/>
      <c r="E44" s="58"/>
    </row>
    <row r="45" customFormat="false" ht="15" hidden="false" customHeight="false" outlineLevel="0" collapsed="false">
      <c r="A45" s="57"/>
      <c r="B45" s="59"/>
      <c r="C45" s="58"/>
      <c r="D45" s="58"/>
      <c r="E45" s="58"/>
    </row>
    <row r="46" customFormat="false" ht="15" hidden="false" customHeight="false" outlineLevel="0" collapsed="false">
      <c r="A46" s="57"/>
      <c r="B46" s="59"/>
      <c r="C46" s="58"/>
      <c r="D46" s="58"/>
      <c r="E46" s="58"/>
    </row>
    <row r="47" customFormat="false" ht="15" hidden="false" customHeight="false" outlineLevel="0" collapsed="false">
      <c r="A47" s="57"/>
      <c r="B47" s="59"/>
      <c r="C47" s="58"/>
      <c r="D47" s="58"/>
      <c r="E47" s="58"/>
    </row>
    <row r="48" customFormat="false" ht="15" hidden="false" customHeight="false" outlineLevel="0" collapsed="false">
      <c r="A48" s="57"/>
      <c r="B48" s="59"/>
      <c r="C48" s="58"/>
      <c r="D48" s="58"/>
      <c r="E48" s="58"/>
    </row>
    <row r="49" customFormat="false" ht="15" hidden="false" customHeight="false" outlineLevel="0" collapsed="false">
      <c r="A49" s="57"/>
      <c r="B49" s="59"/>
      <c r="C49" s="58"/>
      <c r="D49" s="58"/>
      <c r="E49" s="58"/>
    </row>
    <row r="50" customFormat="false" ht="12.75" hidden="false" customHeight="false" outlineLevel="0" collapsed="false">
      <c r="A50" s="48"/>
      <c r="B50" s="48"/>
      <c r="C50" s="48"/>
      <c r="D50" s="48"/>
      <c r="E50" s="48"/>
    </row>
    <row r="51" customFormat="false" ht="17.35" hidden="false" customHeight="false" outlineLevel="0" collapsed="false">
      <c r="A51" s="60" t="s">
        <v>785</v>
      </c>
      <c r="B51" s="48"/>
      <c r="C51" s="48"/>
      <c r="D51" s="48"/>
      <c r="E51" s="48"/>
    </row>
    <row r="52" customFormat="false" ht="17.35" hidden="false" customHeight="false" outlineLevel="0" collapsed="false">
      <c r="A52" s="48"/>
      <c r="B52" s="60" t="s">
        <v>786</v>
      </c>
      <c r="C52" s="48"/>
      <c r="D52" s="48"/>
      <c r="E52" s="48"/>
    </row>
    <row r="53" customFormat="false" ht="12.75" hidden="false" customHeight="false" outlineLevel="0" collapsed="false">
      <c r="A53" s="48"/>
      <c r="B53" s="48" t="s">
        <v>787</v>
      </c>
      <c r="C53" s="48"/>
      <c r="D53" s="48"/>
      <c r="E53" s="48"/>
    </row>
    <row r="54" customFormat="false" ht="12.75" hidden="false" customHeight="false" outlineLevel="0" collapsed="false">
      <c r="A54" s="48"/>
      <c r="B54" s="48"/>
      <c r="C54" s="48"/>
      <c r="D54" s="48"/>
      <c r="E54" s="48"/>
    </row>
    <row r="55" customFormat="false" ht="12.75" hidden="false" customHeight="false" outlineLevel="0" collapsed="false">
      <c r="A55" s="48"/>
      <c r="B55" s="48"/>
      <c r="C55" s="48"/>
      <c r="D55" s="48"/>
      <c r="E55" s="48"/>
    </row>
    <row r="56" customFormat="false" ht="15" hidden="false" customHeight="false" outlineLevel="0" collapsed="false">
      <c r="A56" s="52" t="s">
        <v>3</v>
      </c>
      <c r="B56" s="52" t="s">
        <v>4</v>
      </c>
      <c r="C56" s="17" t="s">
        <v>5</v>
      </c>
      <c r="D56" s="52" t="s">
        <v>6</v>
      </c>
      <c r="E56" s="17" t="s">
        <v>7</v>
      </c>
    </row>
    <row r="57" customFormat="false" ht="15" hidden="false" customHeight="false" outlineLevel="0" collapsed="false">
      <c r="A57" s="53" t="s">
        <v>8</v>
      </c>
      <c r="B57" s="54" t="s">
        <v>788</v>
      </c>
      <c r="C57" s="55" t="n">
        <v>0</v>
      </c>
      <c r="D57" s="55" t="n">
        <f aca="false">E57-C57</f>
        <v>616500</v>
      </c>
      <c r="E57" s="55" t="n">
        <v>616500</v>
      </c>
    </row>
    <row r="58" customFormat="false" ht="15" hidden="false" customHeight="false" outlineLevel="0" collapsed="false">
      <c r="A58" s="53" t="s">
        <v>10</v>
      </c>
      <c r="B58" s="54" t="s">
        <v>789</v>
      </c>
      <c r="C58" s="55" t="n">
        <v>0</v>
      </c>
      <c r="D58" s="55" t="n">
        <f aca="false">E58-C58</f>
        <v>616500</v>
      </c>
      <c r="E58" s="55" t="n">
        <v>616500</v>
      </c>
    </row>
    <row r="59" customFormat="false" ht="15" hidden="false" customHeight="false" outlineLevel="0" collapsed="false">
      <c r="A59" s="53" t="s">
        <v>12</v>
      </c>
      <c r="B59" s="54" t="s">
        <v>790</v>
      </c>
      <c r="C59" s="55" t="n">
        <v>1216500</v>
      </c>
      <c r="D59" s="55" t="n">
        <f aca="false">E59-C59</f>
        <v>0</v>
      </c>
      <c r="E59" s="55" t="n">
        <v>1216500</v>
      </c>
    </row>
    <row r="60" customFormat="false" ht="15" hidden="false" customHeight="false" outlineLevel="0" collapsed="false">
      <c r="A60" s="53" t="s">
        <v>14</v>
      </c>
      <c r="B60" s="54" t="s">
        <v>791</v>
      </c>
      <c r="C60" s="55" t="n">
        <v>0</v>
      </c>
      <c r="D60" s="55" t="n">
        <f aca="false">E60-C60</f>
        <v>616500</v>
      </c>
      <c r="E60" s="55" t="n">
        <v>616500</v>
      </c>
    </row>
    <row r="61" customFormat="false" ht="15" hidden="false" customHeight="false" outlineLevel="0" collapsed="false">
      <c r="A61" s="53" t="s">
        <v>16</v>
      </c>
      <c r="B61" s="56" t="s">
        <v>792</v>
      </c>
      <c r="C61" s="55" t="n">
        <v>300000</v>
      </c>
      <c r="D61" s="55" t="n">
        <f aca="false">E61-C61</f>
        <v>316500</v>
      </c>
      <c r="E61" s="55" t="n">
        <v>616500</v>
      </c>
    </row>
    <row r="62" customFormat="false" ht="15" hidden="false" customHeight="false" outlineLevel="0" collapsed="false">
      <c r="A62" s="53" t="s">
        <v>18</v>
      </c>
      <c r="B62" s="54" t="s">
        <v>793</v>
      </c>
      <c r="C62" s="55" t="n">
        <v>0</v>
      </c>
      <c r="D62" s="55" t="n">
        <f aca="false">E62-C62</f>
        <v>616500</v>
      </c>
      <c r="E62" s="55" t="n">
        <v>616500</v>
      </c>
    </row>
    <row r="63" customFormat="false" ht="15" hidden="false" customHeight="false" outlineLevel="0" collapsed="false">
      <c r="A63" s="53" t="s">
        <v>20</v>
      </c>
      <c r="B63" s="54" t="s">
        <v>794</v>
      </c>
      <c r="C63" s="55" t="n">
        <v>0</v>
      </c>
      <c r="D63" s="55" t="n">
        <f aca="false">E63-C63</f>
        <v>616500</v>
      </c>
      <c r="E63" s="55" t="n">
        <v>616500</v>
      </c>
    </row>
    <row r="64" customFormat="false" ht="15" hidden="false" customHeight="false" outlineLevel="0" collapsed="false">
      <c r="A64" s="53" t="s">
        <v>22</v>
      </c>
      <c r="B64" s="56" t="s">
        <v>795</v>
      </c>
      <c r="C64" s="55" t="n">
        <v>300000</v>
      </c>
      <c r="D64" s="55" t="n">
        <f aca="false">E64-C64</f>
        <v>316500</v>
      </c>
      <c r="E64" s="55" t="n">
        <v>616500</v>
      </c>
    </row>
    <row r="65" customFormat="false" ht="15" hidden="false" customHeight="false" outlineLevel="0" collapsed="false">
      <c r="A65" s="53" t="s">
        <v>24</v>
      </c>
      <c r="B65" s="54" t="s">
        <v>796</v>
      </c>
      <c r="C65" s="55" t="n">
        <v>316500</v>
      </c>
      <c r="D65" s="55" t="n">
        <f aca="false">E65-C65</f>
        <v>300000</v>
      </c>
      <c r="E65" s="55" t="n">
        <v>616500</v>
      </c>
    </row>
    <row r="66" customFormat="false" ht="15" hidden="false" customHeight="false" outlineLevel="0" collapsed="false">
      <c r="A66" s="53" t="s">
        <v>26</v>
      </c>
      <c r="B66" s="56" t="s">
        <v>797</v>
      </c>
      <c r="C66" s="55" t="n">
        <v>300000</v>
      </c>
      <c r="D66" s="55" t="n">
        <f aca="false">E66-C66</f>
        <v>316500</v>
      </c>
      <c r="E66" s="55" t="n">
        <v>616500</v>
      </c>
    </row>
    <row r="67" customFormat="false" ht="15" hidden="false" customHeight="false" outlineLevel="0" collapsed="false">
      <c r="A67" s="53" t="s">
        <v>28</v>
      </c>
      <c r="B67" s="54" t="s">
        <v>798</v>
      </c>
      <c r="C67" s="55" t="n">
        <v>0</v>
      </c>
      <c r="D67" s="55" t="n">
        <f aca="false">E67-C67</f>
        <v>616500</v>
      </c>
      <c r="E67" s="55" t="n">
        <v>616500</v>
      </c>
    </row>
    <row r="68" customFormat="false" ht="15" hidden="false" customHeight="false" outlineLevel="0" collapsed="false">
      <c r="A68" s="53" t="s">
        <v>30</v>
      </c>
      <c r="B68" s="54" t="s">
        <v>799</v>
      </c>
      <c r="C68" s="55" t="n">
        <v>0</v>
      </c>
      <c r="D68" s="55" t="n">
        <f aca="false">E68-C68</f>
        <v>616500</v>
      </c>
      <c r="E68" s="55" t="n">
        <v>616500</v>
      </c>
    </row>
    <row r="69" customFormat="false" ht="15" hidden="false" customHeight="false" outlineLevel="0" collapsed="false">
      <c r="A69" s="53" t="s">
        <v>32</v>
      </c>
      <c r="B69" s="56" t="s">
        <v>800</v>
      </c>
      <c r="C69" s="55" t="n">
        <v>300000</v>
      </c>
      <c r="D69" s="55" t="n">
        <f aca="false">E69-C69</f>
        <v>316500</v>
      </c>
      <c r="E69" s="55" t="n">
        <v>616500</v>
      </c>
    </row>
    <row r="70" customFormat="false" ht="15" hidden="false" customHeight="false" outlineLevel="0" collapsed="false">
      <c r="A70" s="53" t="s">
        <v>34</v>
      </c>
      <c r="B70" s="54" t="s">
        <v>801</v>
      </c>
      <c r="C70" s="55" t="n">
        <v>450000</v>
      </c>
      <c r="D70" s="55" t="n">
        <f aca="false">E70-C70</f>
        <v>16500</v>
      </c>
      <c r="E70" s="55" t="n">
        <v>466500</v>
      </c>
    </row>
    <row r="71" customFormat="false" ht="15" hidden="false" customHeight="false" outlineLevel="0" collapsed="false">
      <c r="A71" s="53" t="s">
        <v>36</v>
      </c>
      <c r="B71" s="54" t="s">
        <v>802</v>
      </c>
      <c r="C71" s="55" t="n">
        <v>300000</v>
      </c>
      <c r="D71" s="55" t="n">
        <f aca="false">E71-C71</f>
        <v>316500</v>
      </c>
      <c r="E71" s="55" t="n">
        <v>616500</v>
      </c>
    </row>
    <row r="72" customFormat="false" ht="15" hidden="false" customHeight="false" outlineLevel="0" collapsed="false">
      <c r="A72" s="53" t="s">
        <v>38</v>
      </c>
      <c r="B72" s="56" t="s">
        <v>803</v>
      </c>
      <c r="C72" s="55" t="n">
        <v>200000</v>
      </c>
      <c r="D72" s="55" t="n">
        <f aca="false">E72-C72</f>
        <v>416500</v>
      </c>
      <c r="E72" s="55" t="n">
        <v>616500</v>
      </c>
    </row>
    <row r="73" customFormat="false" ht="15" hidden="false" customHeight="false" outlineLevel="0" collapsed="false">
      <c r="A73" s="53" t="s">
        <v>40</v>
      </c>
      <c r="B73" s="54" t="s">
        <v>804</v>
      </c>
      <c r="C73" s="55" t="n">
        <v>1216500</v>
      </c>
      <c r="D73" s="55" t="n">
        <f aca="false">E73-C73</f>
        <v>0</v>
      </c>
      <c r="E73" s="55" t="n">
        <v>1216500</v>
      </c>
    </row>
    <row r="74" customFormat="false" ht="15" hidden="false" customHeight="false" outlineLevel="0" collapsed="false">
      <c r="A74" s="53" t="s">
        <v>42</v>
      </c>
      <c r="B74" s="54" t="s">
        <v>805</v>
      </c>
      <c r="C74" s="55" t="n">
        <v>0</v>
      </c>
      <c r="D74" s="55" t="n">
        <f aca="false">E74-C74</f>
        <v>616500</v>
      </c>
      <c r="E74" s="55" t="n">
        <v>616500</v>
      </c>
    </row>
    <row r="75" customFormat="false" ht="15" hidden="false" customHeight="false" outlineLevel="0" collapsed="false">
      <c r="A75" s="53" t="s">
        <v>44</v>
      </c>
      <c r="B75" s="56" t="s">
        <v>806</v>
      </c>
      <c r="C75" s="55" t="n">
        <v>150000</v>
      </c>
      <c r="D75" s="55" t="n">
        <f aca="false">E75-C75</f>
        <v>466500</v>
      </c>
      <c r="E75" s="55" t="n">
        <v>616500</v>
      </c>
    </row>
    <row r="76" customFormat="false" ht="15" hidden="false" customHeight="false" outlineLevel="0" collapsed="false">
      <c r="A76" s="52" t="s">
        <v>98</v>
      </c>
      <c r="B76" s="52"/>
      <c r="C76" s="17" t="n">
        <f aca="false">SUM(C57:C75)</f>
        <v>5049500</v>
      </c>
      <c r="D76" s="17" t="n">
        <f aca="false">SUM(D57:D75)</f>
        <v>7714000</v>
      </c>
      <c r="E76" s="17" t="n">
        <f aca="false">SUM(E57:E75)</f>
        <v>12763500</v>
      </c>
    </row>
    <row r="77" customFormat="false" ht="12.75" hidden="false" customHeight="false" outlineLevel="0" collapsed="false">
      <c r="A77" s="48"/>
      <c r="B77" s="48"/>
      <c r="C77" s="48"/>
      <c r="D77" s="48"/>
      <c r="E77" s="48"/>
    </row>
    <row r="78" customFormat="false" ht="12.75" hidden="false" customHeight="false" outlineLevel="0" collapsed="false">
      <c r="A78" s="48"/>
      <c r="B78" s="48"/>
      <c r="C78" s="48"/>
      <c r="D78" s="48"/>
      <c r="E78" s="48"/>
    </row>
    <row r="79" customFormat="false" ht="15" hidden="false" customHeight="false" outlineLevel="0" collapsed="false">
      <c r="A79" s="48"/>
      <c r="B79" s="59"/>
      <c r="C79" s="48"/>
      <c r="D79" s="48"/>
      <c r="E79" s="48"/>
    </row>
    <row r="80" customFormat="false" ht="12.75" hidden="false" customHeight="false" outlineLevel="0" collapsed="false">
      <c r="A80" s="48"/>
      <c r="B80" s="48"/>
      <c r="C80" s="48"/>
      <c r="D80" s="48"/>
      <c r="E80" s="48"/>
    </row>
    <row r="81" customFormat="false" ht="12.75" hidden="false" customHeight="false" outlineLevel="0" collapsed="false">
      <c r="A81" s="48"/>
      <c r="B81" s="48"/>
      <c r="C81" s="48"/>
      <c r="D81" s="48"/>
      <c r="E81" s="48"/>
    </row>
    <row r="82" customFormat="false" ht="12.75" hidden="false" customHeight="false" outlineLevel="0" collapsed="false">
      <c r="A82" s="48"/>
      <c r="B82" s="48"/>
      <c r="C82" s="48"/>
      <c r="D82" s="48"/>
      <c r="E82" s="48"/>
    </row>
    <row r="186" customFormat="false" ht="17.35" hidden="false" customHeight="false" outlineLevel="0" collapsed="false">
      <c r="A186" s="3" t="s">
        <v>785</v>
      </c>
    </row>
    <row r="187" customFormat="false" ht="17.35" hidden="false" customHeight="false" outlineLevel="0" collapsed="false">
      <c r="B187" s="3" t="s">
        <v>807</v>
      </c>
    </row>
    <row r="189" customFormat="false" ht="15" hidden="false" customHeight="false" outlineLevel="0" collapsed="false">
      <c r="A189" s="15" t="s">
        <v>3</v>
      </c>
      <c r="B189" s="15" t="s">
        <v>4</v>
      </c>
      <c r="C189" s="17" t="s">
        <v>5</v>
      </c>
      <c r="D189" s="15" t="s">
        <v>6</v>
      </c>
      <c r="E189" s="16" t="s">
        <v>7</v>
      </c>
    </row>
    <row r="190" customFormat="false" ht="15" hidden="false" customHeight="false" outlineLevel="0" collapsed="false">
      <c r="A190" s="11" t="s">
        <v>8</v>
      </c>
      <c r="B190" s="61" t="s">
        <v>788</v>
      </c>
      <c r="C190" s="13" t="n">
        <v>0</v>
      </c>
      <c r="D190" s="13" t="n">
        <f aca="false">E190-C190</f>
        <v>616500</v>
      </c>
      <c r="E190" s="13" t="n">
        <v>616500</v>
      </c>
    </row>
    <row r="191" customFormat="false" ht="15" hidden="false" customHeight="false" outlineLevel="0" collapsed="false">
      <c r="A191" s="11" t="s">
        <v>10</v>
      </c>
      <c r="B191" s="61" t="s">
        <v>789</v>
      </c>
      <c r="C191" s="13" t="n">
        <v>0</v>
      </c>
      <c r="D191" s="13" t="n">
        <f aca="false">E191-C191</f>
        <v>616500</v>
      </c>
      <c r="E191" s="13" t="n">
        <v>616500</v>
      </c>
    </row>
    <row r="192" customFormat="false" ht="15" hidden="false" customHeight="false" outlineLevel="0" collapsed="false">
      <c r="A192" s="11" t="s">
        <v>12</v>
      </c>
      <c r="B192" s="61" t="s">
        <v>790</v>
      </c>
      <c r="C192" s="13" t="n">
        <v>1216500</v>
      </c>
      <c r="D192" s="13" t="n">
        <f aca="false">E192-C192</f>
        <v>0</v>
      </c>
      <c r="E192" s="13" t="n">
        <v>1216500</v>
      </c>
    </row>
    <row r="193" customFormat="false" ht="15" hidden="false" customHeight="false" outlineLevel="0" collapsed="false">
      <c r="A193" s="11" t="s">
        <v>14</v>
      </c>
      <c r="B193" s="61" t="s">
        <v>791</v>
      </c>
      <c r="C193" s="13" t="n">
        <v>0</v>
      </c>
      <c r="D193" s="13" t="n">
        <f aca="false">E193-C193</f>
        <v>616500</v>
      </c>
      <c r="E193" s="13" t="n">
        <v>616500</v>
      </c>
    </row>
    <row r="194" customFormat="false" ht="15" hidden="false" customHeight="false" outlineLevel="0" collapsed="false">
      <c r="A194" s="11" t="s">
        <v>16</v>
      </c>
      <c r="B194" s="12" t="s">
        <v>792</v>
      </c>
      <c r="C194" s="13" t="n">
        <f aca="false">300000</f>
        <v>300000</v>
      </c>
      <c r="D194" s="13" t="n">
        <f aca="false">E194-C194</f>
        <v>316500</v>
      </c>
      <c r="E194" s="13" t="n">
        <v>616500</v>
      </c>
    </row>
    <row r="195" customFormat="false" ht="15" hidden="false" customHeight="false" outlineLevel="0" collapsed="false">
      <c r="A195" s="11" t="s">
        <v>18</v>
      </c>
      <c r="B195" s="61" t="s">
        <v>793</v>
      </c>
      <c r="C195" s="13" t="n">
        <v>0</v>
      </c>
      <c r="D195" s="13" t="n">
        <f aca="false">E195-C195</f>
        <v>616500</v>
      </c>
      <c r="E195" s="13" t="n">
        <v>616500</v>
      </c>
    </row>
    <row r="196" customFormat="false" ht="15" hidden="false" customHeight="false" outlineLevel="0" collapsed="false">
      <c r="A196" s="11" t="s">
        <v>20</v>
      </c>
      <c r="B196" s="61" t="s">
        <v>794</v>
      </c>
      <c r="C196" s="13" t="n">
        <v>0</v>
      </c>
      <c r="D196" s="13" t="n">
        <f aca="false">E196-C196</f>
        <v>616500</v>
      </c>
      <c r="E196" s="13" t="n">
        <v>616500</v>
      </c>
    </row>
    <row r="197" customFormat="false" ht="15" hidden="false" customHeight="false" outlineLevel="0" collapsed="false">
      <c r="A197" s="11" t="s">
        <v>22</v>
      </c>
      <c r="B197" s="12" t="s">
        <v>795</v>
      </c>
      <c r="C197" s="13" t="n">
        <v>0</v>
      </c>
      <c r="D197" s="13" t="n">
        <f aca="false">E197-C197</f>
        <v>616500</v>
      </c>
      <c r="E197" s="13" t="n">
        <v>616500</v>
      </c>
    </row>
    <row r="198" customFormat="false" ht="15" hidden="false" customHeight="false" outlineLevel="0" collapsed="false">
      <c r="A198" s="11" t="s">
        <v>24</v>
      </c>
      <c r="B198" s="61" t="s">
        <v>796</v>
      </c>
      <c r="C198" s="13" t="n">
        <v>316500</v>
      </c>
      <c r="D198" s="13" t="n">
        <f aca="false">E198-C198</f>
        <v>300000</v>
      </c>
      <c r="E198" s="13" t="n">
        <v>616500</v>
      </c>
    </row>
    <row r="199" customFormat="false" ht="15" hidden="false" customHeight="false" outlineLevel="0" collapsed="false">
      <c r="A199" s="11" t="s">
        <v>26</v>
      </c>
      <c r="B199" s="12" t="s">
        <v>797</v>
      </c>
      <c r="C199" s="13" t="n">
        <f aca="false">300000</f>
        <v>300000</v>
      </c>
      <c r="D199" s="13" t="n">
        <f aca="false">E199-C199</f>
        <v>316500</v>
      </c>
      <c r="E199" s="13" t="n">
        <v>616500</v>
      </c>
    </row>
    <row r="200" customFormat="false" ht="15" hidden="false" customHeight="false" outlineLevel="0" collapsed="false">
      <c r="A200" s="11" t="s">
        <v>28</v>
      </c>
      <c r="B200" s="61" t="s">
        <v>798</v>
      </c>
      <c r="C200" s="13" t="n">
        <v>0</v>
      </c>
      <c r="D200" s="13" t="n">
        <f aca="false">E200-C200</f>
        <v>616500</v>
      </c>
      <c r="E200" s="13" t="n">
        <v>616500</v>
      </c>
    </row>
    <row r="201" customFormat="false" ht="15" hidden="false" customHeight="false" outlineLevel="0" collapsed="false">
      <c r="A201" s="11" t="s">
        <v>30</v>
      </c>
      <c r="B201" s="61" t="s">
        <v>799</v>
      </c>
      <c r="C201" s="13" t="n">
        <v>0</v>
      </c>
      <c r="D201" s="13" t="n">
        <f aca="false">E201-C201</f>
        <v>616500</v>
      </c>
      <c r="E201" s="13" t="n">
        <v>616500</v>
      </c>
    </row>
    <row r="202" customFormat="false" ht="15" hidden="false" customHeight="false" outlineLevel="0" collapsed="false">
      <c r="A202" s="11" t="s">
        <v>32</v>
      </c>
      <c r="B202" s="12" t="s">
        <v>800</v>
      </c>
      <c r="C202" s="13" t="n">
        <f aca="false">300000</f>
        <v>300000</v>
      </c>
      <c r="D202" s="13" t="n">
        <f aca="false">E202-C202</f>
        <v>316500</v>
      </c>
      <c r="E202" s="13" t="n">
        <v>616500</v>
      </c>
    </row>
    <row r="203" customFormat="false" ht="15" hidden="false" customHeight="false" outlineLevel="0" collapsed="false">
      <c r="A203" s="11" t="s">
        <v>34</v>
      </c>
      <c r="B203" s="61" t="s">
        <v>801</v>
      </c>
      <c r="C203" s="13" t="n">
        <f aca="false">450000</f>
        <v>450000</v>
      </c>
      <c r="D203" s="13" t="n">
        <f aca="false">E203-C203</f>
        <v>16500</v>
      </c>
      <c r="E203" s="13" t="n">
        <v>466500</v>
      </c>
    </row>
    <row r="204" customFormat="false" ht="15" hidden="false" customHeight="false" outlineLevel="0" collapsed="false">
      <c r="A204" s="11" t="s">
        <v>36</v>
      </c>
      <c r="B204" s="61" t="s">
        <v>802</v>
      </c>
      <c r="C204" s="13" t="n">
        <f aca="false">300000</f>
        <v>300000</v>
      </c>
      <c r="D204" s="13" t="n">
        <f aca="false">E204-C204</f>
        <v>316500</v>
      </c>
      <c r="E204" s="13" t="n">
        <v>616500</v>
      </c>
    </row>
    <row r="205" customFormat="false" ht="15" hidden="false" customHeight="false" outlineLevel="0" collapsed="false">
      <c r="A205" s="11" t="s">
        <v>38</v>
      </c>
      <c r="B205" s="12" t="s">
        <v>803</v>
      </c>
      <c r="C205" s="13" t="n">
        <v>0</v>
      </c>
      <c r="D205" s="13" t="n">
        <f aca="false">E205-C205</f>
        <v>616500</v>
      </c>
      <c r="E205" s="13" t="n">
        <v>616500</v>
      </c>
    </row>
    <row r="206" customFormat="false" ht="15" hidden="false" customHeight="false" outlineLevel="0" collapsed="false">
      <c r="A206" s="11" t="s">
        <v>40</v>
      </c>
      <c r="B206" s="61" t="s">
        <v>804</v>
      </c>
      <c r="C206" s="13" t="n">
        <v>1216500</v>
      </c>
      <c r="D206" s="13" t="n">
        <f aca="false">E206-C206</f>
        <v>0</v>
      </c>
      <c r="E206" s="13" t="n">
        <v>1216500</v>
      </c>
    </row>
    <row r="207" customFormat="false" ht="15" hidden="false" customHeight="false" outlineLevel="0" collapsed="false">
      <c r="A207" s="11" t="s">
        <v>42</v>
      </c>
      <c r="B207" s="61" t="s">
        <v>805</v>
      </c>
      <c r="C207" s="13" t="n">
        <v>0</v>
      </c>
      <c r="D207" s="13" t="n">
        <f aca="false">E207-C207</f>
        <v>616500</v>
      </c>
      <c r="E207" s="13" t="n">
        <v>616500</v>
      </c>
    </row>
    <row r="208" customFormat="false" ht="15" hidden="false" customHeight="false" outlineLevel="0" collapsed="false">
      <c r="A208" s="11" t="s">
        <v>44</v>
      </c>
      <c r="B208" s="12" t="s">
        <v>806</v>
      </c>
      <c r="C208" s="13" t="n">
        <v>0</v>
      </c>
      <c r="D208" s="13" t="n">
        <f aca="false">E208-C208</f>
        <v>616500</v>
      </c>
      <c r="E208" s="13" t="n">
        <v>616500</v>
      </c>
    </row>
    <row r="209" customFormat="false" ht="15" hidden="false" customHeight="false" outlineLevel="0" collapsed="false">
      <c r="A209" s="15" t="s">
        <v>98</v>
      </c>
      <c r="B209" s="15"/>
      <c r="C209" s="16" t="n">
        <f aca="false">SUM(C190:C208)</f>
        <v>4399500</v>
      </c>
      <c r="D209" s="16" t="n">
        <f aca="false">SUM(D190:D208)</f>
        <v>8364000</v>
      </c>
      <c r="E209" s="16" t="n">
        <f aca="false">SUM(E190:E208)</f>
        <v>12763500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25:B25"/>
    <mergeCell ref="A76:B76"/>
    <mergeCell ref="A209:B209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29.28"/>
    <col collapsed="false" customWidth="true" hidden="false" outlineLevel="0" max="3" min="3" style="1" width="9.14"/>
    <col collapsed="false" customWidth="true" hidden="false" outlineLevel="0" max="4" min="4" style="1" width="10.99"/>
    <col collapsed="false" customWidth="true" hidden="false" outlineLevel="0" max="6" min="6" style="1" width="12.28"/>
    <col collapsed="false" customWidth="true" hidden="false" outlineLevel="0" max="7" min="7" style="1" width="24.99"/>
  </cols>
  <sheetData>
    <row r="1" customFormat="false" ht="12.75" hidden="false" customHeight="false" outlineLevel="0" collapsed="false">
      <c r="B1" s="1" t="s">
        <v>808</v>
      </c>
    </row>
    <row r="3" customFormat="false" ht="19.7" hidden="false" customHeight="false" outlineLevel="0" collapsed="false">
      <c r="B3" s="62" t="s">
        <v>809</v>
      </c>
    </row>
    <row r="6" customFormat="false" ht="52.95" hidden="false" customHeight="false" outlineLevel="0" collapsed="false">
      <c r="A6" s="63" t="s">
        <v>810</v>
      </c>
      <c r="B6" s="64" t="s">
        <v>811</v>
      </c>
      <c r="C6" s="63" t="s">
        <v>812</v>
      </c>
      <c r="D6" s="65" t="s">
        <v>813</v>
      </c>
      <c r="E6" s="66" t="s">
        <v>814</v>
      </c>
      <c r="F6" s="67" t="s">
        <v>815</v>
      </c>
      <c r="G6" s="63" t="s">
        <v>816</v>
      </c>
    </row>
    <row r="7" customFormat="false" ht="12.75" hidden="false" customHeight="false" outlineLevel="0" collapsed="false">
      <c r="A7" s="68" t="n">
        <v>1</v>
      </c>
      <c r="B7" s="68" t="s">
        <v>817</v>
      </c>
      <c r="C7" s="69" t="s">
        <v>818</v>
      </c>
      <c r="D7" s="70" t="n">
        <v>265200</v>
      </c>
      <c r="E7" s="70" t="n">
        <v>92800</v>
      </c>
      <c r="F7" s="68" t="s">
        <v>819</v>
      </c>
      <c r="G7" s="68" t="s">
        <v>820</v>
      </c>
    </row>
    <row r="8" customFormat="false" ht="12.75" hidden="false" customHeight="false" outlineLevel="0" collapsed="false">
      <c r="A8" s="30" t="n">
        <v>2</v>
      </c>
      <c r="B8" s="30" t="s">
        <v>821</v>
      </c>
      <c r="C8" s="71" t="s">
        <v>822</v>
      </c>
      <c r="D8" s="72" t="n">
        <v>175000</v>
      </c>
      <c r="E8" s="72" t="n">
        <v>0</v>
      </c>
      <c r="F8" s="30" t="s">
        <v>823</v>
      </c>
      <c r="G8" s="30" t="s">
        <v>824</v>
      </c>
    </row>
    <row r="9" customFormat="false" ht="12.75" hidden="false" customHeight="false" outlineLevel="0" collapsed="false">
      <c r="A9" s="30" t="n">
        <v>3</v>
      </c>
      <c r="B9" s="30" t="s">
        <v>825</v>
      </c>
      <c r="C9" s="71"/>
      <c r="D9" s="72" t="n">
        <v>191500</v>
      </c>
      <c r="E9" s="72" t="n">
        <v>0</v>
      </c>
      <c r="F9" s="30" t="s">
        <v>826</v>
      </c>
      <c r="G9" s="30" t="s">
        <v>827</v>
      </c>
    </row>
    <row r="10" customFormat="false" ht="12.75" hidden="false" customHeight="false" outlineLevel="0" collapsed="false">
      <c r="A10" s="30" t="n">
        <v>4</v>
      </c>
      <c r="B10" s="30" t="s">
        <v>828</v>
      </c>
      <c r="C10" s="71"/>
      <c r="D10" s="72" t="n">
        <v>15000</v>
      </c>
      <c r="E10" s="72" t="n">
        <v>0</v>
      </c>
      <c r="F10" s="30" t="s">
        <v>829</v>
      </c>
      <c r="G10" s="30" t="s">
        <v>830</v>
      </c>
    </row>
    <row r="11" customFormat="false" ht="12.75" hidden="false" customHeight="false" outlineLevel="0" collapsed="false">
      <c r="A11" s="30" t="n">
        <v>5</v>
      </c>
      <c r="B11" s="30" t="s">
        <v>831</v>
      </c>
      <c r="C11" s="71" t="s">
        <v>818</v>
      </c>
      <c r="D11" s="72" t="n">
        <v>53000</v>
      </c>
      <c r="E11" s="72" t="n">
        <v>0</v>
      </c>
      <c r="F11" s="73" t="s">
        <v>832</v>
      </c>
      <c r="G11" s="30" t="s">
        <v>830</v>
      </c>
    </row>
    <row r="12" customFormat="false" ht="12.75" hidden="false" customHeight="false" outlineLevel="0" collapsed="false">
      <c r="A12" s="30" t="n">
        <v>6</v>
      </c>
      <c r="B12" s="30" t="s">
        <v>833</v>
      </c>
      <c r="C12" s="71" t="s">
        <v>834</v>
      </c>
      <c r="D12" s="72" t="n">
        <v>171500</v>
      </c>
      <c r="E12" s="72" t="n">
        <v>0</v>
      </c>
      <c r="F12" s="30" t="s">
        <v>835</v>
      </c>
      <c r="G12" s="30" t="s">
        <v>824</v>
      </c>
    </row>
    <row r="13" customFormat="false" ht="12.75" hidden="false" customHeight="false" outlineLevel="0" collapsed="false">
      <c r="A13" s="30" t="n">
        <v>7</v>
      </c>
      <c r="B13" s="30" t="s">
        <v>836</v>
      </c>
      <c r="C13" s="71" t="s">
        <v>837</v>
      </c>
      <c r="D13" s="72" t="n">
        <v>90000</v>
      </c>
      <c r="E13" s="72" t="n">
        <v>26500</v>
      </c>
      <c r="F13" s="30" t="s">
        <v>838</v>
      </c>
      <c r="G13" s="30" t="s">
        <v>830</v>
      </c>
    </row>
    <row r="14" customFormat="false" ht="12.75" hidden="false" customHeight="false" outlineLevel="0" collapsed="false">
      <c r="A14" s="30" t="n">
        <v>8</v>
      </c>
      <c r="B14" s="30" t="s">
        <v>839</v>
      </c>
      <c r="C14" s="71" t="s">
        <v>840</v>
      </c>
      <c r="D14" s="72" t="n">
        <v>22500</v>
      </c>
      <c r="E14" s="72" t="n">
        <v>0</v>
      </c>
      <c r="F14" s="30" t="s">
        <v>841</v>
      </c>
      <c r="G14" s="30" t="s">
        <v>830</v>
      </c>
    </row>
    <row r="15" customFormat="false" ht="12.75" hidden="false" customHeight="false" outlineLevel="0" collapsed="false">
      <c r="A15" s="30" t="n">
        <v>9</v>
      </c>
      <c r="B15" s="30" t="s">
        <v>842</v>
      </c>
      <c r="C15" s="71" t="s">
        <v>843</v>
      </c>
      <c r="D15" s="72" t="n">
        <v>16500</v>
      </c>
      <c r="E15" s="72" t="n">
        <v>0</v>
      </c>
      <c r="F15" s="30" t="s">
        <v>844</v>
      </c>
      <c r="G15" s="30" t="s">
        <v>830</v>
      </c>
    </row>
    <row r="16" customFormat="false" ht="12.75" hidden="false" customHeight="false" outlineLevel="0" collapsed="false">
      <c r="A16" s="30" t="n">
        <v>10</v>
      </c>
      <c r="B16" s="30" t="s">
        <v>845</v>
      </c>
      <c r="C16" s="71" t="s">
        <v>834</v>
      </c>
      <c r="D16" s="72" t="n">
        <v>45000</v>
      </c>
      <c r="E16" s="72" t="n">
        <v>0</v>
      </c>
      <c r="F16" s="30" t="s">
        <v>846</v>
      </c>
      <c r="G16" s="30" t="s">
        <v>827</v>
      </c>
    </row>
    <row r="17" customFormat="false" ht="12.75" hidden="false" customHeight="false" outlineLevel="0" collapsed="false">
      <c r="A17" s="30" t="n">
        <v>11</v>
      </c>
      <c r="B17" s="30" t="s">
        <v>847</v>
      </c>
      <c r="C17" s="71" t="s">
        <v>848</v>
      </c>
      <c r="D17" s="72" t="n">
        <v>125000</v>
      </c>
      <c r="E17" s="72" t="n">
        <v>76500</v>
      </c>
      <c r="F17" s="30" t="s">
        <v>849</v>
      </c>
      <c r="G17" s="30" t="s">
        <v>830</v>
      </c>
    </row>
    <row r="18" customFormat="false" ht="12.75" hidden="false" customHeight="false" outlineLevel="0" collapsed="false">
      <c r="A18" s="30" t="n">
        <v>12</v>
      </c>
      <c r="B18" s="30" t="s">
        <v>850</v>
      </c>
      <c r="C18" s="71" t="s">
        <v>851</v>
      </c>
      <c r="D18" s="72" t="n">
        <v>16500</v>
      </c>
      <c r="E18" s="72" t="n">
        <v>0</v>
      </c>
      <c r="F18" s="30" t="s">
        <v>852</v>
      </c>
      <c r="G18" s="30" t="s">
        <v>830</v>
      </c>
    </row>
    <row r="19" customFormat="false" ht="12.75" hidden="false" customHeight="false" outlineLevel="0" collapsed="false">
      <c r="A19" s="30" t="n">
        <v>13</v>
      </c>
      <c r="B19" s="30" t="s">
        <v>471</v>
      </c>
      <c r="C19" s="71" t="s">
        <v>851</v>
      </c>
      <c r="D19" s="72" t="n">
        <v>166500</v>
      </c>
      <c r="E19" s="72" t="n">
        <v>0</v>
      </c>
      <c r="F19" s="30" t="s">
        <v>853</v>
      </c>
      <c r="G19" s="30" t="s">
        <v>830</v>
      </c>
    </row>
    <row r="20" customFormat="false" ht="12.75" hidden="false" customHeight="false" outlineLevel="0" collapsed="false">
      <c r="A20" s="30" t="n">
        <v>14</v>
      </c>
      <c r="B20" s="30" t="s">
        <v>854</v>
      </c>
      <c r="C20" s="71" t="s">
        <v>840</v>
      </c>
      <c r="D20" s="72" t="n">
        <v>500</v>
      </c>
      <c r="E20" s="72" t="n">
        <v>0</v>
      </c>
      <c r="F20" s="30" t="s">
        <v>841</v>
      </c>
      <c r="G20" s="30" t="s">
        <v>830</v>
      </c>
    </row>
    <row r="21" customFormat="false" ht="12.75" hidden="false" customHeight="false" outlineLevel="0" collapsed="false">
      <c r="A21" s="30" t="n">
        <v>15</v>
      </c>
      <c r="B21" s="30" t="s">
        <v>397</v>
      </c>
      <c r="C21" s="71" t="s">
        <v>848</v>
      </c>
      <c r="D21" s="72" t="n">
        <v>5000</v>
      </c>
      <c r="E21" s="72" t="n">
        <v>0</v>
      </c>
      <c r="F21" s="30" t="s">
        <v>849</v>
      </c>
      <c r="G21" s="30" t="s">
        <v>830</v>
      </c>
    </row>
    <row r="22" customFormat="false" ht="12.75" hidden="false" customHeight="false" outlineLevel="0" collapsed="false">
      <c r="A22" s="30" t="n">
        <v>16</v>
      </c>
      <c r="B22" s="30" t="s">
        <v>855</v>
      </c>
      <c r="C22" s="71" t="s">
        <v>848</v>
      </c>
      <c r="D22" s="72" t="n">
        <f aca="false">31000+20000+25000</f>
        <v>76000</v>
      </c>
      <c r="E22" s="72" t="n">
        <v>500</v>
      </c>
      <c r="F22" s="30" t="s">
        <v>849</v>
      </c>
      <c r="G22" s="30" t="s">
        <v>830</v>
      </c>
    </row>
    <row r="23" customFormat="false" ht="12.75" hidden="false" customHeight="false" outlineLevel="0" collapsed="false">
      <c r="A23" s="30" t="n">
        <v>17</v>
      </c>
      <c r="B23" s="30" t="s">
        <v>551</v>
      </c>
      <c r="C23" s="71" t="s">
        <v>856</v>
      </c>
      <c r="D23" s="72" t="n">
        <v>280000</v>
      </c>
      <c r="E23" s="72" t="n">
        <v>0</v>
      </c>
      <c r="F23" s="30" t="s">
        <v>857</v>
      </c>
      <c r="G23" s="30" t="s">
        <v>830</v>
      </c>
    </row>
    <row r="24" customFormat="false" ht="12.75" hidden="false" customHeight="false" outlineLevel="0" collapsed="false">
      <c r="A24" s="30" t="n">
        <v>18</v>
      </c>
      <c r="B24" s="30" t="s">
        <v>858</v>
      </c>
      <c r="C24" s="30" t="s">
        <v>859</v>
      </c>
      <c r="D24" s="72" t="n">
        <v>16500</v>
      </c>
      <c r="E24" s="72" t="n">
        <v>0</v>
      </c>
      <c r="F24" s="30" t="s">
        <v>860</v>
      </c>
      <c r="G24" s="30" t="s">
        <v>830</v>
      </c>
    </row>
    <row r="25" customFormat="false" ht="12.75" hidden="false" customHeight="false" outlineLevel="0" collapsed="false">
      <c r="A25" s="30" t="n">
        <v>19</v>
      </c>
      <c r="B25" s="30" t="s">
        <v>468</v>
      </c>
      <c r="C25" s="71" t="s">
        <v>861</v>
      </c>
      <c r="D25" s="72" t="n">
        <v>316500</v>
      </c>
      <c r="E25" s="72" t="n">
        <v>0</v>
      </c>
      <c r="F25" s="71" t="s">
        <v>837</v>
      </c>
      <c r="G25" s="30" t="s">
        <v>830</v>
      </c>
    </row>
    <row r="26" customFormat="false" ht="12.75" hidden="false" customHeight="false" outlineLevel="0" collapsed="false">
      <c r="A26" s="30"/>
      <c r="B26" s="30"/>
      <c r="C26" s="30"/>
      <c r="D26" s="72"/>
      <c r="E26" s="72"/>
      <c r="F26" s="30"/>
      <c r="G26" s="30"/>
    </row>
    <row r="27" customFormat="false" ht="12.75" hidden="false" customHeight="false" outlineLevel="0" collapsed="false">
      <c r="A27" s="30"/>
      <c r="B27" s="30"/>
      <c r="C27" s="30"/>
      <c r="D27" s="72"/>
      <c r="E27" s="72"/>
      <c r="F27" s="30"/>
      <c r="G27" s="30"/>
    </row>
    <row r="28" customFormat="false" ht="12.75" hidden="false" customHeight="false" outlineLevel="0" collapsed="false">
      <c r="A28" s="30"/>
      <c r="B28" s="30"/>
      <c r="C28" s="30"/>
      <c r="D28" s="72"/>
      <c r="E28" s="72"/>
      <c r="F28" s="30"/>
      <c r="G28" s="30"/>
    </row>
    <row r="29" customFormat="false" ht="12.75" hidden="false" customHeight="false" outlineLevel="0" collapsed="false">
      <c r="A29" s="30"/>
      <c r="B29" s="30"/>
      <c r="C29" s="30"/>
      <c r="D29" s="72"/>
      <c r="E29" s="72"/>
      <c r="F29" s="30"/>
      <c r="G29" s="30"/>
    </row>
    <row r="30" customFormat="false" ht="12.75" hidden="false" customHeight="false" outlineLevel="0" collapsed="false">
      <c r="A30" s="30"/>
      <c r="B30" s="30"/>
      <c r="C30" s="30"/>
      <c r="D30" s="72" t="n">
        <f aca="false">SUM(D7:D29)</f>
        <v>2047700</v>
      </c>
      <c r="E30" s="72" t="n">
        <f aca="false">SUM(E7:E29)</f>
        <v>196300</v>
      </c>
      <c r="F30" s="30"/>
      <c r="G30" s="30"/>
    </row>
    <row r="31" customFormat="false" ht="12.75" hidden="false" customHeight="false" outlineLevel="0" collapsed="false">
      <c r="D31" s="74"/>
      <c r="E31" s="74"/>
    </row>
    <row r="32" customFormat="false" ht="12.75" hidden="false" customHeight="false" outlineLevel="0" collapsed="false">
      <c r="D32" s="74"/>
      <c r="E32" s="74"/>
    </row>
    <row r="33" customFormat="false" ht="12.75" hidden="false" customHeight="false" outlineLevel="0" collapsed="false">
      <c r="D33" s="74"/>
      <c r="E33" s="74"/>
    </row>
    <row r="34" customFormat="false" ht="12.75" hidden="false" customHeight="false" outlineLevel="0" collapsed="false">
      <c r="D34" s="74"/>
      <c r="E34" s="74"/>
    </row>
    <row r="35" customFormat="false" ht="12.75" hidden="false" customHeight="false" outlineLevel="0" collapsed="false">
      <c r="D35" s="74"/>
      <c r="E35" s="74"/>
    </row>
  </sheetData>
  <printOptions headings="false" gridLines="false" gridLinesSet="true" horizontalCentered="false" verticalCentered="false"/>
  <pageMargins left="0.159722222222222" right="0.170138888888889" top="0.479861111111111" bottom="0.6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66" activeCellId="0" sqref="D6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22.15"/>
    <col collapsed="false" customWidth="true" hidden="false" outlineLevel="0" max="3" min="3" style="1" width="22.99"/>
    <col collapsed="false" customWidth="true" hidden="false" outlineLevel="0" max="4" min="4" style="1" width="17.7"/>
    <col collapsed="false" customWidth="true" hidden="false" outlineLevel="0" max="5" min="5" style="1" width="16.12"/>
    <col collapsed="false" customWidth="true" hidden="false" outlineLevel="0" max="6" min="6" style="1" width="11.99"/>
  </cols>
  <sheetData>
    <row r="1" customFormat="false" ht="7.5" hidden="false" customHeight="true" outlineLevel="0" collapsed="false"/>
    <row r="2" customFormat="false" ht="15.65" hidden="false" customHeight="false" outlineLevel="0" collapsed="false">
      <c r="A2" s="75" t="s">
        <v>862</v>
      </c>
      <c r="B2" s="76"/>
      <c r="C2" s="76"/>
      <c r="D2" s="76"/>
      <c r="E2" s="76"/>
      <c r="F2" s="76"/>
      <c r="G2" s="76"/>
      <c r="H2" s="76"/>
    </row>
    <row r="3" customFormat="false" ht="9" hidden="false" customHeight="true" outlineLevel="0" collapsed="false"/>
    <row r="4" customFormat="false" ht="24.75" hidden="false" customHeight="true" outlineLevel="0" collapsed="false">
      <c r="A4" s="77" t="s">
        <v>863</v>
      </c>
      <c r="B4" s="78" t="s">
        <v>864</v>
      </c>
      <c r="C4" s="79" t="s">
        <v>865</v>
      </c>
      <c r="D4" s="78" t="s">
        <v>866</v>
      </c>
      <c r="E4" s="78" t="s">
        <v>867</v>
      </c>
      <c r="F4" s="80" t="s">
        <v>868</v>
      </c>
    </row>
    <row r="5" customFormat="false" ht="5.1" hidden="false" customHeight="true" outlineLevel="0" collapsed="false">
      <c r="A5" s="81"/>
      <c r="B5" s="82"/>
      <c r="C5" s="82"/>
      <c r="D5" s="82"/>
      <c r="E5" s="82"/>
      <c r="F5" s="83"/>
    </row>
    <row r="6" customFormat="false" ht="14.1" hidden="false" customHeight="true" outlineLevel="0" collapsed="false">
      <c r="A6" s="84" t="s">
        <v>869</v>
      </c>
      <c r="B6" s="85" t="s">
        <v>870</v>
      </c>
      <c r="C6" s="86"/>
      <c r="D6" s="86"/>
      <c r="E6" s="86"/>
      <c r="F6" s="87"/>
    </row>
    <row r="7" customFormat="false" ht="20.1" hidden="false" customHeight="true" outlineLevel="0" collapsed="false">
      <c r="A7" s="88" t="n">
        <v>43</v>
      </c>
      <c r="B7" s="71" t="s">
        <v>871</v>
      </c>
      <c r="C7" s="72" t="n">
        <f aca="false">366500*A7</f>
        <v>15759500</v>
      </c>
      <c r="D7" s="72" t="n">
        <f aca="false">PremAn!C50</f>
        <v>15089100</v>
      </c>
      <c r="E7" s="72" t="n">
        <f aca="false">C7-D7</f>
        <v>670400</v>
      </c>
      <c r="F7" s="89"/>
    </row>
    <row r="8" customFormat="false" ht="20.1" hidden="false" customHeight="true" outlineLevel="0" collapsed="false">
      <c r="A8" s="88" t="n">
        <v>35</v>
      </c>
      <c r="B8" s="71" t="s">
        <v>872</v>
      </c>
      <c r="C8" s="72" t="n">
        <f aca="false">366500*A8</f>
        <v>12827500</v>
      </c>
      <c r="D8" s="72" t="n">
        <f aca="false">DeuxAn!C39</f>
        <v>11516000</v>
      </c>
      <c r="E8" s="72" t="n">
        <f aca="false">C8-D8</f>
        <v>1311500</v>
      </c>
      <c r="F8" s="89"/>
    </row>
    <row r="9" customFormat="false" ht="20.1" hidden="false" customHeight="true" outlineLevel="0" collapsed="false">
      <c r="A9" s="88" t="n">
        <v>34</v>
      </c>
      <c r="B9" s="71" t="s">
        <v>873</v>
      </c>
      <c r="C9" s="72" t="n">
        <f aca="false">366500*A9</f>
        <v>12461000</v>
      </c>
      <c r="D9" s="72" t="n">
        <f aca="false">TroisAn!C45</f>
        <v>10506000</v>
      </c>
      <c r="E9" s="72" t="n">
        <f aca="false">C9-D9</f>
        <v>1955000</v>
      </c>
      <c r="F9" s="89"/>
    </row>
    <row r="10" customFormat="false" ht="20.1" hidden="false" customHeight="true" outlineLevel="0" collapsed="false">
      <c r="A10" s="90" t="n">
        <v>17</v>
      </c>
      <c r="B10" s="71" t="s">
        <v>874</v>
      </c>
      <c r="C10" s="72" t="n">
        <f aca="false">366500*A10</f>
        <v>6230500</v>
      </c>
      <c r="D10" s="72" t="n">
        <f aca="false">QuatrAn!C32</f>
        <v>5542500</v>
      </c>
      <c r="E10" s="72" t="n">
        <f aca="false">C10-D10</f>
        <v>688000</v>
      </c>
      <c r="F10" s="89"/>
    </row>
    <row r="11" customFormat="false" ht="15" hidden="false" customHeight="false" outlineLevel="0" collapsed="false">
      <c r="A11" s="91" t="n">
        <f aca="false">SUM(A7:A10)</f>
        <v>129</v>
      </c>
      <c r="B11" s="15" t="s">
        <v>875</v>
      </c>
      <c r="C11" s="92" t="n">
        <f aca="false">SUM(C7:C10)</f>
        <v>47278500</v>
      </c>
      <c r="D11" s="92" t="n">
        <f aca="false">SUM(D7:D10)</f>
        <v>42653600</v>
      </c>
      <c r="E11" s="92" t="n">
        <f aca="false">SUM(E7:E10)</f>
        <v>4624900</v>
      </c>
      <c r="F11" s="93"/>
    </row>
    <row r="12" customFormat="false" ht="5.1" hidden="false" customHeight="true" outlineLevel="0" collapsed="false">
      <c r="A12" s="94"/>
      <c r="B12" s="19"/>
      <c r="C12" s="95"/>
      <c r="D12" s="95"/>
      <c r="E12" s="95"/>
      <c r="F12" s="96"/>
    </row>
    <row r="13" customFormat="false" ht="14.1" hidden="false" customHeight="true" outlineLevel="0" collapsed="false">
      <c r="A13" s="97" t="s">
        <v>876</v>
      </c>
      <c r="B13" s="85" t="s">
        <v>877</v>
      </c>
      <c r="C13" s="98"/>
      <c r="D13" s="98"/>
      <c r="E13" s="98"/>
      <c r="F13" s="99"/>
    </row>
    <row r="14" customFormat="false" ht="20.1" hidden="false" customHeight="true" outlineLevel="0" collapsed="false">
      <c r="A14" s="88" t="n">
        <v>35</v>
      </c>
      <c r="B14" s="71" t="s">
        <v>878</v>
      </c>
      <c r="C14" s="100" t="n">
        <f aca="false">366500*A14</f>
        <v>12827500</v>
      </c>
      <c r="D14" s="100" t="n">
        <f aca="false">BtsGc!C38</f>
        <v>12198000</v>
      </c>
      <c r="E14" s="100" t="n">
        <f aca="false">C14-D14</f>
        <v>629500</v>
      </c>
      <c r="F14" s="89"/>
    </row>
    <row r="15" customFormat="false" ht="20.1" hidden="false" customHeight="true" outlineLevel="0" collapsed="false">
      <c r="A15" s="88" t="n">
        <v>27</v>
      </c>
      <c r="B15" s="71" t="s">
        <v>879</v>
      </c>
      <c r="C15" s="100" t="n">
        <f aca="false">366500*A15</f>
        <v>9895500</v>
      </c>
      <c r="D15" s="100" t="n">
        <f aca="false">BtsGc!C85</f>
        <v>8896500</v>
      </c>
      <c r="E15" s="100" t="n">
        <f aca="false">C15-D15</f>
        <v>999000</v>
      </c>
      <c r="F15" s="89"/>
    </row>
    <row r="16" customFormat="false" ht="20.1" hidden="false" customHeight="true" outlineLevel="0" collapsed="false">
      <c r="A16" s="90" t="n">
        <v>26</v>
      </c>
      <c r="B16" s="71" t="s">
        <v>880</v>
      </c>
      <c r="C16" s="100" t="n">
        <f aca="false">191500*A16</f>
        <v>4979000</v>
      </c>
      <c r="D16" s="100" t="n">
        <f aca="false">BtsGc!C140</f>
        <v>2883000</v>
      </c>
      <c r="E16" s="100" t="n">
        <f aca="false">C16-D16</f>
        <v>2096000</v>
      </c>
      <c r="F16" s="89"/>
    </row>
    <row r="17" customFormat="false" ht="18.75" hidden="false" customHeight="true" outlineLevel="0" collapsed="false">
      <c r="A17" s="91" t="n">
        <f aca="false">SUM(A14:A16)</f>
        <v>88</v>
      </c>
      <c r="B17" s="15" t="s">
        <v>881</v>
      </c>
      <c r="C17" s="92" t="n">
        <f aca="false">SUM(C14:C16)</f>
        <v>27702000</v>
      </c>
      <c r="D17" s="92" t="n">
        <f aca="false">SUM(D14:D16)</f>
        <v>23977500</v>
      </c>
      <c r="E17" s="92" t="n">
        <f aca="false">SUM(E14:E16)</f>
        <v>3724500</v>
      </c>
      <c r="F17" s="101"/>
    </row>
    <row r="18" customFormat="false" ht="5.1" hidden="false" customHeight="true" outlineLevel="0" collapsed="false">
      <c r="A18" s="94"/>
      <c r="B18" s="102"/>
      <c r="C18" s="103"/>
      <c r="D18" s="103"/>
      <c r="E18" s="103"/>
      <c r="F18" s="83"/>
    </row>
    <row r="19" customFormat="false" ht="14.1" hidden="false" customHeight="true" outlineLevel="0" collapsed="false">
      <c r="A19" s="104" t="s">
        <v>882</v>
      </c>
      <c r="B19" s="85" t="s">
        <v>883</v>
      </c>
      <c r="C19" s="105"/>
      <c r="D19" s="105"/>
      <c r="E19" s="105"/>
      <c r="F19" s="106"/>
    </row>
    <row r="20" customFormat="false" ht="20.1" hidden="false" customHeight="true" outlineLevel="0" collapsed="false">
      <c r="A20" s="88" t="n">
        <v>15</v>
      </c>
      <c r="B20" s="71" t="s">
        <v>884</v>
      </c>
      <c r="C20" s="72" t="n">
        <f aca="false">366500*A20</f>
        <v>5497500</v>
      </c>
      <c r="D20" s="72" t="n">
        <f aca="false">PremAn!C103</f>
        <v>5182500</v>
      </c>
      <c r="E20" s="72" t="n">
        <f aca="false">C20-D20</f>
        <v>315000</v>
      </c>
      <c r="F20" s="89"/>
    </row>
    <row r="21" customFormat="false" ht="20.1" hidden="false" customHeight="true" outlineLevel="0" collapsed="false">
      <c r="A21" s="88" t="n">
        <v>12</v>
      </c>
      <c r="B21" s="71" t="s">
        <v>885</v>
      </c>
      <c r="C21" s="72" t="n">
        <f aca="false">366500*A21</f>
        <v>4398000</v>
      </c>
      <c r="D21" s="72" t="n">
        <f aca="false">DeuxAn!C78</f>
        <v>4401500</v>
      </c>
      <c r="E21" s="72" t="n">
        <f aca="false">C21-D21</f>
        <v>-3500</v>
      </c>
      <c r="F21" s="89"/>
    </row>
    <row r="22" customFormat="false" ht="20.1" hidden="false" customHeight="true" outlineLevel="0" collapsed="false">
      <c r="A22" s="88" t="n">
        <v>18</v>
      </c>
      <c r="B22" s="71" t="s">
        <v>886</v>
      </c>
      <c r="C22" s="72" t="n">
        <f aca="false">366500*A22</f>
        <v>6597000</v>
      </c>
      <c r="D22" s="72" t="n">
        <f aca="false">TroisAn!C96</f>
        <v>6317500</v>
      </c>
      <c r="E22" s="72" t="n">
        <f aca="false">C22-D22</f>
        <v>279500</v>
      </c>
      <c r="F22" s="89"/>
    </row>
    <row r="23" customFormat="false" ht="20.1" hidden="false" customHeight="true" outlineLevel="0" collapsed="false">
      <c r="A23" s="90" t="n">
        <v>11</v>
      </c>
      <c r="B23" s="71" t="s">
        <v>887</v>
      </c>
      <c r="C23" s="72" t="n">
        <f aca="false">366500*A23</f>
        <v>4031500</v>
      </c>
      <c r="D23" s="72" t="n">
        <f aca="false">QuatrAn!C73</f>
        <v>4965000</v>
      </c>
      <c r="E23" s="72" t="n">
        <f aca="false">C23-D23</f>
        <v>-933500</v>
      </c>
      <c r="F23" s="89"/>
    </row>
    <row r="24" customFormat="false" ht="18" hidden="false" customHeight="true" outlineLevel="0" collapsed="false">
      <c r="A24" s="91" t="n">
        <f aca="false">SUM(A20:A23)</f>
        <v>56</v>
      </c>
      <c r="B24" s="15" t="s">
        <v>888</v>
      </c>
      <c r="C24" s="92" t="n">
        <f aca="false">SUM(C20:C23)</f>
        <v>20524000</v>
      </c>
      <c r="D24" s="92" t="n">
        <f aca="false">SUM(D20:D23)</f>
        <v>20866500</v>
      </c>
      <c r="E24" s="92" t="n">
        <f aca="false">SUM(E20:E23)</f>
        <v>-342500</v>
      </c>
      <c r="F24" s="101"/>
    </row>
    <row r="25" customFormat="false" ht="5.1" hidden="false" customHeight="true" outlineLevel="0" collapsed="false">
      <c r="A25" s="94"/>
      <c r="B25" s="102"/>
      <c r="C25" s="103"/>
      <c r="D25" s="103"/>
      <c r="E25" s="103"/>
      <c r="F25" s="83"/>
    </row>
    <row r="26" customFormat="false" ht="14.1" hidden="false" customHeight="true" outlineLevel="0" collapsed="false">
      <c r="A26" s="104" t="s">
        <v>889</v>
      </c>
      <c r="B26" s="85" t="s">
        <v>890</v>
      </c>
      <c r="C26" s="105"/>
      <c r="D26" s="105"/>
      <c r="E26" s="105"/>
      <c r="F26" s="106"/>
    </row>
    <row r="27" customFormat="false" ht="20.1" hidden="false" customHeight="true" outlineLevel="0" collapsed="false">
      <c r="A27" s="88" t="n">
        <v>21</v>
      </c>
      <c r="B27" s="71" t="s">
        <v>891</v>
      </c>
      <c r="C27" s="72" t="n">
        <f aca="false">366500*A27</f>
        <v>7696500</v>
      </c>
      <c r="D27" s="72" t="n">
        <f aca="false">PremAn!C131</f>
        <v>7275500</v>
      </c>
      <c r="E27" s="72" t="n">
        <f aca="false">C27-D27</f>
        <v>421000</v>
      </c>
      <c r="F27" s="89"/>
    </row>
    <row r="28" customFormat="false" ht="20.1" hidden="false" customHeight="true" outlineLevel="0" collapsed="false">
      <c r="A28" s="88" t="n">
        <v>22</v>
      </c>
      <c r="B28" s="71" t="s">
        <v>892</v>
      </c>
      <c r="C28" s="72" t="n">
        <f aca="false">366500*A28</f>
        <v>8063000</v>
      </c>
      <c r="D28" s="72" t="n">
        <f aca="false">DeuxAn!C103</f>
        <v>6903000</v>
      </c>
      <c r="E28" s="72" t="n">
        <f aca="false">C28-D28</f>
        <v>1160000</v>
      </c>
      <c r="F28" s="89"/>
    </row>
    <row r="29" customFormat="false" ht="20.1" hidden="false" customHeight="true" outlineLevel="0" collapsed="false">
      <c r="A29" s="88" t="n">
        <v>12</v>
      </c>
      <c r="B29" s="71" t="s">
        <v>893</v>
      </c>
      <c r="C29" s="72" t="n">
        <f aca="false">366500*A29</f>
        <v>4398000</v>
      </c>
      <c r="D29" s="72" t="n">
        <f aca="false">TroisAn!C112</f>
        <v>3166500</v>
      </c>
      <c r="E29" s="72" t="n">
        <f aca="false">C29-D29</f>
        <v>1231500</v>
      </c>
      <c r="F29" s="89"/>
    </row>
    <row r="30" customFormat="false" ht="20.1" hidden="false" customHeight="true" outlineLevel="0" collapsed="false">
      <c r="A30" s="90" t="n">
        <v>11</v>
      </c>
      <c r="B30" s="71" t="s">
        <v>894</v>
      </c>
      <c r="C30" s="72" t="n">
        <f aca="false">366500*A30</f>
        <v>4031500</v>
      </c>
      <c r="D30" s="72" t="n">
        <f aca="false">QuatrAn!C87</f>
        <v>2932500</v>
      </c>
      <c r="E30" s="72" t="n">
        <f aca="false">C30-D30</f>
        <v>1099000</v>
      </c>
      <c r="F30" s="89"/>
    </row>
    <row r="31" customFormat="false" ht="19.5" hidden="false" customHeight="true" outlineLevel="0" collapsed="false">
      <c r="A31" s="91" t="n">
        <f aca="false">SUM(A27:A30)</f>
        <v>66</v>
      </c>
      <c r="B31" s="15" t="s">
        <v>895</v>
      </c>
      <c r="C31" s="92" t="n">
        <f aca="false">SUM(C27:C30)</f>
        <v>24189000</v>
      </c>
      <c r="D31" s="92" t="n">
        <f aca="false">SUM(D27:D30)</f>
        <v>20277500</v>
      </c>
      <c r="E31" s="92" t="n">
        <f aca="false">SUM(E27:E30)</f>
        <v>3911500</v>
      </c>
      <c r="F31" s="101"/>
    </row>
    <row r="32" customFormat="false" ht="5.1" hidden="false" customHeight="true" outlineLevel="0" collapsed="false">
      <c r="A32" s="94"/>
      <c r="B32" s="102"/>
      <c r="C32" s="103"/>
      <c r="D32" s="103"/>
      <c r="E32" s="103"/>
      <c r="F32" s="83"/>
    </row>
    <row r="33" customFormat="false" ht="14.1" hidden="false" customHeight="true" outlineLevel="0" collapsed="false">
      <c r="A33" s="104" t="s">
        <v>896</v>
      </c>
      <c r="B33" s="85" t="s">
        <v>897</v>
      </c>
      <c r="C33" s="105"/>
      <c r="D33" s="105"/>
      <c r="E33" s="105"/>
      <c r="F33" s="106"/>
    </row>
    <row r="34" customFormat="false" ht="20.1" hidden="false" customHeight="true" outlineLevel="0" collapsed="false">
      <c r="A34" s="88" t="n">
        <v>21</v>
      </c>
      <c r="B34" s="71" t="s">
        <v>898</v>
      </c>
      <c r="C34" s="72" t="n">
        <f aca="false">366500*A34</f>
        <v>7696500</v>
      </c>
      <c r="D34" s="72" t="n">
        <f aca="false">PremAn!C257</f>
        <v>7430000</v>
      </c>
      <c r="E34" s="72" t="n">
        <f aca="false">C34-D34</f>
        <v>266500</v>
      </c>
      <c r="F34" s="89"/>
    </row>
    <row r="35" customFormat="false" ht="19.5" hidden="false" customHeight="true" outlineLevel="0" collapsed="false">
      <c r="A35" s="91" t="n">
        <f aca="false">SUM(A34)</f>
        <v>21</v>
      </c>
      <c r="B35" s="15" t="s">
        <v>899</v>
      </c>
      <c r="C35" s="92" t="n">
        <f aca="false">SUM(C33:C34)</f>
        <v>7696500</v>
      </c>
      <c r="D35" s="92" t="n">
        <f aca="false">SUM(D33:D34)</f>
        <v>7430000</v>
      </c>
      <c r="E35" s="92" t="n">
        <f aca="false">SUM(E33:E34)</f>
        <v>266500</v>
      </c>
      <c r="F35" s="101"/>
    </row>
    <row r="36" customFormat="false" ht="5.1" hidden="false" customHeight="true" outlineLevel="0" collapsed="false">
      <c r="A36" s="94"/>
      <c r="B36" s="102"/>
      <c r="C36" s="103"/>
      <c r="D36" s="103"/>
      <c r="E36" s="107"/>
      <c r="F36" s="83"/>
    </row>
    <row r="37" customFormat="false" ht="14.1" hidden="false" customHeight="true" outlineLevel="0" collapsed="false">
      <c r="A37" s="104" t="s">
        <v>900</v>
      </c>
      <c r="B37" s="85" t="s">
        <v>901</v>
      </c>
      <c r="C37" s="105"/>
      <c r="D37" s="105"/>
      <c r="E37" s="108"/>
      <c r="F37" s="106"/>
    </row>
    <row r="38" customFormat="false" ht="20.1" hidden="false" customHeight="true" outlineLevel="0" collapsed="false">
      <c r="A38" s="109" t="n">
        <v>21</v>
      </c>
      <c r="B38" s="69" t="s">
        <v>902</v>
      </c>
      <c r="C38" s="70" t="n">
        <f aca="false">366500*A38</f>
        <v>7696500</v>
      </c>
      <c r="D38" s="70" t="n">
        <f aca="false">DUT!C30</f>
        <v>7149500</v>
      </c>
      <c r="E38" s="70" t="n">
        <f aca="false">C38-D38</f>
        <v>547000</v>
      </c>
      <c r="F38" s="110"/>
    </row>
    <row r="39" customFormat="false" ht="20.1" hidden="false" customHeight="true" outlineLevel="0" collapsed="false">
      <c r="A39" s="88" t="n">
        <v>14</v>
      </c>
      <c r="B39" s="111" t="s">
        <v>903</v>
      </c>
      <c r="C39" s="72" t="n">
        <f aca="false">366500*A39</f>
        <v>5131000</v>
      </c>
      <c r="D39" s="70" t="n">
        <f aca="false">DUT!C50</f>
        <v>5131000</v>
      </c>
      <c r="E39" s="72" t="n">
        <f aca="false">C39-D39</f>
        <v>0</v>
      </c>
      <c r="F39" s="89"/>
    </row>
    <row r="40" customFormat="false" ht="21.75" hidden="false" customHeight="true" outlineLevel="0" collapsed="false">
      <c r="A40" s="91" t="n">
        <f aca="false">SUM(A38:A39)</f>
        <v>35</v>
      </c>
      <c r="B40" s="15" t="s">
        <v>904</v>
      </c>
      <c r="C40" s="92" t="n">
        <f aca="false">SUM(C38:C39)</f>
        <v>12827500</v>
      </c>
      <c r="D40" s="92" t="n">
        <f aca="false">SUM(D38:D39)</f>
        <v>12280500</v>
      </c>
      <c r="E40" s="92" t="n">
        <f aca="false">SUM(E38:E39)</f>
        <v>547000</v>
      </c>
      <c r="F40" s="101"/>
    </row>
    <row r="41" customFormat="false" ht="5.1" hidden="false" customHeight="true" outlineLevel="0" collapsed="false">
      <c r="A41" s="112"/>
      <c r="B41" s="113"/>
      <c r="C41" s="114"/>
      <c r="D41" s="114"/>
      <c r="E41" s="114"/>
      <c r="F41" s="115"/>
    </row>
    <row r="42" customFormat="false" ht="14.1" hidden="false" customHeight="true" outlineLevel="0" collapsed="false">
      <c r="A42" s="116" t="s">
        <v>905</v>
      </c>
      <c r="B42" s="117" t="s">
        <v>906</v>
      </c>
      <c r="C42" s="118"/>
      <c r="D42" s="118"/>
      <c r="E42" s="118"/>
      <c r="F42" s="119"/>
    </row>
    <row r="43" customFormat="false" ht="20.1" hidden="false" customHeight="true" outlineLevel="0" collapsed="false">
      <c r="A43" s="88" t="n">
        <v>32</v>
      </c>
      <c r="B43" s="71" t="s">
        <v>907</v>
      </c>
      <c r="C43" s="72" t="n">
        <f aca="false">366500*A43</f>
        <v>11728000</v>
      </c>
      <c r="D43" s="72" t="n">
        <f aca="false">PremAn!C85</f>
        <v>10996500</v>
      </c>
      <c r="E43" s="72" t="n">
        <f aca="false">C43-D43</f>
        <v>731500</v>
      </c>
      <c r="F43" s="89"/>
    </row>
    <row r="44" customFormat="false" ht="20.1" hidden="false" customHeight="true" outlineLevel="0" collapsed="false">
      <c r="A44" s="88" t="n">
        <v>21</v>
      </c>
      <c r="B44" s="71" t="s">
        <v>908</v>
      </c>
      <c r="C44" s="72" t="n">
        <f aca="false">366500*A44</f>
        <v>7696500</v>
      </c>
      <c r="D44" s="72" t="n">
        <f aca="false">DeuxAn!C63</f>
        <v>7696500</v>
      </c>
      <c r="E44" s="72" t="n">
        <f aca="false">C44-D44</f>
        <v>0</v>
      </c>
      <c r="F44" s="89"/>
    </row>
    <row r="45" customFormat="false" ht="15" hidden="false" customHeight="false" outlineLevel="0" collapsed="false">
      <c r="A45" s="91" t="n">
        <f aca="false">SUM(A43:A44)</f>
        <v>53</v>
      </c>
      <c r="B45" s="15" t="s">
        <v>909</v>
      </c>
      <c r="C45" s="92" t="n">
        <f aca="false">SUM(C43:C44)</f>
        <v>19424500</v>
      </c>
      <c r="D45" s="92" t="n">
        <f aca="false">SUM(D43:D44)</f>
        <v>18693000</v>
      </c>
      <c r="E45" s="92" t="n">
        <f aca="false">SUM(E43:E44)</f>
        <v>731500</v>
      </c>
      <c r="F45" s="101"/>
    </row>
    <row r="46" customFormat="false" ht="5.1" hidden="false" customHeight="true" outlineLevel="0" collapsed="false">
      <c r="A46" s="81"/>
      <c r="B46" s="82"/>
      <c r="C46" s="82"/>
      <c r="D46" s="82"/>
      <c r="E46" s="82"/>
      <c r="F46" s="83"/>
    </row>
    <row r="47" customFormat="false" ht="14.1" hidden="false" customHeight="true" outlineLevel="0" collapsed="false">
      <c r="A47" s="104" t="s">
        <v>910</v>
      </c>
      <c r="B47" s="85" t="s">
        <v>911</v>
      </c>
      <c r="C47" s="105"/>
      <c r="D47" s="105"/>
      <c r="E47" s="105"/>
      <c r="F47" s="106"/>
    </row>
    <row r="48" customFormat="false" ht="20.1" hidden="false" customHeight="true" outlineLevel="0" collapsed="false">
      <c r="A48" s="88" t="n">
        <v>54</v>
      </c>
      <c r="B48" s="71" t="s">
        <v>912</v>
      </c>
      <c r="C48" s="72" t="n">
        <f aca="false">366500*A48</f>
        <v>19791000</v>
      </c>
      <c r="D48" s="72" t="n">
        <f aca="false">PremAn!C233</f>
        <v>20095500</v>
      </c>
      <c r="E48" s="72" t="n">
        <f aca="false">C48-D48</f>
        <v>-304500</v>
      </c>
      <c r="F48" s="89"/>
    </row>
    <row r="49" customFormat="false" ht="20.1" hidden="false" customHeight="true" outlineLevel="0" collapsed="false">
      <c r="A49" s="88" t="n">
        <v>33</v>
      </c>
      <c r="B49" s="71" t="s">
        <v>913</v>
      </c>
      <c r="C49" s="72" t="n">
        <f aca="false">366500*A49</f>
        <v>12094500</v>
      </c>
      <c r="D49" s="72" t="n">
        <f aca="false">DeuxAn!C158</f>
        <v>11712000</v>
      </c>
      <c r="E49" s="72" t="n">
        <f aca="false">C49-D49</f>
        <v>382500</v>
      </c>
      <c r="F49" s="89"/>
    </row>
    <row r="50" customFormat="false" ht="20.1" hidden="false" customHeight="true" outlineLevel="0" collapsed="false">
      <c r="A50" s="88" t="n">
        <v>27</v>
      </c>
      <c r="B50" s="71" t="s">
        <v>914</v>
      </c>
      <c r="C50" s="72" t="n">
        <f aca="false">366500*A50</f>
        <v>9895500</v>
      </c>
      <c r="D50" s="72" t="n">
        <f aca="false">TroisAn!C75</f>
        <v>9524000</v>
      </c>
      <c r="E50" s="72" t="n">
        <f aca="false">C50-D50</f>
        <v>371500</v>
      </c>
      <c r="F50" s="89"/>
    </row>
    <row r="51" customFormat="false" ht="20.1" hidden="false" customHeight="true" outlineLevel="0" collapsed="false">
      <c r="A51" s="90" t="n">
        <v>17</v>
      </c>
      <c r="B51" s="71" t="s">
        <v>915</v>
      </c>
      <c r="C51" s="72" t="n">
        <f aca="false">366500*A51</f>
        <v>6230500</v>
      </c>
      <c r="D51" s="72" t="n">
        <f aca="false">QuatrAn!C54</f>
        <v>6335000</v>
      </c>
      <c r="E51" s="72" t="n">
        <f aca="false">C51-D51</f>
        <v>-104500</v>
      </c>
      <c r="F51" s="89"/>
    </row>
    <row r="52" customFormat="false" ht="15" hidden="false" customHeight="false" outlineLevel="0" collapsed="false">
      <c r="A52" s="91" t="n">
        <f aca="false">SUM(A48:A51)</f>
        <v>131</v>
      </c>
      <c r="B52" s="15" t="s">
        <v>916</v>
      </c>
      <c r="C52" s="92" t="n">
        <f aca="false">SUM(C48:C51)</f>
        <v>48011500</v>
      </c>
      <c r="D52" s="92" t="n">
        <f aca="false">SUM(D48:D51)</f>
        <v>47666500</v>
      </c>
      <c r="E52" s="92" t="n">
        <f aca="false">SUM(E48:E51)</f>
        <v>345000</v>
      </c>
      <c r="F52" s="101"/>
    </row>
    <row r="53" customFormat="false" ht="5.1" hidden="false" customHeight="true" outlineLevel="0" collapsed="false">
      <c r="A53" s="81"/>
      <c r="B53" s="82"/>
      <c r="C53" s="82"/>
      <c r="D53" s="82"/>
      <c r="E53" s="82"/>
      <c r="F53" s="120"/>
    </row>
    <row r="54" customFormat="false" ht="14.1" hidden="false" customHeight="true" outlineLevel="0" collapsed="false">
      <c r="A54" s="104" t="s">
        <v>917</v>
      </c>
      <c r="B54" s="85" t="s">
        <v>918</v>
      </c>
      <c r="C54" s="105"/>
      <c r="D54" s="105"/>
      <c r="E54" s="105"/>
      <c r="F54" s="121"/>
    </row>
    <row r="55" customFormat="false" ht="20.1" hidden="false" customHeight="true" outlineLevel="0" collapsed="false">
      <c r="A55" s="109" t="n">
        <v>36</v>
      </c>
      <c r="B55" s="69" t="s">
        <v>919</v>
      </c>
      <c r="C55" s="70" t="n">
        <f aca="false">366500*A55</f>
        <v>13194000</v>
      </c>
      <c r="D55" s="70" t="n">
        <f aca="false">PremAn!C175</f>
        <v>13204000</v>
      </c>
      <c r="E55" s="70" t="n">
        <f aca="false">C55-D55</f>
        <v>-10000</v>
      </c>
      <c r="F55" s="110"/>
    </row>
    <row r="56" customFormat="false" ht="20.1" hidden="false" customHeight="true" outlineLevel="0" collapsed="false">
      <c r="A56" s="88" t="n">
        <v>16</v>
      </c>
      <c r="B56" s="71" t="s">
        <v>920</v>
      </c>
      <c r="C56" s="70" t="n">
        <f aca="false">366500*A56</f>
        <v>5864000</v>
      </c>
      <c r="D56" s="72" t="n">
        <f aca="false">DeuxAn!C122</f>
        <v>5864000</v>
      </c>
      <c r="E56" s="70" t="n">
        <f aca="false">C56-D56</f>
        <v>0</v>
      </c>
      <c r="F56" s="89"/>
    </row>
    <row r="57" customFormat="false" ht="20.1" hidden="false" customHeight="true" outlineLevel="0" collapsed="false">
      <c r="A57" s="91" t="n">
        <f aca="false">SUM(A55:A56)</f>
        <v>52</v>
      </c>
      <c r="B57" s="122" t="s">
        <v>921</v>
      </c>
      <c r="C57" s="123" t="n">
        <f aca="false">SUM(C55:C56)</f>
        <v>19058000</v>
      </c>
      <c r="D57" s="123" t="n">
        <f aca="false">SUM(D55:D56)</f>
        <v>19068000</v>
      </c>
      <c r="E57" s="123" t="n">
        <f aca="false">SUM(E55:E56)</f>
        <v>-10000</v>
      </c>
      <c r="F57" s="89"/>
    </row>
    <row r="58" customFormat="false" ht="5.1" hidden="false" customHeight="true" outlineLevel="0" collapsed="false">
      <c r="A58" s="124"/>
      <c r="B58" s="125"/>
      <c r="C58" s="126"/>
      <c r="D58" s="126"/>
      <c r="E58" s="126"/>
      <c r="F58" s="127"/>
    </row>
    <row r="59" customFormat="false" ht="14.1" hidden="false" customHeight="true" outlineLevel="0" collapsed="false">
      <c r="A59" s="104" t="s">
        <v>922</v>
      </c>
      <c r="B59" s="85" t="s">
        <v>923</v>
      </c>
      <c r="C59" s="105"/>
      <c r="D59" s="105"/>
      <c r="E59" s="105"/>
      <c r="F59" s="121"/>
    </row>
    <row r="60" customFormat="false" ht="20.1" hidden="false" customHeight="true" outlineLevel="0" collapsed="false">
      <c r="A60" s="109" t="n">
        <v>10</v>
      </c>
      <c r="B60" s="69" t="s">
        <v>924</v>
      </c>
      <c r="C60" s="70" t="n">
        <f aca="false">366500*A60</f>
        <v>3665000</v>
      </c>
      <c r="D60" s="70" t="n">
        <f aca="false">PremAn!C270</f>
        <v>3665000</v>
      </c>
      <c r="E60" s="70" t="n">
        <f aca="false">C60-D60</f>
        <v>0</v>
      </c>
      <c r="F60" s="110"/>
    </row>
    <row r="61" customFormat="false" ht="20.1" hidden="false" customHeight="true" outlineLevel="0" collapsed="false">
      <c r="A61" s="88" t="n">
        <v>7</v>
      </c>
      <c r="B61" s="69" t="s">
        <v>925</v>
      </c>
      <c r="C61" s="70" t="n">
        <f aca="false">366500*A61</f>
        <v>2565500</v>
      </c>
      <c r="D61" s="72" t="n">
        <f aca="false">TroisAn!C122</f>
        <v>2565500</v>
      </c>
      <c r="E61" s="72" t="n">
        <f aca="false">C61-D61</f>
        <v>0</v>
      </c>
      <c r="F61" s="89"/>
    </row>
    <row r="62" s="128" customFormat="true" ht="21" hidden="false" customHeight="true" outlineLevel="0" collapsed="false">
      <c r="A62" s="91" t="n">
        <f aca="false">SUM(A60:A61)</f>
        <v>17</v>
      </c>
      <c r="B62" s="122" t="s">
        <v>921</v>
      </c>
      <c r="C62" s="123" t="n">
        <f aca="false">SUM(C60:C61)</f>
        <v>6230500</v>
      </c>
      <c r="D62" s="123" t="n">
        <f aca="false">SUM(D60:D61)</f>
        <v>6230500</v>
      </c>
      <c r="E62" s="123" t="n">
        <f aca="false">SUM(E60:E61)</f>
        <v>0</v>
      </c>
      <c r="F62" s="89"/>
      <c r="G62" s="1"/>
    </row>
    <row r="63" customFormat="false" ht="15" hidden="false" customHeight="false" outlineLevel="0" collapsed="false">
      <c r="A63" s="129" t="n">
        <f aca="false">A11+A17+A24+A31+A35+A40+A45+A52+A57+A62</f>
        <v>648</v>
      </c>
      <c r="B63" s="130" t="s">
        <v>926</v>
      </c>
      <c r="C63" s="131" t="n">
        <f aca="false">C11+C17+C24+C31+C35+C40+C45+C52+C57+C62</f>
        <v>232942000</v>
      </c>
      <c r="D63" s="132" t="n">
        <f aca="false">D11+D17+D24+D31+D35+D40+D45+D52+D57+D62</f>
        <v>219143600</v>
      </c>
      <c r="E63" s="131" t="n">
        <f aca="false">E11+E17+E24+E31+E35+E40+E45+E52+E57+E62</f>
        <v>13798400</v>
      </c>
      <c r="F63" s="133" t="n">
        <f aca="false">D63/C63</f>
        <v>0.940764653862335</v>
      </c>
    </row>
    <row r="64" customFormat="false" ht="15" hidden="false" customHeight="true" outlineLevel="0" collapsed="false"/>
    <row r="65" customFormat="false" ht="15" hidden="false" customHeight="false" outlineLevel="0" collapsed="false">
      <c r="A65" s="134"/>
      <c r="B65" s="134"/>
      <c r="C65" s="135" t="s">
        <v>927</v>
      </c>
      <c r="D65" s="135" t="n">
        <v>173017500</v>
      </c>
      <c r="E65" s="135"/>
    </row>
    <row r="66" customFormat="false" ht="15.75" hidden="false" customHeight="true" outlineLevel="0" collapsed="false">
      <c r="C66" s="4" t="s">
        <v>928</v>
      </c>
      <c r="D66" s="135" t="n">
        <f aca="false">D63-173017500</f>
        <v>46126100</v>
      </c>
    </row>
    <row r="67" customFormat="false" ht="15" hidden="false" customHeight="false" outlineLevel="0" collapsed="false">
      <c r="B67" s="4"/>
      <c r="D67" s="135"/>
    </row>
    <row r="68" customFormat="false" ht="15" hidden="false" customHeight="true" outlineLevel="0" collapsed="false"/>
    <row r="69" customFormat="false" ht="12.75" hidden="false" customHeight="false" outlineLevel="0" collapsed="false">
      <c r="D69" s="1" t="s">
        <v>674</v>
      </c>
    </row>
    <row r="79" customFormat="false" ht="14.25" hidden="false" customHeight="true" outlineLevel="0" collapsed="false"/>
    <row r="91" customFormat="false" ht="12.75" hidden="false" customHeight="false" outlineLevel="0" collapsed="false">
      <c r="D91" s="74"/>
    </row>
    <row r="92" customFormat="false" ht="15.75" hidden="false" customHeight="false" outlineLevel="0" collapsed="false">
      <c r="D92" s="136"/>
    </row>
  </sheetData>
  <printOptions headings="false" gridLines="false" gridLinesSet="true" horizontalCentered="false" verticalCentered="false"/>
  <pageMargins left="0.35" right="0.390277777777778" top="0.509722222222222" bottom="0.5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2024-12-14T21:51:05Z</dcterms:created>
  <dc:creator/>
  <dc:description/>
  <dc:language>fr-FR</dc:language>
  <cp:lastModifiedBy/>
  <cp:lastPrinted>2010-07-21T23:14:08Z</cp:lastPrinted>
  <dcterms:modified xsi:type="dcterms:W3CDTF">2024-12-23T04:52:29Z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3DA501A79BB64C5DAA86E74780D341C1_12</vt:lpwstr>
  </property>
  <property fmtid="{D5CDD505-2E9C-101B-9397-08002B2CF9AE}" pid="3" name="KSOProductBuildVer">
    <vt:lpwstr>1036-12.2.0.16731</vt:lpwstr>
  </property>
</Properties>
</file>