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An" sheetId="1" state="visible" r:id="rId3"/>
    <sheet name="DeuxAn" sheetId="2" state="visible" r:id="rId4"/>
    <sheet name="TroisAn" sheetId="3" state="visible" r:id="rId5"/>
    <sheet name="QuatrAn" sheetId="4" state="visible" r:id="rId6"/>
    <sheet name="BtsGc" sheetId="5" state="visible" r:id="rId7"/>
    <sheet name="Ingénieurs" sheetId="6" state="visible" r:id="rId8"/>
    <sheet name="A_IGNORER_2" sheetId="7" state="visible" r:id="rId9"/>
    <sheet name="A_IGNORER_1" sheetId="8" state="visible" r:id="rId10"/>
  </sheets>
  <definedNames>
    <definedName function="false" hidden="false" localSheetId="2" name="Excel_BuiltIn__FilterDatabase" vbProcedure="false">TroisAn!$A$7:$E$44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<sst xmlns="http://schemas.openxmlformats.org/spreadsheetml/2006/main" count="1881" uniqueCount="941">
  <si>
    <t xml:space="preserve">LICENCE PROFESSIONNELLE  2010-2011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</si>
  <si>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 1ère Année</t>
    </r>
  </si>
  <si>
    <t xml:space="preserve">N° </t>
  </si>
  <si>
    <t xml:space="preserve">Nom et Prénoms</t>
  </si>
  <si>
    <t xml:space="preserve">Mont. Versé</t>
  </si>
  <si>
    <t xml:space="preserve">Restant dû</t>
  </si>
  <si>
    <t xml:space="preserve">Total</t>
  </si>
  <si>
    <t xml:space="preserve">n°1</t>
  </si>
  <si>
    <t xml:space="preserve">AFIOME Aurel Armel</t>
  </si>
  <si>
    <t xml:space="preserve">n°2</t>
  </si>
  <si>
    <t xml:space="preserve">AGBOHOUTO Edmond</t>
  </si>
  <si>
    <t xml:space="preserve">n°3</t>
  </si>
  <si>
    <t xml:space="preserve">AGBOSSOU  Romuald Damien</t>
  </si>
  <si>
    <t xml:space="preserve">n°4</t>
  </si>
  <si>
    <t xml:space="preserve">AHOKPOSSI Finangnon Rodrigue</t>
  </si>
  <si>
    <t xml:space="preserve">n°5</t>
  </si>
  <si>
    <t xml:space="preserve">ASSOGBA Augustin Teglo</t>
  </si>
  <si>
    <t xml:space="preserve">n°6</t>
  </si>
  <si>
    <t xml:space="preserve">BANKOLE Justin</t>
  </si>
  <si>
    <t xml:space="preserve">n°7</t>
  </si>
  <si>
    <t xml:space="preserve">CHABI A. Childeric Ayodé</t>
  </si>
  <si>
    <t xml:space="preserve">n°8</t>
  </si>
  <si>
    <t xml:space="preserve">DOHOU Augustino</t>
  </si>
  <si>
    <t xml:space="preserve">n°9</t>
  </si>
  <si>
    <t xml:space="preserve">DOHOUNZO Byll Aldo</t>
  </si>
  <si>
    <t xml:space="preserve">n°10</t>
  </si>
  <si>
    <t xml:space="preserve">DOSSOU YOVO C. Bérenger</t>
  </si>
  <si>
    <t xml:space="preserve">n°11</t>
  </si>
  <si>
    <t xml:space="preserve">FABO Romaric</t>
  </si>
  <si>
    <t xml:space="preserve">n°12</t>
  </si>
  <si>
    <t xml:space="preserve">GBADO K. Alexandre</t>
  </si>
  <si>
    <t xml:space="preserve">n°13</t>
  </si>
  <si>
    <t xml:space="preserve">GBAKOTO Joel Isdine</t>
  </si>
  <si>
    <t xml:space="preserve">n°14</t>
  </si>
  <si>
    <t xml:space="preserve">GBETOGA Aristide</t>
  </si>
  <si>
    <t xml:space="preserve">n°15</t>
  </si>
  <si>
    <t xml:space="preserve">HEDOKINGBE Juste</t>
  </si>
  <si>
    <t xml:space="preserve">n°16</t>
  </si>
  <si>
    <t xml:space="preserve">HOUEDANOU C. Jean </t>
  </si>
  <si>
    <t xml:space="preserve">n°17</t>
  </si>
  <si>
    <t xml:space="preserve">HOUNDJI V. Adonis</t>
  </si>
  <si>
    <t xml:space="preserve">n°18</t>
  </si>
  <si>
    <t xml:space="preserve">HOUNGUIA M. Serge</t>
  </si>
  <si>
    <t xml:space="preserve">n°19</t>
  </si>
  <si>
    <t xml:space="preserve">LANDOZI Saharou</t>
  </si>
  <si>
    <t xml:space="preserve">n°20</t>
  </si>
  <si>
    <t xml:space="preserve">LOKONON Vignoncé </t>
  </si>
  <si>
    <t xml:space="preserve">n°21</t>
  </si>
  <si>
    <t xml:space="preserve">MONDEGNON A. Alain</t>
  </si>
  <si>
    <t xml:space="preserve">n°22</t>
  </si>
  <si>
    <t xml:space="preserve">ODJO A. Affissou</t>
  </si>
  <si>
    <t xml:space="preserve">n°23</t>
  </si>
  <si>
    <t xml:space="preserve">SOUMAÏLA A. Abdel Kader</t>
  </si>
  <si>
    <t xml:space="preserve">n°24</t>
  </si>
  <si>
    <t xml:space="preserve">YACOUBOU Moucharaf</t>
  </si>
  <si>
    <t xml:space="preserve">n°25</t>
  </si>
  <si>
    <t xml:space="preserve">YATAKPO Romaric Geofroy</t>
  </si>
  <si>
    <t xml:space="preserve">TOTAL</t>
  </si>
  <si>
    <t xml:space="preserve">HYGIENE ET CONTRÔLE DE QUALITE DES D.A  1ère Année</t>
  </si>
  <si>
    <t xml:space="preserve">AGBOMASSOU A. Auguste</t>
  </si>
  <si>
    <t xml:space="preserve">AGOSSOU Ernestine</t>
  </si>
  <si>
    <t xml:space="preserve">AÏNAN Germaine</t>
  </si>
  <si>
    <t xml:space="preserve">AMOUYEWA Paul Raoul</t>
  </si>
  <si>
    <t xml:space="preserve">DJABOUTOUBOUTOU Djamilath</t>
  </si>
  <si>
    <t xml:space="preserve">DOHOU Séraphin</t>
  </si>
  <si>
    <t xml:space="preserve">GBANON S. Martial</t>
  </si>
  <si>
    <t xml:space="preserve">GBOKPA Boco Parfait </t>
  </si>
  <si>
    <t xml:space="preserve">GLADJA A. Euphrem</t>
  </si>
  <si>
    <t xml:space="preserve">GNIMAVO Eudoxie</t>
  </si>
  <si>
    <t xml:space="preserve">GOUNON KORA Rachidatou</t>
  </si>
  <si>
    <t xml:space="preserve">HOUNKOKOE Mahutin Thomas</t>
  </si>
  <si>
    <t xml:space="preserve">KPLELI Christiane Floriane</t>
  </si>
  <si>
    <t xml:space="preserve">KPENOU N Clément</t>
  </si>
  <si>
    <t xml:space="preserve">MIKO SetondéRaphael</t>
  </si>
  <si>
    <t xml:space="preserve">MOUSSA Mouniratou</t>
  </si>
  <si>
    <t xml:space="preserve">SOTODONOU Daniel</t>
  </si>
  <si>
    <t xml:space="preserve">TCHOKPONHOUE Saturnin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</si>
  <si>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Génie Elect.</t>
    </r>
  </si>
  <si>
    <t xml:space="preserve">GENIE ELECTRIQUE 1ère Année</t>
  </si>
  <si>
    <t xml:space="preserve">ADJIBA Délé Wilfried</t>
  </si>
  <si>
    <t xml:space="preserve">ADJIBADE Abdul Kabir Agnila</t>
  </si>
  <si>
    <t xml:space="preserve">ADJOVI Ange Gildas</t>
  </si>
  <si>
    <t xml:space="preserve">ADOUKONOU Modeste Roland</t>
  </si>
  <si>
    <t xml:space="preserve">AGBAMAHOU Carmel</t>
  </si>
  <si>
    <t xml:space="preserve">AVADIN Damien Roland</t>
  </si>
  <si>
    <t xml:space="preserve">AZONSI Auguste Joel A.</t>
  </si>
  <si>
    <t xml:space="preserve">ABOUBAKAR Kamilou Mora</t>
  </si>
  <si>
    <t xml:space="preserve">BOUKARI Faycal</t>
  </si>
  <si>
    <t xml:space="preserve">BOYA Hilaire</t>
  </si>
  <si>
    <t xml:space="preserve">do REGO Madjidi</t>
  </si>
  <si>
    <t xml:space="preserve">KPOAHOUN Y. Antonio</t>
  </si>
  <si>
    <t xml:space="preserve">KPOGLA Y. Innocent</t>
  </si>
  <si>
    <t xml:space="preserve">MENSAH Ayivi. Junior</t>
  </si>
  <si>
    <t xml:space="preserve">ODOU Soumïla</t>
  </si>
  <si>
    <t xml:space="preserve">SAGBOHAN Serge Hervé</t>
  </si>
  <si>
    <t xml:space="preserve">SANDA SIDI Adéyêmi</t>
  </si>
  <si>
    <t xml:space="preserve">SEGNON Kossi Robo</t>
  </si>
  <si>
    <t xml:space="preserve">TONOUKOIN M. Ardain</t>
  </si>
  <si>
    <t xml:space="preserve">TOSSOU Serge</t>
  </si>
  <si>
    <t xml:space="preserve">ZIBO Salim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</si>
  <si>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1ère Année</t>
    </r>
  </si>
  <si>
    <t xml:space="preserve">ADJANONHOUN K. Arnaud</t>
  </si>
  <si>
    <t xml:space="preserve">AHOMADIKPOHOU Franck</t>
  </si>
  <si>
    <t xml:space="preserve">AKPAKI M. Salomon</t>
  </si>
  <si>
    <t xml:space="preserve">AMADOU Bah Mouhaman</t>
  </si>
  <si>
    <t xml:space="preserve">AROUKO C. Jérome</t>
  </si>
  <si>
    <t xml:space="preserve">BOKODAHO Coffi Etienne</t>
  </si>
  <si>
    <t xml:space="preserve">ECLOU W. Gilchrist</t>
  </si>
  <si>
    <t xml:space="preserve">HINNOU Roméo  Oswald</t>
  </si>
  <si>
    <t xml:space="preserve">KEDJI M. Martial</t>
  </si>
  <si>
    <t xml:space="preserve">NOUKPOWAKOU G. Romaric</t>
  </si>
  <si>
    <t xml:space="preserve">SODJINOU Alphonse </t>
  </si>
  <si>
    <t xml:space="preserve">SOKPE Donatien</t>
  </si>
  <si>
    <t xml:space="preserve">SOSSOU-LOKO R. Nicodèm</t>
  </si>
  <si>
    <t xml:space="preserve">YOVOGAN P. Eric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</si>
  <si>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GESTION DE L'ENVIRONNEMENT. 1ère Année</t>
    </r>
  </si>
  <si>
    <t xml:space="preserve">ADJAGBESSI V. Gildas</t>
  </si>
  <si>
    <t xml:space="preserve">ADJINANOUKON K. Ernest</t>
  </si>
  <si>
    <t xml:space="preserve">AGONTINGLO Romario</t>
  </si>
  <si>
    <t xml:space="preserve">AGUESSY A. Marius</t>
  </si>
  <si>
    <t xml:space="preserve">AHOUDOU Faissal</t>
  </si>
  <si>
    <t xml:space="preserve">ALAGBE Abdou Karim</t>
  </si>
  <si>
    <t xml:space="preserve">ALLAGBE Alimi Yao</t>
  </si>
  <si>
    <t xml:space="preserve">AOGOU Arouna Soulemane</t>
  </si>
  <si>
    <t xml:space="preserve">ASSOUKOU Patrice</t>
  </si>
  <si>
    <t xml:space="preserve">ASOUMA G. Mako</t>
  </si>
  <si>
    <t xml:space="preserve">ATCHI Abel</t>
  </si>
  <si>
    <t xml:space="preserve">ATEMBA Emmanuel R. Dona</t>
  </si>
  <si>
    <t xml:space="preserve">BOSSOU  G. François</t>
  </si>
  <si>
    <t xml:space="preserve">DAGBETO Nestor</t>
  </si>
  <si>
    <t xml:space="preserve">DANSI Mathias</t>
  </si>
  <si>
    <t xml:space="preserve">DEDEGNON S. Nadège</t>
  </si>
  <si>
    <t xml:space="preserve">DOSSOU ADANLIENKLOUNON Gildas</t>
  </si>
  <si>
    <t xml:space="preserve">FAGLA Laurent Dominique</t>
  </si>
  <si>
    <t xml:space="preserve">FOLLY Cocou Maurice</t>
  </si>
  <si>
    <t xml:space="preserve">GODONOU M. Jean Marie</t>
  </si>
  <si>
    <t xml:space="preserve">HOUNDJO Moussa</t>
  </si>
  <si>
    <t xml:space="preserve">IDRISSOU Tidjani</t>
  </si>
  <si>
    <t xml:space="preserve">KARIMOU Nassirou Bodah</t>
  </si>
  <si>
    <t xml:space="preserve">KIATTI Pinda Boniface</t>
  </si>
  <si>
    <t xml:space="preserve">KINSA Basile Kodjo</t>
  </si>
  <si>
    <t xml:space="preserve">n°26</t>
  </si>
  <si>
    <t xml:space="preserve">KOUMASSEGBO G. Brice</t>
  </si>
  <si>
    <t xml:space="preserve">n°27</t>
  </si>
  <si>
    <t xml:space="preserve">KPADONOU Justine Carine</t>
  </si>
  <si>
    <t xml:space="preserve">n°28</t>
  </si>
  <si>
    <t xml:space="preserve">MAFFON Constantin</t>
  </si>
  <si>
    <t xml:space="preserve">n°29</t>
  </si>
  <si>
    <t xml:space="preserve">MIKINHOUESSE Henri Joel</t>
  </si>
  <si>
    <t xml:space="preserve">n°30</t>
  </si>
  <si>
    <t xml:space="preserve">MOUHAMAN Issaka Bouhari</t>
  </si>
  <si>
    <t xml:space="preserve">n°31</t>
  </si>
  <si>
    <t xml:space="preserve">NOANTI Boukali Hamidou</t>
  </si>
  <si>
    <t xml:space="preserve">n°32</t>
  </si>
  <si>
    <t xml:space="preserve">NOUMAYI A. Thiery</t>
  </si>
  <si>
    <t xml:space="preserve">n°33</t>
  </si>
  <si>
    <t xml:space="preserve">OKOUIDJO Octavie</t>
  </si>
  <si>
    <t xml:space="preserve">n°34</t>
  </si>
  <si>
    <t xml:space="preserve">OMONYELE Anne Marie</t>
  </si>
  <si>
    <t xml:space="preserve">n°35</t>
  </si>
  <si>
    <t xml:space="preserve">OUOROU Y. Felix</t>
  </si>
  <si>
    <t xml:space="preserve">n°36</t>
  </si>
  <si>
    <t xml:space="preserve">RAOUFOU Abdul Koudous</t>
  </si>
  <si>
    <t xml:space="preserve">n°37</t>
  </si>
  <si>
    <t xml:space="preserve">SENA A. Sidonie</t>
  </si>
  <si>
    <t xml:space="preserve">n°38</t>
  </si>
  <si>
    <t xml:space="preserve">TCHOUMADO Alphonse</t>
  </si>
  <si>
    <t xml:space="preserve">n°39</t>
  </si>
  <si>
    <t xml:space="preserve">TOSSA Ruphin</t>
  </si>
  <si>
    <t xml:space="preserve">n°40</t>
  </si>
  <si>
    <t xml:space="preserve">TOSSOU Etienne Jean</t>
  </si>
  <si>
    <t xml:space="preserve">n°41</t>
  </si>
  <si>
    <t xml:space="preserve">YAROU Aïssétou </t>
  </si>
  <si>
    <t xml:space="preserve">n°42</t>
  </si>
  <si>
    <t xml:space="preserve">ZANNOU Charles</t>
  </si>
  <si>
    <t xml:space="preserve">          TOTAL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</si>
  <si>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PRODUCTION VEGETALE 1ère Année</t>
    </r>
  </si>
  <si>
    <t xml:space="preserve">ADEROMOU A. Abiola</t>
  </si>
  <si>
    <t xml:space="preserve">ADJAKALE Jean Eudes Comlan</t>
  </si>
  <si>
    <t xml:space="preserve">AGOSSADOU Arnaud</t>
  </si>
  <si>
    <t xml:space="preserve">AGOUNTCHEME Théodora</t>
  </si>
  <si>
    <t xml:space="preserve">AGUIAR Fidèle Alexandre</t>
  </si>
  <si>
    <t xml:space="preserve">AHOMADIGANHOU Moîse</t>
  </si>
  <si>
    <t xml:space="preserve">AKONDE M. Karim</t>
  </si>
  <si>
    <t xml:space="preserve">ALASSANE Aboudoul</t>
  </si>
  <si>
    <t xml:space="preserve">ALOKPON Jean Janvier</t>
  </si>
  <si>
    <t xml:space="preserve">DAGBA Lihed Marie</t>
  </si>
  <si>
    <t xml:space="preserve">FAYALO Méalaine Vartan</t>
  </si>
  <si>
    <t xml:space="preserve">GBEMAVO Y. S. Odile</t>
  </si>
  <si>
    <t xml:space="preserve">GNAHOUI C. Phebus</t>
  </si>
  <si>
    <t xml:space="preserve">HOUETCHEGNON T. Alain</t>
  </si>
  <si>
    <t xml:space="preserve">HONFO Gérard</t>
  </si>
  <si>
    <t xml:space="preserve">HOUNKANRIN J. Prisca</t>
  </si>
  <si>
    <t xml:space="preserve">KARIMOU Amidou Bodah</t>
  </si>
  <si>
    <t xml:space="preserve">KONFO K. Christiane</t>
  </si>
  <si>
    <t xml:space="preserve">KOUAGOU T. Agnès</t>
  </si>
  <si>
    <t xml:space="preserve">KOUMOÏ T. Félix</t>
  </si>
  <si>
    <t xml:space="preserve">LEODE Essessi Pelagie</t>
  </si>
  <si>
    <t xml:space="preserve">LOBIYI A. Narcisse</t>
  </si>
  <si>
    <t xml:space="preserve">NOUKPLIGUIDI Martial Fernand</t>
  </si>
  <si>
    <t xml:space="preserve">SABI Dessigui Gnon Gani</t>
  </si>
  <si>
    <t xml:space="preserve">SANNI D. Djafarou</t>
  </si>
  <si>
    <t xml:space="preserve">SOGBOSSI Kokou Calixte</t>
  </si>
  <si>
    <t xml:space="preserve">TEKA Isac</t>
  </si>
  <si>
    <t xml:space="preserve">TOSSOU Colette</t>
  </si>
  <si>
    <t xml:space="preserve">TRINNOU Messanh Etienne</t>
  </si>
  <si>
    <t xml:space="preserve">VIDJOGNI Enawagnon Cossi</t>
  </si>
  <si>
    <t xml:space="preserve">ZITTI Romain Clément</t>
  </si>
  <si>
    <r>
      <rPr>
        <b val="true"/>
        <i val="true"/>
        <sz val="14"/>
        <rFont val="Arial"/>
        <family val="2"/>
        <charset val="1"/>
      </rPr>
      <t xml:space="preserve">                                </t>
    </r>
    <r>
      <rPr>
        <b val="true"/>
        <i val="true"/>
        <u val="single"/>
        <sz val="14"/>
        <rFont val="Arial"/>
        <family val="2"/>
        <charset val="1"/>
      </rPr>
      <t xml:space="preserve">GENIE RURAL 1ère Année</t>
    </r>
  </si>
  <si>
    <t xml:space="preserve">ADJINDA I. Suru</t>
  </si>
  <si>
    <t xml:space="preserve">ALLAGBE F. Appolinaire</t>
  </si>
  <si>
    <t xml:space="preserve">ATINDEHOU T. Didier</t>
  </si>
  <si>
    <t xml:space="preserve">BAGUIRI GOUNOU Sanwill</t>
  </si>
  <si>
    <t xml:space="preserve">BATCHO Thibaut</t>
  </si>
  <si>
    <t xml:space="preserve">CAKPO Bénédicte</t>
  </si>
  <si>
    <t xml:space="preserve">DASSI Marc Arnaud</t>
  </si>
  <si>
    <t xml:space="preserve">DJEHOUNGO Patrick Gabin</t>
  </si>
  <si>
    <t xml:space="preserve">DOKOTO Karimath</t>
  </si>
  <si>
    <t xml:space="preserve">GANGNON René Claude</t>
  </si>
  <si>
    <t xml:space="preserve">HOUNDJE Lambert</t>
  </si>
  <si>
    <t xml:space="preserve">KATA Bienvenu</t>
  </si>
  <si>
    <t xml:space="preserve">KPODONOU Hector</t>
  </si>
  <si>
    <t xml:space="preserve">TAMBOGO Sabi Warigui</t>
  </si>
  <si>
    <r>
      <rPr>
        <b val="true"/>
        <i val="true"/>
        <sz val="14"/>
        <rFont val="Arial"/>
        <family val="2"/>
        <charset val="1"/>
      </rPr>
      <t xml:space="preserve">                   MAINTENANCE INDUSTRIELLE</t>
    </r>
    <r>
      <rPr>
        <b val="true"/>
        <i val="true"/>
        <u val="single"/>
        <sz val="14"/>
        <rFont val="Arial"/>
        <family val="2"/>
        <charset val="1"/>
      </rPr>
      <t xml:space="preserve">  1ère Année</t>
    </r>
  </si>
  <si>
    <t xml:space="preserve">AGOSSOU Désiré Honoré</t>
  </si>
  <si>
    <t xml:space="preserve">AMOUSSOUGA Z. Rodolphe</t>
  </si>
  <si>
    <t xml:space="preserve">AZONSI Hypolyte Kokou</t>
  </si>
  <si>
    <t xml:space="preserve">DJAHO Honoré</t>
  </si>
  <si>
    <t xml:space="preserve">DOSSOU David Hector</t>
  </si>
  <si>
    <t xml:space="preserve">EHAKO Sènami Lucrece</t>
  </si>
  <si>
    <t xml:space="preserve">GBAGUIDI D. Maxime</t>
  </si>
  <si>
    <t xml:space="preserve">GNONLONFIN D. H. Guy</t>
  </si>
  <si>
    <t xml:space="preserve">HOUNGNADAN Dieu-Donné</t>
  </si>
  <si>
    <t xml:space="preserve">KOUMAPLE Olivier</t>
  </si>
  <si>
    <t xml:space="preserve">OLLIVIER de MONTAGUERE Joel</t>
  </si>
  <si>
    <t xml:space="preserve">SEGBEDJI Kuassi 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</si>
  <si>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2ème Année</t>
    </r>
  </si>
  <si>
    <t xml:space="preserve">ADJINAKOU Amadji Didier</t>
  </si>
  <si>
    <t xml:space="preserve">AGONKPAHOUN Arcadius N.</t>
  </si>
  <si>
    <t xml:space="preserve">AHOUANDJINOU S. Aimé</t>
  </si>
  <si>
    <t xml:space="preserve">AÏNA Michel</t>
  </si>
  <si>
    <t xml:space="preserve">MAIRIE C</t>
  </si>
  <si>
    <t xml:space="preserve">AKOTCHENOUDE N. Septime</t>
  </si>
  <si>
    <t xml:space="preserve">AKOWANOU D. Armelle</t>
  </si>
  <si>
    <t xml:space="preserve">APITHY Serge</t>
  </si>
  <si>
    <t xml:space="preserve">ATCHAHOUE Gilbert</t>
  </si>
  <si>
    <t xml:space="preserve">CHICOTO Hodonou Remy</t>
  </si>
  <si>
    <t xml:space="preserve">DJESSIN T. Dieudonné</t>
  </si>
  <si>
    <t xml:space="preserve">EZIN Nestor</t>
  </si>
  <si>
    <t xml:space="preserve">GBAGUIDI Sosthène</t>
  </si>
  <si>
    <t xml:space="preserve">HOUEHOUNDE C. Romain</t>
  </si>
  <si>
    <t xml:space="preserve">KOUOLA Ahmed</t>
  </si>
  <si>
    <t xml:space="preserve">KAKPOVI Isidore M.</t>
  </si>
  <si>
    <t xml:space="preserve">LOKO N. Ronald</t>
  </si>
  <si>
    <t xml:space="preserve">SANSAN Fabrice</t>
  </si>
  <si>
    <t xml:space="preserve">SEGOUN A. Aline</t>
  </si>
  <si>
    <t xml:space="preserve">SETO Codjo Henri</t>
  </si>
  <si>
    <t xml:space="preserve">TCHOROPA S. Faustin</t>
  </si>
  <si>
    <t xml:space="preserve">TOLEGBANON Christophe</t>
  </si>
  <si>
    <t xml:space="preserve">TONON Sévérin</t>
  </si>
  <si>
    <t xml:space="preserve">TOSSOU Messan Hypolite</t>
  </si>
  <si>
    <t xml:space="preserve">TOSSOU Ulriche Thierry</t>
  </si>
  <si>
    <r>
      <rPr>
        <b val="true"/>
        <i val="true"/>
        <sz val="14"/>
        <rFont val="Arial"/>
        <family val="2"/>
        <charset val="1"/>
      </rPr>
      <t xml:space="preserve">                 </t>
    </r>
    <r>
      <rPr>
        <b val="true"/>
        <i val="true"/>
        <u val="single"/>
        <sz val="14"/>
        <rFont val="Arial"/>
        <family val="2"/>
        <charset val="1"/>
      </rPr>
      <t xml:space="preserve">PRODUCTION ANIMALE 2ème Année</t>
    </r>
  </si>
  <si>
    <t xml:space="preserve">AKABASSI S. Baudelaire</t>
  </si>
  <si>
    <t xml:space="preserve">BIO BAGOU Guillaume</t>
  </si>
  <si>
    <t xml:space="preserve">CHABI G. Bio Rémy</t>
  </si>
  <si>
    <t xml:space="preserve">CHABI Omar Ismael</t>
  </si>
  <si>
    <t xml:space="preserve">DAGAN Sourou Bienvenu</t>
  </si>
  <si>
    <t xml:space="preserve">DAGBELOU A. Hervé</t>
  </si>
  <si>
    <t xml:space="preserve">DAGNITO Cossi Justin</t>
  </si>
  <si>
    <t xml:space="preserve">DEHA ZOHOUN Prudence</t>
  </si>
  <si>
    <t xml:space="preserve">DEKPE A. Judith Aurore</t>
  </si>
  <si>
    <t xml:space="preserve">DELIDJI Kouamé Marcien</t>
  </si>
  <si>
    <t xml:space="preserve">do REGO Arsène Alain</t>
  </si>
  <si>
    <t xml:space="preserve">DOHOUNGBO Philippe</t>
  </si>
  <si>
    <t xml:space="preserve">EDJO Odreyé</t>
  </si>
  <si>
    <t xml:space="preserve">KINGNIDE Moïse</t>
  </si>
  <si>
    <t xml:space="preserve">KINKPE Kpede Romeo</t>
  </si>
  <si>
    <t xml:space="preserve">KINNOUDO S. Bares</t>
  </si>
  <si>
    <t xml:space="preserve">OBE  O. Noël</t>
  </si>
  <si>
    <t xml:space="preserve">OROU BARAN Dagui</t>
  </si>
  <si>
    <t xml:space="preserve">OROU K. Farouk</t>
  </si>
  <si>
    <t xml:space="preserve">SABI MASSO Orou Barigui</t>
  </si>
  <si>
    <t xml:space="preserve">SAMADI Florent</t>
  </si>
  <si>
    <t xml:space="preserve">ZONATCHIA G. Gildas</t>
  </si>
  <si>
    <t xml:space="preserve">ZONATCHIA N. Serges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</si>
  <si>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ELECTRIQUE 2ème Année</t>
    </r>
  </si>
  <si>
    <t xml:space="preserve">AGBANGLANON Z. Judicael</t>
  </si>
  <si>
    <t xml:space="preserve">AKOTOMEY  Rodrigue Fredy</t>
  </si>
  <si>
    <t xml:space="preserve">DJOGNINOU N. Crépin</t>
  </si>
  <si>
    <t xml:space="preserve">DOSSOU B. Barthélémy</t>
  </si>
  <si>
    <t xml:space="preserve">GBEGAN A. Filibert</t>
  </si>
  <si>
    <t xml:space="preserve">HOUEHA K. Auguste</t>
  </si>
  <si>
    <t xml:space="preserve">METOGNIZO Martin Gilas</t>
  </si>
  <si>
    <t xml:space="preserve">TOCHENALI C. Claude Jody</t>
  </si>
  <si>
    <t xml:space="preserve">TOKPASSI Donald Placide</t>
  </si>
  <si>
    <t xml:space="preserve">TOKPE G. Télésphore</t>
  </si>
  <si>
    <t xml:space="preserve">YETONNOU Alain S. 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</si>
  <si>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2 ème Année</t>
    </r>
  </si>
  <si>
    <t xml:space="preserve">ADJANAN Yacoubou</t>
  </si>
  <si>
    <t xml:space="preserve">AGBAN ZINSOU Marcellin</t>
  </si>
  <si>
    <t xml:space="preserve">AÏDEKON Gabin</t>
  </si>
  <si>
    <t xml:space="preserve">ALIGBONON Y. Clotilde</t>
  </si>
  <si>
    <t xml:space="preserve">ASSEDE Rock Joachim G.</t>
  </si>
  <si>
    <t xml:space="preserve">DOUAKOUTCHE J. Françis</t>
  </si>
  <si>
    <t xml:space="preserve">GANDAHO Aïgba Crépin</t>
  </si>
  <si>
    <t xml:space="preserve">GNONLONFOUN Romuald</t>
  </si>
  <si>
    <t xml:space="preserve">HOUNSOU S. Eusèbe</t>
  </si>
  <si>
    <t xml:space="preserve">KODJOGBE Jean Baptiste E.</t>
  </si>
  <si>
    <t xml:space="preserve">LOKOSSOU A. Adolphe</t>
  </si>
  <si>
    <t xml:space="preserve">LOKOSSOU Giscard Brice</t>
  </si>
  <si>
    <t xml:space="preserve">MOUSSA Kamarou</t>
  </si>
  <si>
    <t xml:space="preserve">OKE Y. Yves</t>
  </si>
  <si>
    <t xml:space="preserve">POGNON Joël</t>
  </si>
  <si>
    <t xml:space="preserve">QUENUM E. Constantin</t>
  </si>
  <si>
    <t xml:space="preserve">SEFANDE D. Benjamin</t>
  </si>
  <si>
    <t xml:space="preserve">SOUSSOU Diane</t>
  </si>
  <si>
    <t xml:space="preserve">TCHANI S. Hassirou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</si>
  <si>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GESTION DE L'ENVIRONNEMENT.  2ème Année</t>
    </r>
  </si>
  <si>
    <t xml:space="preserve">ABOU ZOUNON Habib Akim</t>
  </si>
  <si>
    <t xml:space="preserve">AGBAOSSI O. Jérémie</t>
  </si>
  <si>
    <t xml:space="preserve">AGBEMADON Appolinaire</t>
  </si>
  <si>
    <t xml:space="preserve">AGLOSSI K. Aimé</t>
  </si>
  <si>
    <t xml:space="preserve">AGOMMA Aimé</t>
  </si>
  <si>
    <t xml:space="preserve">AHOTON Gilles D.</t>
  </si>
  <si>
    <t xml:space="preserve">AKOUEGNINOU I. Donald</t>
  </si>
  <si>
    <t xml:space="preserve">AKPO Ifedé Omega</t>
  </si>
  <si>
    <t xml:space="preserve">ALI O. Kamal Dine</t>
  </si>
  <si>
    <t xml:space="preserve">ALLOGNON Olivier </t>
  </si>
  <si>
    <t xml:space="preserve">ASSEGNISSO N. Jules</t>
  </si>
  <si>
    <t xml:space="preserve">ATINDEHOU E.Valerie</t>
  </si>
  <si>
    <t xml:space="preserve">BAHLEMAN Ramatou</t>
  </si>
  <si>
    <t xml:space="preserve">BOSSA Raïssa Ingrid</t>
  </si>
  <si>
    <t xml:space="preserve">CAPO-CHICHI Michael Segla</t>
  </si>
  <si>
    <t xml:space="preserve">DJINADOU Magido</t>
  </si>
  <si>
    <t xml:space="preserve">DJOUAH Enock Clovis</t>
  </si>
  <si>
    <t xml:space="preserve">DOSSA Emmanuel Gillux</t>
  </si>
  <si>
    <t xml:space="preserve">HOUEHA Magloire C.</t>
  </si>
  <si>
    <t xml:space="preserve">IDRISSOU Traoré</t>
  </si>
  <si>
    <t xml:space="preserve">KANGNI R. François</t>
  </si>
  <si>
    <t xml:space="preserve">KOUVEGLO Audrey Fernande</t>
  </si>
  <si>
    <t xml:space="preserve">KPOHOUNME Calixte</t>
  </si>
  <si>
    <t xml:space="preserve">MISSIKPODE G. Baudelaire</t>
  </si>
  <si>
    <t xml:space="preserve">OLAYE ADJERAN A. Freddy</t>
  </si>
  <si>
    <t xml:space="preserve">SAVASSI Armand Roméo</t>
  </si>
  <si>
    <t xml:space="preserve">SEKEDJA Mïngnak</t>
  </si>
  <si>
    <t xml:space="preserve">SIDI Abib Laye</t>
  </si>
  <si>
    <t xml:space="preserve">TOSSOU Victoire</t>
  </si>
  <si>
    <t xml:space="preserve">TOUDJI Charles Arthur</t>
  </si>
  <si>
    <t xml:space="preserve">ZANKPO K. Blaise</t>
  </si>
  <si>
    <t xml:space="preserve">ZIME Cessi Koto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</si>
  <si>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PRODUCTION VEGETALE. 2ème Année</t>
    </r>
  </si>
  <si>
    <t xml:space="preserve">ADAMOU Zouma</t>
  </si>
  <si>
    <t xml:space="preserve">AGBOHOUTO Calixte</t>
  </si>
  <si>
    <t xml:space="preserve">AGNIWO Victorin</t>
  </si>
  <si>
    <t xml:space="preserve">AGOHOUNDJE Claude</t>
  </si>
  <si>
    <t xml:space="preserve">AGOUNTCHEME S. Hortense</t>
  </si>
  <si>
    <t xml:space="preserve">AHLE Victoire</t>
  </si>
  <si>
    <t xml:space="preserve">AHOYO Michel</t>
  </si>
  <si>
    <t xml:space="preserve">AÏNOU Joël F.</t>
  </si>
  <si>
    <t xml:space="preserve">AÏZANNON Crespin Samuel</t>
  </si>
  <si>
    <t xml:space="preserve">AKABASSI Symphorien</t>
  </si>
  <si>
    <t xml:space="preserve">ATCHAHA I. Yaya</t>
  </si>
  <si>
    <t xml:space="preserve">AVINOU Samuel</t>
  </si>
  <si>
    <t xml:space="preserve">AWONTIME Maxim Ernest</t>
  </si>
  <si>
    <t xml:space="preserve">BANKOLE Albert</t>
  </si>
  <si>
    <t xml:space="preserve">BIO KPEREKE Y. Ayouba</t>
  </si>
  <si>
    <t xml:space="preserve">BOSSA C. Arielle</t>
  </si>
  <si>
    <t xml:space="preserve">BOUKARI Anous</t>
  </si>
  <si>
    <t xml:space="preserve">BOULOU M. Abdel Fadel</t>
  </si>
  <si>
    <t xml:space="preserve">BOUNONWA D. Antoine L.</t>
  </si>
  <si>
    <t xml:space="preserve">BOUSSARI A. Faozane</t>
  </si>
  <si>
    <t xml:space="preserve">BOUSSOUNDE Machoudou</t>
  </si>
  <si>
    <t xml:space="preserve">CHITOU RaÏmatou</t>
  </si>
  <si>
    <t xml:space="preserve">COFFI A. Nabyl</t>
  </si>
  <si>
    <t xml:space="preserve">DANSI DAGA Félix</t>
  </si>
  <si>
    <t xml:space="preserve">da SILVA Modeste Crépin</t>
  </si>
  <si>
    <t xml:space="preserve">DJEHOUE Job Oscar</t>
  </si>
  <si>
    <t xml:space="preserve">FAGNIDE G. Hervé</t>
  </si>
  <si>
    <t xml:space="preserve">FAWANOU S. Hyppolyte</t>
  </si>
  <si>
    <t xml:space="preserve">GANSE Alda Violenne</t>
  </si>
  <si>
    <t xml:space="preserve">GOUROUGBEGBA Guéra</t>
  </si>
  <si>
    <t xml:space="preserve">HONDI-ASSAH M. Clarence</t>
  </si>
  <si>
    <t xml:space="preserve">HOUEDOTE Bernadin</t>
  </si>
  <si>
    <t xml:space="preserve">HOUNDEBASSO Jean-Pierre</t>
  </si>
  <si>
    <t xml:space="preserve">HOUNKOU Eugène</t>
  </si>
  <si>
    <t xml:space="preserve">HOUNTONDJI Agossou Yvon</t>
  </si>
  <si>
    <t xml:space="preserve">HOUNTONDJI Fréjus</t>
  </si>
  <si>
    <t xml:space="preserve">HOUSSA Arsène</t>
  </si>
  <si>
    <t xml:space="preserve">KODOKOUI S. Arsène</t>
  </si>
  <si>
    <t xml:space="preserve">KPATINDE Jean Jaurès</t>
  </si>
  <si>
    <t xml:space="preserve">LOUKPE Saoudath Sabine</t>
  </si>
  <si>
    <t xml:space="preserve">MAMADOU Issa Dine</t>
  </si>
  <si>
    <t xml:space="preserve">MAMOUNOU M. Izoudeen</t>
  </si>
  <si>
    <t xml:space="preserve">n°43</t>
  </si>
  <si>
    <t xml:space="preserve">MIKO Gohoun Faustin</t>
  </si>
  <si>
    <t xml:space="preserve">n°44</t>
  </si>
  <si>
    <t xml:space="preserve">MONRA M. Yaya</t>
  </si>
  <si>
    <t xml:space="preserve">n°45</t>
  </si>
  <si>
    <t xml:space="preserve">MONTCHO Aubierge Edelbuge</t>
  </si>
  <si>
    <t xml:space="preserve">n°46</t>
  </si>
  <si>
    <t xml:space="preserve">MOUVI Pauline M.</t>
  </si>
  <si>
    <t xml:space="preserve">n°47</t>
  </si>
  <si>
    <t xml:space="preserve">NASSAM Rosaline</t>
  </si>
  <si>
    <t xml:space="preserve">n°48</t>
  </si>
  <si>
    <t xml:space="preserve">POGNON Codjo Firmin</t>
  </si>
  <si>
    <t xml:space="preserve">n°49</t>
  </si>
  <si>
    <t xml:space="preserve">SABARI I. Abdoulaye</t>
  </si>
  <si>
    <t xml:space="preserve">n°50</t>
  </si>
  <si>
    <t xml:space="preserve">SAÏZONOU Jolisse Inès</t>
  </si>
  <si>
    <t xml:space="preserve">n°51</t>
  </si>
  <si>
    <t xml:space="preserve">SALIFOU Moustafa</t>
  </si>
  <si>
    <t xml:space="preserve">n°52</t>
  </si>
  <si>
    <t xml:space="preserve">SEFANDE Joseph</t>
  </si>
  <si>
    <t xml:space="preserve">n°53</t>
  </si>
  <si>
    <t xml:space="preserve">TCHEHO S. Josiane</t>
  </si>
  <si>
    <t xml:space="preserve">n°54</t>
  </si>
  <si>
    <t xml:space="preserve">TEDE Marie Françoise</t>
  </si>
  <si>
    <t xml:space="preserve">n°55</t>
  </si>
  <si>
    <t xml:space="preserve">TOSSOU Gilles R. Arnaud</t>
  </si>
  <si>
    <t xml:space="preserve">n°56</t>
  </si>
  <si>
    <t xml:space="preserve">TOVIKINDE A. Carlos</t>
  </si>
  <si>
    <t xml:space="preserve">n°57</t>
  </si>
  <si>
    <t xml:space="preserve">ZINSOU Sonagnon Marc F.</t>
  </si>
  <si>
    <r>
      <rPr>
        <b val="true"/>
        <i val="true"/>
        <sz val="14"/>
        <rFont val="Arial"/>
        <family val="2"/>
        <charset val="1"/>
      </rPr>
      <t xml:space="preserve">                      </t>
    </r>
    <r>
      <rPr>
        <b val="true"/>
        <i val="true"/>
        <u val="single"/>
        <sz val="14"/>
        <rFont val="Arial"/>
        <family val="2"/>
        <charset val="1"/>
      </rPr>
      <t xml:space="preserve">GENIE RURAL. 2ème Année</t>
    </r>
  </si>
  <si>
    <t xml:space="preserve">ANAGONOU C. Firmin</t>
  </si>
  <si>
    <t xml:space="preserve">ASSOUMA Yaya</t>
  </si>
  <si>
    <t xml:space="preserve">ATALONON Anicet</t>
  </si>
  <si>
    <t xml:space="preserve">AWADJETINDE A. André</t>
  </si>
  <si>
    <t xml:space="preserve">BADOU Pacôme Gauthier</t>
  </si>
  <si>
    <t xml:space="preserve">BALOGOUN O. Eric</t>
  </si>
  <si>
    <t xml:space="preserve">BARKA Sara</t>
  </si>
  <si>
    <t xml:space="preserve">BIAOU A. Francis</t>
  </si>
  <si>
    <t xml:space="preserve">BIO BERI Ismaïla</t>
  </si>
  <si>
    <t xml:space="preserve">DAH MIGNONGBONON  Joseph</t>
  </si>
  <si>
    <t xml:space="preserve">DJIDOHOUN Sèyi</t>
  </si>
  <si>
    <t xml:space="preserve">GNONLONFOUN T. C. Louis</t>
  </si>
  <si>
    <t xml:space="preserve">GOUDJOVI Rodrigue</t>
  </si>
  <si>
    <t xml:space="preserve">KARIMOU Ibrahim</t>
  </si>
  <si>
    <t xml:space="preserve">OUAGOUSSOUNON B. Baga</t>
  </si>
  <si>
    <t xml:space="preserve">ZINHOUIN Appolinaire</t>
  </si>
  <si>
    <t xml:space="preserve">ZODOUGBEHO Jean Lucas</t>
  </si>
  <si>
    <t xml:space="preserve">ZOHOUNGBE Porrès</t>
  </si>
  <si>
    <t xml:space="preserve">ZOMAHOUN Diane Lydie</t>
  </si>
  <si>
    <r>
      <rPr>
        <b val="true"/>
        <i val="true"/>
        <sz val="14"/>
        <rFont val="Arial"/>
        <family val="2"/>
        <charset val="1"/>
      </rPr>
      <t xml:space="preserve">   </t>
    </r>
    <r>
      <rPr>
        <b val="true"/>
        <i val="true"/>
        <u val="single"/>
        <sz val="14"/>
        <rFont val="Arial"/>
        <family val="2"/>
        <charset val="1"/>
      </rPr>
      <t xml:space="preserve">MAINTENANCE INDUSTRIELLE  2 ème Année</t>
    </r>
  </si>
  <si>
    <t xml:space="preserve">ADJOTE K. Julien</t>
  </si>
  <si>
    <t xml:space="preserve">AGOSSOU Aristide</t>
  </si>
  <si>
    <t xml:space="preserve">AGOSSOU Edgard Achille</t>
  </si>
  <si>
    <t xml:space="preserve">AHOKPOSSI Agbéchéley</t>
  </si>
  <si>
    <t xml:space="preserve">CHEOU Maxime Patient</t>
  </si>
  <si>
    <t xml:space="preserve">DANDJO Paul Dossou</t>
  </si>
  <si>
    <t xml:space="preserve">GNONLONFOUN C. Florent</t>
  </si>
  <si>
    <t xml:space="preserve">HOUNYOVI Fidèle</t>
  </si>
  <si>
    <t xml:space="preserve">MENSANH Jean Baptiste</t>
  </si>
  <si>
    <t xml:space="preserve">SEHOUNOU Jean Luc</t>
  </si>
  <si>
    <r>
      <rPr>
        <b val="true"/>
        <i val="true"/>
        <sz val="14"/>
        <color rgb="FF000000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GENIE CIVIL . 3ème Année</t>
    </r>
  </si>
  <si>
    <t xml:space="preserve">ADIMI Esaie O. Samuel </t>
  </si>
  <si>
    <t xml:space="preserve">ADJASSA Abel</t>
  </si>
  <si>
    <t xml:space="preserve">ADOKO Christiane</t>
  </si>
  <si>
    <t xml:space="preserve">AKAKPO  Patrice</t>
  </si>
  <si>
    <t xml:space="preserve">AKPACA Léon Pascal</t>
  </si>
  <si>
    <t xml:space="preserve">ALAPINI Rock</t>
  </si>
  <si>
    <t xml:space="preserve">ALASSANE Ali  Moussa </t>
  </si>
  <si>
    <t xml:space="preserve">ALAYE Herman</t>
  </si>
  <si>
    <t xml:space="preserve">AMOUSSOU C.Paulin</t>
  </si>
  <si>
    <t xml:space="preserve">AZONDEKON Brigitte</t>
  </si>
  <si>
    <t xml:space="preserve">BENTO Blaise</t>
  </si>
  <si>
    <t xml:space="preserve">DJAFFO Augustin Sylvain</t>
  </si>
  <si>
    <t xml:space="preserve">DJIBRIL Manzour</t>
  </si>
  <si>
    <t xml:space="preserve">DJOÏ Arnaud</t>
  </si>
  <si>
    <t xml:space="preserve">DOGBOVI Elie</t>
  </si>
  <si>
    <t xml:space="preserve">ESSAH Eliphaz</t>
  </si>
  <si>
    <t xml:space="preserve">FATIOU Gafar</t>
  </si>
  <si>
    <t xml:space="preserve">GBAGUIDI Léonce Juste</t>
  </si>
  <si>
    <t xml:space="preserve">GBEDOLO Hermes</t>
  </si>
  <si>
    <t xml:space="preserve">HINVIGA Vivien</t>
  </si>
  <si>
    <t xml:space="preserve">HOUEGBEME S. Jules</t>
  </si>
  <si>
    <t xml:space="preserve">HODONOU Cossi Dominique</t>
  </si>
  <si>
    <t xml:space="preserve">HOUEGBELO M. Quenette</t>
  </si>
  <si>
    <t xml:space="preserve">HOUESSOUVO K. Alfred</t>
  </si>
  <si>
    <t xml:space="preserve">HOUNMASSE Cosme</t>
  </si>
  <si>
    <t xml:space="preserve">KAKANAKOU Dossou Theault</t>
  </si>
  <si>
    <t xml:space="preserve">KIOSSA S. Espédit</t>
  </si>
  <si>
    <t xml:space="preserve">LOKA Soumaïla</t>
  </si>
  <si>
    <t xml:space="preserve">NAHUM Coffi Alphonse</t>
  </si>
  <si>
    <t xml:space="preserve">OLOU Eric Césaire</t>
  </si>
  <si>
    <t xml:space="preserve">SEIDOU Riyal</t>
  </si>
  <si>
    <t xml:space="preserve">SOUMAHO Stanislas</t>
  </si>
  <si>
    <t xml:space="preserve">TONAHIN H. Anicet</t>
  </si>
  <si>
    <t xml:space="preserve">TOSSAVI Bruno Dexter</t>
  </si>
  <si>
    <t xml:space="preserve">VARISSOU Idrissou</t>
  </si>
  <si>
    <t xml:space="preserve">YACOBI  Kouessi Michel</t>
  </si>
  <si>
    <r>
      <rPr>
        <b val="true"/>
        <i val="true"/>
        <sz val="14"/>
        <color rgb="FF000000"/>
        <rFont val="Arial"/>
        <family val="2"/>
        <charset val="1"/>
      </rPr>
      <t xml:space="preserve">    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PRODUCTION ANIMALE. 3ème Année</t>
    </r>
  </si>
  <si>
    <t xml:space="preserve">ADE K. Valéry</t>
  </si>
  <si>
    <t xml:space="preserve">ADIMI C. Armand</t>
  </si>
  <si>
    <t xml:space="preserve">AGBALLA Abdel Raouf</t>
  </si>
  <si>
    <t xml:space="preserve">AGBAZE J. Célestin</t>
  </si>
  <si>
    <t xml:space="preserve">AKPO O. Françis</t>
  </si>
  <si>
    <t xml:space="preserve">AZABOU H. Pamphile</t>
  </si>
  <si>
    <t xml:space="preserve">BAGUIRI Farouk</t>
  </si>
  <si>
    <t xml:space="preserve">BAWA Hamissou</t>
  </si>
  <si>
    <t xml:space="preserve">CECILIO Verdal Servère</t>
  </si>
  <si>
    <t xml:space="preserve">DAVITO A. Colette</t>
  </si>
  <si>
    <t xml:space="preserve">DIDAVI  Laetitia</t>
  </si>
  <si>
    <t xml:space="preserve">DINALON Michel</t>
  </si>
  <si>
    <t xml:space="preserve">DJOGNINOU Arnaud</t>
  </si>
  <si>
    <t xml:space="preserve">EL HADJ ABDOULAYE Maliki</t>
  </si>
  <si>
    <t xml:space="preserve">FANOU Y. Arnaud </t>
  </si>
  <si>
    <t xml:space="preserve">GBEGNON Iréné</t>
  </si>
  <si>
    <t xml:space="preserve">HONVO Gontran Emmanuel</t>
  </si>
  <si>
    <t xml:space="preserve">LOKONON Marc Aurel S.</t>
  </si>
  <si>
    <t xml:space="preserve">MAMA Abdoul Razack</t>
  </si>
  <si>
    <t xml:space="preserve">OROU WARA Issifou</t>
  </si>
  <si>
    <t xml:space="preserve">OUOROU B. Z. Karimou</t>
  </si>
  <si>
    <t xml:space="preserve">SAMSON ODOU Bonaventure</t>
  </si>
  <si>
    <t xml:space="preserve">SANNI D. Razakou</t>
  </si>
  <si>
    <t xml:space="preserve">SIDI MAMA Sero Naffiou</t>
  </si>
  <si>
    <t xml:space="preserve">SOSSOU Achile</t>
  </si>
  <si>
    <t xml:space="preserve">SOULE SALIFOU Nouhoun</t>
  </si>
  <si>
    <t xml:space="preserve">TEKO Kouassivi Euloge</t>
  </si>
  <si>
    <t xml:space="preserve">TIAMIOU Salaou Moussibaou</t>
  </si>
  <si>
    <t xml:space="preserve">TOHOUEGNON Romain </t>
  </si>
  <si>
    <t xml:space="preserve">TOUMOUDAGOU N'tcha</t>
  </si>
  <si>
    <r>
      <rPr>
        <b val="true"/>
        <i val="true"/>
        <sz val="14"/>
        <color rgb="FF000000"/>
        <rFont val="Arial"/>
        <family val="2"/>
        <charset val="1"/>
      </rPr>
      <t xml:space="preserve">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GENIE ELECTRIQUE. 3ème Année</t>
    </r>
  </si>
  <si>
    <t xml:space="preserve">ABBEY S. Marcellin</t>
  </si>
  <si>
    <t xml:space="preserve">AHOUANGONOU Rubens</t>
  </si>
  <si>
    <t xml:space="preserve">ALAPINI Angèle Y.</t>
  </si>
  <si>
    <t xml:space="preserve">AMOUSSOU Armel Eugène</t>
  </si>
  <si>
    <t xml:space="preserve">GANDONOU Saturnin</t>
  </si>
  <si>
    <t xml:space="preserve">GANYE Constantin</t>
  </si>
  <si>
    <t xml:space="preserve">IDRISSOU Ismaïla</t>
  </si>
  <si>
    <t xml:space="preserve">NOUNAWA M. Pièrre</t>
  </si>
  <si>
    <t xml:space="preserve">SETONDJI-DEFODJI Alphonse</t>
  </si>
  <si>
    <t xml:space="preserve">SOGLO K. Fredy</t>
  </si>
  <si>
    <t xml:space="preserve">VIDEGLA Cakpo Thierry</t>
  </si>
  <si>
    <r>
      <rPr>
        <b val="true"/>
        <i val="true"/>
        <sz val="14"/>
        <color rgb="FF000000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HYDRAULIQUE. 3ème Année</t>
    </r>
  </si>
  <si>
    <t xml:space="preserve">AGBLO Christian </t>
  </si>
  <si>
    <t xml:space="preserve">AKETEKPE Hervé</t>
  </si>
  <si>
    <t xml:space="preserve">ALOMAFAN Euloge</t>
  </si>
  <si>
    <t xml:space="preserve">BLEOSSI C. David</t>
  </si>
  <si>
    <t xml:space="preserve">DEGBEY Daniel</t>
  </si>
  <si>
    <t xml:space="preserve">HOUNDONOUGBO A. Florent</t>
  </si>
  <si>
    <t xml:space="preserve">HOUNGLA Pierrot Guy</t>
  </si>
  <si>
    <t xml:space="preserve">HOUNKANDJI Jacques</t>
  </si>
  <si>
    <t xml:space="preserve">KOUADJA Hermann</t>
  </si>
  <si>
    <t xml:space="preserve">MADJA K. Dieudonné </t>
  </si>
  <si>
    <t xml:space="preserve">MELE Jeannot</t>
  </si>
  <si>
    <t xml:space="preserve">N'TCHA O. Hyppolyte</t>
  </si>
  <si>
    <t xml:space="preserve">SOUMANOU B. Issiaka</t>
  </si>
  <si>
    <t xml:space="preserve">TCHEHOUALI Yalinkpon</t>
  </si>
  <si>
    <t xml:space="preserve">TOGBE S. Dominique</t>
  </si>
  <si>
    <t xml:space="preserve">ZINSOU Kodja Emile</t>
  </si>
  <si>
    <r>
      <rPr>
        <b val="true"/>
        <i val="true"/>
        <sz val="14"/>
        <color rgb="FF000000"/>
        <rFont val="Arial"/>
        <family val="2"/>
        <charset val="1"/>
      </rPr>
      <t xml:space="preserve">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GESTION DE L'ENVIRONNEMENT. 3ème Année</t>
    </r>
  </si>
  <si>
    <t xml:space="preserve">ABOUDOULAYE Issa</t>
  </si>
  <si>
    <t xml:space="preserve">ADAM I. Abasse</t>
  </si>
  <si>
    <t xml:space="preserve">ADANHOUNSODE Simplice</t>
  </si>
  <si>
    <t xml:space="preserve">ADECHI Koudous</t>
  </si>
  <si>
    <t xml:space="preserve">AGBONOUGLA Emile</t>
  </si>
  <si>
    <t xml:space="preserve">AGUESSI Zacharie</t>
  </si>
  <si>
    <t xml:space="preserve">ALLOGAN Zinsou Epiphane</t>
  </si>
  <si>
    <t xml:space="preserve">ALLOGNON Armand</t>
  </si>
  <si>
    <t xml:space="preserve">AROGOUN A. Tanko</t>
  </si>
  <si>
    <t xml:space="preserve">AZELOKONON Charmelle</t>
  </si>
  <si>
    <t xml:space="preserve">BIAO O. Aliassou</t>
  </si>
  <si>
    <t xml:space="preserve">BIAOU S. Wahab</t>
  </si>
  <si>
    <t xml:space="preserve">BINAZON N. Valère</t>
  </si>
  <si>
    <t xml:space="preserve">BOGNINOU Jem Paul</t>
  </si>
  <si>
    <t xml:space="preserve">BOUKARI Mamoudou</t>
  </si>
  <si>
    <t xml:space="preserve">DANSI S. Donatien</t>
  </si>
  <si>
    <t xml:space="preserve">DAVID G. Eric Y.</t>
  </si>
  <si>
    <t xml:space="preserve">DIATEMA Bouhari</t>
  </si>
  <si>
    <t xml:space="preserve">EZIN BABA Thiérry</t>
  </si>
  <si>
    <t xml:space="preserve">FADEGNON D. Marc Alfred</t>
  </si>
  <si>
    <t xml:space="preserve">GABA Olouchegoun Cedrick</t>
  </si>
  <si>
    <t xml:space="preserve">HOUINDO E. Eric</t>
  </si>
  <si>
    <t xml:space="preserve">HOUNYO Abey Nicolas </t>
  </si>
  <si>
    <t xml:space="preserve">KOUAGOU Yombo</t>
  </si>
  <si>
    <t xml:space="preserve">MADEGNAN Simphorien</t>
  </si>
  <si>
    <t xml:space="preserve">MAMA GAO Gaichi</t>
  </si>
  <si>
    <t xml:space="preserve">MEHOU A. Didier</t>
  </si>
  <si>
    <t xml:space="preserve">NONFON Charles</t>
  </si>
  <si>
    <t xml:space="preserve">PEDANOU M. Toussaint</t>
  </si>
  <si>
    <t xml:space="preserve">POENOU Walter A.</t>
  </si>
  <si>
    <t xml:space="preserve">SAMBO Abdou</t>
  </si>
  <si>
    <t xml:space="preserve">SEGNONNA Jules P.</t>
  </si>
  <si>
    <t xml:space="preserve">SIDI Dramane Abdou R. </t>
  </si>
  <si>
    <t xml:space="preserve">SOGBA Bernadin W.</t>
  </si>
  <si>
    <t xml:space="preserve">TCHIWANOU B. Damase</t>
  </si>
  <si>
    <t xml:space="preserve">ZINHOUIN C. Curie</t>
  </si>
  <si>
    <r>
      <rPr>
        <b val="true"/>
        <i val="true"/>
        <sz val="12"/>
        <color rgb="FF000000"/>
        <rFont val="Arial"/>
        <family val="2"/>
        <charset val="1"/>
      </rPr>
      <t xml:space="preserve">            </t>
    </r>
    <r>
      <rPr>
        <b val="true"/>
        <i val="true"/>
        <u val="single"/>
        <sz val="12"/>
        <color rgb="FF000000"/>
        <rFont val="Arial"/>
        <family val="2"/>
        <charset val="1"/>
      </rPr>
      <t xml:space="preserve">PRODUCTION VEGETALE. 3ème Année</t>
    </r>
  </si>
  <si>
    <t xml:space="preserve">ABDOULAYE Tchèdre T.</t>
  </si>
  <si>
    <t xml:space="preserve">ABOKI E. Franck</t>
  </si>
  <si>
    <t xml:space="preserve">ADJAOKE A. Marc</t>
  </si>
  <si>
    <t xml:space="preserve">AGASSOUNON N. T. Thecle</t>
  </si>
  <si>
    <t xml:space="preserve">AGBALENON Juldith</t>
  </si>
  <si>
    <t xml:space="preserve">AGOSSA Josiane</t>
  </si>
  <si>
    <t xml:space="preserve">AGOUNTCHEME Sètondji Pascal</t>
  </si>
  <si>
    <t xml:space="preserve">AHOGA H. Landry</t>
  </si>
  <si>
    <t xml:space="preserve">AHOSSI Sylvestre</t>
  </si>
  <si>
    <t xml:space="preserve">AKOTENOU A. Lidwine</t>
  </si>
  <si>
    <t xml:space="preserve">ALASSANE Idrissou </t>
  </si>
  <si>
    <t xml:space="preserve">ALLADAYE Sveet Rodrigue</t>
  </si>
  <si>
    <t xml:space="preserve">ASSIHOU Gildas</t>
  </si>
  <si>
    <t xml:space="preserve">ASSONGBA Denis</t>
  </si>
  <si>
    <t xml:space="preserve">AWAZE Jules</t>
  </si>
  <si>
    <t xml:space="preserve">AZON A. Miguel</t>
  </si>
  <si>
    <t xml:space="preserve">BABIO B. Yacoubou</t>
  </si>
  <si>
    <t xml:space="preserve">BACHABI A. Kadiri</t>
  </si>
  <si>
    <t xml:space="preserve">BACHABI MAMA Fouad</t>
  </si>
  <si>
    <t xml:space="preserve">BIOKOU Christine</t>
  </si>
  <si>
    <t xml:space="preserve">BOHOUN Bernadette </t>
  </si>
  <si>
    <t xml:space="preserve">CODJIA Y. Euloge</t>
  </si>
  <si>
    <t xml:space="preserve">DAGASSA C. Roland</t>
  </si>
  <si>
    <t xml:space="preserve">DAKO Marie Rodrigue</t>
  </si>
  <si>
    <t xml:space="preserve">DATINNON S. Josaphat</t>
  </si>
  <si>
    <t xml:space="preserve">DJAGLO W. Harold</t>
  </si>
  <si>
    <t xml:space="preserve">DJOSSIN Achille</t>
  </si>
  <si>
    <t xml:space="preserve">DJOUKLIKO Kossi</t>
  </si>
  <si>
    <t xml:space="preserve">DOGBLE A. Edwige</t>
  </si>
  <si>
    <t xml:space="preserve">ESTEVE Tatiana Victoire</t>
  </si>
  <si>
    <t xml:space="preserve">FAMBO C. Oscar</t>
  </si>
  <si>
    <t xml:space="preserve">GANDAHO MIKO Robert</t>
  </si>
  <si>
    <t xml:space="preserve">GBEHO R. Binanzon</t>
  </si>
  <si>
    <t xml:space="preserve">GOUETE Adjoua Marie</t>
  </si>
  <si>
    <t xml:space="preserve">GOUNOU Boris Landry</t>
  </si>
  <si>
    <t xml:space="preserve">HOUESSOU Casimir</t>
  </si>
  <si>
    <t xml:space="preserve">HOUYEME Bernard</t>
  </si>
  <si>
    <t xml:space="preserve">KINTOGANDOU Hervé</t>
  </si>
  <si>
    <t xml:space="preserve">KINTOHOU K. Chimène </t>
  </si>
  <si>
    <t xml:space="preserve">KOMBETTO Robert</t>
  </si>
  <si>
    <t xml:space="preserve">KOTCHONI  Sara</t>
  </si>
  <si>
    <t xml:space="preserve">LEGBANON Ida</t>
  </si>
  <si>
    <t xml:space="preserve">NOUATIN Jesouton Théodore</t>
  </si>
  <si>
    <t xml:space="preserve">N'DAH Alphonse</t>
  </si>
  <si>
    <t xml:space="preserve">N'DAH Tchanti</t>
  </si>
  <si>
    <t xml:space="preserve">OTEKPO Aristide</t>
  </si>
  <si>
    <t xml:space="preserve">PIO Ferdinand Nasser</t>
  </si>
  <si>
    <t xml:space="preserve">SEIDOU CHABI Orou Zakari</t>
  </si>
  <si>
    <t xml:space="preserve">SODJI Barnabé</t>
  </si>
  <si>
    <t xml:space="preserve">TOSSA Berne Rodrigue</t>
  </si>
  <si>
    <t xml:space="preserve">ZANCLAN Karl </t>
  </si>
  <si>
    <t xml:space="preserve">ZODOME Gildas</t>
  </si>
  <si>
    <t xml:space="preserve">          MAINTENANCE INDUSTRIELLE. 3ème Année</t>
  </si>
  <si>
    <t xml:space="preserve">ADJANOHOUN Bertrand</t>
  </si>
  <si>
    <t xml:space="preserve">ADJEHOUNOU Charly V.</t>
  </si>
  <si>
    <t xml:space="preserve">AGBLONON HOUELOME Justhe</t>
  </si>
  <si>
    <t xml:space="preserve">ATTOLOU Pacôme</t>
  </si>
  <si>
    <t xml:space="preserve">CODJO Simon</t>
  </si>
  <si>
    <t xml:space="preserve">GOUDJANOU S. Baudelaire</t>
  </si>
  <si>
    <t xml:space="preserve">HOUEDANOU Angelo S.</t>
  </si>
  <si>
    <t xml:space="preserve">SOVI-GUIDI Edgard Codjo</t>
  </si>
  <si>
    <t xml:space="preserve">TOHOUNTA D. Alexis</t>
  </si>
  <si>
    <t xml:space="preserve">ZIMONSE Léonce Hervé</t>
  </si>
  <si>
    <r>
      <rPr>
        <b val="true"/>
        <i val="true"/>
        <sz val="14"/>
        <color rgb="FF000000"/>
        <rFont val="Arial"/>
        <family val="2"/>
        <charset val="1"/>
      </rPr>
      <t xml:space="preserve">                                </t>
    </r>
    <r>
      <rPr>
        <b val="true"/>
        <i val="true"/>
        <u val="single"/>
        <sz val="14"/>
        <color rgb="FF000000"/>
        <rFont val="Arial"/>
        <family val="2"/>
        <charset val="1"/>
      </rPr>
      <t xml:space="preserve">GENIE RURAL 3ème Année</t>
    </r>
  </si>
  <si>
    <t xml:space="preserve">AKIN Tayewo Cosme</t>
  </si>
  <si>
    <t xml:space="preserve">ALADJI MOKO Alidou</t>
  </si>
  <si>
    <t xml:space="preserve">AMADOU G. Ahmed</t>
  </si>
  <si>
    <t xml:space="preserve">BEHANZIN Eloi</t>
  </si>
  <si>
    <t xml:space="preserve">BODJRENOU Philippe</t>
  </si>
  <si>
    <t xml:space="preserve">DANGNIGBE Edmond Christian</t>
  </si>
  <si>
    <t xml:space="preserve">GNAMBODE M. Amen</t>
  </si>
  <si>
    <t xml:space="preserve">GOUSSI C. Renaud</t>
  </si>
  <si>
    <t xml:space="preserve">GUELIFO Etienne</t>
  </si>
  <si>
    <t xml:space="preserve">HOUENOU A. Joachim</t>
  </si>
  <si>
    <t xml:space="preserve">HOUESSOU M. Gyslain</t>
  </si>
  <si>
    <t xml:space="preserve">HOUNSOU S. Philippe</t>
  </si>
  <si>
    <t xml:space="preserve">KOBA Aristide</t>
  </si>
  <si>
    <t xml:space="preserve">LEDEDJI S. Gérard</t>
  </si>
  <si>
    <t xml:space="preserve">MAHOUTONDJI Albert</t>
  </si>
  <si>
    <t xml:space="preserve">OBOSSOU M. Gilles</t>
  </si>
  <si>
    <t xml:space="preserve">RADJI  Mouritala</t>
  </si>
  <si>
    <t xml:space="preserve">SOSSOU N. Eloi</t>
  </si>
  <si>
    <t xml:space="preserve">VISSOH G. Alain</t>
  </si>
  <si>
    <t xml:space="preserve">WOUINSA Y. Yves</t>
  </si>
  <si>
    <t xml:space="preserve">                               QUATRIEME ANNEE</t>
  </si>
  <si>
    <r>
      <rPr>
        <b val="true"/>
        <i val="true"/>
        <sz val="9"/>
        <rFont val="Arial"/>
        <family val="2"/>
        <charset val="1"/>
      </rPr>
      <t xml:space="preserve">            </t>
    </r>
    <r>
      <rPr>
        <b val="true"/>
        <i val="true"/>
        <u val="single"/>
        <sz val="9"/>
        <rFont val="Arial"/>
        <family val="2"/>
        <charset val="1"/>
      </rPr>
      <t xml:space="preserve">GENIE CIVIL</t>
    </r>
  </si>
  <si>
    <t xml:space="preserve">ADJADI Radji</t>
  </si>
  <si>
    <t xml:space="preserve">AGBENONZAN Irenée E.</t>
  </si>
  <si>
    <t xml:space="preserve">AGBESSI Anasthase</t>
  </si>
  <si>
    <t xml:space="preserve">AIGBE Eric Faulkner</t>
  </si>
  <si>
    <t xml:space="preserve">AKPAN V. Simplice Franck</t>
  </si>
  <si>
    <t xml:space="preserve">AMOUSSOU Thierry L. G.</t>
  </si>
  <si>
    <t xml:space="preserve">ASSOGBA L. Séraphin Guy</t>
  </si>
  <si>
    <t xml:space="preserve">BARKA Ikoro Tairou G.</t>
  </si>
  <si>
    <t xml:space="preserve">CHOGOLOU O. Renaud</t>
  </si>
  <si>
    <t xml:space="preserve">DASSI A. Crespin Amour</t>
  </si>
  <si>
    <t xml:space="preserve">DJOMATIN S. Victor A.</t>
  </si>
  <si>
    <t xml:space="preserve">DJONOU Koffi</t>
  </si>
  <si>
    <t xml:space="preserve">DJOSSOU Comlan Roger</t>
  </si>
  <si>
    <t xml:space="preserve">DJOUA Falcao Morel</t>
  </si>
  <si>
    <t xml:space="preserve">GBAGUIDI A. Patrick S.</t>
  </si>
  <si>
    <t xml:space="preserve">GANHOU Félicien</t>
  </si>
  <si>
    <t xml:space="preserve">GNACADJA S. Bénédicta</t>
  </si>
  <si>
    <t xml:space="preserve">GNONHOUE Eric Wilfried</t>
  </si>
  <si>
    <t xml:space="preserve">IDRISSOU Bounonyaminou</t>
  </si>
  <si>
    <t xml:space="preserve">IMBGA Williame N'so</t>
  </si>
  <si>
    <t xml:space="preserve">KASSA Armand Comlan </t>
  </si>
  <si>
    <t xml:space="preserve">KOUCOUBOU G. Roland</t>
  </si>
  <si>
    <t xml:space="preserve">KOUNOUDJI Y. Magloire </t>
  </si>
  <si>
    <t xml:space="preserve">MONGUEDE Bruno Roméo</t>
  </si>
  <si>
    <t xml:space="preserve">QUENUM Henri</t>
  </si>
  <si>
    <t xml:space="preserve">QUENUM Kossi</t>
  </si>
  <si>
    <t xml:space="preserve">,</t>
  </si>
  <si>
    <t xml:space="preserve">SEGOUN Prudence Gérard</t>
  </si>
  <si>
    <t xml:space="preserve">SOSSOU Spéro Martial</t>
  </si>
  <si>
    <t xml:space="preserve">TCHOROUE Sonita Pierre</t>
  </si>
  <si>
    <t xml:space="preserve">THOKPON Rufine</t>
  </si>
  <si>
    <t xml:space="preserve">TONON Constant Dossou</t>
  </si>
  <si>
    <t xml:space="preserve">VIVENOU Clément N.</t>
  </si>
  <si>
    <t xml:space="preserve">YOMBO Etienne</t>
  </si>
  <si>
    <r>
      <rPr>
        <b val="true"/>
        <i val="true"/>
        <sz val="9"/>
        <rFont val="Arial"/>
        <family val="2"/>
        <charset val="1"/>
      </rPr>
      <t xml:space="preserve">                 </t>
    </r>
    <r>
      <rPr>
        <b val="true"/>
        <i val="true"/>
        <u val="single"/>
        <sz val="9"/>
        <rFont val="Arial"/>
        <family val="2"/>
        <charset val="1"/>
      </rPr>
      <t xml:space="preserve">PRODUCTION ANIMALE</t>
    </r>
  </si>
  <si>
    <t xml:space="preserve">AGBANLIN A.Geoffroy</t>
  </si>
  <si>
    <t xml:space="preserve">AHOLOU Raoul Baudouin</t>
  </si>
  <si>
    <t xml:space="preserve">AHOSSI Chalus Macoorie</t>
  </si>
  <si>
    <t xml:space="preserve">ALASSANE Bourhanath</t>
  </si>
  <si>
    <t xml:space="preserve">AMIDOU Ibrahima</t>
  </si>
  <si>
    <t xml:space="preserve">ATEMBA Kossi Grégoire</t>
  </si>
  <si>
    <t xml:space="preserve">AZONGNIDE B. Franck</t>
  </si>
  <si>
    <t xml:space="preserve">BANI KOGUI SALLOU</t>
  </si>
  <si>
    <t xml:space="preserve">DAMBO Urielle A. Ninon</t>
  </si>
  <si>
    <t xml:space="preserve">DEGUENON Olivier Cyprien</t>
  </si>
  <si>
    <t xml:space="preserve">DJIBRIL A. Sharafa Dine</t>
  </si>
  <si>
    <t xml:space="preserve">DJOSSOU A. M. Rodrigue</t>
  </si>
  <si>
    <t xml:space="preserve">HINVI Lédédji Placide</t>
  </si>
  <si>
    <t xml:space="preserve">KOUMODJI COFFI</t>
  </si>
  <si>
    <t xml:space="preserve">MAMA Assouma</t>
  </si>
  <si>
    <t xml:space="preserve">OGOU A. Joel</t>
  </si>
  <si>
    <t xml:space="preserve">SETAMOU Orou Koto</t>
  </si>
  <si>
    <t xml:space="preserve">TEKODJINAN Théodule</t>
  </si>
  <si>
    <t xml:space="preserve">TOVIEHOU A. Blanche</t>
  </si>
  <si>
    <t xml:space="preserve">VISSOH A. M. Ange Ephrem</t>
  </si>
  <si>
    <t xml:space="preserve">YACOUBOU A Sidicou </t>
  </si>
  <si>
    <r>
      <rPr>
        <b val="true"/>
        <i val="true"/>
        <sz val="9"/>
        <rFont val="Arial"/>
        <family val="2"/>
        <charset val="1"/>
      </rPr>
      <t xml:space="preserve">          </t>
    </r>
    <r>
      <rPr>
        <b val="true"/>
        <i val="true"/>
        <u val="single"/>
        <sz val="9"/>
        <rFont val="Arial"/>
        <family val="2"/>
        <charset val="1"/>
      </rPr>
      <t xml:space="preserve">GENIE  ELECTRIQUE</t>
    </r>
  </si>
  <si>
    <t xml:space="preserve">AGLOBOE K. Gyres F.</t>
  </si>
  <si>
    <t xml:space="preserve">ATCHOU Séraphin</t>
  </si>
  <si>
    <t xml:space="preserve">AWOUDJINOU Sourou</t>
  </si>
  <si>
    <t xml:space="preserve">BALOGOUN Lidwine Ines</t>
  </si>
  <si>
    <t xml:space="preserve">DAA-GOUNON T. Claude</t>
  </si>
  <si>
    <t xml:space="preserve">De MONTAGUER Léonce</t>
  </si>
  <si>
    <t xml:space="preserve">HOUNTONNAGNON Edith</t>
  </si>
  <si>
    <t xml:space="preserve">HOUNDJO Mawudjro</t>
  </si>
  <si>
    <t xml:space="preserve">KOUASSI K. Fulgence</t>
  </si>
  <si>
    <t xml:space="preserve">NANGBE Médard Innocent</t>
  </si>
  <si>
    <t xml:space="preserve">SEFANDE Patema M. E.</t>
  </si>
  <si>
    <t xml:space="preserve">SOVI-GUIDI Baudouin</t>
  </si>
  <si>
    <r>
      <rPr>
        <b val="true"/>
        <i val="true"/>
        <sz val="9"/>
        <rFont val="Arial"/>
        <family val="2"/>
        <charset val="1"/>
      </rPr>
      <t xml:space="preserve">           </t>
    </r>
    <r>
      <rPr>
        <b val="true"/>
        <i val="true"/>
        <u val="single"/>
        <sz val="9"/>
        <rFont val="Arial"/>
        <family val="2"/>
        <charset val="1"/>
      </rPr>
      <t xml:space="preserve">HYDRAULIQUE</t>
    </r>
  </si>
  <si>
    <t xml:space="preserve">ADJAÏ H. A. Richie</t>
  </si>
  <si>
    <t xml:space="preserve">AHOGLE G. Ghyslain</t>
  </si>
  <si>
    <t xml:space="preserve">AHOUANGONOU . Jean</t>
  </si>
  <si>
    <t xml:space="preserve">AITCHEOU Marius</t>
  </si>
  <si>
    <t xml:space="preserve">AMADAH Malwane</t>
  </si>
  <si>
    <t xml:space="preserve">AZIAKOU Donald W.</t>
  </si>
  <si>
    <t xml:space="preserve">BOCO S. Romaric Camporé</t>
  </si>
  <si>
    <t xml:space="preserve">DEGNON K. Jean-Marie</t>
  </si>
  <si>
    <t xml:space="preserve">HOUESSIONON A. Serge</t>
  </si>
  <si>
    <t xml:space="preserve">MESSAN E. Samuel</t>
  </si>
  <si>
    <t xml:space="preserve">M'PO KOUAGOU Eugène</t>
  </si>
  <si>
    <t xml:space="preserve">NONVIGNON A. Euloge  </t>
  </si>
  <si>
    <t xml:space="preserve">OGOUWALE Sylvestre</t>
  </si>
  <si>
    <t xml:space="preserve">OLAHANMI Charafa</t>
  </si>
  <si>
    <t xml:space="preserve">OUOROU Ignace</t>
  </si>
  <si>
    <t xml:space="preserve">SOH A. Elie</t>
  </si>
  <si>
    <t xml:space="preserve">TAIROU A. Nourou</t>
  </si>
  <si>
    <t xml:space="preserve">ZANCLAN B. Yves</t>
  </si>
  <si>
    <t xml:space="preserve">ZANMENOU André</t>
  </si>
  <si>
    <r>
      <rPr>
        <b val="true"/>
        <i val="true"/>
        <sz val="9"/>
        <rFont val="Arial"/>
        <family val="2"/>
        <charset val="1"/>
      </rPr>
      <t xml:space="preserve">  </t>
    </r>
    <r>
      <rPr>
        <b val="true"/>
        <i val="true"/>
        <u val="single"/>
        <sz val="9"/>
        <rFont val="Arial"/>
        <family val="2"/>
        <charset val="1"/>
      </rPr>
      <t xml:space="preserve">GESTION DE L'ENVIRONNEMENT </t>
    </r>
  </si>
  <si>
    <t xml:space="preserve">ADJIBI OSSENI Razak</t>
  </si>
  <si>
    <t xml:space="preserve">AGOSSE Ambroise</t>
  </si>
  <si>
    <t xml:space="preserve">AGUI Roger</t>
  </si>
  <si>
    <t xml:space="preserve">EDJADESSIBA Marc</t>
  </si>
  <si>
    <t xml:space="preserve">GANMENON Kponou I.</t>
  </si>
  <si>
    <t xml:space="preserve">GNANHOUI S. Corentin</t>
  </si>
  <si>
    <t xml:space="preserve">HOUNTON HOUNGUE Mathias.</t>
  </si>
  <si>
    <t xml:space="preserve">KOUHOLI Clétus Osar</t>
  </si>
  <si>
    <t xml:space="preserve">KOUMASSEGBO K. Armel</t>
  </si>
  <si>
    <t xml:space="preserve">KOUNLE A. Gabriel</t>
  </si>
  <si>
    <t xml:space="preserve">KPOTON Gilbert</t>
  </si>
  <si>
    <t xml:space="preserve">N'VENIHOUNDE H. H.</t>
  </si>
  <si>
    <t xml:space="preserve">YANGUENON Coffi B.</t>
  </si>
  <si>
    <t xml:space="preserve">ZANDAGBA Glawdys</t>
  </si>
  <si>
    <t xml:space="preserve">ZINSALO S. Rodrigue</t>
  </si>
  <si>
    <r>
      <rPr>
        <b val="true"/>
        <i val="true"/>
        <sz val="9"/>
        <rFont val="Arial"/>
        <family val="2"/>
        <charset val="1"/>
      </rPr>
      <t xml:space="preserve">    </t>
    </r>
    <r>
      <rPr>
        <b val="true"/>
        <i val="true"/>
        <u val="single"/>
        <sz val="9"/>
        <rFont val="Arial"/>
        <family val="2"/>
        <charset val="1"/>
      </rPr>
      <t xml:space="preserve">PRODUCTION VEGETALE </t>
    </r>
  </si>
  <si>
    <t xml:space="preserve">ADEGNIKA Moïse O.</t>
  </si>
  <si>
    <t xml:space="preserve">ADIMOU F. Gilbert Eméric</t>
  </si>
  <si>
    <t xml:space="preserve">AGOHOUNDJE Victor</t>
  </si>
  <si>
    <t xml:space="preserve">AKPAHOUNKE Bernard</t>
  </si>
  <si>
    <t xml:space="preserve">AMOUSSOU Mathias G. M.</t>
  </si>
  <si>
    <t xml:space="preserve">ANDO S. Jocelyne Emma</t>
  </si>
  <si>
    <t xml:space="preserve">ASSANI Zacharie</t>
  </si>
  <si>
    <t xml:space="preserve">ATCHADE C. Bernice</t>
  </si>
  <si>
    <t xml:space="preserve">CHABI WARO W. Brice</t>
  </si>
  <si>
    <t xml:space="preserve">CHAPARGUI Sabira W.</t>
  </si>
  <si>
    <t xml:space="preserve">DADY DAVO Stanislas G.</t>
  </si>
  <si>
    <t xml:space="preserve">DETCHENOU Arnaud</t>
  </si>
  <si>
    <t xml:space="preserve">DJAKPO M. Térence</t>
  </si>
  <si>
    <t xml:space="preserve">DJOGNIBO C. Edison</t>
  </si>
  <si>
    <t xml:space="preserve">DOSSOU YOVO Alice</t>
  </si>
  <si>
    <t xml:space="preserve">EFFIBOLEY Hervé Marie-L.</t>
  </si>
  <si>
    <t xml:space="preserve">FADEGNON David Assuan</t>
  </si>
  <si>
    <t xml:space="preserve">GNITANGNI M. Diane</t>
  </si>
  <si>
    <t xml:space="preserve">HODJIGUE Gildas</t>
  </si>
  <si>
    <t xml:space="preserve">HOUNDAKENOU Appolinair</t>
  </si>
  <si>
    <t xml:space="preserve">HOUNKANRIN S. Juste</t>
  </si>
  <si>
    <t xml:space="preserve">KODO A. Emmanuel</t>
  </si>
  <si>
    <t xml:space="preserve">KOHOSSI Euloge Stéves D.</t>
  </si>
  <si>
    <t xml:space="preserve">LEGBA B. Ines</t>
  </si>
  <si>
    <t xml:space="preserve">MITCHODIGNIN N. Gildas</t>
  </si>
  <si>
    <t xml:space="preserve">MONTCHO M. Potus</t>
  </si>
  <si>
    <t xml:space="preserve">SAVI C. Ferdinand</t>
  </si>
  <si>
    <t xml:space="preserve">SOGLO C. Armand</t>
  </si>
  <si>
    <t xml:space="preserve">SOGLO Rodrigue Constant</t>
  </si>
  <si>
    <t xml:space="preserve">SOSSOU D. Ghislain Patrice</t>
  </si>
  <si>
    <t xml:space="preserve">VIGAN Murielle Christelle D.</t>
  </si>
  <si>
    <t xml:space="preserve">ZINSE Cosme</t>
  </si>
  <si>
    <t xml:space="preserve"> LICENCE PROFESSIONNELLE EFFECTIF ( BTS ) 2010-2011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</si>
  <si>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CIVIL</t>
    </r>
    <r>
      <rPr>
        <b val="true"/>
        <i val="true"/>
        <sz val="14"/>
        <rFont val="Arial"/>
        <family val="2"/>
        <charset val="1"/>
      </rPr>
      <t xml:space="preserve"> 2ème Année</t>
    </r>
  </si>
  <si>
    <t xml:space="preserve">ABATHAN F. Stanislas</t>
  </si>
  <si>
    <t xml:space="preserve">AGBOSSOUTO Hyppolite</t>
  </si>
  <si>
    <t xml:space="preserve">AKITIKPA  Charles</t>
  </si>
  <si>
    <t xml:space="preserve">MAIRIE COT</t>
  </si>
  <si>
    <t xml:space="preserve">AVOCE Jean Pierre</t>
  </si>
  <si>
    <t xml:space="preserve">CODO T. Wilfried Alain</t>
  </si>
  <si>
    <t xml:space="preserve">DJEGUI Kossi Pierre</t>
  </si>
  <si>
    <t xml:space="preserve">DOSSOU YOVO Gabriel</t>
  </si>
  <si>
    <t xml:space="preserve">GBAGUIDI Vulgis</t>
  </si>
  <si>
    <t xml:space="preserve">HOUANGNI L. Pernody</t>
  </si>
  <si>
    <t xml:space="preserve">KOUTON Adébayo Hector</t>
  </si>
  <si>
    <t xml:space="preserve">OGOUTOLOU B. Epiphane</t>
  </si>
  <si>
    <t xml:space="preserve">SARE KPAO Justin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</si>
  <si>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CIVIL</t>
    </r>
    <r>
      <rPr>
        <b val="true"/>
        <i val="true"/>
        <sz val="14"/>
        <rFont val="Arial"/>
        <family val="2"/>
        <charset val="1"/>
      </rPr>
      <t xml:space="preserve"> Stage</t>
    </r>
  </si>
  <si>
    <t xml:space="preserve">ACODJI Z. Armand</t>
  </si>
  <si>
    <t xml:space="preserve">ADANKON Julien </t>
  </si>
  <si>
    <t xml:space="preserve">ADJAHO  Poitiers</t>
  </si>
  <si>
    <t xml:space="preserve">AGOHOUNDJE Bonaventure</t>
  </si>
  <si>
    <t xml:space="preserve">AGOSSOU Cossi Fabrice</t>
  </si>
  <si>
    <t xml:space="preserve">AGUIDISSOU Crespin</t>
  </si>
  <si>
    <t xml:space="preserve">AHOLOUKPE Noel</t>
  </si>
  <si>
    <t xml:space="preserve">AMOUSSOU Raoul Comlan</t>
  </si>
  <si>
    <t xml:space="preserve">ARIORI Arnaud</t>
  </si>
  <si>
    <t xml:space="preserve">ATCHY Abdel Kader</t>
  </si>
  <si>
    <t xml:space="preserve">ATTIKPA Alexis</t>
  </si>
  <si>
    <t xml:space="preserve">DENADI G. Jouniac</t>
  </si>
  <si>
    <t xml:space="preserve">DJAGBA Romuald</t>
  </si>
  <si>
    <t xml:space="preserve">FATCHINA Epaphras Amen</t>
  </si>
  <si>
    <t xml:space="preserve">GNANSOUNOU H. Achille</t>
  </si>
  <si>
    <t xml:space="preserve">GNONLONFOUN Frank  F.</t>
  </si>
  <si>
    <t xml:space="preserve">GOVOEYI Louis</t>
  </si>
  <si>
    <t xml:space="preserve">HOUETO Victor</t>
  </si>
  <si>
    <t xml:space="preserve">HOUNDOLO Fidèle</t>
  </si>
  <si>
    <t xml:space="preserve">HOUNGBEME Z. Marius</t>
  </si>
  <si>
    <t xml:space="preserve">HOUNKLIN Léon</t>
  </si>
  <si>
    <t xml:space="preserve">HOUNYEME Ferdinand</t>
  </si>
  <si>
    <t xml:space="preserve">HOUSSOU Jean Baptiste</t>
  </si>
  <si>
    <t xml:space="preserve">KONA C. Charles Hubert</t>
  </si>
  <si>
    <t xml:space="preserve">LEGAME S. Bernadin H. Coffi</t>
  </si>
  <si>
    <t xml:space="preserve">MAGNONFINON S. Renaldo</t>
  </si>
  <si>
    <t xml:space="preserve">MAHOUGBE Honoré</t>
  </si>
  <si>
    <t xml:space="preserve">NOUHOHEFLIN M. Gérard</t>
  </si>
  <si>
    <t xml:space="preserve">SEGBEDJI Désiré</t>
  </si>
  <si>
    <t xml:space="preserve">VIEYRA Lionel</t>
  </si>
  <si>
    <t xml:space="preserve">ZEHE E. Lisca</t>
  </si>
  <si>
    <t xml:space="preserve">ZIKI SIA Orou Adam</t>
  </si>
  <si>
    <t xml:space="preserve">                                        INGENIEURS </t>
  </si>
  <si>
    <t xml:space="preserve">       EN GENIE ELECTRIQUE (2011) - STAGE</t>
  </si>
  <si>
    <t xml:space="preserve">ABAN Abdoulaye</t>
  </si>
  <si>
    <t xml:space="preserve">ADJAMASSOUHON W. R.</t>
  </si>
  <si>
    <t xml:space="preserve">AGAVOEDO Dénis</t>
  </si>
  <si>
    <t xml:space="preserve">AHOUANSOU A. Germain</t>
  </si>
  <si>
    <t xml:space="preserve">AZOMA Alphonse</t>
  </si>
  <si>
    <t xml:space="preserve">BOHOUN C. Alain</t>
  </si>
  <si>
    <t xml:space="preserve">CHETANGNY P. Koffi</t>
  </si>
  <si>
    <t xml:space="preserve">DOSSOU A. Amédée</t>
  </si>
  <si>
    <t xml:space="preserve">GBAGIUDI M. Alexis</t>
  </si>
  <si>
    <t xml:space="preserve">GONNON Bernard</t>
  </si>
  <si>
    <t xml:space="preserve">HOUNSA A. William</t>
  </si>
  <si>
    <t xml:space="preserve">NASSIROU A. Raimi</t>
  </si>
  <si>
    <t xml:space="preserve">NOUNANGNONHOU T.</t>
  </si>
  <si>
    <t xml:space="preserve">OLOULADE Arouna</t>
  </si>
  <si>
    <t xml:space="preserve">SABAM Mama</t>
  </si>
  <si>
    <t xml:space="preserve">SOUROU Séni</t>
  </si>
  <si>
    <t xml:space="preserve">TCHIKE Sylvain</t>
  </si>
  <si>
    <t xml:space="preserve">TOSSOU Laurent</t>
  </si>
  <si>
    <t xml:space="preserve">   RECAPITULATIF DES RECETTES PAR FILIERS AU TITRE DE 2010-2011</t>
  </si>
  <si>
    <t xml:space="preserve">Fait le 16 Décembre 2011</t>
  </si>
  <si>
    <t xml:space="preserve">FILIERES / ANNEE</t>
  </si>
  <si>
    <t xml:space="preserve">Eff.</t>
  </si>
  <si>
    <t xml:space="preserve">RECETTE ATTENDUE</t>
  </si>
  <si>
    <t xml:space="preserve">RECOUVRE</t>
  </si>
  <si>
    <t xml:space="preserve">RESTE</t>
  </si>
  <si>
    <t xml:space="preserve">TAUX</t>
  </si>
  <si>
    <t xml:space="preserve">G.C 1</t>
  </si>
  <si>
    <t xml:space="preserve">G.C 2</t>
  </si>
  <si>
    <t xml:space="preserve">G.C 3</t>
  </si>
  <si>
    <t xml:space="preserve">G.C 4</t>
  </si>
  <si>
    <t xml:space="preserve">G.C 2  - BTS</t>
  </si>
  <si>
    <t xml:space="preserve">G.C Année de Stage</t>
  </si>
  <si>
    <t xml:space="preserve">G.E 1</t>
  </si>
  <si>
    <t xml:space="preserve">G.E 2</t>
  </si>
  <si>
    <t xml:space="preserve">G.E 3</t>
  </si>
  <si>
    <t xml:space="preserve">G.E 4</t>
  </si>
  <si>
    <t xml:space="preserve">HYDRAU 1</t>
  </si>
  <si>
    <t xml:space="preserve">HYDRAU 2</t>
  </si>
  <si>
    <t xml:space="preserve">HYDRAU 3</t>
  </si>
  <si>
    <t xml:space="preserve">HYDRAU 4</t>
  </si>
  <si>
    <t xml:space="preserve">G.R 1</t>
  </si>
  <si>
    <t xml:space="preserve">G.R 2</t>
  </si>
  <si>
    <t xml:space="preserve">G.R 3</t>
  </si>
  <si>
    <t xml:space="preserve">HCQDA 1</t>
  </si>
  <si>
    <t xml:space="preserve">P.A 2</t>
  </si>
  <si>
    <t xml:space="preserve">P.A 3</t>
  </si>
  <si>
    <t xml:space="preserve">P.A 4</t>
  </si>
  <si>
    <t xml:space="preserve">P.V 1</t>
  </si>
  <si>
    <t xml:space="preserve">P.V 2</t>
  </si>
  <si>
    <t xml:space="preserve">P.V 3</t>
  </si>
  <si>
    <t xml:space="preserve">P.V 4</t>
  </si>
  <si>
    <t xml:space="preserve">Env. 1</t>
  </si>
  <si>
    <t xml:space="preserve">Env. 2</t>
  </si>
  <si>
    <t xml:space="preserve">Env. 3</t>
  </si>
  <si>
    <t xml:space="preserve">Env. 4</t>
  </si>
  <si>
    <t xml:space="preserve">M. I 1</t>
  </si>
  <si>
    <t xml:space="preserve">M. I 2</t>
  </si>
  <si>
    <t xml:space="preserve">M. I 3</t>
  </si>
  <si>
    <t xml:space="preserve">TOTAL:  </t>
  </si>
  <si>
    <t xml:space="preserve">      RECETTES GLOBALES DE 2011</t>
  </si>
  <si>
    <t xml:space="preserve">Mois</t>
  </si>
  <si>
    <t xml:space="preserve">Formation à Distance</t>
  </si>
  <si>
    <t xml:space="preserve">Formation Continue</t>
  </si>
  <si>
    <t xml:space="preserve">NPT/132</t>
  </si>
  <si>
    <t xml:space="preserve">Autre Recettes</t>
  </si>
  <si>
    <t xml:space="preserve">Janvier</t>
  </si>
  <si>
    <t xml:space="preserve">Février</t>
  </si>
  <si>
    <t xml:space="preserve">Mars 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</si>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</sst>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\ %"/>
    <numFmt numFmtId="167" formatCode="0.00\ %"/>
    <numFmt numFmtId="168" formatCode="0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i val="true"/>
      <u val="single"/>
      <sz val="14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i val="true"/>
      <u val="single"/>
      <sz val="12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i val="true"/>
      <sz val="9"/>
      <name val="Arial"/>
      <family val="2"/>
      <charset val="1"/>
    </font>
    <font>
      <b val="true"/>
      <i val="true"/>
      <u val="single"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1"/>
      <name val="Albertus MT Lt"/>
      <family val="2"/>
      <charset val="1"/>
    </font>
    <font>
      <b val="true"/>
      <sz val="12"/>
      <name val="Baskerville Old Face"/>
      <family val="1"/>
      <charset val="1"/>
    </font>
    <font>
      <b val="true"/>
      <sz val="12"/>
      <name val="Albertus MT Lt"/>
      <family val="2"/>
      <charset val="1"/>
    </font>
    <font>
      <sz val="10"/>
      <name val="Albertus MT Lt"/>
      <family val="2"/>
      <charset val="1"/>
    </font>
    <font>
      <b val="true"/>
      <sz val="12"/>
      <color rgb="FF000000"/>
      <name val="Albertus MT Lt"/>
      <family val="2"/>
      <charset val="1"/>
    </font>
    <font>
      <sz val="10"/>
      <color rgb="FFC0C0C0"/>
      <name val="Albertus MT Lt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0C0C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DashDot"/>
      <right style="mediumDashDot"/>
      <top style="mediumDashDot"/>
      <bottom style="mediumDashDot"/>
      <diagonal/>
    </border>
    <border diagonalUp="false" diagonalDown="false">
      <left style="mediumDashDot"/>
      <right style="dashed"/>
      <top style="mediumDashDot"/>
      <bottom style="dashed"/>
      <diagonal/>
    </border>
    <border diagonalUp="false" diagonalDown="false">
      <left style="dashed"/>
      <right style="dashed"/>
      <top style="mediumDashDot"/>
      <bottom style="dashed"/>
      <diagonal/>
    </border>
    <border diagonalUp="false" diagonalDown="false">
      <left style="dashed"/>
      <right/>
      <top style="mediumDashDot"/>
      <bottom style="dashed"/>
      <diagonal/>
    </border>
    <border diagonalUp="false" diagonalDown="false">
      <left style="dashed"/>
      <right style="mediumDashDot"/>
      <top style="mediumDashDot"/>
      <bottom style="dashed"/>
      <diagonal/>
    </border>
    <border diagonalUp="false" diagonalDown="false">
      <left style="mediumDashDot"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/>
      <top style="dashed"/>
      <bottom style="dashed"/>
      <diagonal/>
    </border>
    <border diagonalUp="false" diagonalDown="false">
      <left style="dashed"/>
      <right style="mediumDashDot"/>
      <top style="dashed"/>
      <bottom style="dashed"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ashed"/>
      <right style="dashed"/>
      <top/>
      <bottom style="mediumDashDot"/>
      <diagonal/>
    </border>
    <border diagonalUp="false" diagonalDown="false">
      <left style="dashed"/>
      <right style="mediumDashDot"/>
      <top/>
      <bottom style="mediumDashDot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4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7" fillId="0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4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7" fillId="0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6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2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1" activeCellId="0" sqref="F201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1" width="34.28"/>
    <col collapsed="false" customWidth="true" hidden="false" outlineLevel="0" max="3" min="3" style="1" width="14.41"/>
    <col collapsed="false" customWidth="true" hidden="false" outlineLevel="0" max="4" min="4" style="1" width="12.85"/>
    <col collapsed="false" customWidth="true" hidden="false" outlineLevel="0" max="5" min="5" style="1" width="13.56"/>
    <col collapsed="false" customWidth="true" hidden="false" outlineLevel="0" max="16384" min="16374" style="0" width="11.5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A3" s="2"/>
      <c r="B3" s="3" t="s">
        <v>0</v>
      </c>
      <c r="C3" s="2"/>
      <c r="D3" s="2"/>
      <c r="E3" s="2"/>
    </row>
    <row r="4" customFormat="false" ht="15" hidden="false" customHeight="true" outlineLevel="0" collapsed="false">
      <c r="A4" s="2"/>
      <c r="B4" s="4"/>
      <c r="C4" s="2"/>
      <c r="D4" s="2"/>
      <c r="E4" s="2"/>
    </row>
    <row r="5" customFormat="false" ht="15" hidden="false" customHeight="true" outlineLevel="0" collapsed="false">
      <c r="A5" s="5" t="s">
        <v>1</v>
      </c>
      <c r="B5" s="5"/>
      <c r="C5" s="5"/>
      <c r="D5" s="5"/>
      <c r="E5" s="5"/>
    </row>
    <row r="6" customFormat="false" ht="15" hidden="false" customHeight="true" outlineLevel="0" collapsed="false">
      <c r="A6" s="5"/>
      <c r="B6" s="5"/>
      <c r="C6" s="5"/>
      <c r="D6" s="5"/>
      <c r="E6" s="5"/>
    </row>
    <row r="7" customFormat="false" ht="15" hidden="false" customHeight="true" outlineLevel="0" collapsed="false">
      <c r="A7" s="6" t="s">
        <v>2</v>
      </c>
      <c r="B7" s="6" t="s">
        <v>3</v>
      </c>
      <c r="C7" s="7" t="s">
        <v>4</v>
      </c>
      <c r="D7" s="6" t="s">
        <v>5</v>
      </c>
      <c r="E7" s="7" t="s">
        <v>6</v>
      </c>
    </row>
    <row r="8" customFormat="false" ht="15" hidden="false" customHeight="true" outlineLevel="0" collapsed="false">
      <c r="A8" s="8" t="s">
        <v>7</v>
      </c>
      <c r="B8" s="9" t="s">
        <v>8</v>
      </c>
      <c r="C8" s="10" t="n">
        <f aca="false">400000+16500</f>
        <v>416500</v>
      </c>
      <c r="D8" s="10" t="n">
        <f aca="false">E8-C8</f>
        <v>0</v>
      </c>
      <c r="E8" s="10" t="n">
        <v>416500</v>
      </c>
    </row>
    <row r="9" customFormat="false" ht="15" hidden="false" customHeight="true" outlineLevel="0" collapsed="false">
      <c r="A9" s="8" t="s">
        <v>9</v>
      </c>
      <c r="B9" s="11" t="s">
        <v>10</v>
      </c>
      <c r="C9" s="12" t="n">
        <v>416500</v>
      </c>
      <c r="D9" s="10" t="n">
        <f aca="false">E9-C9</f>
        <v>0</v>
      </c>
      <c r="E9" s="10" t="n">
        <v>416500</v>
      </c>
    </row>
    <row r="10" customFormat="false" ht="15" hidden="false" customHeight="true" outlineLevel="0" collapsed="false">
      <c r="A10" s="8" t="s">
        <v>11</v>
      </c>
      <c r="B10" s="9" t="s">
        <v>12</v>
      </c>
      <c r="C10" s="10" t="n">
        <f aca="false">100000+150000</f>
        <v>250000</v>
      </c>
      <c r="D10" s="10" t="n">
        <f aca="false">E10-C10</f>
        <v>166500</v>
      </c>
      <c r="E10" s="10" t="n">
        <v>416500</v>
      </c>
    </row>
    <row r="11" customFormat="false" ht="15" hidden="false" customHeight="true" outlineLevel="0" collapsed="false">
      <c r="A11" s="8" t="s">
        <v>13</v>
      </c>
      <c r="B11" s="9" t="s">
        <v>14</v>
      </c>
      <c r="C11" s="10" t="n">
        <v>17000</v>
      </c>
      <c r="D11" s="10" t="n">
        <f aca="false">E11-C11</f>
        <v>399500</v>
      </c>
      <c r="E11" s="10" t="n">
        <v>416500</v>
      </c>
    </row>
    <row r="12" customFormat="false" ht="15" hidden="false" customHeight="true" outlineLevel="0" collapsed="false">
      <c r="A12" s="8" t="s">
        <v>15</v>
      </c>
      <c r="B12" s="9" t="s">
        <v>16</v>
      </c>
      <c r="C12" s="10" t="n">
        <f aca="false">216500+200000</f>
        <v>416500</v>
      </c>
      <c r="D12" s="10" t="n">
        <f aca="false">E12-C12</f>
        <v>0</v>
      </c>
      <c r="E12" s="10" t="n">
        <v>416500</v>
      </c>
    </row>
    <row r="13" customFormat="false" ht="15" hidden="false" customHeight="true" outlineLevel="0" collapsed="false">
      <c r="A13" s="8" t="s">
        <v>17</v>
      </c>
      <c r="B13" s="9" t="s">
        <v>18</v>
      </c>
      <c r="C13" s="10" t="n">
        <f aca="false">200000+216500</f>
        <v>416500</v>
      </c>
      <c r="D13" s="10" t="n">
        <f aca="false">E13-C13</f>
        <v>0</v>
      </c>
      <c r="E13" s="10" t="n">
        <v>416500</v>
      </c>
    </row>
    <row r="14" customFormat="false" ht="15" hidden="false" customHeight="true" outlineLevel="0" collapsed="false">
      <c r="A14" s="8" t="s">
        <v>19</v>
      </c>
      <c r="B14" s="9" t="s">
        <v>20</v>
      </c>
      <c r="C14" s="10" t="n">
        <v>416500</v>
      </c>
      <c r="D14" s="10" t="n">
        <f aca="false">E14-C14</f>
        <v>0</v>
      </c>
      <c r="E14" s="10" t="n">
        <v>416500</v>
      </c>
    </row>
    <row r="15" customFormat="false" ht="15" hidden="false" customHeight="true" outlineLevel="0" collapsed="false">
      <c r="A15" s="8" t="s">
        <v>21</v>
      </c>
      <c r="B15" s="11" t="s">
        <v>22</v>
      </c>
      <c r="C15" s="12" t="n">
        <v>416500</v>
      </c>
      <c r="D15" s="10" t="n">
        <f aca="false">E15-C15</f>
        <v>0</v>
      </c>
      <c r="E15" s="10" t="n">
        <v>416500</v>
      </c>
    </row>
    <row r="16" customFormat="false" ht="15" hidden="false" customHeight="true" outlineLevel="0" collapsed="false">
      <c r="A16" s="8" t="s">
        <v>23</v>
      </c>
      <c r="B16" s="9" t="s">
        <v>24</v>
      </c>
      <c r="C16" s="10" t="n">
        <f aca="false">80000+80000</f>
        <v>160000</v>
      </c>
      <c r="D16" s="10" t="n">
        <f aca="false">E16-C16</f>
        <v>256500</v>
      </c>
      <c r="E16" s="10" t="n">
        <v>416500</v>
      </c>
    </row>
    <row r="17" customFormat="false" ht="15" hidden="false" customHeight="true" outlineLevel="0" collapsed="false">
      <c r="A17" s="8" t="s">
        <v>25</v>
      </c>
      <c r="B17" s="11" t="s">
        <v>26</v>
      </c>
      <c r="C17" s="12" t="n">
        <f aca="false">200000+100000+116000</f>
        <v>416000</v>
      </c>
      <c r="D17" s="10" t="n">
        <f aca="false">E17-C17</f>
        <v>500</v>
      </c>
      <c r="E17" s="10" t="n">
        <v>416500</v>
      </c>
    </row>
    <row r="18" customFormat="false" ht="15" hidden="false" customHeight="true" outlineLevel="0" collapsed="false">
      <c r="A18" s="8" t="s">
        <v>27</v>
      </c>
      <c r="B18" s="9" t="s">
        <v>28</v>
      </c>
      <c r="C18" s="10" t="n">
        <f aca="false">150000+100000+40000+25000+26000+15000+20000+500+25000+15000</f>
        <v>416500</v>
      </c>
      <c r="D18" s="10" t="n">
        <f aca="false">E18-C18</f>
        <v>0</v>
      </c>
      <c r="E18" s="10" t="n">
        <v>416500</v>
      </c>
    </row>
    <row r="19" customFormat="false" ht="15" hidden="false" customHeight="true" outlineLevel="0" collapsed="false">
      <c r="A19" s="8" t="s">
        <v>29</v>
      </c>
      <c r="B19" s="9" t="s">
        <v>30</v>
      </c>
      <c r="C19" s="10" t="n">
        <f aca="false">220000+150000+46500</f>
        <v>416500</v>
      </c>
      <c r="D19" s="10" t="n">
        <f aca="false">E19-C19</f>
        <v>0</v>
      </c>
      <c r="E19" s="10" t="n">
        <v>416500</v>
      </c>
    </row>
    <row r="20" customFormat="false" ht="15" hidden="false" customHeight="true" outlineLevel="0" collapsed="false">
      <c r="A20" s="8" t="s">
        <v>31</v>
      </c>
      <c r="B20" s="9" t="s">
        <v>32</v>
      </c>
      <c r="C20" s="10" t="n">
        <v>150000</v>
      </c>
      <c r="D20" s="10" t="n">
        <f aca="false">E20-C20</f>
        <v>266500</v>
      </c>
      <c r="E20" s="10" t="n">
        <v>416500</v>
      </c>
    </row>
    <row r="21" customFormat="false" ht="15" hidden="false" customHeight="true" outlineLevel="0" collapsed="false">
      <c r="A21" s="8" t="s">
        <v>33</v>
      </c>
      <c r="B21" s="11" t="s">
        <v>34</v>
      </c>
      <c r="C21" s="12" t="n">
        <f aca="false">180000+50000</f>
        <v>230000</v>
      </c>
      <c r="D21" s="10" t="n">
        <f aca="false">E21-C21</f>
        <v>186500</v>
      </c>
      <c r="E21" s="10" t="n">
        <v>416500</v>
      </c>
    </row>
    <row r="22" customFormat="false" ht="15" hidden="false" customHeight="true" outlineLevel="0" collapsed="false">
      <c r="A22" s="8" t="s">
        <v>35</v>
      </c>
      <c r="B22" s="9" t="s">
        <v>36</v>
      </c>
      <c r="C22" s="10" t="n">
        <f aca="false">140000+60000</f>
        <v>200000</v>
      </c>
      <c r="D22" s="10" t="n">
        <f aca="false">E22-C22</f>
        <v>216500</v>
      </c>
      <c r="E22" s="10" t="n">
        <v>416500</v>
      </c>
    </row>
    <row r="23" customFormat="false" ht="15" hidden="false" customHeight="true" outlineLevel="0" collapsed="false">
      <c r="A23" s="8" t="s">
        <v>37</v>
      </c>
      <c r="B23" s="9" t="s">
        <v>38</v>
      </c>
      <c r="C23" s="10" t="n">
        <f aca="false">40000+45000+50000+100000+150000+31500</f>
        <v>416500</v>
      </c>
      <c r="D23" s="10" t="n">
        <f aca="false">E23-C23</f>
        <v>0</v>
      </c>
      <c r="E23" s="10" t="n">
        <v>416500</v>
      </c>
    </row>
    <row r="24" customFormat="false" ht="15" hidden="false" customHeight="true" outlineLevel="0" collapsed="false">
      <c r="A24" s="8" t="s">
        <v>39</v>
      </c>
      <c r="B24" s="9" t="s">
        <v>40</v>
      </c>
      <c r="C24" s="10" t="n">
        <f aca="false">100000+40000+100000+176500</f>
        <v>416500</v>
      </c>
      <c r="D24" s="10" t="n">
        <f aca="false">E24-C24</f>
        <v>0</v>
      </c>
      <c r="E24" s="10" t="n">
        <v>416500</v>
      </c>
    </row>
    <row r="25" customFormat="false" ht="15" hidden="false" customHeight="true" outlineLevel="0" collapsed="false">
      <c r="A25" s="8" t="s">
        <v>41</v>
      </c>
      <c r="B25" s="11" t="s">
        <v>42</v>
      </c>
      <c r="C25" s="12" t="n">
        <f aca="false">250000+166500</f>
        <v>416500</v>
      </c>
      <c r="D25" s="10" t="n">
        <f aca="false">E25-C25</f>
        <v>0</v>
      </c>
      <c r="E25" s="10" t="n">
        <v>416500</v>
      </c>
    </row>
    <row r="26" customFormat="false" ht="15" hidden="false" customHeight="true" outlineLevel="0" collapsed="false">
      <c r="A26" s="8" t="s">
        <v>43</v>
      </c>
      <c r="B26" s="9" t="s">
        <v>44</v>
      </c>
      <c r="C26" s="10" t="n">
        <f aca="false">100000+100000</f>
        <v>200000</v>
      </c>
      <c r="D26" s="10" t="n">
        <f aca="false">E26-C26</f>
        <v>216500</v>
      </c>
      <c r="E26" s="10" t="n">
        <v>416500</v>
      </c>
    </row>
    <row r="27" customFormat="false" ht="15" hidden="false" customHeight="true" outlineLevel="0" collapsed="false">
      <c r="A27" s="8" t="s">
        <v>45</v>
      </c>
      <c r="B27" s="11" t="s">
        <v>46</v>
      </c>
      <c r="C27" s="12" t="n">
        <v>416500</v>
      </c>
      <c r="D27" s="10" t="n">
        <f aca="false">E27-C27</f>
        <v>0</v>
      </c>
      <c r="E27" s="10" t="n">
        <v>416500</v>
      </c>
    </row>
    <row r="28" customFormat="false" ht="15" hidden="false" customHeight="true" outlineLevel="0" collapsed="false">
      <c r="A28" s="8" t="s">
        <v>47</v>
      </c>
      <c r="B28" s="9" t="s">
        <v>48</v>
      </c>
      <c r="C28" s="10" t="n">
        <v>200000</v>
      </c>
      <c r="D28" s="10" t="n">
        <f aca="false">E28-C28</f>
        <v>216500</v>
      </c>
      <c r="E28" s="10" t="n">
        <v>416500</v>
      </c>
    </row>
    <row r="29" customFormat="false" ht="15" hidden="false" customHeight="true" outlineLevel="0" collapsed="false">
      <c r="A29" s="8" t="s">
        <v>49</v>
      </c>
      <c r="B29" s="9" t="s">
        <v>50</v>
      </c>
      <c r="C29" s="10" t="n">
        <f aca="false">16500+400000</f>
        <v>416500</v>
      </c>
      <c r="D29" s="10" t="n">
        <f aca="false">E29-C29</f>
        <v>0</v>
      </c>
      <c r="E29" s="10" t="n">
        <v>416500</v>
      </c>
    </row>
    <row r="30" customFormat="false" ht="15" hidden="false" customHeight="true" outlineLevel="0" collapsed="false">
      <c r="A30" s="8" t="s">
        <v>51</v>
      </c>
      <c r="B30" s="9" t="s">
        <v>52</v>
      </c>
      <c r="C30" s="10" t="n">
        <f aca="false">100000+100000+216500</f>
        <v>416500</v>
      </c>
      <c r="D30" s="10" t="n">
        <f aca="false">E30-C30</f>
        <v>0</v>
      </c>
      <c r="E30" s="10" t="n">
        <v>416500</v>
      </c>
    </row>
    <row r="31" customFormat="false" ht="15" hidden="false" customHeight="true" outlineLevel="0" collapsed="false">
      <c r="A31" s="8" t="s">
        <v>53</v>
      </c>
      <c r="B31" s="9" t="s">
        <v>54</v>
      </c>
      <c r="C31" s="10" t="n">
        <f aca="false">90000+140000</f>
        <v>230000</v>
      </c>
      <c r="D31" s="10" t="n">
        <f aca="false">E31-C31</f>
        <v>186500</v>
      </c>
      <c r="E31" s="10" t="n">
        <v>416500</v>
      </c>
    </row>
    <row r="32" customFormat="false" ht="15" hidden="false" customHeight="true" outlineLevel="0" collapsed="false">
      <c r="A32" s="8" t="s">
        <v>55</v>
      </c>
      <c r="B32" s="13" t="s">
        <v>56</v>
      </c>
      <c r="C32" s="10" t="n">
        <f aca="false">200000+216500</f>
        <v>416500</v>
      </c>
      <c r="D32" s="10" t="n">
        <f aca="false">E32-C32</f>
        <v>0</v>
      </c>
      <c r="E32" s="10" t="n">
        <v>416500</v>
      </c>
    </row>
    <row r="33" customFormat="false" ht="15" hidden="false" customHeight="true" outlineLevel="0" collapsed="false">
      <c r="A33" s="6" t="s">
        <v>57</v>
      </c>
      <c r="B33" s="6"/>
      <c r="C33" s="7" t="n">
        <f aca="false">SUM(C8:C32)</f>
        <v>8300500</v>
      </c>
      <c r="D33" s="7" t="n">
        <f aca="false">E33-C33</f>
        <v>2112000</v>
      </c>
      <c r="E33" s="7" t="n">
        <f aca="false">SUM(E7:E32)</f>
        <v>10412500</v>
      </c>
    </row>
    <row r="34" customFormat="false" ht="15" hidden="false" customHeight="true" outlineLevel="0" collapsed="false">
      <c r="A34" s="14"/>
      <c r="B34" s="14"/>
      <c r="C34" s="15"/>
      <c r="D34" s="15"/>
      <c r="E34" s="15"/>
    </row>
    <row r="35" customFormat="false" ht="15" hidden="false" customHeight="true" outlineLevel="0" collapsed="false">
      <c r="A35" s="14"/>
      <c r="B35" s="14"/>
      <c r="C35" s="15"/>
      <c r="D35" s="15"/>
      <c r="E35" s="15"/>
    </row>
    <row r="36" customFormat="false" ht="15" hidden="false" customHeight="true" outlineLevel="0" collapsed="false">
      <c r="A36" s="14"/>
      <c r="B36" s="14"/>
      <c r="C36" s="15"/>
      <c r="D36" s="15"/>
      <c r="E36" s="15"/>
    </row>
    <row r="37" customFormat="false" ht="15" hidden="false" customHeight="true" outlineLevel="0" collapsed="false">
      <c r="A37" s="14"/>
      <c r="B37" s="14"/>
      <c r="C37" s="15"/>
      <c r="D37" s="15"/>
      <c r="E37" s="15"/>
    </row>
    <row r="38" customFormat="false" ht="15" hidden="false" customHeight="true" outlineLevel="0" collapsed="false">
      <c r="A38" s="14"/>
      <c r="B38" s="14"/>
      <c r="C38" s="15"/>
      <c r="D38" s="15"/>
      <c r="E38" s="15"/>
    </row>
    <row r="39" customFormat="false" ht="17.25" hidden="false" customHeight="true" outlineLevel="0" collapsed="false">
      <c r="A39" s="2"/>
      <c r="B39" s="3" t="s">
        <v>0</v>
      </c>
      <c r="C39" s="2"/>
      <c r="D39" s="2"/>
      <c r="E39" s="2"/>
    </row>
    <row r="40" customFormat="false" ht="15" hidden="false" customHeight="true" outlineLevel="0" collapsed="false">
      <c r="A40" s="2"/>
      <c r="B40" s="4"/>
      <c r="C40" s="2"/>
      <c r="D40" s="2"/>
      <c r="E40" s="2"/>
    </row>
    <row r="41" customFormat="false" ht="17.25" hidden="false" customHeight="true" outlineLevel="0" collapsed="false">
      <c r="A41" s="16" t="s">
        <v>58</v>
      </c>
      <c r="B41" s="5"/>
      <c r="C41" s="5"/>
      <c r="D41" s="5"/>
      <c r="E41" s="5"/>
    </row>
    <row r="42" customFormat="false" ht="15" hidden="false" customHeight="true" outlineLevel="0" collapsed="false">
      <c r="A42" s="17"/>
      <c r="B42" s="18"/>
      <c r="C42" s="18"/>
      <c r="D42" s="18"/>
      <c r="E42" s="18"/>
    </row>
    <row r="43" customFormat="false" ht="15" hidden="false" customHeight="true" outlineLevel="0" collapsed="false">
      <c r="A43" s="6" t="s">
        <v>2</v>
      </c>
      <c r="B43" s="6" t="s">
        <v>3</v>
      </c>
      <c r="C43" s="7" t="s">
        <v>4</v>
      </c>
      <c r="D43" s="6" t="s">
        <v>5</v>
      </c>
      <c r="E43" s="19" t="s">
        <v>6</v>
      </c>
    </row>
    <row r="44" customFormat="false" ht="15" hidden="false" customHeight="true" outlineLevel="0" collapsed="false">
      <c r="A44" s="8" t="s">
        <v>7</v>
      </c>
      <c r="B44" s="9" t="s">
        <v>59</v>
      </c>
      <c r="C44" s="10" t="n">
        <v>416500</v>
      </c>
      <c r="D44" s="10" t="n">
        <f aca="false">E44-C44</f>
        <v>0</v>
      </c>
      <c r="E44" s="10" t="n">
        <v>416500</v>
      </c>
    </row>
    <row r="45" customFormat="false" ht="15" hidden="false" customHeight="true" outlineLevel="0" collapsed="false">
      <c r="A45" s="8" t="s">
        <v>9</v>
      </c>
      <c r="B45" s="9" t="s">
        <v>60</v>
      </c>
      <c r="C45" s="10" t="n">
        <f aca="false">215000+51500+150000</f>
        <v>416500</v>
      </c>
      <c r="D45" s="10" t="n">
        <f aca="false">E45-C45</f>
        <v>0</v>
      </c>
      <c r="E45" s="10" t="n">
        <v>416500</v>
      </c>
    </row>
    <row r="46" customFormat="false" ht="15" hidden="false" customHeight="true" outlineLevel="0" collapsed="false">
      <c r="A46" s="8" t="s">
        <v>11</v>
      </c>
      <c r="B46" s="9" t="s">
        <v>61</v>
      </c>
      <c r="C46" s="10" t="n">
        <f aca="false">250000+161500+5000</f>
        <v>416500</v>
      </c>
      <c r="D46" s="10" t="n">
        <f aca="false">E46-C46</f>
        <v>0</v>
      </c>
      <c r="E46" s="10" t="n">
        <v>416500</v>
      </c>
    </row>
    <row r="47" customFormat="false" ht="15" hidden="false" customHeight="true" outlineLevel="0" collapsed="false">
      <c r="A47" s="8" t="s">
        <v>13</v>
      </c>
      <c r="B47" s="9" t="s">
        <v>62</v>
      </c>
      <c r="C47" s="10" t="n">
        <f aca="false">216500+100000+100000</f>
        <v>416500</v>
      </c>
      <c r="D47" s="10" t="n">
        <f aca="false">E47-C47</f>
        <v>0</v>
      </c>
      <c r="E47" s="10" t="n">
        <v>416500</v>
      </c>
    </row>
    <row r="48" customFormat="false" ht="15" hidden="false" customHeight="true" outlineLevel="0" collapsed="false">
      <c r="A48" s="8" t="s">
        <v>15</v>
      </c>
      <c r="B48" s="9" t="s">
        <v>63</v>
      </c>
      <c r="C48" s="10" t="n">
        <f aca="false">116000+90000+210500</f>
        <v>416500</v>
      </c>
      <c r="D48" s="10" t="n">
        <f aca="false">E48-C48</f>
        <v>0</v>
      </c>
      <c r="E48" s="10" t="n">
        <v>416500</v>
      </c>
    </row>
    <row r="49" customFormat="false" ht="15" hidden="false" customHeight="true" outlineLevel="0" collapsed="false">
      <c r="A49" s="8" t="s">
        <v>17</v>
      </c>
      <c r="B49" s="9" t="s">
        <v>64</v>
      </c>
      <c r="C49" s="10" t="n">
        <f aca="false">216500+200000</f>
        <v>416500</v>
      </c>
      <c r="D49" s="10" t="n">
        <f aca="false">E49-C49</f>
        <v>0</v>
      </c>
      <c r="E49" s="10" t="n">
        <v>416500</v>
      </c>
    </row>
    <row r="50" customFormat="false" ht="15" hidden="false" customHeight="true" outlineLevel="0" collapsed="false">
      <c r="A50" s="8" t="s">
        <v>19</v>
      </c>
      <c r="B50" s="9" t="s">
        <v>65</v>
      </c>
      <c r="C50" s="10" t="n">
        <f aca="false">100000+70000</f>
        <v>170000</v>
      </c>
      <c r="D50" s="10" t="n">
        <f aca="false">E50-C50</f>
        <v>246500</v>
      </c>
      <c r="E50" s="10" t="n">
        <v>416500</v>
      </c>
    </row>
    <row r="51" customFormat="false" ht="15" hidden="false" customHeight="true" outlineLevel="0" collapsed="false">
      <c r="A51" s="8" t="s">
        <v>21</v>
      </c>
      <c r="B51" s="9" t="s">
        <v>66</v>
      </c>
      <c r="C51" s="10" t="n">
        <f aca="false">100000+50000+70000+196500</f>
        <v>416500</v>
      </c>
      <c r="D51" s="10" t="n">
        <f aca="false">E51-C51</f>
        <v>0</v>
      </c>
      <c r="E51" s="10" t="n">
        <v>416500</v>
      </c>
    </row>
    <row r="52" customFormat="false" ht="15" hidden="false" customHeight="true" outlineLevel="0" collapsed="false">
      <c r="A52" s="8" t="s">
        <v>23</v>
      </c>
      <c r="B52" s="9" t="s">
        <v>67</v>
      </c>
      <c r="C52" s="10" t="n">
        <v>50000</v>
      </c>
      <c r="D52" s="10" t="n">
        <f aca="false">E52-C52</f>
        <v>366500</v>
      </c>
      <c r="E52" s="10" t="n">
        <v>416500</v>
      </c>
    </row>
    <row r="53" customFormat="false" ht="15" hidden="false" customHeight="true" outlineLevel="0" collapsed="false">
      <c r="A53" s="8" t="s">
        <v>25</v>
      </c>
      <c r="B53" s="9" t="s">
        <v>68</v>
      </c>
      <c r="C53" s="10" t="n">
        <v>416500</v>
      </c>
      <c r="D53" s="10" t="n">
        <f aca="false">E53-C53</f>
        <v>0</v>
      </c>
      <c r="E53" s="10" t="n">
        <v>416500</v>
      </c>
    </row>
    <row r="54" customFormat="false" ht="15" hidden="false" customHeight="true" outlineLevel="0" collapsed="false">
      <c r="A54" s="8" t="s">
        <v>27</v>
      </c>
      <c r="B54" s="9" t="s">
        <v>69</v>
      </c>
      <c r="C54" s="10" t="n">
        <v>16500</v>
      </c>
      <c r="D54" s="10" t="n">
        <f aca="false">E54-C54</f>
        <v>400000</v>
      </c>
      <c r="E54" s="10" t="n">
        <v>416500</v>
      </c>
    </row>
    <row r="55" customFormat="false" ht="15" hidden="false" customHeight="true" outlineLevel="0" collapsed="false">
      <c r="A55" s="8" t="s">
        <v>29</v>
      </c>
      <c r="B55" s="9" t="s">
        <v>70</v>
      </c>
      <c r="C55" s="10" t="n">
        <f aca="false">216000+200000</f>
        <v>416000</v>
      </c>
      <c r="D55" s="10" t="n">
        <f aca="false">E55-C55</f>
        <v>500</v>
      </c>
      <c r="E55" s="10" t="n">
        <v>416500</v>
      </c>
    </row>
    <row r="56" customFormat="false" ht="15" hidden="false" customHeight="true" outlineLevel="0" collapsed="false">
      <c r="A56" s="8" t="s">
        <v>31</v>
      </c>
      <c r="B56" s="9" t="s">
        <v>71</v>
      </c>
      <c r="C56" s="10" t="n">
        <v>416500</v>
      </c>
      <c r="D56" s="10" t="n">
        <f aca="false">E56-C56</f>
        <v>0</v>
      </c>
      <c r="E56" s="10" t="n">
        <v>416500</v>
      </c>
    </row>
    <row r="57" customFormat="false" ht="15" hidden="false" customHeight="true" outlineLevel="0" collapsed="false">
      <c r="A57" s="8" t="s">
        <v>33</v>
      </c>
      <c r="B57" s="9" t="s">
        <v>72</v>
      </c>
      <c r="C57" s="10" t="n">
        <f aca="false">100000+216500+100000</f>
        <v>416500</v>
      </c>
      <c r="D57" s="10" t="n">
        <f aca="false">E57-C57</f>
        <v>0</v>
      </c>
      <c r="E57" s="10" t="n">
        <v>416500</v>
      </c>
    </row>
    <row r="58" customFormat="false" ht="15" hidden="false" customHeight="true" outlineLevel="0" collapsed="false">
      <c r="A58" s="8" t="s">
        <v>35</v>
      </c>
      <c r="B58" s="9" t="s">
        <v>73</v>
      </c>
      <c r="C58" s="10" t="n">
        <f aca="false">50000+170000+80000</f>
        <v>300000</v>
      </c>
      <c r="D58" s="10" t="n">
        <f aca="false">E58-C58</f>
        <v>116500</v>
      </c>
      <c r="E58" s="10" t="n">
        <v>416500</v>
      </c>
    </row>
    <row r="59" customFormat="false" ht="15" hidden="false" customHeight="true" outlineLevel="0" collapsed="false">
      <c r="A59" s="8" t="s">
        <v>37</v>
      </c>
      <c r="B59" s="9" t="s">
        <v>74</v>
      </c>
      <c r="C59" s="10" t="n">
        <f aca="false">216500+100000+100000</f>
        <v>416500</v>
      </c>
      <c r="D59" s="10" t="n">
        <f aca="false">E59-C59</f>
        <v>0</v>
      </c>
      <c r="E59" s="10" t="n">
        <v>416500</v>
      </c>
    </row>
    <row r="60" customFormat="false" ht="15" hidden="false" customHeight="true" outlineLevel="0" collapsed="false">
      <c r="A60" s="8" t="s">
        <v>39</v>
      </c>
      <c r="B60" s="9" t="s">
        <v>75</v>
      </c>
      <c r="C60" s="10" t="n">
        <f aca="false">200500+216000</f>
        <v>416500</v>
      </c>
      <c r="D60" s="10" t="n">
        <f aca="false">E60-C60</f>
        <v>0</v>
      </c>
      <c r="E60" s="10" t="n">
        <v>416500</v>
      </c>
    </row>
    <row r="61" customFormat="false" ht="15" hidden="false" customHeight="true" outlineLevel="0" collapsed="false">
      <c r="A61" s="8" t="s">
        <v>41</v>
      </c>
      <c r="B61" s="9" t="s">
        <v>76</v>
      </c>
      <c r="C61" s="10" t="n">
        <f aca="false">200000+216500</f>
        <v>416500</v>
      </c>
      <c r="D61" s="10" t="n">
        <f aca="false">E61-C61</f>
        <v>0</v>
      </c>
      <c r="E61" s="10" t="n">
        <v>416500</v>
      </c>
    </row>
    <row r="62" customFormat="false" ht="15" hidden="false" customHeight="true" outlineLevel="0" collapsed="false">
      <c r="A62" s="6" t="s">
        <v>57</v>
      </c>
      <c r="B62" s="6"/>
      <c r="C62" s="7" t="n">
        <f aca="false">SUM(C44:C61)</f>
        <v>6367000</v>
      </c>
      <c r="D62" s="7" t="n">
        <f aca="false">E62-C62</f>
        <v>1130000</v>
      </c>
      <c r="E62" s="7" t="n">
        <f aca="false">SUM(E43:E61)</f>
        <v>7497000</v>
      </c>
    </row>
    <row r="63" customFormat="false" ht="15" hidden="false" customHeight="true" outlineLevel="0" collapsed="false">
      <c r="A63" s="14"/>
      <c r="B63" s="14"/>
      <c r="C63" s="15"/>
      <c r="D63" s="15"/>
      <c r="E63" s="15"/>
    </row>
    <row r="64" customFormat="false" ht="15" hidden="false" customHeight="true" outlineLevel="0" collapsed="false">
      <c r="A64" s="14"/>
      <c r="B64" s="14"/>
      <c r="C64" s="15"/>
      <c r="D64" s="15"/>
      <c r="E64" s="15"/>
    </row>
    <row r="65" customFormat="false" ht="15" hidden="false" customHeight="true" outlineLevel="0" collapsed="false">
      <c r="A65" s="14"/>
      <c r="B65" s="14"/>
      <c r="C65" s="15"/>
      <c r="D65" s="15"/>
      <c r="E65" s="15"/>
    </row>
    <row r="66" customFormat="false" ht="15" hidden="false" customHeight="true" outlineLevel="0" collapsed="false">
      <c r="A66" s="14"/>
      <c r="B66" s="14"/>
      <c r="C66" s="15"/>
      <c r="D66" s="15"/>
      <c r="E66" s="15"/>
    </row>
    <row r="67" customFormat="false" ht="15" hidden="false" customHeight="true" outlineLevel="0" collapsed="false">
      <c r="A67" s="14"/>
      <c r="B67" s="14"/>
      <c r="C67" s="15"/>
      <c r="D67" s="15"/>
      <c r="E67" s="15"/>
    </row>
    <row r="68" customFormat="false" ht="17.25" hidden="false" customHeight="true" outlineLevel="0" collapsed="false">
      <c r="A68" s="14"/>
      <c r="B68" s="3" t="s">
        <v>0</v>
      </c>
      <c r="C68" s="15"/>
      <c r="D68" s="15"/>
      <c r="E68" s="15"/>
    </row>
    <row r="69" customFormat="false" ht="15" hidden="false" customHeight="true" outlineLevel="0" collapsed="false">
      <c r="A69" s="14"/>
      <c r="B69" s="14"/>
      <c r="C69" s="15"/>
      <c r="D69" s="15"/>
      <c r="E69" s="15"/>
    </row>
    <row r="70" customFormat="false" ht="17.25" hidden="false" customHeight="true" outlineLevel="0" collapsed="false">
      <c r="A70" s="5" t="s">
        <v>77</v>
      </c>
      <c r="B70" s="16" t="s">
        <v>78</v>
      </c>
      <c r="C70" s="5"/>
      <c r="D70" s="5"/>
      <c r="E70" s="5"/>
    </row>
    <row r="71" customFormat="false" ht="15" hidden="false" customHeight="true" outlineLevel="0" collapsed="false">
      <c r="A71" s="17"/>
      <c r="B71" s="18"/>
      <c r="C71" s="18"/>
      <c r="D71" s="18"/>
      <c r="E71" s="18"/>
    </row>
    <row r="72" customFormat="false" ht="15" hidden="false" customHeight="true" outlineLevel="0" collapsed="false">
      <c r="A72" s="6" t="s">
        <v>2</v>
      </c>
      <c r="B72" s="6" t="s">
        <v>3</v>
      </c>
      <c r="C72" s="7" t="s">
        <v>4</v>
      </c>
      <c r="D72" s="6" t="s">
        <v>5</v>
      </c>
      <c r="E72" s="19" t="s">
        <v>6</v>
      </c>
    </row>
    <row r="73" customFormat="false" ht="15" hidden="false" customHeight="true" outlineLevel="0" collapsed="false">
      <c r="A73" s="8" t="s">
        <v>7</v>
      </c>
      <c r="B73" s="9" t="s">
        <v>79</v>
      </c>
      <c r="C73" s="10" t="n">
        <f aca="false">100000+50000+266500</f>
        <v>416500</v>
      </c>
      <c r="D73" s="10" t="n">
        <f aca="false">E73-C73</f>
        <v>0</v>
      </c>
      <c r="E73" s="10" t="n">
        <v>416500</v>
      </c>
    </row>
    <row r="74" customFormat="false" ht="15" hidden="false" customHeight="true" outlineLevel="0" collapsed="false">
      <c r="A74" s="8" t="s">
        <v>9</v>
      </c>
      <c r="B74" s="9" t="s">
        <v>80</v>
      </c>
      <c r="C74" s="10" t="n">
        <f aca="false">50000</f>
        <v>50000</v>
      </c>
      <c r="D74" s="10" t="n">
        <f aca="false">E74-C74</f>
        <v>366500</v>
      </c>
      <c r="E74" s="10" t="n">
        <v>416500</v>
      </c>
    </row>
    <row r="75" customFormat="false" ht="15" hidden="false" customHeight="true" outlineLevel="0" collapsed="false">
      <c r="A75" s="8" t="s">
        <v>11</v>
      </c>
      <c r="B75" s="9" t="s">
        <v>81</v>
      </c>
      <c r="C75" s="10" t="n">
        <v>50000</v>
      </c>
      <c r="D75" s="10" t="n">
        <f aca="false">E75-C75</f>
        <v>366500</v>
      </c>
      <c r="E75" s="10" t="n">
        <v>416500</v>
      </c>
    </row>
    <row r="76" customFormat="false" ht="15" hidden="false" customHeight="true" outlineLevel="0" collapsed="false">
      <c r="A76" s="8" t="s">
        <v>13</v>
      </c>
      <c r="B76" s="9" t="s">
        <v>82</v>
      </c>
      <c r="C76" s="10" t="n">
        <f aca="false">200000+166000+50500</f>
        <v>416500</v>
      </c>
      <c r="D76" s="10" t="n">
        <f aca="false">E76-C76</f>
        <v>0</v>
      </c>
      <c r="E76" s="10" t="n">
        <v>416500</v>
      </c>
    </row>
    <row r="77" customFormat="false" ht="15" hidden="false" customHeight="true" outlineLevel="0" collapsed="false">
      <c r="A77" s="8" t="s">
        <v>15</v>
      </c>
      <c r="B77" s="9" t="s">
        <v>83</v>
      </c>
      <c r="C77" s="10" t="n">
        <f aca="false">290000+86500+40000</f>
        <v>416500</v>
      </c>
      <c r="D77" s="10" t="n">
        <f aca="false">E77-C77</f>
        <v>0</v>
      </c>
      <c r="E77" s="10" t="n">
        <v>416500</v>
      </c>
    </row>
    <row r="78" customFormat="false" ht="15" hidden="false" customHeight="true" outlineLevel="0" collapsed="false">
      <c r="A78" s="8" t="s">
        <v>17</v>
      </c>
      <c r="B78" s="11" t="s">
        <v>84</v>
      </c>
      <c r="C78" s="12" t="n">
        <f aca="false">200000+20000+196000+500</f>
        <v>416500</v>
      </c>
      <c r="D78" s="10" t="n">
        <f aca="false">E78-C78</f>
        <v>0</v>
      </c>
      <c r="E78" s="10" t="n">
        <v>416500</v>
      </c>
    </row>
    <row r="79" customFormat="false" ht="15" hidden="false" customHeight="true" outlineLevel="0" collapsed="false">
      <c r="A79" s="8" t="s">
        <v>19</v>
      </c>
      <c r="B79" s="9" t="s">
        <v>85</v>
      </c>
      <c r="C79" s="10" t="n">
        <v>416500</v>
      </c>
      <c r="D79" s="10" t="n">
        <f aca="false">E79-C79</f>
        <v>0</v>
      </c>
      <c r="E79" s="10" t="n">
        <v>416500</v>
      </c>
    </row>
    <row r="80" customFormat="false" ht="15" hidden="false" customHeight="true" outlineLevel="0" collapsed="false">
      <c r="A80" s="8" t="s">
        <v>21</v>
      </c>
      <c r="B80" s="9" t="s">
        <v>86</v>
      </c>
      <c r="C80" s="10" t="n">
        <f aca="false">200000+20000+196000+500</f>
        <v>416500</v>
      </c>
      <c r="D80" s="10" t="n">
        <f aca="false">E80-C80</f>
        <v>0</v>
      </c>
      <c r="E80" s="10" t="n">
        <v>416500</v>
      </c>
    </row>
    <row r="81" customFormat="false" ht="15" hidden="false" customHeight="true" outlineLevel="0" collapsed="false">
      <c r="A81" s="8" t="s">
        <v>23</v>
      </c>
      <c r="B81" s="9" t="s">
        <v>87</v>
      </c>
      <c r="C81" s="10" t="n">
        <f aca="false">200000+216500</f>
        <v>416500</v>
      </c>
      <c r="D81" s="10" t="n">
        <f aca="false">E81-C81</f>
        <v>0</v>
      </c>
      <c r="E81" s="10" t="n">
        <v>416500</v>
      </c>
    </row>
    <row r="82" customFormat="false" ht="15" hidden="false" customHeight="true" outlineLevel="0" collapsed="false">
      <c r="A82" s="8" t="s">
        <v>25</v>
      </c>
      <c r="B82" s="9" t="s">
        <v>88</v>
      </c>
      <c r="C82" s="10" t="n">
        <f aca="false">50000+100000+200000+66500</f>
        <v>416500</v>
      </c>
      <c r="D82" s="10" t="n">
        <f aca="false">E82-C82</f>
        <v>0</v>
      </c>
      <c r="E82" s="10" t="n">
        <v>416500</v>
      </c>
    </row>
    <row r="83" customFormat="false" ht="15" hidden="false" customHeight="true" outlineLevel="0" collapsed="false">
      <c r="A83" s="8" t="s">
        <v>27</v>
      </c>
      <c r="B83" s="9" t="s">
        <v>89</v>
      </c>
      <c r="C83" s="10" t="n">
        <f aca="false">210000+140000+46000+20500</f>
        <v>416500</v>
      </c>
      <c r="D83" s="10" t="n">
        <f aca="false">E83-C83</f>
        <v>0</v>
      </c>
      <c r="E83" s="10" t="n">
        <v>416500</v>
      </c>
    </row>
    <row r="84" customFormat="false" ht="15" hidden="false" customHeight="true" outlineLevel="0" collapsed="false">
      <c r="A84" s="8" t="s">
        <v>29</v>
      </c>
      <c r="B84" s="9" t="s">
        <v>90</v>
      </c>
      <c r="C84" s="10" t="n">
        <f aca="false">100000+50000+266500</f>
        <v>416500</v>
      </c>
      <c r="D84" s="10" t="n">
        <f aca="false">E84-C84</f>
        <v>0</v>
      </c>
      <c r="E84" s="10" t="n">
        <v>416500</v>
      </c>
    </row>
    <row r="85" customFormat="false" ht="15" hidden="false" customHeight="true" outlineLevel="0" collapsed="false">
      <c r="A85" s="8" t="s">
        <v>31</v>
      </c>
      <c r="B85" s="9" t="s">
        <v>91</v>
      </c>
      <c r="C85" s="10" t="n">
        <f aca="false">150000+200000+66500</f>
        <v>416500</v>
      </c>
      <c r="D85" s="10" t="n">
        <f aca="false">E85-C85</f>
        <v>0</v>
      </c>
      <c r="E85" s="10" t="n">
        <v>416500</v>
      </c>
    </row>
    <row r="86" customFormat="false" ht="15" hidden="false" customHeight="true" outlineLevel="0" collapsed="false">
      <c r="A86" s="8" t="s">
        <v>33</v>
      </c>
      <c r="B86" s="9" t="s">
        <v>92</v>
      </c>
      <c r="C86" s="10" t="n">
        <f aca="false">150000+150000+116500</f>
        <v>416500</v>
      </c>
      <c r="D86" s="10" t="n">
        <f aca="false">E86-C86</f>
        <v>0</v>
      </c>
      <c r="E86" s="10" t="n">
        <v>416500</v>
      </c>
    </row>
    <row r="87" customFormat="false" ht="15" hidden="false" customHeight="true" outlineLevel="0" collapsed="false">
      <c r="A87" s="8" t="s">
        <v>35</v>
      </c>
      <c r="B87" s="9" t="s">
        <v>93</v>
      </c>
      <c r="C87" s="10" t="n">
        <f aca="false">150000+100000+50000+116500</f>
        <v>416500</v>
      </c>
      <c r="D87" s="10" t="n">
        <f aca="false">E87-C87</f>
        <v>0</v>
      </c>
      <c r="E87" s="10" t="n">
        <v>416500</v>
      </c>
    </row>
    <row r="88" customFormat="false" ht="15" hidden="false" customHeight="true" outlineLevel="0" collapsed="false">
      <c r="A88" s="8" t="s">
        <v>37</v>
      </c>
      <c r="B88" s="9" t="s">
        <v>94</v>
      </c>
      <c r="C88" s="10" t="n">
        <f aca="false">50000+50000+70000</f>
        <v>170000</v>
      </c>
      <c r="D88" s="10" t="n">
        <f aca="false">E88-C88</f>
        <v>246500</v>
      </c>
      <c r="E88" s="10" t="n">
        <v>416500</v>
      </c>
    </row>
    <row r="89" customFormat="false" ht="15" hidden="false" customHeight="true" outlineLevel="0" collapsed="false">
      <c r="A89" s="8" t="s">
        <v>39</v>
      </c>
      <c r="B89" s="9" t="s">
        <v>95</v>
      </c>
      <c r="C89" s="10" t="n">
        <f aca="false">150000+100000+166000+500</f>
        <v>416500</v>
      </c>
      <c r="D89" s="10" t="n">
        <f aca="false">E89-C89</f>
        <v>0</v>
      </c>
      <c r="E89" s="10" t="n">
        <v>416500</v>
      </c>
    </row>
    <row r="90" customFormat="false" ht="15" hidden="false" customHeight="true" outlineLevel="0" collapsed="false">
      <c r="A90" s="8" t="s">
        <v>41</v>
      </c>
      <c r="B90" s="9" t="s">
        <v>96</v>
      </c>
      <c r="C90" s="10" t="n">
        <f aca="false">200000+81500+135000</f>
        <v>416500</v>
      </c>
      <c r="D90" s="10" t="n">
        <f aca="false">E90-C90</f>
        <v>0</v>
      </c>
      <c r="E90" s="10" t="n">
        <v>416500</v>
      </c>
    </row>
    <row r="91" customFormat="false" ht="15" hidden="false" customHeight="true" outlineLevel="0" collapsed="false">
      <c r="A91" s="8" t="s">
        <v>43</v>
      </c>
      <c r="B91" s="9" t="s">
        <v>97</v>
      </c>
      <c r="C91" s="10" t="n">
        <v>416500</v>
      </c>
      <c r="D91" s="10" t="n">
        <f aca="false">E91-C91</f>
        <v>0</v>
      </c>
      <c r="E91" s="10" t="n">
        <v>416500</v>
      </c>
    </row>
    <row r="92" customFormat="false" ht="15" hidden="false" customHeight="true" outlineLevel="0" collapsed="false">
      <c r="A92" s="8" t="s">
        <v>45</v>
      </c>
      <c r="B92" s="9" t="s">
        <v>98</v>
      </c>
      <c r="C92" s="10" t="n">
        <v>416500</v>
      </c>
      <c r="D92" s="10" t="n">
        <f aca="false">E92-C92</f>
        <v>0</v>
      </c>
      <c r="E92" s="10" t="n">
        <v>416500</v>
      </c>
    </row>
    <row r="93" customFormat="false" ht="15" hidden="false" customHeight="true" outlineLevel="0" collapsed="false">
      <c r="A93" s="8" t="s">
        <v>47</v>
      </c>
      <c r="B93" s="9" t="s">
        <v>99</v>
      </c>
      <c r="C93" s="10" t="n">
        <v>416500</v>
      </c>
      <c r="D93" s="10" t="n">
        <f aca="false">E93-C93</f>
        <v>0</v>
      </c>
      <c r="E93" s="10" t="n">
        <v>416500</v>
      </c>
    </row>
    <row r="94" customFormat="false" ht="15" hidden="false" customHeight="true" outlineLevel="0" collapsed="false">
      <c r="A94" s="6" t="s">
        <v>57</v>
      </c>
      <c r="B94" s="6"/>
      <c r="C94" s="7" t="n">
        <f aca="false">SUM(C73:C93)</f>
        <v>7767000</v>
      </c>
      <c r="D94" s="7" t="n">
        <f aca="false">E94-C94</f>
        <v>979500</v>
      </c>
      <c r="E94" s="7" t="n">
        <f aca="false">SUM(E72:E93)</f>
        <v>8746500</v>
      </c>
    </row>
    <row r="95" customFormat="false" ht="15" hidden="false" customHeight="true" outlineLevel="0" collapsed="false">
      <c r="A95" s="14"/>
      <c r="B95" s="14"/>
      <c r="C95" s="15"/>
      <c r="D95" s="15"/>
      <c r="E95" s="15"/>
    </row>
    <row r="96" customFormat="false" ht="15" hidden="false" customHeight="true" outlineLevel="0" collapsed="false">
      <c r="A96" s="14"/>
      <c r="B96" s="14"/>
      <c r="C96" s="15"/>
      <c r="D96" s="15"/>
      <c r="E96" s="15"/>
    </row>
    <row r="97" customFormat="false" ht="15" hidden="false" customHeight="true" outlineLevel="0" collapsed="false">
      <c r="A97" s="14"/>
      <c r="B97" s="14"/>
      <c r="C97" s="15"/>
      <c r="D97" s="15"/>
      <c r="E97" s="15"/>
    </row>
    <row r="98" customFormat="false" ht="15" hidden="false" customHeight="true" outlineLevel="0" collapsed="false">
      <c r="A98" s="14"/>
      <c r="B98" s="14"/>
      <c r="C98" s="15"/>
      <c r="D98" s="15"/>
      <c r="E98" s="15"/>
    </row>
    <row r="99" customFormat="false" ht="15" hidden="false" customHeight="true" outlineLevel="0" collapsed="false">
      <c r="A99" s="14"/>
      <c r="B99" s="14"/>
      <c r="C99" s="15"/>
      <c r="D99" s="15"/>
      <c r="E99" s="15"/>
    </row>
    <row r="100" customFormat="false" ht="15.75" hidden="false" customHeight="true" outlineLevel="0" collapsed="false">
      <c r="A100" s="14"/>
      <c r="B100" s="3" t="s">
        <v>0</v>
      </c>
      <c r="C100" s="15"/>
      <c r="D100" s="15"/>
      <c r="E100" s="15"/>
    </row>
    <row r="101" customFormat="false" ht="15" hidden="false" customHeight="true" outlineLevel="0" collapsed="false">
      <c r="A101" s="14"/>
      <c r="B101" s="14"/>
      <c r="C101" s="15"/>
      <c r="D101" s="15"/>
      <c r="E101" s="15"/>
    </row>
    <row r="102" customFormat="false" ht="16.5" hidden="false" customHeight="true" outlineLevel="0" collapsed="false">
      <c r="A102" s="20"/>
      <c r="B102" s="5" t="s">
        <v>100</v>
      </c>
      <c r="C102" s="5"/>
      <c r="D102" s="5"/>
      <c r="E102" s="5"/>
    </row>
    <row r="103" customFormat="false" ht="15" hidden="false" customHeight="true" outlineLevel="0" collapsed="false">
      <c r="A103" s="21"/>
      <c r="B103" s="18"/>
      <c r="C103" s="18"/>
      <c r="D103" s="18"/>
      <c r="E103" s="18"/>
    </row>
    <row r="104" customFormat="false" ht="15" hidden="false" customHeight="true" outlineLevel="0" collapsed="false">
      <c r="A104" s="6" t="s">
        <v>2</v>
      </c>
      <c r="B104" s="6" t="s">
        <v>3</v>
      </c>
      <c r="C104" s="7" t="s">
        <v>4</v>
      </c>
      <c r="D104" s="6" t="s">
        <v>5</v>
      </c>
      <c r="E104" s="19" t="s">
        <v>6</v>
      </c>
    </row>
    <row r="105" customFormat="false" ht="15" hidden="false" customHeight="true" outlineLevel="0" collapsed="false">
      <c r="A105" s="8" t="s">
        <v>7</v>
      </c>
      <c r="B105" s="9" t="s">
        <v>101</v>
      </c>
      <c r="C105" s="10" t="n">
        <f aca="false">200000+16500+200000</f>
        <v>416500</v>
      </c>
      <c r="D105" s="10" t="n">
        <f aca="false">E105-C105</f>
        <v>0</v>
      </c>
      <c r="E105" s="10" t="n">
        <v>416500</v>
      </c>
    </row>
    <row r="106" customFormat="false" ht="15" hidden="false" customHeight="true" outlineLevel="0" collapsed="false">
      <c r="A106" s="8" t="s">
        <v>9</v>
      </c>
      <c r="B106" s="9" t="s">
        <v>102</v>
      </c>
      <c r="C106" s="10" t="n">
        <f aca="false">100000+300000+16500</f>
        <v>416500</v>
      </c>
      <c r="D106" s="10" t="n">
        <f aca="false">E106-C106</f>
        <v>0</v>
      </c>
      <c r="E106" s="10" t="n">
        <v>416500</v>
      </c>
    </row>
    <row r="107" customFormat="false" ht="15" hidden="false" customHeight="true" outlineLevel="0" collapsed="false">
      <c r="A107" s="8" t="s">
        <v>11</v>
      </c>
      <c r="B107" s="9" t="s">
        <v>103</v>
      </c>
      <c r="C107" s="10" t="n">
        <f aca="false">200000+16500+200000</f>
        <v>416500</v>
      </c>
      <c r="D107" s="10" t="n">
        <f aca="false">E107-C107</f>
        <v>0</v>
      </c>
      <c r="E107" s="10" t="n">
        <v>416500</v>
      </c>
    </row>
    <row r="108" customFormat="false" ht="15" hidden="false" customHeight="true" outlineLevel="0" collapsed="false">
      <c r="A108" s="8" t="s">
        <v>13</v>
      </c>
      <c r="B108" s="9" t="s">
        <v>104</v>
      </c>
      <c r="C108" s="10" t="n">
        <v>416500</v>
      </c>
      <c r="D108" s="10" t="n">
        <f aca="false">E108-C108</f>
        <v>0</v>
      </c>
      <c r="E108" s="10" t="n">
        <v>416500</v>
      </c>
    </row>
    <row r="109" customFormat="false" ht="15" hidden="false" customHeight="true" outlineLevel="0" collapsed="false">
      <c r="A109" s="8" t="s">
        <v>15</v>
      </c>
      <c r="B109" s="9" t="s">
        <v>105</v>
      </c>
      <c r="C109" s="10" t="n">
        <f aca="false">120000+95000+201500</f>
        <v>416500</v>
      </c>
      <c r="D109" s="10" t="n">
        <f aca="false">E109-C109</f>
        <v>0</v>
      </c>
      <c r="E109" s="10" t="n">
        <v>416500</v>
      </c>
    </row>
    <row r="110" customFormat="false" ht="15" hidden="false" customHeight="true" outlineLevel="0" collapsed="false">
      <c r="A110" s="8" t="s">
        <v>17</v>
      </c>
      <c r="B110" s="9" t="s">
        <v>106</v>
      </c>
      <c r="C110" s="10" t="n">
        <f aca="false">250000+166500</f>
        <v>416500</v>
      </c>
      <c r="D110" s="10" t="n">
        <f aca="false">E110-C110</f>
        <v>0</v>
      </c>
      <c r="E110" s="10" t="n">
        <v>416500</v>
      </c>
    </row>
    <row r="111" customFormat="false" ht="15" hidden="false" customHeight="true" outlineLevel="0" collapsed="false">
      <c r="A111" s="8" t="s">
        <v>19</v>
      </c>
      <c r="B111" s="9" t="s">
        <v>107</v>
      </c>
      <c r="C111" s="10" t="n">
        <v>50000</v>
      </c>
      <c r="D111" s="10" t="n">
        <f aca="false">E111-C111</f>
        <v>366500</v>
      </c>
      <c r="E111" s="10" t="n">
        <v>416500</v>
      </c>
    </row>
    <row r="112" customFormat="false" ht="15" hidden="false" customHeight="true" outlineLevel="0" collapsed="false">
      <c r="A112" s="8" t="s">
        <v>21</v>
      </c>
      <c r="B112" s="9" t="s">
        <v>108</v>
      </c>
      <c r="C112" s="10" t="n">
        <v>416500</v>
      </c>
      <c r="D112" s="10" t="n">
        <f aca="false">E112-C112</f>
        <v>0</v>
      </c>
      <c r="E112" s="10" t="n">
        <v>416500</v>
      </c>
    </row>
    <row r="113" customFormat="false" ht="15" hidden="false" customHeight="true" outlineLevel="0" collapsed="false">
      <c r="A113" s="8" t="s">
        <v>23</v>
      </c>
      <c r="B113" s="9" t="s">
        <v>109</v>
      </c>
      <c r="C113" s="10" t="n">
        <f aca="false">150000+100000+100000+66500</f>
        <v>416500</v>
      </c>
      <c r="D113" s="10" t="n">
        <f aca="false">E113-C113</f>
        <v>0</v>
      </c>
      <c r="E113" s="10" t="n">
        <v>416500</v>
      </c>
    </row>
    <row r="114" customFormat="false" ht="15" hidden="false" customHeight="true" outlineLevel="0" collapsed="false">
      <c r="A114" s="8" t="s">
        <v>25</v>
      </c>
      <c r="B114" s="9" t="s">
        <v>110</v>
      </c>
      <c r="C114" s="10" t="n">
        <f aca="false">150000+50000+196500+20000</f>
        <v>416500</v>
      </c>
      <c r="D114" s="10" t="n">
        <f aca="false">E114-C114</f>
        <v>0</v>
      </c>
      <c r="E114" s="10" t="n">
        <v>416500</v>
      </c>
    </row>
    <row r="115" customFormat="false" ht="15" hidden="false" customHeight="true" outlineLevel="0" collapsed="false">
      <c r="A115" s="8" t="s">
        <v>27</v>
      </c>
      <c r="B115" s="9" t="s">
        <v>111</v>
      </c>
      <c r="C115" s="10" t="n">
        <f aca="false">150000+66500+90000+110000</f>
        <v>416500</v>
      </c>
      <c r="D115" s="10" t="n">
        <f aca="false">E115-C115</f>
        <v>0</v>
      </c>
      <c r="E115" s="10" t="n">
        <v>416500</v>
      </c>
    </row>
    <row r="116" customFormat="false" ht="15" hidden="false" customHeight="true" outlineLevel="0" collapsed="false">
      <c r="A116" s="8" t="s">
        <v>29</v>
      </c>
      <c r="B116" s="9" t="s">
        <v>112</v>
      </c>
      <c r="C116" s="10" t="n">
        <f aca="false">200000+100000+116500</f>
        <v>416500</v>
      </c>
      <c r="D116" s="10" t="n">
        <f aca="false">E116-C116</f>
        <v>0</v>
      </c>
      <c r="E116" s="10" t="n">
        <v>416500</v>
      </c>
    </row>
    <row r="117" customFormat="false" ht="15" hidden="false" customHeight="true" outlineLevel="0" collapsed="false">
      <c r="A117" s="8" t="s">
        <v>31</v>
      </c>
      <c r="B117" s="9" t="s">
        <v>113</v>
      </c>
      <c r="C117" s="10" t="n">
        <f aca="false">216000+70000+10000+30000+30000+50000+10500</f>
        <v>416500</v>
      </c>
      <c r="D117" s="10" t="n">
        <f aca="false">E117-C117</f>
        <v>0</v>
      </c>
      <c r="E117" s="10" t="n">
        <v>416500</v>
      </c>
    </row>
    <row r="118" customFormat="false" ht="15" hidden="false" customHeight="true" outlineLevel="0" collapsed="false">
      <c r="A118" s="8" t="s">
        <v>33</v>
      </c>
      <c r="B118" s="9" t="s">
        <v>114</v>
      </c>
      <c r="C118" s="10" t="n">
        <v>416500</v>
      </c>
      <c r="D118" s="10" t="n">
        <f aca="false">E118-C118</f>
        <v>0</v>
      </c>
      <c r="E118" s="10" t="n">
        <v>416500</v>
      </c>
    </row>
    <row r="119" customFormat="false" ht="15" hidden="false" customHeight="true" outlineLevel="0" collapsed="false">
      <c r="A119" s="6" t="s">
        <v>57</v>
      </c>
      <c r="B119" s="6"/>
      <c r="C119" s="7" t="n">
        <f aca="false">SUM(C105:C118)</f>
        <v>5464500</v>
      </c>
      <c r="D119" s="7" t="n">
        <f aca="false">E119-C119</f>
        <v>366500</v>
      </c>
      <c r="E119" s="7" t="n">
        <f aca="false">SUM(E105:E118)</f>
        <v>5831000</v>
      </c>
    </row>
    <row r="120" customFormat="false" ht="15" hidden="false" customHeight="true" outlineLevel="0" collapsed="false">
      <c r="A120" s="14"/>
      <c r="B120" s="14"/>
      <c r="C120" s="15"/>
      <c r="D120" s="15"/>
      <c r="E120" s="15"/>
    </row>
    <row r="121" customFormat="false" ht="15" hidden="false" customHeight="true" outlineLevel="0" collapsed="false">
      <c r="A121" s="14"/>
      <c r="B121" s="14"/>
      <c r="C121" s="15"/>
      <c r="D121" s="15"/>
      <c r="E121" s="15"/>
    </row>
    <row r="122" customFormat="false" ht="15" hidden="false" customHeight="true" outlineLevel="0" collapsed="false">
      <c r="A122" s="14"/>
      <c r="B122" s="14"/>
      <c r="C122" s="15"/>
      <c r="D122" s="15"/>
      <c r="E122" s="15"/>
    </row>
    <row r="123" customFormat="false" ht="15" hidden="false" customHeight="true" outlineLevel="0" collapsed="false">
      <c r="A123" s="14"/>
      <c r="B123" s="14"/>
      <c r="C123" s="15"/>
      <c r="D123" s="15"/>
      <c r="E123" s="15"/>
    </row>
    <row r="124" customFormat="false" ht="12" hidden="false" customHeight="true" outlineLevel="0" collapsed="false">
      <c r="A124" s="14"/>
      <c r="B124" s="14"/>
      <c r="C124" s="15"/>
      <c r="D124" s="15"/>
      <c r="E124" s="15"/>
    </row>
    <row r="125" customFormat="false" ht="16.5" hidden="false" customHeight="true" outlineLevel="0" collapsed="false">
      <c r="A125" s="14"/>
      <c r="B125" s="3" t="s">
        <v>0</v>
      </c>
      <c r="C125" s="15"/>
      <c r="D125" s="15"/>
      <c r="E125" s="15"/>
    </row>
    <row r="126" customFormat="false" ht="10.5" hidden="false" customHeight="true" outlineLevel="0" collapsed="false">
      <c r="A126" s="14"/>
      <c r="B126" s="14"/>
      <c r="C126" s="15"/>
      <c r="D126" s="15"/>
      <c r="E126" s="15"/>
    </row>
    <row r="127" customFormat="false" ht="17.25" hidden="false" customHeight="true" outlineLevel="0" collapsed="false">
      <c r="A127" s="5" t="s">
        <v>115</v>
      </c>
      <c r="B127" s="20"/>
      <c r="C127" s="5"/>
      <c r="D127" s="5"/>
      <c r="E127" s="5"/>
    </row>
    <row r="128" customFormat="false" ht="15" hidden="false" customHeight="true" outlineLevel="0" collapsed="false">
      <c r="A128" s="17"/>
      <c r="B128" s="22"/>
      <c r="C128" s="18"/>
      <c r="D128" s="18"/>
      <c r="E128" s="18"/>
    </row>
    <row r="129" customFormat="false" ht="15" hidden="false" customHeight="true" outlineLevel="0" collapsed="false">
      <c r="A129" s="6" t="s">
        <v>2</v>
      </c>
      <c r="B129" s="6" t="s">
        <v>3</v>
      </c>
      <c r="C129" s="7" t="s">
        <v>4</v>
      </c>
      <c r="D129" s="6" t="s">
        <v>5</v>
      </c>
      <c r="E129" s="19" t="s">
        <v>6</v>
      </c>
    </row>
    <row r="130" customFormat="false" ht="15" hidden="false" customHeight="true" outlineLevel="0" collapsed="false">
      <c r="A130" s="8" t="s">
        <v>7</v>
      </c>
      <c r="B130" s="9" t="s">
        <v>116</v>
      </c>
      <c r="C130" s="10" t="n">
        <f aca="false">217000+100000+99500</f>
        <v>416500</v>
      </c>
      <c r="D130" s="10" t="n">
        <f aca="false">E130-C130</f>
        <v>0</v>
      </c>
      <c r="E130" s="10" t="n">
        <v>416500</v>
      </c>
    </row>
    <row r="131" customFormat="false" ht="15" hidden="false" customHeight="true" outlineLevel="0" collapsed="false">
      <c r="A131" s="8" t="s">
        <v>9</v>
      </c>
      <c r="B131" s="9" t="s">
        <v>117</v>
      </c>
      <c r="C131" s="10" t="n">
        <v>30000</v>
      </c>
      <c r="D131" s="10" t="n">
        <f aca="false">E131-C131</f>
        <v>386500</v>
      </c>
      <c r="E131" s="10" t="n">
        <v>416500</v>
      </c>
    </row>
    <row r="132" customFormat="false" ht="15" hidden="false" customHeight="true" outlineLevel="0" collapsed="false">
      <c r="A132" s="8" t="s">
        <v>11</v>
      </c>
      <c r="B132" s="9" t="s">
        <v>118</v>
      </c>
      <c r="C132" s="10" t="n">
        <v>416500</v>
      </c>
      <c r="D132" s="10" t="n">
        <f aca="false">E132-C132</f>
        <v>0</v>
      </c>
      <c r="E132" s="10" t="n">
        <v>416500</v>
      </c>
    </row>
    <row r="133" customFormat="false" ht="15" hidden="false" customHeight="true" outlineLevel="0" collapsed="false">
      <c r="A133" s="8" t="s">
        <v>13</v>
      </c>
      <c r="B133" s="9" t="s">
        <v>119</v>
      </c>
      <c r="C133" s="10" t="n">
        <f aca="false">215000+5000+196000+500</f>
        <v>416500</v>
      </c>
      <c r="D133" s="10" t="n">
        <f aca="false">E133-C133</f>
        <v>0</v>
      </c>
      <c r="E133" s="10" t="n">
        <v>416500</v>
      </c>
    </row>
    <row r="134" customFormat="false" ht="15" hidden="false" customHeight="true" outlineLevel="0" collapsed="false">
      <c r="A134" s="8" t="s">
        <v>15</v>
      </c>
      <c r="B134" s="9" t="s">
        <v>120</v>
      </c>
      <c r="C134" s="10" t="n">
        <v>416500</v>
      </c>
      <c r="D134" s="10" t="n">
        <f aca="false">E134-C134</f>
        <v>0</v>
      </c>
      <c r="E134" s="10" t="n">
        <v>416500</v>
      </c>
    </row>
    <row r="135" customFormat="false" ht="15" hidden="false" customHeight="true" outlineLevel="0" collapsed="false">
      <c r="A135" s="8" t="s">
        <v>17</v>
      </c>
      <c r="B135" s="9" t="s">
        <v>121</v>
      </c>
      <c r="C135" s="10" t="n">
        <f aca="false">100000+166500+100000+50000</f>
        <v>416500</v>
      </c>
      <c r="D135" s="10" t="n">
        <f aca="false">E135-C135</f>
        <v>0</v>
      </c>
      <c r="E135" s="10" t="n">
        <v>416500</v>
      </c>
    </row>
    <row r="136" customFormat="false" ht="15" hidden="false" customHeight="true" outlineLevel="0" collapsed="false">
      <c r="A136" s="8" t="s">
        <v>19</v>
      </c>
      <c r="B136" s="9" t="s">
        <v>122</v>
      </c>
      <c r="C136" s="10" t="n">
        <f aca="false">200000+116500+100000</f>
        <v>416500</v>
      </c>
      <c r="D136" s="10" t="n">
        <f aca="false">E136-C136</f>
        <v>0</v>
      </c>
      <c r="E136" s="10" t="n">
        <v>416500</v>
      </c>
    </row>
    <row r="137" customFormat="false" ht="15" hidden="false" customHeight="true" outlineLevel="0" collapsed="false">
      <c r="A137" s="8" t="s">
        <v>21</v>
      </c>
      <c r="B137" s="9" t="s">
        <v>123</v>
      </c>
      <c r="C137" s="10" t="n">
        <f aca="false">250000+50000+50000+66500</f>
        <v>416500</v>
      </c>
      <c r="D137" s="10" t="n">
        <f aca="false">E137-C137</f>
        <v>0</v>
      </c>
      <c r="E137" s="10" t="n">
        <v>416500</v>
      </c>
    </row>
    <row r="138" customFormat="false" ht="15" hidden="false" customHeight="true" outlineLevel="0" collapsed="false">
      <c r="A138" s="8" t="s">
        <v>23</v>
      </c>
      <c r="B138" s="9" t="s">
        <v>124</v>
      </c>
      <c r="C138" s="10" t="n">
        <v>416500</v>
      </c>
      <c r="D138" s="10" t="n">
        <f aca="false">E138-C138</f>
        <v>0</v>
      </c>
      <c r="E138" s="10" t="n">
        <v>416500</v>
      </c>
    </row>
    <row r="139" customFormat="false" ht="15" hidden="false" customHeight="true" outlineLevel="0" collapsed="false">
      <c r="A139" s="8" t="s">
        <v>25</v>
      </c>
      <c r="B139" s="9" t="s">
        <v>125</v>
      </c>
      <c r="C139" s="10" t="n">
        <f aca="false">90000+10000+200000+116500</f>
        <v>416500</v>
      </c>
      <c r="D139" s="10" t="n">
        <f aca="false">E139-C139</f>
        <v>0</v>
      </c>
      <c r="E139" s="10" t="n">
        <v>416500</v>
      </c>
    </row>
    <row r="140" customFormat="false" ht="15" hidden="false" customHeight="true" outlineLevel="0" collapsed="false">
      <c r="A140" s="8" t="s">
        <v>27</v>
      </c>
      <c r="B140" s="9" t="s">
        <v>126</v>
      </c>
      <c r="C140" s="10" t="n">
        <f aca="false">216500+200000</f>
        <v>416500</v>
      </c>
      <c r="D140" s="10" t="n">
        <v>0</v>
      </c>
      <c r="E140" s="10" t="n">
        <v>416500</v>
      </c>
    </row>
    <row r="141" customFormat="false" ht="15" hidden="false" customHeight="true" outlineLevel="0" collapsed="false">
      <c r="A141" s="8" t="s">
        <v>29</v>
      </c>
      <c r="B141" s="9" t="s">
        <v>127</v>
      </c>
      <c r="C141" s="10" t="n">
        <f aca="false">100000+16500+200000+50000+50000</f>
        <v>416500</v>
      </c>
      <c r="D141" s="10" t="n">
        <f aca="false">E141-C141</f>
        <v>0</v>
      </c>
      <c r="E141" s="10" t="n">
        <v>416500</v>
      </c>
    </row>
    <row r="142" customFormat="false" ht="15" hidden="false" customHeight="true" outlineLevel="0" collapsed="false">
      <c r="A142" s="8" t="s">
        <v>31</v>
      </c>
      <c r="B142" s="9" t="s">
        <v>128</v>
      </c>
      <c r="C142" s="10" t="n">
        <f aca="false">216500+200000</f>
        <v>416500</v>
      </c>
      <c r="D142" s="10" t="n">
        <f aca="false">E142-C142</f>
        <v>0</v>
      </c>
      <c r="E142" s="10" t="n">
        <v>416500</v>
      </c>
    </row>
    <row r="143" customFormat="false" ht="15" hidden="false" customHeight="true" outlineLevel="0" collapsed="false">
      <c r="A143" s="8" t="s">
        <v>33</v>
      </c>
      <c r="B143" s="9" t="s">
        <v>129</v>
      </c>
      <c r="C143" s="10" t="n">
        <v>416500</v>
      </c>
      <c r="D143" s="10" t="n">
        <f aca="false">E143-C143</f>
        <v>0</v>
      </c>
      <c r="E143" s="10" t="n">
        <v>416500</v>
      </c>
    </row>
    <row r="144" customFormat="false" ht="15" hidden="false" customHeight="true" outlineLevel="0" collapsed="false">
      <c r="A144" s="8" t="s">
        <v>35</v>
      </c>
      <c r="B144" s="9" t="s">
        <v>130</v>
      </c>
      <c r="C144" s="10" t="n">
        <f aca="false">216500+200000</f>
        <v>416500</v>
      </c>
      <c r="D144" s="10" t="n">
        <f aca="false">E144-C144</f>
        <v>0</v>
      </c>
      <c r="E144" s="10" t="n">
        <v>416500</v>
      </c>
    </row>
    <row r="145" customFormat="false" ht="15" hidden="false" customHeight="true" outlineLevel="0" collapsed="false">
      <c r="A145" s="8" t="s">
        <v>37</v>
      </c>
      <c r="B145" s="9" t="s">
        <v>131</v>
      </c>
      <c r="C145" s="10" t="n">
        <v>397000</v>
      </c>
      <c r="D145" s="10" t="n">
        <f aca="false">E145-C145</f>
        <v>19500</v>
      </c>
      <c r="E145" s="10" t="n">
        <v>416500</v>
      </c>
    </row>
    <row r="146" customFormat="false" ht="15" hidden="false" customHeight="true" outlineLevel="0" collapsed="false">
      <c r="A146" s="8" t="s">
        <v>39</v>
      </c>
      <c r="B146" s="23" t="s">
        <v>132</v>
      </c>
      <c r="C146" s="10" t="n">
        <f aca="false">200000+170000+46500</f>
        <v>416500</v>
      </c>
      <c r="D146" s="10" t="n">
        <f aca="false">E146-C146</f>
        <v>0</v>
      </c>
      <c r="E146" s="10" t="n">
        <v>416500</v>
      </c>
    </row>
    <row r="147" customFormat="false" ht="15" hidden="false" customHeight="true" outlineLevel="0" collapsed="false">
      <c r="A147" s="8" t="s">
        <v>41</v>
      </c>
      <c r="B147" s="9" t="s">
        <v>133</v>
      </c>
      <c r="C147" s="10" t="n">
        <f aca="false">100000+50000+266500</f>
        <v>416500</v>
      </c>
      <c r="D147" s="10" t="n">
        <f aca="false">E147-C147</f>
        <v>0</v>
      </c>
      <c r="E147" s="10" t="n">
        <v>416500</v>
      </c>
    </row>
    <row r="148" customFormat="false" ht="15" hidden="false" customHeight="true" outlineLevel="0" collapsed="false">
      <c r="A148" s="8" t="s">
        <v>43</v>
      </c>
      <c r="B148" s="9" t="s">
        <v>134</v>
      </c>
      <c r="C148" s="10" t="n">
        <f aca="false">216000+100000+100500</f>
        <v>416500</v>
      </c>
      <c r="D148" s="10" t="n">
        <f aca="false">E148-C148</f>
        <v>0</v>
      </c>
      <c r="E148" s="10" t="n">
        <v>416500</v>
      </c>
    </row>
    <row r="149" customFormat="false" ht="15" hidden="false" customHeight="true" outlineLevel="0" collapsed="false">
      <c r="A149" s="8" t="s">
        <v>45</v>
      </c>
      <c r="B149" s="9" t="s">
        <v>135</v>
      </c>
      <c r="C149" s="10" t="n">
        <v>416500</v>
      </c>
      <c r="D149" s="10" t="n">
        <f aca="false">E149-C149</f>
        <v>0</v>
      </c>
      <c r="E149" s="10" t="n">
        <v>416500</v>
      </c>
    </row>
    <row r="150" customFormat="false" ht="15" hidden="false" customHeight="true" outlineLevel="0" collapsed="false">
      <c r="A150" s="8" t="s">
        <v>47</v>
      </c>
      <c r="B150" s="9" t="s">
        <v>136</v>
      </c>
      <c r="C150" s="10" t="n">
        <f aca="false">100000+100000+216500</f>
        <v>416500</v>
      </c>
      <c r="D150" s="10" t="n">
        <f aca="false">E150-C150</f>
        <v>0</v>
      </c>
      <c r="E150" s="10" t="n">
        <v>416500</v>
      </c>
    </row>
    <row r="151" customFormat="false" ht="15" hidden="false" customHeight="true" outlineLevel="0" collapsed="false">
      <c r="A151" s="8" t="s">
        <v>49</v>
      </c>
      <c r="B151" s="9" t="s">
        <v>137</v>
      </c>
      <c r="C151" s="10" t="n">
        <f aca="false">200000+17000+150000+50000</f>
        <v>417000</v>
      </c>
      <c r="D151" s="10" t="n">
        <f aca="false">E151-C151</f>
        <v>-500</v>
      </c>
      <c r="E151" s="10" t="n">
        <v>416500</v>
      </c>
    </row>
    <row r="152" customFormat="false" ht="15" hidden="false" customHeight="true" outlineLevel="0" collapsed="false">
      <c r="A152" s="8" t="s">
        <v>51</v>
      </c>
      <c r="B152" s="9" t="s">
        <v>138</v>
      </c>
      <c r="C152" s="10" t="n">
        <v>416500</v>
      </c>
      <c r="D152" s="10" t="n">
        <f aca="false">E152-C152</f>
        <v>0</v>
      </c>
      <c r="E152" s="10" t="n">
        <v>416500</v>
      </c>
    </row>
    <row r="153" customFormat="false" ht="15" hidden="false" customHeight="true" outlineLevel="0" collapsed="false">
      <c r="A153" s="8" t="s">
        <v>53</v>
      </c>
      <c r="B153" s="24" t="s">
        <v>139</v>
      </c>
      <c r="C153" s="10" t="n">
        <f aca="false">210500+206000</f>
        <v>416500</v>
      </c>
      <c r="D153" s="10" t="n">
        <f aca="false">E153-C153</f>
        <v>0</v>
      </c>
      <c r="E153" s="10" t="n">
        <v>416500</v>
      </c>
    </row>
    <row r="154" customFormat="false" ht="15" hidden="false" customHeight="true" outlineLevel="0" collapsed="false">
      <c r="A154" s="8" t="s">
        <v>55</v>
      </c>
      <c r="B154" s="9" t="s">
        <v>140</v>
      </c>
      <c r="C154" s="10" t="n">
        <f aca="false">210000+156500+50000</f>
        <v>416500</v>
      </c>
      <c r="D154" s="10" t="n">
        <f aca="false">E154-C154</f>
        <v>0</v>
      </c>
      <c r="E154" s="10" t="n">
        <v>416500</v>
      </c>
    </row>
    <row r="155" customFormat="false" ht="15" hidden="false" customHeight="true" outlineLevel="0" collapsed="false">
      <c r="A155" s="8" t="s">
        <v>141</v>
      </c>
      <c r="B155" s="24" t="s">
        <v>142</v>
      </c>
      <c r="C155" s="10" t="n">
        <v>40000</v>
      </c>
      <c r="D155" s="10" t="n">
        <f aca="false">E155-C155</f>
        <v>376500</v>
      </c>
      <c r="E155" s="10" t="n">
        <v>416500</v>
      </c>
    </row>
    <row r="156" customFormat="false" ht="15" hidden="false" customHeight="true" outlineLevel="0" collapsed="false">
      <c r="A156" s="8" t="s">
        <v>143</v>
      </c>
      <c r="B156" s="9" t="s">
        <v>144</v>
      </c>
      <c r="C156" s="10" t="n">
        <f aca="false">200000+16500+150000+50000</f>
        <v>416500</v>
      </c>
      <c r="D156" s="10" t="n">
        <f aca="false">E156-C156</f>
        <v>0</v>
      </c>
      <c r="E156" s="10" t="n">
        <v>416500</v>
      </c>
    </row>
    <row r="157" customFormat="false" ht="15" hidden="false" customHeight="true" outlineLevel="0" collapsed="false">
      <c r="A157" s="8" t="s">
        <v>145</v>
      </c>
      <c r="B157" s="9" t="s">
        <v>146</v>
      </c>
      <c r="C157" s="10" t="n">
        <f aca="false">300000+90000+26500</f>
        <v>416500</v>
      </c>
      <c r="D157" s="10" t="n">
        <f aca="false">E157-C157</f>
        <v>0</v>
      </c>
      <c r="E157" s="10" t="n">
        <v>416500</v>
      </c>
    </row>
    <row r="158" customFormat="false" ht="15" hidden="false" customHeight="true" outlineLevel="0" collapsed="false">
      <c r="A158" s="8" t="s">
        <v>147</v>
      </c>
      <c r="B158" s="9" t="s">
        <v>148</v>
      </c>
      <c r="C158" s="10" t="n">
        <f aca="false">116500+100000+200000</f>
        <v>416500</v>
      </c>
      <c r="D158" s="10" t="n">
        <f aca="false">E158-C158</f>
        <v>0</v>
      </c>
      <c r="E158" s="10" t="n">
        <v>416500</v>
      </c>
    </row>
    <row r="159" customFormat="false" ht="15" hidden="false" customHeight="true" outlineLevel="0" collapsed="false">
      <c r="A159" s="8" t="s">
        <v>149</v>
      </c>
      <c r="B159" s="9" t="s">
        <v>150</v>
      </c>
      <c r="C159" s="10" t="n">
        <f aca="false">60000+40000</f>
        <v>100000</v>
      </c>
      <c r="D159" s="10" t="n">
        <f aca="false">E159-C159</f>
        <v>316500</v>
      </c>
      <c r="E159" s="10" t="n">
        <v>416500</v>
      </c>
    </row>
    <row r="160" customFormat="false" ht="15" hidden="false" customHeight="true" outlineLevel="0" collapsed="false">
      <c r="A160" s="8" t="s">
        <v>151</v>
      </c>
      <c r="B160" s="9" t="s">
        <v>152</v>
      </c>
      <c r="C160" s="10" t="n">
        <f aca="false">216000+200500</f>
        <v>416500</v>
      </c>
      <c r="D160" s="10" t="n">
        <f aca="false">E160-C160</f>
        <v>0</v>
      </c>
      <c r="E160" s="10" t="n">
        <v>416500</v>
      </c>
    </row>
    <row r="161" customFormat="false" ht="15" hidden="false" customHeight="true" outlineLevel="0" collapsed="false">
      <c r="A161" s="8" t="s">
        <v>153</v>
      </c>
      <c r="B161" s="9" t="s">
        <v>154</v>
      </c>
      <c r="C161" s="10" t="n">
        <f aca="false">100000+100000+100000+100000+16500</f>
        <v>416500</v>
      </c>
      <c r="D161" s="10" t="n">
        <f aca="false">E161-C161</f>
        <v>0</v>
      </c>
      <c r="E161" s="10" t="n">
        <v>416500</v>
      </c>
    </row>
    <row r="162" customFormat="false" ht="15" hidden="false" customHeight="true" outlineLevel="0" collapsed="false">
      <c r="A162" s="8" t="s">
        <v>155</v>
      </c>
      <c r="B162" s="9" t="s">
        <v>156</v>
      </c>
      <c r="C162" s="10" t="n">
        <f aca="false">216500+200000</f>
        <v>416500</v>
      </c>
      <c r="D162" s="10" t="n">
        <f aca="false">E162-C162</f>
        <v>0</v>
      </c>
      <c r="E162" s="10" t="n">
        <v>416500</v>
      </c>
    </row>
    <row r="163" customFormat="false" ht="15" hidden="false" customHeight="true" outlineLevel="0" collapsed="false">
      <c r="A163" s="8" t="s">
        <v>157</v>
      </c>
      <c r="B163" s="9" t="s">
        <v>158</v>
      </c>
      <c r="C163" s="10" t="n">
        <f aca="false">200000+16500+200000</f>
        <v>416500</v>
      </c>
      <c r="D163" s="10" t="n">
        <f aca="false">E163-C163</f>
        <v>0</v>
      </c>
      <c r="E163" s="10" t="n">
        <v>416500</v>
      </c>
    </row>
    <row r="164" customFormat="false" ht="15" hidden="false" customHeight="true" outlineLevel="0" collapsed="false">
      <c r="A164" s="8" t="s">
        <v>159</v>
      </c>
      <c r="B164" s="9" t="s">
        <v>160</v>
      </c>
      <c r="C164" s="10" t="n">
        <f aca="false">100000+116000+200500</f>
        <v>416500</v>
      </c>
      <c r="D164" s="10" t="n">
        <f aca="false">E164-C164</f>
        <v>0</v>
      </c>
      <c r="E164" s="10" t="n">
        <v>416500</v>
      </c>
    </row>
    <row r="165" customFormat="false" ht="15" hidden="false" customHeight="true" outlineLevel="0" collapsed="false">
      <c r="A165" s="8" t="s">
        <v>161</v>
      </c>
      <c r="B165" s="9" t="s">
        <v>162</v>
      </c>
      <c r="C165" s="10" t="n">
        <f aca="false">100000+100000+216500</f>
        <v>416500</v>
      </c>
      <c r="D165" s="10" t="n">
        <f aca="false">E165-C165</f>
        <v>0</v>
      </c>
      <c r="E165" s="10" t="n">
        <v>416500</v>
      </c>
    </row>
    <row r="166" customFormat="false" ht="15" hidden="false" customHeight="true" outlineLevel="0" collapsed="false">
      <c r="A166" s="8" t="s">
        <v>163</v>
      </c>
      <c r="B166" s="24" t="s">
        <v>164</v>
      </c>
      <c r="C166" s="10" t="n">
        <f aca="false">216000+500+200000</f>
        <v>416500</v>
      </c>
      <c r="D166" s="10" t="n">
        <f aca="false">E166-C166</f>
        <v>0</v>
      </c>
      <c r="E166" s="10" t="n">
        <v>416500</v>
      </c>
    </row>
    <row r="167" customFormat="false" ht="15" hidden="false" customHeight="true" outlineLevel="0" collapsed="false">
      <c r="A167" s="8" t="s">
        <v>165</v>
      </c>
      <c r="B167" s="24" t="s">
        <v>166</v>
      </c>
      <c r="C167" s="10" t="n">
        <f aca="false">100000+100000+216500</f>
        <v>416500</v>
      </c>
      <c r="D167" s="10" t="n">
        <f aca="false">E167-C167</f>
        <v>0</v>
      </c>
      <c r="E167" s="10" t="n">
        <v>416500</v>
      </c>
    </row>
    <row r="168" customFormat="false" ht="15" hidden="false" customHeight="true" outlineLevel="0" collapsed="false">
      <c r="A168" s="8" t="s">
        <v>167</v>
      </c>
      <c r="B168" s="24" t="s">
        <v>168</v>
      </c>
      <c r="C168" s="10" t="n">
        <f aca="false">200000+16500+30000+170000</f>
        <v>416500</v>
      </c>
      <c r="D168" s="10" t="n">
        <f aca="false">E168-C168</f>
        <v>0</v>
      </c>
      <c r="E168" s="10" t="n">
        <v>416500</v>
      </c>
    </row>
    <row r="169" customFormat="false" ht="15" hidden="false" customHeight="true" outlineLevel="0" collapsed="false">
      <c r="A169" s="8" t="s">
        <v>169</v>
      </c>
      <c r="B169" s="24" t="s">
        <v>170</v>
      </c>
      <c r="C169" s="10" t="n">
        <f aca="false">216500+200000</f>
        <v>416500</v>
      </c>
      <c r="D169" s="10" t="n">
        <f aca="false">E169-C169</f>
        <v>0</v>
      </c>
      <c r="E169" s="10" t="n">
        <v>416500</v>
      </c>
    </row>
    <row r="170" customFormat="false" ht="15" hidden="false" customHeight="true" outlineLevel="0" collapsed="false">
      <c r="A170" s="8" t="s">
        <v>171</v>
      </c>
      <c r="B170" s="24" t="s">
        <v>172</v>
      </c>
      <c r="C170" s="10" t="n">
        <f aca="false">216500+200000</f>
        <v>416500</v>
      </c>
      <c r="D170" s="10" t="n">
        <f aca="false">E170-C170</f>
        <v>0</v>
      </c>
      <c r="E170" s="10" t="n">
        <v>416500</v>
      </c>
    </row>
    <row r="171" customFormat="false" ht="15" hidden="false" customHeight="true" outlineLevel="0" collapsed="false">
      <c r="A171" s="8" t="s">
        <v>173</v>
      </c>
      <c r="B171" s="24" t="s">
        <v>174</v>
      </c>
      <c r="C171" s="10" t="n">
        <v>416500</v>
      </c>
      <c r="D171" s="10" t="n">
        <f aca="false">E171-C171</f>
        <v>0</v>
      </c>
      <c r="E171" s="10" t="n">
        <v>416500</v>
      </c>
    </row>
    <row r="172" customFormat="false" ht="15" hidden="false" customHeight="true" outlineLevel="0" collapsed="false">
      <c r="A172" s="8"/>
      <c r="B172" s="25" t="s">
        <v>175</v>
      </c>
      <c r="C172" s="7" t="n">
        <f aca="false">SUM(C130:C171)</f>
        <v>16394500</v>
      </c>
      <c r="D172" s="7" t="n">
        <f aca="false">E172-C172</f>
        <v>1098500</v>
      </c>
      <c r="E172" s="7" t="n">
        <f aca="false">SUM(E130:E171)</f>
        <v>17493000</v>
      </c>
    </row>
    <row r="173" customFormat="false" ht="15" hidden="false" customHeight="true" outlineLevel="0" collapsed="false">
      <c r="A173" s="26"/>
      <c r="B173" s="27"/>
      <c r="C173" s="15"/>
      <c r="D173" s="15"/>
      <c r="E173" s="15"/>
    </row>
    <row r="174" customFormat="false" ht="15" hidden="false" customHeight="true" outlineLevel="0" collapsed="false">
      <c r="A174" s="26"/>
      <c r="B174" s="27"/>
      <c r="C174" s="15"/>
      <c r="D174" s="15"/>
      <c r="E174" s="15"/>
    </row>
    <row r="175" customFormat="false" ht="15" hidden="false" customHeight="true" outlineLevel="0" collapsed="false">
      <c r="A175" s="26"/>
      <c r="B175" s="27"/>
      <c r="C175" s="15"/>
      <c r="D175" s="15"/>
      <c r="E175" s="15"/>
    </row>
    <row r="176" customFormat="false" ht="18.75" hidden="false" customHeight="true" outlineLevel="0" collapsed="false">
      <c r="A176" s="26"/>
      <c r="B176" s="3" t="s">
        <v>0</v>
      </c>
      <c r="C176" s="15"/>
      <c r="D176" s="15"/>
      <c r="E176" s="15"/>
    </row>
    <row r="177" customFormat="false" ht="15" hidden="false" customHeight="true" outlineLevel="0" collapsed="false">
      <c r="A177" s="26"/>
      <c r="B177" s="3"/>
      <c r="C177" s="15"/>
      <c r="D177" s="15"/>
      <c r="E177" s="15"/>
    </row>
    <row r="178" customFormat="false" ht="18" hidden="false" customHeight="true" outlineLevel="0" collapsed="false">
      <c r="A178" s="17" t="s">
        <v>176</v>
      </c>
      <c r="B178" s="22"/>
      <c r="C178" s="18"/>
      <c r="D178" s="18"/>
      <c r="E178" s="18"/>
    </row>
    <row r="179" customFormat="false" ht="15" hidden="false" customHeight="true" outlineLevel="0" collapsed="false">
      <c r="A179" s="17"/>
      <c r="B179" s="22"/>
      <c r="C179" s="18"/>
      <c r="D179" s="18"/>
      <c r="E179" s="18"/>
    </row>
    <row r="180" customFormat="false" ht="15" hidden="false" customHeight="true" outlineLevel="0" collapsed="false">
      <c r="A180" s="6" t="s">
        <v>2</v>
      </c>
      <c r="B180" s="6" t="s">
        <v>3</v>
      </c>
      <c r="C180" s="7" t="s">
        <v>4</v>
      </c>
      <c r="D180" s="6" t="s">
        <v>5</v>
      </c>
      <c r="E180" s="19" t="s">
        <v>6</v>
      </c>
    </row>
    <row r="181" customFormat="false" ht="15" hidden="false" customHeight="true" outlineLevel="0" collapsed="false">
      <c r="A181" s="8" t="s">
        <v>7</v>
      </c>
      <c r="B181" s="9" t="s">
        <v>177</v>
      </c>
      <c r="C181" s="10" t="n">
        <f aca="false">200000+16500+200000</f>
        <v>416500</v>
      </c>
      <c r="D181" s="10" t="n">
        <f aca="false">E181-C181</f>
        <v>0</v>
      </c>
      <c r="E181" s="10" t="n">
        <v>416500</v>
      </c>
    </row>
    <row r="182" customFormat="false" ht="15" hidden="false" customHeight="true" outlineLevel="0" collapsed="false">
      <c r="A182" s="8" t="s">
        <v>9</v>
      </c>
      <c r="B182" s="9" t="s">
        <v>178</v>
      </c>
      <c r="C182" s="10" t="n">
        <f aca="false">200000+140000+77000</f>
        <v>417000</v>
      </c>
      <c r="D182" s="10" t="n">
        <f aca="false">E182-C182</f>
        <v>-500</v>
      </c>
      <c r="E182" s="10" t="n">
        <v>416500</v>
      </c>
    </row>
    <row r="183" customFormat="false" ht="15" hidden="false" customHeight="true" outlineLevel="0" collapsed="false">
      <c r="A183" s="8" t="s">
        <v>11</v>
      </c>
      <c r="B183" s="9" t="s">
        <v>179</v>
      </c>
      <c r="C183" s="10" t="n">
        <f aca="false">150000+20000+100000+130000+16500</f>
        <v>416500</v>
      </c>
      <c r="D183" s="10" t="n">
        <f aca="false">E183-C183</f>
        <v>0</v>
      </c>
      <c r="E183" s="10" t="n">
        <v>416500</v>
      </c>
    </row>
    <row r="184" customFormat="false" ht="15" hidden="false" customHeight="true" outlineLevel="0" collapsed="false">
      <c r="A184" s="8" t="s">
        <v>13</v>
      </c>
      <c r="B184" s="9" t="s">
        <v>180</v>
      </c>
      <c r="C184" s="10" t="n">
        <f aca="false">200000+16500+200000</f>
        <v>416500</v>
      </c>
      <c r="D184" s="10" t="n">
        <f aca="false">E184-C184</f>
        <v>0</v>
      </c>
      <c r="E184" s="10" t="n">
        <v>416500</v>
      </c>
    </row>
    <row r="185" customFormat="false" ht="15" hidden="false" customHeight="true" outlineLevel="0" collapsed="false">
      <c r="A185" s="8" t="s">
        <v>15</v>
      </c>
      <c r="B185" s="9" t="s">
        <v>181</v>
      </c>
      <c r="C185" s="10" t="n">
        <f aca="false">216500+170000+30000</f>
        <v>416500</v>
      </c>
      <c r="D185" s="10" t="n">
        <f aca="false">E185-C185</f>
        <v>0</v>
      </c>
      <c r="E185" s="10" t="n">
        <v>416500</v>
      </c>
    </row>
    <row r="186" customFormat="false" ht="15" hidden="false" customHeight="true" outlineLevel="0" collapsed="false">
      <c r="A186" s="8" t="s">
        <v>17</v>
      </c>
      <c r="B186" s="9" t="s">
        <v>182</v>
      </c>
      <c r="C186" s="10" t="n">
        <f aca="false">100000+316500</f>
        <v>416500</v>
      </c>
      <c r="D186" s="10" t="n">
        <f aca="false">E186-C186</f>
        <v>0</v>
      </c>
      <c r="E186" s="10" t="n">
        <v>416500</v>
      </c>
    </row>
    <row r="187" customFormat="false" ht="15" hidden="false" customHeight="true" outlineLevel="0" collapsed="false">
      <c r="A187" s="8" t="s">
        <v>19</v>
      </c>
      <c r="B187" s="9" t="s">
        <v>183</v>
      </c>
      <c r="C187" s="10" t="n">
        <f aca="false">150000+66000+5000+190000</f>
        <v>411000</v>
      </c>
      <c r="D187" s="10" t="n">
        <f aca="false">E187-C187</f>
        <v>5500</v>
      </c>
      <c r="E187" s="10" t="n">
        <v>416500</v>
      </c>
    </row>
    <row r="188" customFormat="false" ht="15" hidden="false" customHeight="true" outlineLevel="0" collapsed="false">
      <c r="A188" s="8" t="s">
        <v>21</v>
      </c>
      <c r="B188" s="9" t="s">
        <v>184</v>
      </c>
      <c r="C188" s="10" t="n">
        <f aca="false">150000+266500</f>
        <v>416500</v>
      </c>
      <c r="D188" s="10" t="n">
        <f aca="false">E188-C188</f>
        <v>0</v>
      </c>
      <c r="E188" s="10" t="n">
        <v>416500</v>
      </c>
    </row>
    <row r="189" customFormat="false" ht="15" hidden="false" customHeight="true" outlineLevel="0" collapsed="false">
      <c r="A189" s="8" t="s">
        <v>23</v>
      </c>
      <c r="B189" s="9" t="s">
        <v>185</v>
      </c>
      <c r="C189" s="10" t="n">
        <f aca="false">5000+75000+60000+30000+50000+100000+50000</f>
        <v>370000</v>
      </c>
      <c r="D189" s="10" t="n">
        <f aca="false">E189-C189</f>
        <v>46500</v>
      </c>
      <c r="E189" s="10" t="n">
        <v>416500</v>
      </c>
    </row>
    <row r="190" customFormat="false" ht="15" hidden="false" customHeight="true" outlineLevel="0" collapsed="false">
      <c r="A190" s="8" t="s">
        <v>25</v>
      </c>
      <c r="B190" s="9" t="s">
        <v>186</v>
      </c>
      <c r="C190" s="10" t="n">
        <v>250000</v>
      </c>
      <c r="D190" s="10" t="n">
        <f aca="false">E190-C190</f>
        <v>166500</v>
      </c>
      <c r="E190" s="10" t="n">
        <v>416500</v>
      </c>
    </row>
    <row r="191" customFormat="false" ht="15" hidden="false" customHeight="true" outlineLevel="0" collapsed="false">
      <c r="A191" s="8" t="s">
        <v>27</v>
      </c>
      <c r="B191" s="9" t="s">
        <v>187</v>
      </c>
      <c r="C191" s="10" t="n">
        <f aca="false">200000+200000+16500</f>
        <v>416500</v>
      </c>
      <c r="D191" s="10" t="n">
        <f aca="false">E191-C191</f>
        <v>0</v>
      </c>
      <c r="E191" s="10" t="n">
        <v>416500</v>
      </c>
    </row>
    <row r="192" customFormat="false" ht="15" hidden="false" customHeight="true" outlineLevel="0" collapsed="false">
      <c r="A192" s="8" t="s">
        <v>29</v>
      </c>
      <c r="B192" s="9" t="s">
        <v>188</v>
      </c>
      <c r="C192" s="10" t="n">
        <v>216000</v>
      </c>
      <c r="D192" s="10" t="n">
        <f aca="false">E192-C192</f>
        <v>200500</v>
      </c>
      <c r="E192" s="10" t="n">
        <v>416500</v>
      </c>
    </row>
    <row r="193" customFormat="false" ht="15" hidden="false" customHeight="true" outlineLevel="0" collapsed="false">
      <c r="A193" s="8" t="s">
        <v>31</v>
      </c>
      <c r="B193" s="9" t="s">
        <v>189</v>
      </c>
      <c r="C193" s="10" t="n">
        <v>416500</v>
      </c>
      <c r="D193" s="10" t="n">
        <f aca="false">E193-C193</f>
        <v>0</v>
      </c>
      <c r="E193" s="10" t="n">
        <v>416500</v>
      </c>
    </row>
    <row r="194" customFormat="false" ht="15" hidden="false" customHeight="true" outlineLevel="0" collapsed="false">
      <c r="A194" s="8" t="s">
        <v>33</v>
      </c>
      <c r="B194" s="9" t="s">
        <v>190</v>
      </c>
      <c r="C194" s="10" t="n">
        <f aca="false">250000+166500</f>
        <v>416500</v>
      </c>
      <c r="D194" s="10" t="n">
        <f aca="false">E194-C194</f>
        <v>0</v>
      </c>
      <c r="E194" s="10" t="n">
        <v>416500</v>
      </c>
    </row>
    <row r="195" customFormat="false" ht="15" hidden="false" customHeight="true" outlineLevel="0" collapsed="false">
      <c r="A195" s="8" t="s">
        <v>35</v>
      </c>
      <c r="B195" s="9" t="s">
        <v>191</v>
      </c>
      <c r="C195" s="10" t="n">
        <v>100000</v>
      </c>
      <c r="D195" s="10" t="n">
        <f aca="false">E195-C195</f>
        <v>316500</v>
      </c>
      <c r="E195" s="10" t="n">
        <v>416500</v>
      </c>
    </row>
    <row r="196" customFormat="false" ht="15" hidden="false" customHeight="true" outlineLevel="0" collapsed="false">
      <c r="A196" s="8" t="s">
        <v>37</v>
      </c>
      <c r="B196" s="9" t="s">
        <v>192</v>
      </c>
      <c r="C196" s="10" t="n">
        <v>416500</v>
      </c>
      <c r="D196" s="10" t="n">
        <f aca="false">E196-C196</f>
        <v>0</v>
      </c>
      <c r="E196" s="10" t="n">
        <v>416500</v>
      </c>
    </row>
    <row r="197" customFormat="false" ht="15" hidden="false" customHeight="true" outlineLevel="0" collapsed="false">
      <c r="A197" s="8" t="s">
        <v>39</v>
      </c>
      <c r="B197" s="9" t="s">
        <v>193</v>
      </c>
      <c r="C197" s="10" t="n">
        <f aca="false">100000+116500</f>
        <v>216500</v>
      </c>
      <c r="D197" s="10" t="n">
        <f aca="false">E197-C197</f>
        <v>200000</v>
      </c>
      <c r="E197" s="10" t="n">
        <v>416500</v>
      </c>
    </row>
    <row r="198" customFormat="false" ht="15" hidden="false" customHeight="true" outlineLevel="0" collapsed="false">
      <c r="A198" s="8" t="s">
        <v>41</v>
      </c>
      <c r="B198" s="9" t="s">
        <v>194</v>
      </c>
      <c r="C198" s="10" t="n">
        <v>416500</v>
      </c>
      <c r="D198" s="10" t="n">
        <f aca="false">E198-C198</f>
        <v>0</v>
      </c>
      <c r="E198" s="10" t="n">
        <v>416500</v>
      </c>
    </row>
    <row r="199" customFormat="false" ht="15" hidden="false" customHeight="true" outlineLevel="0" collapsed="false">
      <c r="A199" s="8" t="s">
        <v>43</v>
      </c>
      <c r="B199" s="9" t="s">
        <v>195</v>
      </c>
      <c r="C199" s="10" t="n">
        <v>416500</v>
      </c>
      <c r="D199" s="10" t="n">
        <f aca="false">E199-C199</f>
        <v>0</v>
      </c>
      <c r="E199" s="10" t="n">
        <v>416500</v>
      </c>
    </row>
    <row r="200" customFormat="false" ht="15" hidden="false" customHeight="true" outlineLevel="0" collapsed="false">
      <c r="A200" s="8" t="s">
        <v>45</v>
      </c>
      <c r="B200" s="9" t="s">
        <v>196</v>
      </c>
      <c r="C200" s="10" t="n">
        <v>416500</v>
      </c>
      <c r="D200" s="10" t="n">
        <f aca="false">E200-C200</f>
        <v>0</v>
      </c>
      <c r="E200" s="10" t="n">
        <v>416500</v>
      </c>
    </row>
    <row r="201" customFormat="false" ht="15" hidden="false" customHeight="true" outlineLevel="0" collapsed="false">
      <c r="A201" s="8" t="s">
        <v>47</v>
      </c>
      <c r="B201" s="9" t="s">
        <v>197</v>
      </c>
      <c r="C201" s="10" t="n">
        <f aca="false">215000+196500+5000</f>
        <v>416500</v>
      </c>
      <c r="D201" s="10" t="n">
        <f aca="false">E201-C201</f>
        <v>0</v>
      </c>
      <c r="E201" s="10" t="n">
        <v>416500</v>
      </c>
    </row>
    <row r="202" customFormat="false" ht="15" hidden="false" customHeight="true" outlineLevel="0" collapsed="false">
      <c r="A202" s="8" t="s">
        <v>49</v>
      </c>
      <c r="B202" s="9" t="s">
        <v>198</v>
      </c>
      <c r="C202" s="10" t="n">
        <v>416500</v>
      </c>
      <c r="D202" s="10" t="n">
        <f aca="false">E202-C202</f>
        <v>0</v>
      </c>
      <c r="E202" s="10" t="n">
        <v>416500</v>
      </c>
    </row>
    <row r="203" customFormat="false" ht="15" hidden="false" customHeight="true" outlineLevel="0" collapsed="false">
      <c r="A203" s="8" t="s">
        <v>51</v>
      </c>
      <c r="B203" s="9" t="s">
        <v>199</v>
      </c>
      <c r="C203" s="10" t="n">
        <f aca="false">100000+200000+116000+500</f>
        <v>416500</v>
      </c>
      <c r="D203" s="10" t="n">
        <f aca="false">E203-C203</f>
        <v>0</v>
      </c>
      <c r="E203" s="10" t="n">
        <v>416500</v>
      </c>
    </row>
    <row r="204" customFormat="false" ht="15" hidden="false" customHeight="true" outlineLevel="0" collapsed="false">
      <c r="A204" s="8" t="s">
        <v>53</v>
      </c>
      <c r="B204" s="9" t="s">
        <v>200</v>
      </c>
      <c r="C204" s="10" t="n">
        <v>416500</v>
      </c>
      <c r="D204" s="10" t="n">
        <f aca="false">E204-C204</f>
        <v>0</v>
      </c>
      <c r="E204" s="10" t="n">
        <v>416500</v>
      </c>
    </row>
    <row r="205" customFormat="false" ht="15" hidden="false" customHeight="true" outlineLevel="0" collapsed="false">
      <c r="A205" s="8" t="s">
        <v>55</v>
      </c>
      <c r="B205" s="9" t="s">
        <v>201</v>
      </c>
      <c r="C205" s="10" t="n">
        <v>416500</v>
      </c>
      <c r="D205" s="10" t="n">
        <f aca="false">E205-C205</f>
        <v>0</v>
      </c>
      <c r="E205" s="10" t="n">
        <v>416500</v>
      </c>
    </row>
    <row r="206" customFormat="false" ht="15" hidden="false" customHeight="true" outlineLevel="0" collapsed="false">
      <c r="A206" s="8" t="s">
        <v>141</v>
      </c>
      <c r="B206" s="9" t="s">
        <v>202</v>
      </c>
      <c r="C206" s="10" t="n">
        <v>416500</v>
      </c>
      <c r="D206" s="10" t="n">
        <f aca="false">E206-C206</f>
        <v>0</v>
      </c>
      <c r="E206" s="10" t="n">
        <v>416500</v>
      </c>
    </row>
    <row r="207" customFormat="false" ht="15" hidden="false" customHeight="true" outlineLevel="0" collapsed="false">
      <c r="A207" s="8" t="s">
        <v>143</v>
      </c>
      <c r="B207" s="24" t="s">
        <v>203</v>
      </c>
      <c r="C207" s="10" t="n">
        <v>416500</v>
      </c>
      <c r="D207" s="10" t="n">
        <f aca="false">E207-C207</f>
        <v>0</v>
      </c>
      <c r="E207" s="10" t="n">
        <v>416500</v>
      </c>
    </row>
    <row r="208" customFormat="false" ht="15" hidden="false" customHeight="true" outlineLevel="0" collapsed="false">
      <c r="A208" s="8" t="s">
        <v>145</v>
      </c>
      <c r="B208" s="24" t="s">
        <v>204</v>
      </c>
      <c r="C208" s="10" t="n">
        <f aca="false">216500+200000</f>
        <v>416500</v>
      </c>
      <c r="D208" s="10" t="n">
        <f aca="false">E208-C208</f>
        <v>0</v>
      </c>
      <c r="E208" s="10" t="n">
        <v>416500</v>
      </c>
    </row>
    <row r="209" customFormat="false" ht="15" hidden="false" customHeight="true" outlineLevel="0" collapsed="false">
      <c r="A209" s="8" t="s">
        <v>147</v>
      </c>
      <c r="B209" s="24" t="s">
        <v>205</v>
      </c>
      <c r="C209" s="10" t="n">
        <v>416500</v>
      </c>
      <c r="D209" s="10" t="n">
        <f aca="false">E209-C209</f>
        <v>0</v>
      </c>
      <c r="E209" s="10" t="n">
        <v>416500</v>
      </c>
    </row>
    <row r="210" customFormat="false" ht="15" hidden="false" customHeight="true" outlineLevel="0" collapsed="false">
      <c r="A210" s="8" t="s">
        <v>149</v>
      </c>
      <c r="B210" s="24" t="s">
        <v>206</v>
      </c>
      <c r="C210" s="10" t="n">
        <v>416500</v>
      </c>
      <c r="D210" s="10" t="n">
        <f aca="false">E210-C210</f>
        <v>0</v>
      </c>
      <c r="E210" s="10" t="n">
        <v>416500</v>
      </c>
    </row>
    <row r="211" customFormat="false" ht="15" hidden="false" customHeight="true" outlineLevel="0" collapsed="false">
      <c r="A211" s="8" t="s">
        <v>151</v>
      </c>
      <c r="B211" s="24" t="s">
        <v>207</v>
      </c>
      <c r="C211" s="10" t="n">
        <f aca="false">200000+30000+100000+86000+500</f>
        <v>416500</v>
      </c>
      <c r="D211" s="10" t="n">
        <f aca="false">E211-C211</f>
        <v>0</v>
      </c>
      <c r="E211" s="10" t="n">
        <v>416500</v>
      </c>
    </row>
    <row r="212" customFormat="false" ht="15" hidden="false" customHeight="true" outlineLevel="0" collapsed="false">
      <c r="A212" s="28"/>
      <c r="B212" s="29" t="s">
        <v>175</v>
      </c>
      <c r="C212" s="7" t="n">
        <f aca="false">SUM(C181:C211)</f>
        <v>11976500</v>
      </c>
      <c r="D212" s="7" t="n">
        <f aca="false">E212-C212</f>
        <v>935000</v>
      </c>
      <c r="E212" s="7" t="n">
        <f aca="false">SUM(E181:E211)</f>
        <v>12911500</v>
      </c>
    </row>
    <row r="213" customFormat="false" ht="15" hidden="false" customHeight="true" outlineLevel="0" collapsed="false">
      <c r="A213" s="30"/>
      <c r="B213" s="27"/>
      <c r="C213" s="15"/>
      <c r="D213" s="15"/>
      <c r="E213" s="15"/>
    </row>
    <row r="214" customFormat="false" ht="15" hidden="false" customHeight="true" outlineLevel="0" collapsed="false">
      <c r="A214" s="30"/>
      <c r="B214" s="27"/>
      <c r="C214" s="15"/>
      <c r="D214" s="15"/>
      <c r="E214" s="15"/>
    </row>
    <row r="215" customFormat="false" ht="12" hidden="false" customHeight="true" outlineLevel="0" collapsed="false">
      <c r="A215" s="30"/>
      <c r="B215" s="27"/>
      <c r="C215" s="15"/>
      <c r="D215" s="15"/>
      <c r="E215" s="15"/>
    </row>
    <row r="216" customFormat="false" ht="12" hidden="false" customHeight="true" outlineLevel="0" collapsed="false">
      <c r="A216" s="30"/>
      <c r="B216" s="27"/>
      <c r="C216" s="15"/>
      <c r="D216" s="15"/>
      <c r="E216" s="15"/>
    </row>
    <row r="217" customFormat="false" ht="28.15" hidden="false" customHeight="true" outlineLevel="0" collapsed="false">
      <c r="A217" s="30"/>
      <c r="B217" s="27"/>
      <c r="C217" s="15"/>
      <c r="D217" s="15"/>
      <c r="E217" s="15"/>
    </row>
    <row r="218" customFormat="false" ht="20.25" hidden="false" customHeight="true" outlineLevel="0" collapsed="false">
      <c r="A218" s="30"/>
      <c r="B218" s="3" t="s">
        <v>0</v>
      </c>
      <c r="C218" s="15"/>
      <c r="D218" s="15"/>
      <c r="E218" s="15"/>
    </row>
    <row r="219" customFormat="false" ht="20.25" hidden="false" customHeight="true" outlineLevel="0" collapsed="false">
      <c r="A219" s="30"/>
      <c r="B219" s="3"/>
      <c r="C219" s="15"/>
      <c r="D219" s="15"/>
      <c r="E219" s="15"/>
    </row>
    <row r="220" customFormat="false" ht="15" hidden="false" customHeight="true" outlineLevel="0" collapsed="false">
      <c r="A220" s="30"/>
      <c r="B220" s="27"/>
      <c r="C220" s="15"/>
      <c r="D220" s="15"/>
      <c r="E220" s="15"/>
    </row>
    <row r="221" customFormat="false" ht="19.5" hidden="false" customHeight="true" outlineLevel="0" collapsed="false">
      <c r="A221" s="5" t="s">
        <v>208</v>
      </c>
      <c r="B221" s="20"/>
      <c r="C221" s="5"/>
      <c r="D221" s="5"/>
      <c r="E221" s="5"/>
    </row>
    <row r="222" customFormat="false" ht="15" hidden="false" customHeight="true" outlineLevel="0" collapsed="false">
      <c r="A222" s="5"/>
      <c r="B222" s="20"/>
      <c r="C222" s="5"/>
      <c r="D222" s="5"/>
      <c r="E222" s="5"/>
    </row>
    <row r="223" customFormat="false" ht="15" hidden="false" customHeight="true" outlineLevel="0" collapsed="false">
      <c r="A223" s="6" t="s">
        <v>2</v>
      </c>
      <c r="B223" s="6" t="s">
        <v>3</v>
      </c>
      <c r="C223" s="7" t="s">
        <v>4</v>
      </c>
      <c r="D223" s="6" t="s">
        <v>5</v>
      </c>
      <c r="E223" s="7" t="s">
        <v>6</v>
      </c>
    </row>
    <row r="224" customFormat="false" ht="15" hidden="false" customHeight="true" outlineLevel="0" collapsed="false">
      <c r="A224" s="8" t="s">
        <v>7</v>
      </c>
      <c r="B224" s="9" t="s">
        <v>209</v>
      </c>
      <c r="C224" s="10" t="n">
        <v>416500</v>
      </c>
      <c r="D224" s="10" t="n">
        <f aca="false">E224-C224</f>
        <v>0</v>
      </c>
      <c r="E224" s="10" t="n">
        <v>416500</v>
      </c>
    </row>
    <row r="225" customFormat="false" ht="15" hidden="false" customHeight="true" outlineLevel="0" collapsed="false">
      <c r="A225" s="8" t="s">
        <v>9</v>
      </c>
      <c r="B225" s="9" t="s">
        <v>210</v>
      </c>
      <c r="C225" s="10" t="n">
        <f aca="false">316500+100000</f>
        <v>416500</v>
      </c>
      <c r="D225" s="10" t="n">
        <f aca="false">E225-C225</f>
        <v>0</v>
      </c>
      <c r="E225" s="10" t="n">
        <v>416500</v>
      </c>
    </row>
    <row r="226" customFormat="false" ht="15" hidden="false" customHeight="true" outlineLevel="0" collapsed="false">
      <c r="A226" s="8" t="s">
        <v>11</v>
      </c>
      <c r="B226" s="9" t="s">
        <v>211</v>
      </c>
      <c r="C226" s="10" t="n">
        <f aca="false">100000+116500+75000+40000</f>
        <v>331500</v>
      </c>
      <c r="D226" s="10" t="n">
        <f aca="false">E226-C226</f>
        <v>85000</v>
      </c>
      <c r="E226" s="10" t="n">
        <v>416500</v>
      </c>
    </row>
    <row r="227" customFormat="false" ht="15" hidden="false" customHeight="true" outlineLevel="0" collapsed="false">
      <c r="A227" s="8" t="s">
        <v>13</v>
      </c>
      <c r="B227" s="9" t="s">
        <v>212</v>
      </c>
      <c r="C227" s="10" t="n">
        <f aca="false">100000+200000+105000+11500</f>
        <v>416500</v>
      </c>
      <c r="D227" s="10" t="n">
        <f aca="false">E227-C227</f>
        <v>0</v>
      </c>
      <c r="E227" s="10" t="n">
        <v>416500</v>
      </c>
    </row>
    <row r="228" customFormat="false" ht="15" hidden="false" customHeight="true" outlineLevel="0" collapsed="false">
      <c r="A228" s="8" t="s">
        <v>15</v>
      </c>
      <c r="B228" s="9" t="s">
        <v>213</v>
      </c>
      <c r="C228" s="10" t="n">
        <f aca="false">120000+100000+100000+96500</f>
        <v>416500</v>
      </c>
      <c r="D228" s="10" t="n">
        <f aca="false">E228-C228</f>
        <v>0</v>
      </c>
      <c r="E228" s="10" t="n">
        <v>416500</v>
      </c>
    </row>
    <row r="229" customFormat="false" ht="15" hidden="false" customHeight="true" outlineLevel="0" collapsed="false">
      <c r="A229" s="8" t="s">
        <v>17</v>
      </c>
      <c r="B229" s="9" t="s">
        <v>214</v>
      </c>
      <c r="C229" s="10" t="n">
        <f aca="false">200000+20000+90000+106500</f>
        <v>416500</v>
      </c>
      <c r="D229" s="10" t="n">
        <f aca="false">E229-C229</f>
        <v>0</v>
      </c>
      <c r="E229" s="10" t="n">
        <v>416500</v>
      </c>
    </row>
    <row r="230" customFormat="false" ht="15" hidden="false" customHeight="true" outlineLevel="0" collapsed="false">
      <c r="A230" s="8" t="s">
        <v>19</v>
      </c>
      <c r="B230" s="9" t="s">
        <v>215</v>
      </c>
      <c r="C230" s="10" t="n">
        <f aca="false">100000+100000</f>
        <v>200000</v>
      </c>
      <c r="D230" s="10" t="n">
        <f aca="false">E230-C230</f>
        <v>216500</v>
      </c>
      <c r="E230" s="10" t="n">
        <v>416500</v>
      </c>
    </row>
    <row r="231" customFormat="false" ht="15" hidden="false" customHeight="true" outlineLevel="0" collapsed="false">
      <c r="A231" s="8" t="s">
        <v>21</v>
      </c>
      <c r="B231" s="9" t="s">
        <v>216</v>
      </c>
      <c r="C231" s="10" t="n">
        <f aca="false">416000+500</f>
        <v>416500</v>
      </c>
      <c r="D231" s="10" t="n">
        <f aca="false">E231-C231</f>
        <v>0</v>
      </c>
      <c r="E231" s="10" t="n">
        <v>416500</v>
      </c>
    </row>
    <row r="232" customFormat="false" ht="15" hidden="false" customHeight="true" outlineLevel="0" collapsed="false">
      <c r="A232" s="8" t="s">
        <v>23</v>
      </c>
      <c r="B232" s="9" t="s">
        <v>217</v>
      </c>
      <c r="C232" s="10" t="n">
        <f aca="false">150000+100000+36500+130000</f>
        <v>416500</v>
      </c>
      <c r="D232" s="10" t="n">
        <f aca="false">E232-C232</f>
        <v>0</v>
      </c>
      <c r="E232" s="10" t="n">
        <v>416500</v>
      </c>
    </row>
    <row r="233" customFormat="false" ht="15" hidden="false" customHeight="true" outlineLevel="0" collapsed="false">
      <c r="A233" s="8" t="s">
        <v>25</v>
      </c>
      <c r="B233" s="9" t="s">
        <v>218</v>
      </c>
      <c r="C233" s="10" t="n">
        <v>250000</v>
      </c>
      <c r="D233" s="10" t="n">
        <f aca="false">E233-C233</f>
        <v>166500</v>
      </c>
      <c r="E233" s="10" t="n">
        <v>416500</v>
      </c>
    </row>
    <row r="234" customFormat="false" ht="15" hidden="false" customHeight="true" outlineLevel="0" collapsed="false">
      <c r="A234" s="8" t="s">
        <v>27</v>
      </c>
      <c r="B234" s="9" t="s">
        <v>219</v>
      </c>
      <c r="C234" s="10" t="n">
        <v>16500</v>
      </c>
      <c r="D234" s="10" t="n">
        <f aca="false">E234-C234</f>
        <v>400000</v>
      </c>
      <c r="E234" s="10" t="n">
        <v>416500</v>
      </c>
    </row>
    <row r="235" customFormat="false" ht="15" hidden="false" customHeight="true" outlineLevel="0" collapsed="false">
      <c r="A235" s="8" t="s">
        <v>29</v>
      </c>
      <c r="B235" s="9" t="s">
        <v>220</v>
      </c>
      <c r="C235" s="10" t="n">
        <v>416500</v>
      </c>
      <c r="D235" s="10" t="n">
        <f aca="false">E235-C235</f>
        <v>0</v>
      </c>
      <c r="E235" s="10" t="n">
        <v>416500</v>
      </c>
    </row>
    <row r="236" customFormat="false" ht="15" hidden="false" customHeight="true" outlineLevel="0" collapsed="false">
      <c r="A236" s="8" t="s">
        <v>31</v>
      </c>
      <c r="B236" s="9" t="s">
        <v>221</v>
      </c>
      <c r="C236" s="10" t="n">
        <v>417000</v>
      </c>
      <c r="D236" s="10" t="n">
        <f aca="false">E236-C236</f>
        <v>-500</v>
      </c>
      <c r="E236" s="10" t="n">
        <v>416500</v>
      </c>
    </row>
    <row r="237" customFormat="false" ht="15" hidden="false" customHeight="true" outlineLevel="0" collapsed="false">
      <c r="A237" s="8" t="s">
        <v>33</v>
      </c>
      <c r="B237" s="9" t="s">
        <v>222</v>
      </c>
      <c r="C237" s="10" t="n">
        <f aca="false">200000+216500</f>
        <v>416500</v>
      </c>
      <c r="D237" s="10" t="n">
        <f aca="false">E237-C237</f>
        <v>0</v>
      </c>
      <c r="E237" s="10" t="n">
        <v>416500</v>
      </c>
    </row>
    <row r="238" customFormat="false" ht="15" hidden="false" customHeight="true" outlineLevel="0" collapsed="false">
      <c r="A238" s="31"/>
      <c r="B238" s="25" t="s">
        <v>175</v>
      </c>
      <c r="C238" s="7" t="n">
        <f aca="false">SUM(C224:C237)</f>
        <v>4963500</v>
      </c>
      <c r="D238" s="7" t="n">
        <f aca="false">E238-C238</f>
        <v>867500</v>
      </c>
      <c r="E238" s="7" t="n">
        <f aca="false">SUM(E224:E237)</f>
        <v>5831000</v>
      </c>
    </row>
    <row r="239" customFormat="false" ht="15" hidden="false" customHeight="true" outlineLevel="0" collapsed="false">
      <c r="A239" s="26"/>
      <c r="B239" s="27"/>
      <c r="C239" s="15"/>
      <c r="D239" s="15"/>
      <c r="E239" s="15"/>
    </row>
    <row r="240" customFormat="false" ht="15" hidden="false" customHeight="true" outlineLevel="0" collapsed="false">
      <c r="A240" s="26"/>
      <c r="B240" s="27"/>
      <c r="C240" s="15"/>
      <c r="D240" s="15"/>
      <c r="E240" s="15"/>
    </row>
    <row r="241" customFormat="false" ht="15" hidden="false" customHeight="true" outlineLevel="0" collapsed="false">
      <c r="A241" s="26"/>
      <c r="B241" s="27"/>
      <c r="C241" s="15"/>
      <c r="D241" s="15"/>
      <c r="E241" s="15"/>
    </row>
    <row r="242" customFormat="false" ht="15" hidden="false" customHeight="true" outlineLevel="0" collapsed="false">
      <c r="A242" s="26"/>
      <c r="B242" s="27"/>
      <c r="C242" s="15"/>
      <c r="D242" s="15"/>
      <c r="E242" s="15"/>
    </row>
    <row r="243" customFormat="false" ht="16.5" hidden="false" customHeight="true" outlineLevel="0" collapsed="false">
      <c r="A243" s="26"/>
      <c r="B243" s="3" t="s">
        <v>0</v>
      </c>
      <c r="C243" s="15"/>
      <c r="D243" s="15"/>
      <c r="E243" s="15"/>
    </row>
    <row r="244" customFormat="false" ht="15" hidden="false" customHeight="true" outlineLevel="0" collapsed="false">
      <c r="A244" s="26"/>
      <c r="B244" s="27"/>
      <c r="C244" s="15"/>
      <c r="D244" s="15"/>
      <c r="E244" s="15"/>
    </row>
    <row r="245" customFormat="false" ht="21" hidden="false" customHeight="true" outlineLevel="0" collapsed="false">
      <c r="A245" s="5" t="s">
        <v>223</v>
      </c>
      <c r="B245" s="20"/>
      <c r="C245" s="5"/>
      <c r="D245" s="5"/>
      <c r="E245" s="5"/>
    </row>
    <row r="246" customFormat="false" ht="15" hidden="false" customHeight="true" outlineLevel="0" collapsed="false">
      <c r="A246" s="17"/>
      <c r="B246" s="22"/>
      <c r="C246" s="18"/>
      <c r="D246" s="18"/>
      <c r="E246" s="18"/>
    </row>
    <row r="247" customFormat="false" ht="15" hidden="false" customHeight="true" outlineLevel="0" collapsed="false">
      <c r="A247" s="6" t="s">
        <v>2</v>
      </c>
      <c r="B247" s="6" t="s">
        <v>3</v>
      </c>
      <c r="C247" s="7" t="s">
        <v>4</v>
      </c>
      <c r="D247" s="6" t="s">
        <v>5</v>
      </c>
      <c r="E247" s="19" t="s">
        <v>6</v>
      </c>
    </row>
    <row r="248" customFormat="false" ht="15" hidden="false" customHeight="true" outlineLevel="0" collapsed="false">
      <c r="A248" s="8" t="s">
        <v>7</v>
      </c>
      <c r="B248" s="9" t="s">
        <v>224</v>
      </c>
      <c r="C248" s="10" t="n">
        <f aca="false">150000+50000+50000+166000+500</f>
        <v>416500</v>
      </c>
      <c r="D248" s="10" t="n">
        <f aca="false">E248-C248</f>
        <v>0</v>
      </c>
      <c r="E248" s="10" t="n">
        <v>416500</v>
      </c>
    </row>
    <row r="249" customFormat="false" ht="15" hidden="false" customHeight="true" outlineLevel="0" collapsed="false">
      <c r="A249" s="8" t="s">
        <v>9</v>
      </c>
      <c r="B249" s="9" t="s">
        <v>225</v>
      </c>
      <c r="C249" s="10" t="n">
        <f aca="false">200000+216500</f>
        <v>416500</v>
      </c>
      <c r="D249" s="10" t="n">
        <f aca="false">E249-C249</f>
        <v>0</v>
      </c>
      <c r="E249" s="10" t="n">
        <v>416500</v>
      </c>
    </row>
    <row r="250" customFormat="false" ht="15" hidden="false" customHeight="true" outlineLevel="0" collapsed="false">
      <c r="A250" s="8" t="s">
        <v>11</v>
      </c>
      <c r="B250" s="9" t="s">
        <v>226</v>
      </c>
      <c r="C250" s="10" t="n">
        <f aca="false">216500+150000+50000</f>
        <v>416500</v>
      </c>
      <c r="D250" s="10" t="n">
        <f aca="false">E250-C250</f>
        <v>0</v>
      </c>
      <c r="E250" s="10" t="n">
        <v>416500</v>
      </c>
    </row>
    <row r="251" customFormat="false" ht="15" hidden="false" customHeight="true" outlineLevel="0" collapsed="false">
      <c r="A251" s="8" t="s">
        <v>13</v>
      </c>
      <c r="B251" s="9" t="s">
        <v>227</v>
      </c>
      <c r="C251" s="10" t="n">
        <f aca="false">46500+90000</f>
        <v>136500</v>
      </c>
      <c r="D251" s="10" t="n">
        <f aca="false">E251-C251</f>
        <v>280000</v>
      </c>
      <c r="E251" s="10" t="n">
        <v>416500</v>
      </c>
    </row>
    <row r="252" customFormat="false" ht="15" hidden="false" customHeight="true" outlineLevel="0" collapsed="false">
      <c r="A252" s="8" t="s">
        <v>15</v>
      </c>
      <c r="B252" s="9" t="s">
        <v>228</v>
      </c>
      <c r="C252" s="10" t="n">
        <f aca="false">150000+50000+336000</f>
        <v>536000</v>
      </c>
      <c r="D252" s="10" t="n">
        <f aca="false">E252-C252</f>
        <v>-119500</v>
      </c>
      <c r="E252" s="10" t="n">
        <v>416500</v>
      </c>
    </row>
    <row r="253" customFormat="false" ht="15" hidden="false" customHeight="true" outlineLevel="0" collapsed="false">
      <c r="A253" s="8" t="s">
        <v>17</v>
      </c>
      <c r="B253" s="9" t="s">
        <v>229</v>
      </c>
      <c r="C253" s="10" t="n">
        <f aca="false">200000+216500</f>
        <v>416500</v>
      </c>
      <c r="D253" s="10" t="n">
        <f aca="false">E253-C253</f>
        <v>0</v>
      </c>
      <c r="E253" s="10" t="n">
        <v>416500</v>
      </c>
    </row>
    <row r="254" customFormat="false" ht="15" hidden="false" customHeight="true" outlineLevel="0" collapsed="false">
      <c r="A254" s="8" t="s">
        <v>19</v>
      </c>
      <c r="B254" s="9" t="s">
        <v>230</v>
      </c>
      <c r="C254" s="10" t="n">
        <v>416500</v>
      </c>
      <c r="D254" s="10" t="n">
        <f aca="false">E254-C254</f>
        <v>0</v>
      </c>
      <c r="E254" s="10" t="n">
        <v>416500</v>
      </c>
    </row>
    <row r="255" customFormat="false" ht="15" hidden="false" customHeight="true" outlineLevel="0" collapsed="false">
      <c r="A255" s="8" t="s">
        <v>21</v>
      </c>
      <c r="B255" s="9" t="s">
        <v>231</v>
      </c>
      <c r="C255" s="10" t="n">
        <f aca="false">216500+100000+100000</f>
        <v>416500</v>
      </c>
      <c r="D255" s="10" t="n">
        <f aca="false">E255-C255</f>
        <v>0</v>
      </c>
      <c r="E255" s="10" t="n">
        <v>416500</v>
      </c>
    </row>
    <row r="256" customFormat="false" ht="15" hidden="false" customHeight="true" outlineLevel="0" collapsed="false">
      <c r="A256" s="8" t="s">
        <v>23</v>
      </c>
      <c r="B256" s="9" t="s">
        <v>232</v>
      </c>
      <c r="C256" s="10" t="n">
        <f aca="false">100000+100000+50000+165500+1000</f>
        <v>416500</v>
      </c>
      <c r="D256" s="10" t="n">
        <f aca="false">E256-C256</f>
        <v>0</v>
      </c>
      <c r="E256" s="10" t="n">
        <v>416500</v>
      </c>
    </row>
    <row r="257" customFormat="false" ht="15" hidden="false" customHeight="true" outlineLevel="0" collapsed="false">
      <c r="A257" s="8" t="s">
        <v>25</v>
      </c>
      <c r="B257" s="9" t="s">
        <v>233</v>
      </c>
      <c r="C257" s="10" t="n">
        <f aca="false">100000+10000+50000</f>
        <v>160000</v>
      </c>
      <c r="D257" s="10" t="n">
        <f aca="false">E257-C257</f>
        <v>256500</v>
      </c>
      <c r="E257" s="10" t="n">
        <v>416500</v>
      </c>
    </row>
    <row r="258" customFormat="false" ht="15" hidden="false" customHeight="true" outlineLevel="0" collapsed="false">
      <c r="A258" s="8" t="s">
        <v>27</v>
      </c>
      <c r="B258" s="32" t="s">
        <v>234</v>
      </c>
      <c r="C258" s="10" t="n">
        <f aca="false">200000+150000+66500</f>
        <v>416500</v>
      </c>
      <c r="D258" s="10" t="n">
        <f aca="false">E258-C258</f>
        <v>0</v>
      </c>
      <c r="E258" s="10" t="n">
        <v>416500</v>
      </c>
    </row>
    <row r="259" customFormat="false" ht="15" hidden="false" customHeight="true" outlineLevel="0" collapsed="false">
      <c r="A259" s="8" t="s">
        <v>29</v>
      </c>
      <c r="B259" s="9" t="s">
        <v>235</v>
      </c>
      <c r="C259" s="10" t="n">
        <v>50000</v>
      </c>
      <c r="D259" s="10" t="n">
        <f aca="false">E259-C259</f>
        <v>366500</v>
      </c>
      <c r="E259" s="10" t="n">
        <v>416500</v>
      </c>
    </row>
    <row r="260" customFormat="false" ht="15" hidden="false" customHeight="true" outlineLevel="0" collapsed="false">
      <c r="A260" s="31"/>
      <c r="B260" s="25" t="s">
        <v>175</v>
      </c>
      <c r="C260" s="7" t="n">
        <f aca="false">SUM(C248:C259)</f>
        <v>4214500</v>
      </c>
      <c r="D260" s="7" t="n">
        <f aca="false">E260-C260</f>
        <v>783500</v>
      </c>
      <c r="E260" s="7" t="n">
        <f aca="false">SUM(E248:E259)</f>
        <v>4998000</v>
      </c>
    </row>
    <row r="261" customFormat="false" ht="15" hidden="false" customHeight="true" outlineLevel="0" collapsed="false">
      <c r="A261" s="26"/>
      <c r="B261" s="27"/>
      <c r="C261" s="15"/>
      <c r="D261" s="15"/>
      <c r="E261" s="15"/>
    </row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</sheetData>
  <mergeCells count="4">
    <mergeCell ref="A33:B33"/>
    <mergeCell ref="A62:B62"/>
    <mergeCell ref="A94:B94"/>
    <mergeCell ref="A119:B1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2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9" activeCellId="0" sqref="F59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4.7"/>
    <col collapsed="false" customWidth="true" hidden="false" outlineLevel="0" max="2" min="2" style="1" width="34.71"/>
    <col collapsed="false" customWidth="true" hidden="false" outlineLevel="0" max="3" min="3" style="1" width="14.56"/>
    <col collapsed="false" customWidth="true" hidden="false" outlineLevel="0" max="4" min="4" style="1" width="13.15"/>
    <col collapsed="false" customWidth="true" hidden="false" outlineLevel="0" max="5" min="5" style="1" width="12.7"/>
    <col collapsed="false" customWidth="true" hidden="false" outlineLevel="0" max="16384" min="16371" style="0" width="11.53"/>
  </cols>
  <sheetData>
    <row r="3" customFormat="false" ht="15" hidden="false" customHeight="true" outlineLevel="0" collapsed="false">
      <c r="A3" s="2"/>
      <c r="B3" s="3" t="s">
        <v>0</v>
      </c>
      <c r="C3" s="2"/>
      <c r="D3" s="2"/>
      <c r="E3" s="2"/>
    </row>
    <row r="4" customFormat="false" ht="15" hidden="false" customHeight="true" outlineLevel="0" collapsed="false">
      <c r="A4" s="2"/>
      <c r="B4" s="3"/>
      <c r="C4" s="2"/>
      <c r="D4" s="2"/>
      <c r="E4" s="2"/>
    </row>
    <row r="5" customFormat="false" ht="18" hidden="false" customHeight="true" outlineLevel="0" collapsed="false">
      <c r="A5" s="5" t="s">
        <v>236</v>
      </c>
      <c r="B5" s="5"/>
      <c r="C5" s="5"/>
      <c r="D5" s="5"/>
      <c r="E5" s="5"/>
    </row>
    <row r="6" customFormat="false" ht="18" hidden="false" customHeight="true" outlineLevel="0" collapsed="false">
      <c r="A6" s="18"/>
      <c r="B6" s="18"/>
      <c r="C6" s="18"/>
      <c r="D6" s="18"/>
      <c r="E6" s="18"/>
    </row>
    <row r="7" customFormat="false" ht="15" hidden="false" customHeight="true" outlineLevel="0" collapsed="false">
      <c r="A7" s="33" t="s">
        <v>2</v>
      </c>
      <c r="B7" s="33" t="s">
        <v>3</v>
      </c>
      <c r="C7" s="19" t="s">
        <v>4</v>
      </c>
      <c r="D7" s="33" t="s">
        <v>5</v>
      </c>
      <c r="E7" s="19" t="s">
        <v>6</v>
      </c>
    </row>
    <row r="8" customFormat="false" ht="15" hidden="false" customHeight="true" outlineLevel="0" collapsed="false">
      <c r="A8" s="8" t="s">
        <v>7</v>
      </c>
      <c r="B8" s="9" t="s">
        <v>237</v>
      </c>
      <c r="C8" s="10" t="n">
        <f aca="false">100000+100000+50000+30000+100000+36500</f>
        <v>416500</v>
      </c>
      <c r="D8" s="10" t="n">
        <f aca="false">E8-C8</f>
        <v>0</v>
      </c>
      <c r="E8" s="10" t="n">
        <v>416500</v>
      </c>
    </row>
    <row r="9" customFormat="false" ht="15" hidden="false" customHeight="true" outlineLevel="0" collapsed="false">
      <c r="A9" s="8" t="s">
        <v>9</v>
      </c>
      <c r="B9" s="9" t="s">
        <v>238</v>
      </c>
      <c r="C9" s="10" t="n">
        <f aca="false">416500</f>
        <v>416500</v>
      </c>
      <c r="D9" s="10" t="n">
        <f aca="false">E9-C9</f>
        <v>0</v>
      </c>
      <c r="E9" s="10" t="n">
        <v>416500</v>
      </c>
    </row>
    <row r="10" customFormat="false" ht="15" hidden="false" customHeight="true" outlineLevel="0" collapsed="false">
      <c r="A10" s="8" t="s">
        <v>11</v>
      </c>
      <c r="B10" s="13" t="s">
        <v>239</v>
      </c>
      <c r="C10" s="10" t="n">
        <v>416500</v>
      </c>
      <c r="D10" s="10" t="n">
        <f aca="false">E10-C10</f>
        <v>0</v>
      </c>
      <c r="E10" s="10" t="n">
        <v>416500</v>
      </c>
    </row>
    <row r="11" customFormat="false" ht="15" hidden="false" customHeight="true" outlineLevel="0" collapsed="false">
      <c r="A11" s="8" t="s">
        <v>13</v>
      </c>
      <c r="B11" s="34" t="s">
        <v>240</v>
      </c>
      <c r="C11" s="35" t="s">
        <v>241</v>
      </c>
      <c r="D11" s="35" t="n">
        <v>616500</v>
      </c>
      <c r="E11" s="10" t="n">
        <v>616500</v>
      </c>
    </row>
    <row r="12" customFormat="false" ht="15" hidden="false" customHeight="true" outlineLevel="0" collapsed="false">
      <c r="A12" s="8" t="s">
        <v>15</v>
      </c>
      <c r="B12" s="9" t="s">
        <v>242</v>
      </c>
      <c r="C12" s="10" t="n">
        <f aca="false">45000+30000+20000+105000+100000+50000+20000</f>
        <v>370000</v>
      </c>
      <c r="D12" s="10" t="n">
        <f aca="false">E12-C12</f>
        <v>46500</v>
      </c>
      <c r="E12" s="10" t="n">
        <v>416500</v>
      </c>
    </row>
    <row r="13" customFormat="false" ht="15" hidden="false" customHeight="true" outlineLevel="0" collapsed="false">
      <c r="A13" s="8" t="s">
        <v>17</v>
      </c>
      <c r="B13" s="9" t="s">
        <v>243</v>
      </c>
      <c r="C13" s="10" t="n">
        <f aca="false">365000+51500</f>
        <v>416500</v>
      </c>
      <c r="D13" s="10" t="n">
        <f aca="false">E13-C13</f>
        <v>0</v>
      </c>
      <c r="E13" s="10" t="n">
        <v>416500</v>
      </c>
    </row>
    <row r="14" customFormat="false" ht="15" hidden="false" customHeight="true" outlineLevel="0" collapsed="false">
      <c r="A14" s="8" t="s">
        <v>19</v>
      </c>
      <c r="B14" s="34" t="s">
        <v>244</v>
      </c>
      <c r="C14" s="10"/>
      <c r="D14" s="10" t="n">
        <f aca="false">E14-C14</f>
        <v>616500</v>
      </c>
      <c r="E14" s="10" t="n">
        <v>616500</v>
      </c>
    </row>
    <row r="15" customFormat="false" ht="15" hidden="false" customHeight="true" outlineLevel="0" collapsed="false">
      <c r="A15" s="8" t="s">
        <v>21</v>
      </c>
      <c r="B15" s="34" t="s">
        <v>245</v>
      </c>
      <c r="C15" s="35" t="s">
        <v>241</v>
      </c>
      <c r="D15" s="35" t="n">
        <v>616500</v>
      </c>
      <c r="E15" s="10" t="n">
        <v>616500</v>
      </c>
    </row>
    <row r="16" customFormat="false" ht="15" hidden="false" customHeight="true" outlineLevel="0" collapsed="false">
      <c r="A16" s="8" t="s">
        <v>23</v>
      </c>
      <c r="B16" s="9" t="s">
        <v>246</v>
      </c>
      <c r="C16" s="10" t="n">
        <f aca="false">166500+100000+100000+50000</f>
        <v>416500</v>
      </c>
      <c r="D16" s="10" t="n">
        <f aca="false">E16-C16</f>
        <v>0</v>
      </c>
      <c r="E16" s="10" t="n">
        <v>416500</v>
      </c>
    </row>
    <row r="17" customFormat="false" ht="15" hidden="false" customHeight="true" outlineLevel="0" collapsed="false">
      <c r="A17" s="8" t="s">
        <v>25</v>
      </c>
      <c r="B17" s="9" t="s">
        <v>247</v>
      </c>
      <c r="C17" s="10" t="n">
        <f aca="false">20000+380000+16500</f>
        <v>416500</v>
      </c>
      <c r="D17" s="10" t="n">
        <f aca="false">E17-C17</f>
        <v>0</v>
      </c>
      <c r="E17" s="10" t="n">
        <v>416500</v>
      </c>
    </row>
    <row r="18" customFormat="false" ht="15" hidden="false" customHeight="true" outlineLevel="0" collapsed="false">
      <c r="A18" s="8" t="s">
        <v>27</v>
      </c>
      <c r="B18" s="9" t="s">
        <v>248</v>
      </c>
      <c r="C18" s="10" t="n">
        <f aca="false">160000+40000+100000+100000</f>
        <v>400000</v>
      </c>
      <c r="D18" s="10" t="n">
        <f aca="false">E18-C18</f>
        <v>16500</v>
      </c>
      <c r="E18" s="10" t="n">
        <v>416500</v>
      </c>
    </row>
    <row r="19" customFormat="false" ht="15" hidden="false" customHeight="true" outlineLevel="0" collapsed="false">
      <c r="A19" s="8" t="s">
        <v>29</v>
      </c>
      <c r="B19" s="9" t="s">
        <v>249</v>
      </c>
      <c r="C19" s="10" t="n">
        <f aca="false">50000+50000+50000+150000+116500</f>
        <v>416500</v>
      </c>
      <c r="D19" s="10" t="n">
        <f aca="false">E19-C19</f>
        <v>0</v>
      </c>
      <c r="E19" s="10" t="n">
        <v>416500</v>
      </c>
    </row>
    <row r="20" customFormat="false" ht="15" hidden="false" customHeight="true" outlineLevel="0" collapsed="false">
      <c r="A20" s="8" t="s">
        <v>31</v>
      </c>
      <c r="B20" s="9" t="s">
        <v>250</v>
      </c>
      <c r="C20" s="10" t="n">
        <f aca="false">50000+16500+240000+50000+50000</f>
        <v>406500</v>
      </c>
      <c r="D20" s="10" t="n">
        <f aca="false">E20-C20</f>
        <v>10000</v>
      </c>
      <c r="E20" s="10" t="n">
        <v>416500</v>
      </c>
    </row>
    <row r="21" customFormat="false" ht="15" hidden="false" customHeight="true" outlineLevel="0" collapsed="false">
      <c r="A21" s="8" t="s">
        <v>33</v>
      </c>
      <c r="B21" s="9" t="s">
        <v>251</v>
      </c>
      <c r="C21" s="10" t="n">
        <f aca="false">130000+60000+200000+26000+500</f>
        <v>416500</v>
      </c>
      <c r="D21" s="10" t="n">
        <f aca="false">E21-C21</f>
        <v>0</v>
      </c>
      <c r="E21" s="10" t="n">
        <v>416500</v>
      </c>
    </row>
    <row r="22" customFormat="false" ht="15" hidden="false" customHeight="true" outlineLevel="0" collapsed="false">
      <c r="A22" s="8" t="s">
        <v>35</v>
      </c>
      <c r="B22" s="9" t="s">
        <v>252</v>
      </c>
      <c r="C22" s="10" t="n">
        <f aca="false">70000+51500+40000+25000+50000+180000</f>
        <v>416500</v>
      </c>
      <c r="D22" s="10" t="n">
        <f aca="false">E22-C22</f>
        <v>0</v>
      </c>
      <c r="E22" s="10" t="n">
        <v>416500</v>
      </c>
    </row>
    <row r="23" customFormat="false" ht="15" hidden="false" customHeight="true" outlineLevel="0" collapsed="false">
      <c r="A23" s="8" t="s">
        <v>37</v>
      </c>
      <c r="B23" s="9" t="s">
        <v>253</v>
      </c>
      <c r="C23" s="10" t="n">
        <f aca="false">200000+216500</f>
        <v>416500</v>
      </c>
      <c r="D23" s="10" t="n">
        <f aca="false">E23-C23</f>
        <v>0</v>
      </c>
      <c r="E23" s="10" t="n">
        <v>416500</v>
      </c>
    </row>
    <row r="24" customFormat="false" ht="15" hidden="false" customHeight="true" outlineLevel="0" collapsed="false">
      <c r="A24" s="8" t="s">
        <v>39</v>
      </c>
      <c r="B24" s="34" t="s">
        <v>254</v>
      </c>
      <c r="C24" s="35" t="s">
        <v>241</v>
      </c>
      <c r="D24" s="35" t="n">
        <v>616500</v>
      </c>
      <c r="E24" s="10" t="n">
        <v>616500</v>
      </c>
    </row>
    <row r="25" customFormat="false" ht="15" hidden="false" customHeight="true" outlineLevel="0" collapsed="false">
      <c r="A25" s="8" t="s">
        <v>41</v>
      </c>
      <c r="B25" s="9" t="s">
        <v>255</v>
      </c>
      <c r="C25" s="10" t="n">
        <f aca="false">50000+50000+50000+116500+150000</f>
        <v>416500</v>
      </c>
      <c r="D25" s="10" t="n">
        <f aca="false">E25-C25</f>
        <v>0</v>
      </c>
      <c r="E25" s="10" t="n">
        <v>416500</v>
      </c>
    </row>
    <row r="26" customFormat="false" ht="15" hidden="false" customHeight="true" outlineLevel="0" collapsed="false">
      <c r="A26" s="8" t="s">
        <v>43</v>
      </c>
      <c r="B26" s="9" t="s">
        <v>256</v>
      </c>
      <c r="C26" s="10" t="n">
        <f aca="false">65000+50000+30000+50000+80000+141500</f>
        <v>416500</v>
      </c>
      <c r="D26" s="10" t="n">
        <f aca="false">E26-C26</f>
        <v>0</v>
      </c>
      <c r="E26" s="10" t="n">
        <v>416500</v>
      </c>
    </row>
    <row r="27" customFormat="false" ht="15" hidden="false" customHeight="true" outlineLevel="0" collapsed="false">
      <c r="A27" s="8" t="s">
        <v>45</v>
      </c>
      <c r="B27" s="9" t="s">
        <v>257</v>
      </c>
      <c r="C27" s="10" t="n">
        <v>616500</v>
      </c>
      <c r="D27" s="10" t="n">
        <f aca="false">E27-C27</f>
        <v>0</v>
      </c>
      <c r="E27" s="10" t="n">
        <v>616500</v>
      </c>
    </row>
    <row r="28" customFormat="false" ht="15" hidden="false" customHeight="true" outlineLevel="0" collapsed="false">
      <c r="A28" s="8" t="s">
        <v>47</v>
      </c>
      <c r="B28" s="9" t="s">
        <v>258</v>
      </c>
      <c r="C28" s="10" t="n">
        <f aca="false">20000+130000</f>
        <v>150000</v>
      </c>
      <c r="D28" s="10" t="n">
        <f aca="false">E28-C28</f>
        <v>266500</v>
      </c>
      <c r="E28" s="10" t="n">
        <v>416500</v>
      </c>
    </row>
    <row r="29" customFormat="false" ht="15" hidden="false" customHeight="true" outlineLevel="0" collapsed="false">
      <c r="A29" s="8" t="s">
        <v>49</v>
      </c>
      <c r="B29" s="9" t="s">
        <v>259</v>
      </c>
      <c r="C29" s="10" t="n">
        <v>416500</v>
      </c>
      <c r="D29" s="10" t="n">
        <f aca="false">E29-C29</f>
        <v>0</v>
      </c>
      <c r="E29" s="10" t="n">
        <v>416500</v>
      </c>
    </row>
    <row r="30" customFormat="false" ht="15" hidden="false" customHeight="true" outlineLevel="0" collapsed="false">
      <c r="A30" s="8" t="s">
        <v>51</v>
      </c>
      <c r="B30" s="9" t="s">
        <v>260</v>
      </c>
      <c r="C30" s="10" t="n">
        <f aca="false">126500+100000+190000</f>
        <v>416500</v>
      </c>
      <c r="D30" s="10" t="n">
        <f aca="false">E30-C30</f>
        <v>0</v>
      </c>
      <c r="E30" s="10" t="n">
        <v>416500</v>
      </c>
    </row>
    <row r="31" customFormat="false" ht="15" hidden="false" customHeight="true" outlineLevel="0" collapsed="false">
      <c r="A31" s="8" t="s">
        <v>53</v>
      </c>
      <c r="B31" s="9" t="s">
        <v>261</v>
      </c>
      <c r="C31" s="10" t="n">
        <f aca="false">70000+40000+16500+190000</f>
        <v>316500</v>
      </c>
      <c r="D31" s="10" t="n">
        <f aca="false">E31-C31</f>
        <v>100000</v>
      </c>
      <c r="E31" s="10" t="n">
        <v>416500</v>
      </c>
    </row>
    <row r="32" customFormat="false" ht="15" hidden="false" customHeight="true" outlineLevel="0" collapsed="false">
      <c r="A32" s="6" t="s">
        <v>57</v>
      </c>
      <c r="B32" s="6"/>
      <c r="C32" s="7" t="n">
        <f aca="false">SUM(C8:C31)</f>
        <v>8090500</v>
      </c>
      <c r="D32" s="7" t="n">
        <f aca="false">E32-C32</f>
        <v>2905500</v>
      </c>
      <c r="E32" s="7" t="n">
        <f aca="false">SUM(E7:E31)</f>
        <v>10996000</v>
      </c>
    </row>
    <row r="33" customFormat="false" ht="15" hidden="false" customHeight="true" outlineLevel="0" collapsed="false">
      <c r="A33" s="14"/>
      <c r="B33" s="14"/>
      <c r="C33" s="15"/>
      <c r="D33" s="15"/>
      <c r="E33" s="15"/>
    </row>
    <row r="34" customFormat="false" ht="15" hidden="false" customHeight="true" outlineLevel="0" collapsed="false">
      <c r="A34" s="14"/>
      <c r="B34" s="14"/>
      <c r="C34" s="15"/>
      <c r="D34" s="15"/>
      <c r="E34" s="15"/>
    </row>
    <row r="35" customFormat="false" ht="15" hidden="false" customHeight="true" outlineLevel="0" collapsed="false">
      <c r="A35" s="14"/>
      <c r="B35" s="14"/>
      <c r="C35" s="15"/>
      <c r="D35" s="15"/>
      <c r="E35" s="15"/>
    </row>
    <row r="36" customFormat="false" ht="15" hidden="false" customHeight="true" outlineLevel="0" collapsed="false">
      <c r="A36" s="14"/>
      <c r="B36" s="14"/>
      <c r="C36" s="15"/>
      <c r="D36" s="15"/>
      <c r="E36" s="15"/>
    </row>
    <row r="37" customFormat="false" ht="15" hidden="false" customHeight="true" outlineLevel="0" collapsed="false">
      <c r="A37" s="14"/>
      <c r="B37" s="14"/>
      <c r="C37" s="15"/>
      <c r="D37" s="15"/>
      <c r="E37" s="15"/>
    </row>
    <row r="38" customFormat="false" ht="15" hidden="false" customHeight="true" outlineLevel="0" collapsed="false">
      <c r="A38" s="14"/>
      <c r="B38" s="14"/>
      <c r="C38" s="15"/>
      <c r="D38" s="15"/>
      <c r="E38" s="15"/>
    </row>
    <row r="39" customFormat="false" ht="15" hidden="false" customHeight="true" outlineLevel="0" collapsed="false">
      <c r="A39" s="14"/>
      <c r="B39" s="14"/>
      <c r="C39" s="15"/>
      <c r="D39" s="15"/>
      <c r="E39" s="15"/>
    </row>
    <row r="40" customFormat="false" ht="15" hidden="false" customHeight="true" outlineLevel="0" collapsed="false">
      <c r="A40" s="14"/>
      <c r="B40" s="14"/>
      <c r="C40" s="15"/>
      <c r="D40" s="15"/>
      <c r="E40" s="15"/>
    </row>
    <row r="41" customFormat="false" ht="15" hidden="false" customHeight="true" outlineLevel="0" collapsed="false">
      <c r="A41" s="14"/>
      <c r="B41" s="3" t="s">
        <v>0</v>
      </c>
      <c r="C41" s="15"/>
      <c r="D41" s="15"/>
      <c r="E41" s="15"/>
    </row>
    <row r="42" customFormat="false" ht="15" hidden="false" customHeight="true" outlineLevel="0" collapsed="false">
      <c r="A42" s="14"/>
      <c r="B42" s="14"/>
      <c r="C42" s="15"/>
      <c r="D42" s="15"/>
      <c r="E42" s="15"/>
    </row>
    <row r="43" customFormat="false" ht="15" hidden="false" customHeight="true" outlineLevel="0" collapsed="false">
      <c r="A43" s="14"/>
      <c r="B43" s="14"/>
      <c r="C43" s="15"/>
      <c r="D43" s="15"/>
      <c r="E43" s="15"/>
    </row>
    <row r="44" customFormat="false" ht="17.25" hidden="false" customHeight="true" outlineLevel="0" collapsed="false">
      <c r="A44" s="5" t="s">
        <v>262</v>
      </c>
      <c r="B44" s="5"/>
      <c r="C44" s="5"/>
      <c r="D44" s="5"/>
      <c r="E44" s="5"/>
    </row>
    <row r="45" customFormat="false" ht="15" hidden="false" customHeight="true" outlineLevel="0" collapsed="false">
      <c r="A45" s="5"/>
      <c r="B45" s="5"/>
      <c r="C45" s="5"/>
      <c r="D45" s="5"/>
      <c r="E45" s="5"/>
    </row>
    <row r="46" customFormat="false" ht="15" hidden="false" customHeight="true" outlineLevel="0" collapsed="false">
      <c r="A46" s="6" t="s">
        <v>2</v>
      </c>
      <c r="B46" s="6" t="s">
        <v>3</v>
      </c>
      <c r="C46" s="7" t="s">
        <v>4</v>
      </c>
      <c r="D46" s="6" t="s">
        <v>5</v>
      </c>
      <c r="E46" s="7" t="s">
        <v>6</v>
      </c>
    </row>
    <row r="47" customFormat="false" ht="15" hidden="false" customHeight="true" outlineLevel="0" collapsed="false">
      <c r="A47" s="8" t="s">
        <v>7</v>
      </c>
      <c r="B47" s="9" t="s">
        <v>263</v>
      </c>
      <c r="C47" s="10" t="n">
        <f aca="false">366500+50000</f>
        <v>416500</v>
      </c>
      <c r="D47" s="10" t="n">
        <f aca="false">E47-C47</f>
        <v>0</v>
      </c>
      <c r="E47" s="10" t="n">
        <v>416500</v>
      </c>
    </row>
    <row r="48" customFormat="false" ht="15" hidden="false" customHeight="true" outlineLevel="0" collapsed="false">
      <c r="A48" s="8" t="s">
        <v>9</v>
      </c>
      <c r="B48" s="9" t="s">
        <v>264</v>
      </c>
      <c r="C48" s="10" t="n">
        <f aca="false">150000+266500</f>
        <v>416500</v>
      </c>
      <c r="D48" s="10" t="n">
        <f aca="false">E48-C48</f>
        <v>0</v>
      </c>
      <c r="E48" s="10" t="n">
        <v>416500</v>
      </c>
    </row>
    <row r="49" customFormat="false" ht="15" hidden="false" customHeight="true" outlineLevel="0" collapsed="false">
      <c r="A49" s="8" t="s">
        <v>11</v>
      </c>
      <c r="B49" s="9" t="s">
        <v>265</v>
      </c>
      <c r="C49" s="10" t="n">
        <f aca="false">120000+130000+166500</f>
        <v>416500</v>
      </c>
      <c r="D49" s="10" t="n">
        <f aca="false">E49-C49</f>
        <v>0</v>
      </c>
      <c r="E49" s="10" t="n">
        <v>416500</v>
      </c>
    </row>
    <row r="50" customFormat="false" ht="15" hidden="false" customHeight="true" outlineLevel="0" collapsed="false">
      <c r="A50" s="8" t="s">
        <v>13</v>
      </c>
      <c r="B50" s="9" t="s">
        <v>266</v>
      </c>
      <c r="C50" s="10" t="n">
        <f aca="false">382500+34000</f>
        <v>416500</v>
      </c>
      <c r="D50" s="10" t="n">
        <f aca="false">E50-C50</f>
        <v>0</v>
      </c>
      <c r="E50" s="10" t="n">
        <v>416500</v>
      </c>
    </row>
    <row r="51" customFormat="false" ht="15" hidden="false" customHeight="true" outlineLevel="0" collapsed="false">
      <c r="A51" s="8" t="s">
        <v>15</v>
      </c>
      <c r="B51" s="9" t="s">
        <v>267</v>
      </c>
      <c r="C51" s="10" t="n">
        <v>416500</v>
      </c>
      <c r="D51" s="10" t="n">
        <f aca="false">E51-C51</f>
        <v>0</v>
      </c>
      <c r="E51" s="10" t="n">
        <v>416500</v>
      </c>
    </row>
    <row r="52" customFormat="false" ht="15" hidden="false" customHeight="true" outlineLevel="0" collapsed="false">
      <c r="A52" s="8" t="s">
        <v>17</v>
      </c>
      <c r="B52" s="9" t="s">
        <v>268</v>
      </c>
      <c r="C52" s="10" t="n">
        <v>416500</v>
      </c>
      <c r="D52" s="10" t="n">
        <f aca="false">E52-C52</f>
        <v>0</v>
      </c>
      <c r="E52" s="10" t="n">
        <v>416500</v>
      </c>
    </row>
    <row r="53" customFormat="false" ht="15" hidden="false" customHeight="true" outlineLevel="0" collapsed="false">
      <c r="A53" s="8" t="s">
        <v>19</v>
      </c>
      <c r="B53" s="9" t="s">
        <v>269</v>
      </c>
      <c r="C53" s="10" t="n">
        <f aca="false">80000+65500+65500+55000+150500</f>
        <v>416500</v>
      </c>
      <c r="D53" s="10" t="n">
        <f aca="false">E53-C53</f>
        <v>0</v>
      </c>
      <c r="E53" s="10" t="n">
        <v>416500</v>
      </c>
    </row>
    <row r="54" customFormat="false" ht="15" hidden="false" customHeight="true" outlineLevel="0" collapsed="false">
      <c r="A54" s="8" t="s">
        <v>21</v>
      </c>
      <c r="B54" s="9" t="s">
        <v>270</v>
      </c>
      <c r="C54" s="10" t="n">
        <v>190000</v>
      </c>
      <c r="D54" s="10" t="n">
        <f aca="false">E54-C54</f>
        <v>226500</v>
      </c>
      <c r="E54" s="10" t="n">
        <v>416500</v>
      </c>
    </row>
    <row r="55" customFormat="false" ht="15" hidden="false" customHeight="true" outlineLevel="0" collapsed="false">
      <c r="A55" s="8" t="s">
        <v>23</v>
      </c>
      <c r="B55" s="9" t="s">
        <v>271</v>
      </c>
      <c r="C55" s="10" t="n">
        <v>250000</v>
      </c>
      <c r="D55" s="10" t="n">
        <f aca="false">E55-C55</f>
        <v>166500</v>
      </c>
      <c r="E55" s="10" t="n">
        <v>416500</v>
      </c>
    </row>
    <row r="56" customFormat="false" ht="15" hidden="false" customHeight="true" outlineLevel="0" collapsed="false">
      <c r="A56" s="8" t="s">
        <v>25</v>
      </c>
      <c r="B56" s="9" t="s">
        <v>272</v>
      </c>
      <c r="C56" s="10" t="n">
        <v>0</v>
      </c>
      <c r="D56" s="10" t="n">
        <f aca="false">E56-C56</f>
        <v>416500</v>
      </c>
      <c r="E56" s="10" t="n">
        <v>416500</v>
      </c>
    </row>
    <row r="57" customFormat="false" ht="15" hidden="false" customHeight="true" outlineLevel="0" collapsed="false">
      <c r="A57" s="8" t="s">
        <v>27</v>
      </c>
      <c r="B57" s="9" t="s">
        <v>273</v>
      </c>
      <c r="C57" s="10" t="n">
        <f aca="false">60000+150000</f>
        <v>210000</v>
      </c>
      <c r="D57" s="10" t="n">
        <f aca="false">E57-C57</f>
        <v>206500</v>
      </c>
      <c r="E57" s="10" t="n">
        <v>416500</v>
      </c>
    </row>
    <row r="58" customFormat="false" ht="15" hidden="false" customHeight="true" outlineLevel="0" collapsed="false">
      <c r="A58" s="8" t="s">
        <v>29</v>
      </c>
      <c r="B58" s="9" t="s">
        <v>274</v>
      </c>
      <c r="C58" s="10" t="n">
        <f aca="false">200000+130000+86500</f>
        <v>416500</v>
      </c>
      <c r="D58" s="10" t="n">
        <f aca="false">E58-C58</f>
        <v>0</v>
      </c>
      <c r="E58" s="10" t="n">
        <v>416500</v>
      </c>
    </row>
    <row r="59" customFormat="false" ht="15" hidden="false" customHeight="true" outlineLevel="0" collapsed="false">
      <c r="A59" s="8" t="s">
        <v>31</v>
      </c>
      <c r="B59" s="9" t="s">
        <v>275</v>
      </c>
      <c r="C59" s="10" t="n">
        <f aca="false">200000+216500</f>
        <v>416500</v>
      </c>
      <c r="D59" s="10" t="n">
        <f aca="false">E59-C59</f>
        <v>0</v>
      </c>
      <c r="E59" s="10" t="n">
        <v>416500</v>
      </c>
    </row>
    <row r="60" customFormat="false" ht="15" hidden="false" customHeight="true" outlineLevel="0" collapsed="false">
      <c r="A60" s="8" t="s">
        <v>33</v>
      </c>
      <c r="B60" s="9" t="s">
        <v>276</v>
      </c>
      <c r="C60" s="10" t="n">
        <f aca="false">100000+116500+200000</f>
        <v>416500</v>
      </c>
      <c r="D60" s="10" t="n">
        <f aca="false">E60-C60</f>
        <v>0</v>
      </c>
      <c r="E60" s="10" t="n">
        <v>416500</v>
      </c>
    </row>
    <row r="61" customFormat="false" ht="15" hidden="false" customHeight="true" outlineLevel="0" collapsed="false">
      <c r="A61" s="8" t="s">
        <v>35</v>
      </c>
      <c r="B61" s="9" t="s">
        <v>277</v>
      </c>
      <c r="C61" s="10" t="n">
        <v>417000</v>
      </c>
      <c r="D61" s="10" t="n">
        <f aca="false">E61-C61</f>
        <v>-500</v>
      </c>
      <c r="E61" s="10" t="n">
        <v>416500</v>
      </c>
    </row>
    <row r="62" customFormat="false" ht="15" hidden="false" customHeight="true" outlineLevel="0" collapsed="false">
      <c r="A62" s="8" t="s">
        <v>37</v>
      </c>
      <c r="B62" s="9" t="s">
        <v>278</v>
      </c>
      <c r="C62" s="10" t="n">
        <v>416500</v>
      </c>
      <c r="D62" s="10" t="n">
        <f aca="false">E62-C62</f>
        <v>0</v>
      </c>
      <c r="E62" s="10" t="n">
        <v>416500</v>
      </c>
    </row>
    <row r="63" customFormat="false" ht="15" hidden="false" customHeight="true" outlineLevel="0" collapsed="false">
      <c r="A63" s="8" t="s">
        <v>39</v>
      </c>
      <c r="B63" s="9" t="s">
        <v>279</v>
      </c>
      <c r="C63" s="10" t="n">
        <v>416500</v>
      </c>
      <c r="D63" s="10" t="n">
        <f aca="false">E63-C63</f>
        <v>0</v>
      </c>
      <c r="E63" s="10" t="n">
        <v>416500</v>
      </c>
    </row>
    <row r="64" customFormat="false" ht="15" hidden="false" customHeight="true" outlineLevel="0" collapsed="false">
      <c r="A64" s="8" t="s">
        <v>41</v>
      </c>
      <c r="B64" s="9" t="s">
        <v>280</v>
      </c>
      <c r="C64" s="10" t="n">
        <f aca="false">100000+100000+216500</f>
        <v>416500</v>
      </c>
      <c r="D64" s="10" t="n">
        <f aca="false">E64-C64</f>
        <v>0</v>
      </c>
      <c r="E64" s="10" t="n">
        <v>416500</v>
      </c>
    </row>
    <row r="65" customFormat="false" ht="15" hidden="false" customHeight="true" outlineLevel="0" collapsed="false">
      <c r="A65" s="8" t="s">
        <v>43</v>
      </c>
      <c r="B65" s="9" t="s">
        <v>281</v>
      </c>
      <c r="C65" s="10" t="n">
        <v>416500</v>
      </c>
      <c r="D65" s="10" t="n">
        <f aca="false">E65-C65</f>
        <v>0</v>
      </c>
      <c r="E65" s="10" t="n">
        <v>416500</v>
      </c>
    </row>
    <row r="66" customFormat="false" ht="15" hidden="false" customHeight="true" outlineLevel="0" collapsed="false">
      <c r="A66" s="8" t="s">
        <v>45</v>
      </c>
      <c r="B66" s="9" t="s">
        <v>282</v>
      </c>
      <c r="C66" s="10" t="n">
        <f aca="false">100000+316500</f>
        <v>416500</v>
      </c>
      <c r="D66" s="10" t="n">
        <f aca="false">E66-C66</f>
        <v>0</v>
      </c>
      <c r="E66" s="10" t="n">
        <v>416500</v>
      </c>
    </row>
    <row r="67" customFormat="false" ht="15" hidden="false" customHeight="true" outlineLevel="0" collapsed="false">
      <c r="A67" s="8" t="s">
        <v>47</v>
      </c>
      <c r="B67" s="9" t="s">
        <v>283</v>
      </c>
      <c r="C67" s="10" t="n">
        <f aca="false">200000+216500</f>
        <v>416500</v>
      </c>
      <c r="D67" s="10" t="n">
        <f aca="false">E67-C67</f>
        <v>0</v>
      </c>
      <c r="E67" s="10" t="n">
        <v>416500</v>
      </c>
    </row>
    <row r="68" customFormat="false" ht="15" hidden="false" customHeight="true" outlineLevel="0" collapsed="false">
      <c r="A68" s="8" t="s">
        <v>49</v>
      </c>
      <c r="B68" s="9" t="s">
        <v>284</v>
      </c>
      <c r="C68" s="10" t="n">
        <f aca="false">16500+200000+200000</f>
        <v>416500</v>
      </c>
      <c r="D68" s="10" t="n">
        <f aca="false">E68-C68</f>
        <v>0</v>
      </c>
      <c r="E68" s="10" t="n">
        <v>416500</v>
      </c>
    </row>
    <row r="69" customFormat="false" ht="15" hidden="false" customHeight="true" outlineLevel="0" collapsed="false">
      <c r="A69" s="8" t="s">
        <v>51</v>
      </c>
      <c r="B69" s="9" t="s">
        <v>285</v>
      </c>
      <c r="C69" s="10" t="n">
        <f aca="false">16500+200000+200000</f>
        <v>416500</v>
      </c>
      <c r="D69" s="10" t="n">
        <f aca="false">E69-C69</f>
        <v>0</v>
      </c>
      <c r="E69" s="10" t="n">
        <v>416500</v>
      </c>
    </row>
    <row r="70" customFormat="false" ht="15" hidden="false" customHeight="true" outlineLevel="0" collapsed="false">
      <c r="A70" s="6" t="s">
        <v>57</v>
      </c>
      <c r="B70" s="6"/>
      <c r="C70" s="7" t="n">
        <f aca="false">SUM(C47:C69)</f>
        <v>8564000</v>
      </c>
      <c r="D70" s="7" t="n">
        <f aca="false">E70-C70</f>
        <v>1015500</v>
      </c>
      <c r="E70" s="7" t="n">
        <f aca="false">SUM(E46:E69)</f>
        <v>9579500</v>
      </c>
    </row>
    <row r="71" customFormat="false" ht="15" hidden="false" customHeight="true" outlineLevel="0" collapsed="false">
      <c r="A71" s="14"/>
      <c r="B71" s="14"/>
      <c r="C71" s="15"/>
      <c r="D71" s="15"/>
      <c r="E71" s="15"/>
    </row>
    <row r="72" customFormat="false" ht="15" hidden="false" customHeight="true" outlineLevel="0" collapsed="false">
      <c r="A72" s="14"/>
      <c r="B72" s="14"/>
      <c r="C72" s="15"/>
      <c r="D72" s="15"/>
      <c r="E72" s="15"/>
    </row>
    <row r="73" customFormat="false" ht="15" hidden="false" customHeight="true" outlineLevel="0" collapsed="false">
      <c r="A73" s="14"/>
      <c r="B73" s="14"/>
      <c r="C73" s="15"/>
      <c r="D73" s="15"/>
      <c r="E73" s="15"/>
    </row>
    <row r="74" customFormat="false" ht="15" hidden="false" customHeight="true" outlineLevel="0" collapsed="false">
      <c r="A74" s="14"/>
      <c r="B74" s="14"/>
      <c r="C74" s="15"/>
      <c r="D74" s="15"/>
      <c r="E74" s="15"/>
    </row>
    <row r="75" customFormat="false" ht="15" hidden="false" customHeight="true" outlineLevel="0" collapsed="false">
      <c r="A75" s="14"/>
      <c r="B75" s="14"/>
      <c r="C75" s="15"/>
      <c r="D75" s="15"/>
      <c r="E75" s="15"/>
    </row>
    <row r="76" customFormat="false" ht="15" hidden="false" customHeight="true" outlineLevel="0" collapsed="false">
      <c r="A76" s="14"/>
      <c r="B76" s="14"/>
      <c r="C76" s="15"/>
      <c r="D76" s="15"/>
      <c r="E76" s="15"/>
    </row>
    <row r="77" customFormat="false" ht="15" hidden="false" customHeight="true" outlineLevel="0" collapsed="false">
      <c r="A77" s="14"/>
      <c r="B77" s="14"/>
      <c r="C77" s="15"/>
      <c r="D77" s="15"/>
      <c r="E77" s="15"/>
    </row>
    <row r="78" customFormat="false" ht="17.25" hidden="false" customHeight="true" outlineLevel="0" collapsed="false">
      <c r="A78" s="14"/>
      <c r="B78" s="3" t="s">
        <v>0</v>
      </c>
      <c r="C78" s="15"/>
      <c r="D78" s="15"/>
      <c r="E78" s="15"/>
    </row>
    <row r="79" customFormat="false" ht="15" hidden="false" customHeight="true" outlineLevel="0" collapsed="false">
      <c r="A79" s="14"/>
      <c r="B79" s="14"/>
      <c r="C79" s="15"/>
      <c r="D79" s="15"/>
      <c r="E79" s="15"/>
    </row>
    <row r="80" customFormat="false" ht="17.25" hidden="false" customHeight="true" outlineLevel="0" collapsed="false">
      <c r="A80" s="5" t="s">
        <v>286</v>
      </c>
      <c r="B80" s="5"/>
      <c r="C80" s="5"/>
      <c r="D80" s="5"/>
      <c r="E80" s="5"/>
    </row>
    <row r="81" customFormat="false" ht="15" hidden="false" customHeight="true" outlineLevel="0" collapsed="false">
      <c r="A81" s="17"/>
      <c r="B81" s="18"/>
      <c r="C81" s="18"/>
      <c r="D81" s="18"/>
      <c r="E81" s="36"/>
    </row>
    <row r="82" customFormat="false" ht="15" hidden="false" customHeight="true" outlineLevel="0" collapsed="false">
      <c r="A82" s="6" t="s">
        <v>2</v>
      </c>
      <c r="B82" s="6" t="s">
        <v>3</v>
      </c>
      <c r="C82" s="7" t="s">
        <v>4</v>
      </c>
      <c r="D82" s="6" t="s">
        <v>5</v>
      </c>
      <c r="E82" s="7" t="s">
        <v>6</v>
      </c>
    </row>
    <row r="83" customFormat="false" ht="15" hidden="false" customHeight="true" outlineLevel="0" collapsed="false">
      <c r="A83" s="8" t="s">
        <v>7</v>
      </c>
      <c r="B83" s="9" t="s">
        <v>287</v>
      </c>
      <c r="C83" s="10" t="n">
        <f aca="false">266500+156500</f>
        <v>423000</v>
      </c>
      <c r="D83" s="10" t="n">
        <f aca="false">E83-C83</f>
        <v>-6500</v>
      </c>
      <c r="E83" s="10" t="n">
        <v>416500</v>
      </c>
    </row>
    <row r="84" customFormat="false" ht="15" hidden="false" customHeight="true" outlineLevel="0" collapsed="false">
      <c r="A84" s="8" t="s">
        <v>9</v>
      </c>
      <c r="B84" s="9" t="s">
        <v>288</v>
      </c>
      <c r="C84" s="10" t="n">
        <f aca="false">210000+100000+110000</f>
        <v>420000</v>
      </c>
      <c r="D84" s="10" t="n">
        <f aca="false">E84-C84</f>
        <v>-3500</v>
      </c>
      <c r="E84" s="10" t="n">
        <v>416500</v>
      </c>
    </row>
    <row r="85" customFormat="false" ht="15" hidden="false" customHeight="true" outlineLevel="0" collapsed="false">
      <c r="A85" s="8" t="s">
        <v>11</v>
      </c>
      <c r="B85" s="9" t="s">
        <v>289</v>
      </c>
      <c r="C85" s="10" t="n">
        <f aca="false">216500+200000</f>
        <v>416500</v>
      </c>
      <c r="D85" s="10" t="n">
        <f aca="false">E85-C85</f>
        <v>0</v>
      </c>
      <c r="E85" s="10" t="n">
        <v>416500</v>
      </c>
    </row>
    <row r="86" customFormat="false" ht="15" hidden="false" customHeight="true" outlineLevel="0" collapsed="false">
      <c r="A86" s="8" t="s">
        <v>13</v>
      </c>
      <c r="B86" s="9" t="s">
        <v>290</v>
      </c>
      <c r="C86" s="10" t="n">
        <f aca="false">100000+100000+25000+191500</f>
        <v>416500</v>
      </c>
      <c r="D86" s="10" t="n">
        <f aca="false">E86-C86</f>
        <v>0</v>
      </c>
      <c r="E86" s="10" t="n">
        <v>416500</v>
      </c>
    </row>
    <row r="87" customFormat="false" ht="15" hidden="false" customHeight="true" outlineLevel="0" collapsed="false">
      <c r="A87" s="8" t="s">
        <v>15</v>
      </c>
      <c r="B87" s="9" t="s">
        <v>291</v>
      </c>
      <c r="C87" s="10" t="n">
        <v>416500</v>
      </c>
      <c r="D87" s="10" t="n">
        <f aca="false">E87-C87</f>
        <v>0</v>
      </c>
      <c r="E87" s="10" t="n">
        <v>416500</v>
      </c>
    </row>
    <row r="88" customFormat="false" ht="15" hidden="false" customHeight="true" outlineLevel="0" collapsed="false">
      <c r="A88" s="8" t="s">
        <v>17</v>
      </c>
      <c r="B88" s="9" t="s">
        <v>292</v>
      </c>
      <c r="C88" s="10" t="n">
        <v>416500</v>
      </c>
      <c r="D88" s="10" t="n">
        <f aca="false">E88-C88</f>
        <v>0</v>
      </c>
      <c r="E88" s="10" t="n">
        <v>416500</v>
      </c>
    </row>
    <row r="89" customFormat="false" ht="15" hidden="false" customHeight="true" outlineLevel="0" collapsed="false">
      <c r="A89" s="8" t="s">
        <v>19</v>
      </c>
      <c r="B89" s="9" t="s">
        <v>293</v>
      </c>
      <c r="C89" s="10" t="n">
        <v>416500</v>
      </c>
      <c r="D89" s="10" t="n">
        <f aca="false">E89-C89</f>
        <v>0</v>
      </c>
      <c r="E89" s="10" t="n">
        <v>416500</v>
      </c>
    </row>
    <row r="90" customFormat="false" ht="15" hidden="false" customHeight="true" outlineLevel="0" collapsed="false">
      <c r="A90" s="8" t="s">
        <v>21</v>
      </c>
      <c r="B90" s="9" t="s">
        <v>294</v>
      </c>
      <c r="C90" s="10" t="n">
        <f aca="false">100000+100000+216500</f>
        <v>416500</v>
      </c>
      <c r="D90" s="10" t="n">
        <f aca="false">E90-C90</f>
        <v>0</v>
      </c>
      <c r="E90" s="10" t="n">
        <v>416500</v>
      </c>
    </row>
    <row r="91" customFormat="false" ht="15" hidden="false" customHeight="true" outlineLevel="0" collapsed="false">
      <c r="A91" s="8" t="s">
        <v>23</v>
      </c>
      <c r="B91" s="9" t="s">
        <v>295</v>
      </c>
      <c r="C91" s="10" t="n">
        <v>416500</v>
      </c>
      <c r="D91" s="10" t="n">
        <v>0</v>
      </c>
      <c r="E91" s="10" t="n">
        <v>416500</v>
      </c>
    </row>
    <row r="92" customFormat="false" ht="15" hidden="false" customHeight="true" outlineLevel="0" collapsed="false">
      <c r="A92" s="8" t="s">
        <v>25</v>
      </c>
      <c r="B92" s="9" t="s">
        <v>296</v>
      </c>
      <c r="C92" s="10" t="n">
        <v>416500</v>
      </c>
      <c r="D92" s="10" t="n">
        <f aca="false">E92-C92</f>
        <v>0</v>
      </c>
      <c r="E92" s="10" t="n">
        <v>416500</v>
      </c>
    </row>
    <row r="93" customFormat="false" ht="15" hidden="false" customHeight="true" outlineLevel="0" collapsed="false">
      <c r="A93" s="8" t="s">
        <v>27</v>
      </c>
      <c r="B93" s="9" t="s">
        <v>297</v>
      </c>
      <c r="C93" s="10" t="n">
        <v>416500</v>
      </c>
      <c r="D93" s="10" t="n">
        <f aca="false">E93-C93</f>
        <v>0</v>
      </c>
      <c r="E93" s="10" t="n">
        <v>416500</v>
      </c>
    </row>
    <row r="94" customFormat="false" ht="15" hidden="false" customHeight="true" outlineLevel="0" collapsed="false">
      <c r="A94" s="6" t="s">
        <v>57</v>
      </c>
      <c r="B94" s="6"/>
      <c r="C94" s="7" t="n">
        <f aca="false">SUM(C84:C93)</f>
        <v>4168500</v>
      </c>
      <c r="D94" s="7" t="n">
        <f aca="false">E94-C94</f>
        <v>413000</v>
      </c>
      <c r="E94" s="7" t="n">
        <f aca="false">SUM(E82:E93)</f>
        <v>4581500</v>
      </c>
    </row>
    <row r="95" customFormat="false" ht="15" hidden="false" customHeight="true" outlineLevel="0" collapsed="false">
      <c r="A95" s="14"/>
      <c r="B95" s="14"/>
      <c r="C95" s="15"/>
      <c r="D95" s="15"/>
      <c r="E95" s="15"/>
    </row>
    <row r="96" customFormat="false" ht="15" hidden="false" customHeight="true" outlineLevel="0" collapsed="false">
      <c r="A96" s="14"/>
      <c r="B96" s="14"/>
      <c r="C96" s="15"/>
      <c r="D96" s="15"/>
      <c r="E96" s="15"/>
    </row>
    <row r="97" customFormat="false" ht="15" hidden="false" customHeight="true" outlineLevel="0" collapsed="false">
      <c r="A97" s="14"/>
      <c r="B97" s="14"/>
      <c r="C97" s="15"/>
      <c r="D97" s="15"/>
      <c r="E97" s="15"/>
    </row>
    <row r="98" customFormat="false" ht="15" hidden="false" customHeight="true" outlineLevel="0" collapsed="false">
      <c r="A98" s="14"/>
      <c r="B98" s="14"/>
      <c r="C98" s="15"/>
      <c r="D98" s="15"/>
      <c r="E98" s="15"/>
    </row>
    <row r="99" customFormat="false" ht="15" hidden="false" customHeight="true" outlineLevel="0" collapsed="false">
      <c r="A99" s="14"/>
      <c r="B99" s="14"/>
      <c r="C99" s="15"/>
      <c r="D99" s="15"/>
      <c r="E99" s="15"/>
    </row>
    <row r="100" customFormat="false" ht="16.5" hidden="false" customHeight="true" outlineLevel="0" collapsed="false">
      <c r="A100" s="14"/>
      <c r="B100" s="3" t="s">
        <v>0</v>
      </c>
      <c r="C100" s="15"/>
      <c r="D100" s="15"/>
      <c r="E100" s="15"/>
    </row>
    <row r="101" customFormat="false" ht="15" hidden="false" customHeight="true" outlineLevel="0" collapsed="false">
      <c r="A101" s="14"/>
      <c r="B101" s="14"/>
      <c r="C101" s="15"/>
      <c r="D101" s="15"/>
      <c r="E101" s="15"/>
    </row>
    <row r="102" customFormat="false" ht="15" hidden="false" customHeight="true" outlineLevel="0" collapsed="false">
      <c r="A102" s="20"/>
      <c r="B102" s="5" t="s">
        <v>298</v>
      </c>
      <c r="C102" s="5"/>
      <c r="D102" s="5"/>
      <c r="E102" s="5"/>
    </row>
    <row r="103" customFormat="false" ht="15" hidden="false" customHeight="true" outlineLevel="0" collapsed="false">
      <c r="A103" s="22"/>
      <c r="B103" s="18"/>
      <c r="C103" s="18"/>
      <c r="D103" s="18"/>
      <c r="E103" s="18"/>
    </row>
    <row r="104" customFormat="false" ht="15" hidden="false" customHeight="true" outlineLevel="0" collapsed="false">
      <c r="A104" s="33" t="s">
        <v>2</v>
      </c>
      <c r="B104" s="33" t="s">
        <v>3</v>
      </c>
      <c r="C104" s="19" t="s">
        <v>4</v>
      </c>
      <c r="D104" s="33" t="s">
        <v>5</v>
      </c>
      <c r="E104" s="19" t="s">
        <v>6</v>
      </c>
    </row>
    <row r="105" customFormat="false" ht="15" hidden="false" customHeight="true" outlineLevel="0" collapsed="false">
      <c r="A105" s="8" t="s">
        <v>7</v>
      </c>
      <c r="B105" s="37" t="s">
        <v>299</v>
      </c>
      <c r="C105" s="38" t="n">
        <f aca="false">100000+70000</f>
        <v>170000</v>
      </c>
      <c r="D105" s="19" t="n">
        <f aca="false">E105-C105</f>
        <v>246500</v>
      </c>
      <c r="E105" s="19" t="n">
        <v>416500</v>
      </c>
    </row>
    <row r="106" customFormat="false" ht="15" hidden="false" customHeight="true" outlineLevel="0" collapsed="false">
      <c r="A106" s="8" t="s">
        <v>9</v>
      </c>
      <c r="B106" s="9" t="s">
        <v>300</v>
      </c>
      <c r="C106" s="10" t="n">
        <v>416500</v>
      </c>
      <c r="D106" s="10" t="n">
        <f aca="false">E106-C106</f>
        <v>0</v>
      </c>
      <c r="E106" s="10" t="n">
        <v>416500</v>
      </c>
    </row>
    <row r="107" customFormat="false" ht="15" hidden="false" customHeight="true" outlineLevel="0" collapsed="false">
      <c r="A107" s="8" t="s">
        <v>11</v>
      </c>
      <c r="B107" s="9" t="s">
        <v>301</v>
      </c>
      <c r="C107" s="10" t="n">
        <f aca="false">100000+50000</f>
        <v>150000</v>
      </c>
      <c r="D107" s="10" t="n">
        <f aca="false">E107-C107</f>
        <v>266500</v>
      </c>
      <c r="E107" s="10" t="n">
        <v>416500</v>
      </c>
    </row>
    <row r="108" customFormat="false" ht="15" hidden="false" customHeight="true" outlineLevel="0" collapsed="false">
      <c r="A108" s="8" t="s">
        <v>13</v>
      </c>
      <c r="B108" s="9" t="s">
        <v>302</v>
      </c>
      <c r="C108" s="10" t="n">
        <f aca="false">16500+50000+50000</f>
        <v>116500</v>
      </c>
      <c r="D108" s="10" t="n">
        <f aca="false">E108-C108</f>
        <v>300000</v>
      </c>
      <c r="E108" s="10" t="n">
        <v>416500</v>
      </c>
    </row>
    <row r="109" customFormat="false" ht="15" hidden="false" customHeight="true" outlineLevel="0" collapsed="false">
      <c r="A109" s="8" t="s">
        <v>15</v>
      </c>
      <c r="B109" s="9" t="s">
        <v>303</v>
      </c>
      <c r="C109" s="10" t="n">
        <f aca="false">150000+216500+50000</f>
        <v>416500</v>
      </c>
      <c r="D109" s="10" t="n">
        <f aca="false">E109-C109</f>
        <v>0</v>
      </c>
      <c r="E109" s="10" t="n">
        <v>416500</v>
      </c>
    </row>
    <row r="110" customFormat="false" ht="15" hidden="false" customHeight="true" outlineLevel="0" collapsed="false">
      <c r="A110" s="8" t="s">
        <v>21</v>
      </c>
      <c r="B110" s="9" t="s">
        <v>304</v>
      </c>
      <c r="C110" s="10" t="n">
        <v>616500</v>
      </c>
      <c r="D110" s="10" t="n">
        <f aca="false">E110-C110</f>
        <v>0</v>
      </c>
      <c r="E110" s="10" t="n">
        <v>616500</v>
      </c>
    </row>
    <row r="111" customFormat="false" ht="15" hidden="false" customHeight="true" outlineLevel="0" collapsed="false">
      <c r="A111" s="8" t="s">
        <v>23</v>
      </c>
      <c r="B111" s="9" t="s">
        <v>305</v>
      </c>
      <c r="C111" s="10" t="n">
        <f aca="false">100000+140000+176500</f>
        <v>416500</v>
      </c>
      <c r="D111" s="10" t="n">
        <f aca="false">E111-C111</f>
        <v>0</v>
      </c>
      <c r="E111" s="10" t="n">
        <v>416500</v>
      </c>
    </row>
    <row r="112" customFormat="false" ht="15" hidden="false" customHeight="true" outlineLevel="0" collapsed="false">
      <c r="A112" s="8" t="s">
        <v>25</v>
      </c>
      <c r="B112" s="9" t="s">
        <v>306</v>
      </c>
      <c r="C112" s="10" t="n">
        <v>20000</v>
      </c>
      <c r="D112" s="10" t="n">
        <f aca="false">E112-C112</f>
        <v>396500</v>
      </c>
      <c r="E112" s="10" t="n">
        <v>416500</v>
      </c>
    </row>
    <row r="113" customFormat="false" ht="15" hidden="false" customHeight="true" outlineLevel="0" collapsed="false">
      <c r="A113" s="8" t="s">
        <v>27</v>
      </c>
      <c r="B113" s="9" t="s">
        <v>307</v>
      </c>
      <c r="C113" s="10"/>
      <c r="D113" s="10" t="n">
        <f aca="false">E113-C113</f>
        <v>416500</v>
      </c>
      <c r="E113" s="10" t="n">
        <v>416500</v>
      </c>
    </row>
    <row r="114" customFormat="false" ht="15" hidden="false" customHeight="true" outlineLevel="0" collapsed="false">
      <c r="A114" s="8" t="s">
        <v>29</v>
      </c>
      <c r="B114" s="9" t="s">
        <v>308</v>
      </c>
      <c r="C114" s="10" t="n">
        <f aca="false">33500+100000+183000+100000</f>
        <v>416500</v>
      </c>
      <c r="D114" s="10" t="n">
        <f aca="false">E114-C114</f>
        <v>0</v>
      </c>
      <c r="E114" s="10" t="n">
        <v>416500</v>
      </c>
    </row>
    <row r="115" customFormat="false" ht="15" hidden="false" customHeight="true" outlineLevel="0" collapsed="false">
      <c r="A115" s="8" t="s">
        <v>33</v>
      </c>
      <c r="B115" s="9" t="s">
        <v>309</v>
      </c>
      <c r="C115" s="10" t="n">
        <f aca="false">100000+75000+241000+500</f>
        <v>416500</v>
      </c>
      <c r="D115" s="10" t="n">
        <f aca="false">E115-C115</f>
        <v>0</v>
      </c>
      <c r="E115" s="10" t="n">
        <v>416500</v>
      </c>
    </row>
    <row r="116" customFormat="false" ht="15" hidden="false" customHeight="true" outlineLevel="0" collapsed="false">
      <c r="A116" s="8" t="s">
        <v>35</v>
      </c>
      <c r="B116" s="9" t="s">
        <v>310</v>
      </c>
      <c r="C116" s="10" t="n">
        <f aca="false">100000+50000+150000+116500</f>
        <v>416500</v>
      </c>
      <c r="D116" s="10" t="n">
        <f aca="false">E116-C116</f>
        <v>0</v>
      </c>
      <c r="E116" s="10" t="n">
        <v>416500</v>
      </c>
    </row>
    <row r="117" customFormat="false" ht="15" hidden="false" customHeight="true" outlineLevel="0" collapsed="false">
      <c r="A117" s="8" t="s">
        <v>37</v>
      </c>
      <c r="B117" s="9" t="s">
        <v>311</v>
      </c>
      <c r="C117" s="10" t="n">
        <v>416500</v>
      </c>
      <c r="D117" s="10" t="n">
        <f aca="false">E117-C117</f>
        <v>0</v>
      </c>
      <c r="E117" s="10" t="n">
        <v>416500</v>
      </c>
    </row>
    <row r="118" customFormat="false" ht="15" hidden="false" customHeight="true" outlineLevel="0" collapsed="false">
      <c r="A118" s="8" t="s">
        <v>39</v>
      </c>
      <c r="B118" s="9" t="s">
        <v>312</v>
      </c>
      <c r="C118" s="10" t="n">
        <f aca="false">150000+50000+80000+136500</f>
        <v>416500</v>
      </c>
      <c r="D118" s="10" t="n">
        <f aca="false">E118-C118</f>
        <v>0</v>
      </c>
      <c r="E118" s="10" t="n">
        <v>416500</v>
      </c>
    </row>
    <row r="119" customFormat="false" ht="15" hidden="false" customHeight="true" outlineLevel="0" collapsed="false">
      <c r="A119" s="8" t="s">
        <v>41</v>
      </c>
      <c r="B119" s="9" t="s">
        <v>313</v>
      </c>
      <c r="C119" s="10" t="n">
        <f aca="false">60000+20000+46000+40000+34000+50000+166500</f>
        <v>416500</v>
      </c>
      <c r="D119" s="10" t="n">
        <f aca="false">E119-C119</f>
        <v>0</v>
      </c>
      <c r="E119" s="10" t="n">
        <v>416500</v>
      </c>
    </row>
    <row r="120" customFormat="false" ht="15" hidden="false" customHeight="true" outlineLevel="0" collapsed="false">
      <c r="A120" s="8" t="s">
        <v>43</v>
      </c>
      <c r="B120" s="9" t="s">
        <v>314</v>
      </c>
      <c r="C120" s="10" t="n">
        <v>416500</v>
      </c>
      <c r="D120" s="10" t="n">
        <f aca="false">E120-C120</f>
        <v>0</v>
      </c>
      <c r="E120" s="10" t="n">
        <v>416500</v>
      </c>
    </row>
    <row r="121" customFormat="false" ht="15" hidden="false" customHeight="true" outlineLevel="0" collapsed="false">
      <c r="A121" s="8" t="s">
        <v>45</v>
      </c>
      <c r="B121" s="9" t="s">
        <v>315</v>
      </c>
      <c r="C121" s="10" t="n">
        <f aca="false">10000+50000+145000</f>
        <v>205000</v>
      </c>
      <c r="D121" s="10" t="n">
        <f aca="false">E121-C121</f>
        <v>211500</v>
      </c>
      <c r="E121" s="10" t="n">
        <v>416500</v>
      </c>
    </row>
    <row r="122" customFormat="false" ht="15" hidden="false" customHeight="true" outlineLevel="0" collapsed="false">
      <c r="A122" s="8" t="s">
        <v>47</v>
      </c>
      <c r="B122" s="9" t="s">
        <v>316</v>
      </c>
      <c r="C122" s="10" t="n">
        <f aca="false">83500+333000</f>
        <v>416500</v>
      </c>
      <c r="D122" s="10" t="n">
        <f aca="false">E122-C122</f>
        <v>0</v>
      </c>
      <c r="E122" s="10" t="n">
        <v>416500</v>
      </c>
    </row>
    <row r="123" customFormat="false" ht="15" hidden="false" customHeight="true" outlineLevel="0" collapsed="false">
      <c r="A123" s="8" t="s">
        <v>49</v>
      </c>
      <c r="B123" s="9" t="s">
        <v>317</v>
      </c>
      <c r="C123" s="10" t="n">
        <v>80000</v>
      </c>
      <c r="D123" s="10" t="n">
        <f aca="false">E123-C123</f>
        <v>336500</v>
      </c>
      <c r="E123" s="10" t="n">
        <v>416500</v>
      </c>
    </row>
    <row r="124" customFormat="false" ht="15" hidden="false" customHeight="true" outlineLevel="0" collapsed="false">
      <c r="A124" s="6" t="s">
        <v>57</v>
      </c>
      <c r="B124" s="6"/>
      <c r="C124" s="7" t="n">
        <f aca="false">SUM(C106:C123)</f>
        <v>5769500</v>
      </c>
      <c r="D124" s="7" t="n">
        <f aca="false">E124-C124</f>
        <v>1927500</v>
      </c>
      <c r="E124" s="7" t="n">
        <f aca="false">SUM(E106:E123)</f>
        <v>7697000</v>
      </c>
    </row>
    <row r="125" customFormat="false" ht="15" hidden="false" customHeight="true" outlineLevel="0" collapsed="false">
      <c r="A125" s="14"/>
      <c r="B125" s="14"/>
      <c r="C125" s="15"/>
      <c r="D125" s="15"/>
      <c r="E125" s="15"/>
    </row>
    <row r="126" customFormat="false" ht="15" hidden="false" customHeight="true" outlineLevel="0" collapsed="false">
      <c r="A126" s="14"/>
      <c r="B126" s="14"/>
      <c r="C126" s="15"/>
      <c r="D126" s="15"/>
      <c r="E126" s="15"/>
    </row>
    <row r="127" customFormat="false" ht="15" hidden="false" customHeight="true" outlineLevel="0" collapsed="false">
      <c r="A127" s="14"/>
      <c r="B127" s="14"/>
      <c r="C127" s="15"/>
      <c r="D127" s="15"/>
      <c r="E127" s="15"/>
    </row>
    <row r="128" customFormat="false" ht="15" hidden="false" customHeight="true" outlineLevel="0" collapsed="false">
      <c r="A128" s="14"/>
      <c r="B128" s="14"/>
      <c r="C128" s="15"/>
      <c r="D128" s="15"/>
      <c r="E128" s="15"/>
    </row>
    <row r="129" customFormat="false" ht="15" hidden="false" customHeight="true" outlineLevel="0" collapsed="false">
      <c r="A129" s="14"/>
      <c r="B129" s="14"/>
      <c r="C129" s="15"/>
      <c r="D129" s="15"/>
      <c r="E129" s="15"/>
    </row>
    <row r="130" customFormat="false" ht="17.25" hidden="false" customHeight="true" outlineLevel="0" collapsed="false">
      <c r="A130" s="14"/>
      <c r="B130" s="3" t="s">
        <v>0</v>
      </c>
      <c r="C130" s="15"/>
      <c r="D130" s="15"/>
      <c r="E130" s="15"/>
    </row>
    <row r="131" customFormat="false" ht="15" hidden="false" customHeight="true" outlineLevel="0" collapsed="false">
      <c r="A131" s="14"/>
      <c r="B131" s="14"/>
      <c r="C131" s="15"/>
      <c r="D131" s="15"/>
      <c r="E131" s="15"/>
    </row>
    <row r="132" customFormat="false" ht="18" hidden="false" customHeight="true" outlineLevel="0" collapsed="false">
      <c r="A132" s="5" t="s">
        <v>318</v>
      </c>
      <c r="B132" s="20"/>
      <c r="C132" s="5"/>
      <c r="D132" s="5"/>
      <c r="E132" s="5"/>
    </row>
    <row r="133" customFormat="false" ht="15" hidden="false" customHeight="true" outlineLevel="0" collapsed="false">
      <c r="A133" s="18"/>
      <c r="B133" s="22"/>
      <c r="C133" s="18"/>
      <c r="D133" s="18"/>
      <c r="E133" s="18"/>
    </row>
    <row r="134" customFormat="false" ht="15" hidden="false" customHeight="true" outlineLevel="0" collapsed="false">
      <c r="A134" s="33" t="s">
        <v>2</v>
      </c>
      <c r="B134" s="33" t="s">
        <v>3</v>
      </c>
      <c r="C134" s="19" t="s">
        <v>4</v>
      </c>
      <c r="D134" s="33" t="s">
        <v>5</v>
      </c>
      <c r="E134" s="19" t="s">
        <v>6</v>
      </c>
    </row>
    <row r="135" customFormat="false" ht="15" hidden="false" customHeight="true" outlineLevel="0" collapsed="false">
      <c r="A135" s="8" t="s">
        <v>7</v>
      </c>
      <c r="B135" s="9" t="s">
        <v>319</v>
      </c>
      <c r="C135" s="10" t="n">
        <f aca="false">80000+336500</f>
        <v>416500</v>
      </c>
      <c r="D135" s="10" t="n">
        <f aca="false">E135-C135</f>
        <v>0</v>
      </c>
      <c r="E135" s="10" t="n">
        <v>416500</v>
      </c>
    </row>
    <row r="136" customFormat="false" ht="15" hidden="false" customHeight="true" outlineLevel="0" collapsed="false">
      <c r="A136" s="8" t="s">
        <v>9</v>
      </c>
      <c r="B136" s="9" t="s">
        <v>320</v>
      </c>
      <c r="C136" s="10" t="n">
        <f aca="false">120000+100000+130000+66500</f>
        <v>416500</v>
      </c>
      <c r="D136" s="10" t="n">
        <f aca="false">E136-C136</f>
        <v>0</v>
      </c>
      <c r="E136" s="10" t="n">
        <v>416500</v>
      </c>
    </row>
    <row r="137" customFormat="false" ht="15" hidden="false" customHeight="true" outlineLevel="0" collapsed="false">
      <c r="A137" s="8" t="s">
        <v>11</v>
      </c>
      <c r="B137" s="9" t="s">
        <v>321</v>
      </c>
      <c r="C137" s="10" t="n">
        <f aca="false">360000+56500</f>
        <v>416500</v>
      </c>
      <c r="D137" s="10" t="n">
        <f aca="false">E137-C137</f>
        <v>0</v>
      </c>
      <c r="E137" s="10" t="n">
        <v>416500</v>
      </c>
    </row>
    <row r="138" customFormat="false" ht="15" hidden="false" customHeight="true" outlineLevel="0" collapsed="false">
      <c r="A138" s="8" t="s">
        <v>13</v>
      </c>
      <c r="B138" s="9" t="s">
        <v>322</v>
      </c>
      <c r="C138" s="10"/>
      <c r="D138" s="10" t="n">
        <f aca="false">E138-C138</f>
        <v>416500</v>
      </c>
      <c r="E138" s="10" t="n">
        <v>416500</v>
      </c>
    </row>
    <row r="139" customFormat="false" ht="15" hidden="false" customHeight="true" outlineLevel="0" collapsed="false">
      <c r="A139" s="8" t="s">
        <v>15</v>
      </c>
      <c r="B139" s="9" t="s">
        <v>323</v>
      </c>
      <c r="C139" s="10" t="n">
        <f aca="false">20500+300000+96000</f>
        <v>416500</v>
      </c>
      <c r="D139" s="10" t="n">
        <f aca="false">E139-C139</f>
        <v>0</v>
      </c>
      <c r="E139" s="10" t="n">
        <v>416500</v>
      </c>
    </row>
    <row r="140" customFormat="false" ht="15" hidden="false" customHeight="true" outlineLevel="0" collapsed="false">
      <c r="A140" s="8" t="s">
        <v>17</v>
      </c>
      <c r="B140" s="9" t="s">
        <v>324</v>
      </c>
      <c r="C140" s="10" t="n">
        <v>100000</v>
      </c>
      <c r="D140" s="10" t="n">
        <f aca="false">E140-C140</f>
        <v>316500</v>
      </c>
      <c r="E140" s="10" t="n">
        <v>416500</v>
      </c>
    </row>
    <row r="141" customFormat="false" ht="15" hidden="false" customHeight="true" outlineLevel="0" collapsed="false">
      <c r="A141" s="8" t="s">
        <v>19</v>
      </c>
      <c r="B141" s="9" t="s">
        <v>325</v>
      </c>
      <c r="C141" s="10" t="n">
        <f aca="false">215000+201500</f>
        <v>416500</v>
      </c>
      <c r="D141" s="10" t="n">
        <f aca="false">E141-C141</f>
        <v>0</v>
      </c>
      <c r="E141" s="10" t="n">
        <v>416500</v>
      </c>
    </row>
    <row r="142" customFormat="false" ht="15" hidden="false" customHeight="true" outlineLevel="0" collapsed="false">
      <c r="A142" s="8" t="s">
        <v>21</v>
      </c>
      <c r="B142" s="9" t="s">
        <v>326</v>
      </c>
      <c r="C142" s="10" t="n">
        <v>416500</v>
      </c>
      <c r="D142" s="10" t="n">
        <f aca="false">E142-C142</f>
        <v>0</v>
      </c>
      <c r="E142" s="10" t="n">
        <v>416500</v>
      </c>
    </row>
    <row r="143" customFormat="false" ht="15" hidden="false" customHeight="true" outlineLevel="0" collapsed="false">
      <c r="A143" s="8" t="s">
        <v>23</v>
      </c>
      <c r="B143" s="9" t="s">
        <v>327</v>
      </c>
      <c r="C143" s="10" t="n">
        <f aca="false">200000+216500</f>
        <v>416500</v>
      </c>
      <c r="D143" s="10" t="n">
        <f aca="false">E143-C143</f>
        <v>0</v>
      </c>
      <c r="E143" s="10" t="n">
        <v>416500</v>
      </c>
    </row>
    <row r="144" customFormat="false" ht="15" hidden="false" customHeight="true" outlineLevel="0" collapsed="false">
      <c r="A144" s="8" t="s">
        <v>25</v>
      </c>
      <c r="B144" s="9" t="s">
        <v>328</v>
      </c>
      <c r="C144" s="10" t="n">
        <v>417000</v>
      </c>
      <c r="D144" s="10" t="n">
        <f aca="false">E144-C144</f>
        <v>-500</v>
      </c>
      <c r="E144" s="10" t="n">
        <v>416500</v>
      </c>
    </row>
    <row r="145" customFormat="false" ht="15" hidden="false" customHeight="true" outlineLevel="0" collapsed="false">
      <c r="A145" s="8" t="s">
        <v>27</v>
      </c>
      <c r="B145" s="9" t="s">
        <v>329</v>
      </c>
      <c r="C145" s="10" t="n">
        <f aca="false">126500+100000+190000</f>
        <v>416500</v>
      </c>
      <c r="D145" s="10" t="n">
        <f aca="false">E145-C145</f>
        <v>0</v>
      </c>
      <c r="E145" s="10" t="n">
        <v>416500</v>
      </c>
    </row>
    <row r="146" customFormat="false" ht="15" hidden="false" customHeight="true" outlineLevel="0" collapsed="false">
      <c r="A146" s="8" t="s">
        <v>29</v>
      </c>
      <c r="B146" s="9" t="s">
        <v>330</v>
      </c>
      <c r="C146" s="10" t="n">
        <f aca="false">200000+216500</f>
        <v>416500</v>
      </c>
      <c r="D146" s="10" t="n">
        <f aca="false">E146-C146</f>
        <v>0</v>
      </c>
      <c r="E146" s="10" t="n">
        <v>416500</v>
      </c>
    </row>
    <row r="147" customFormat="false" ht="15" hidden="false" customHeight="true" outlineLevel="0" collapsed="false">
      <c r="A147" s="8" t="s">
        <v>31</v>
      </c>
      <c r="B147" s="13" t="s">
        <v>331</v>
      </c>
      <c r="C147" s="10" t="n">
        <f aca="false">200000+216500</f>
        <v>416500</v>
      </c>
      <c r="D147" s="10" t="n">
        <f aca="false">E147-C147</f>
        <v>0</v>
      </c>
      <c r="E147" s="10" t="n">
        <v>416500</v>
      </c>
    </row>
    <row r="148" customFormat="false" ht="15" hidden="false" customHeight="true" outlineLevel="0" collapsed="false">
      <c r="A148" s="8" t="s">
        <v>33</v>
      </c>
      <c r="B148" s="9" t="s">
        <v>332</v>
      </c>
      <c r="C148" s="10" t="n">
        <f aca="false">200000+216500</f>
        <v>416500</v>
      </c>
      <c r="D148" s="10" t="n">
        <f aca="false">E148-C148</f>
        <v>0</v>
      </c>
      <c r="E148" s="10" t="n">
        <v>416500</v>
      </c>
    </row>
    <row r="149" customFormat="false" ht="15" hidden="false" customHeight="true" outlineLevel="0" collapsed="false">
      <c r="A149" s="8" t="s">
        <v>35</v>
      </c>
      <c r="B149" s="9" t="s">
        <v>333</v>
      </c>
      <c r="C149" s="10" t="n">
        <f aca="false">200000+216500</f>
        <v>416500</v>
      </c>
      <c r="D149" s="10" t="n">
        <f aca="false">E149-C149</f>
        <v>0</v>
      </c>
      <c r="E149" s="10" t="n">
        <v>416500</v>
      </c>
    </row>
    <row r="150" customFormat="false" ht="15" hidden="false" customHeight="true" outlineLevel="0" collapsed="false">
      <c r="A150" s="8" t="s">
        <v>37</v>
      </c>
      <c r="B150" s="9" t="s">
        <v>334</v>
      </c>
      <c r="C150" s="10" t="n">
        <f aca="false">200000+100000+116500</f>
        <v>416500</v>
      </c>
      <c r="D150" s="10" t="n">
        <f aca="false">E150-C150</f>
        <v>0</v>
      </c>
      <c r="E150" s="10" t="n">
        <v>416500</v>
      </c>
    </row>
    <row r="151" customFormat="false" ht="15" hidden="false" customHeight="true" outlineLevel="0" collapsed="false">
      <c r="A151" s="8" t="s">
        <v>39</v>
      </c>
      <c r="B151" s="9" t="s">
        <v>335</v>
      </c>
      <c r="C151" s="10" t="n">
        <v>416500</v>
      </c>
      <c r="D151" s="10" t="n">
        <f aca="false">E151-C151</f>
        <v>0</v>
      </c>
      <c r="E151" s="10" t="n">
        <v>416500</v>
      </c>
    </row>
    <row r="152" customFormat="false" ht="15" hidden="false" customHeight="true" outlineLevel="0" collapsed="false">
      <c r="A152" s="8" t="s">
        <v>41</v>
      </c>
      <c r="B152" s="9" t="s">
        <v>336</v>
      </c>
      <c r="C152" s="10" t="n">
        <f aca="false">200000+216500</f>
        <v>416500</v>
      </c>
      <c r="D152" s="10" t="n">
        <f aca="false">E152-C152</f>
        <v>0</v>
      </c>
      <c r="E152" s="10" t="n">
        <v>416500</v>
      </c>
    </row>
    <row r="153" customFormat="false" ht="15" hidden="false" customHeight="true" outlineLevel="0" collapsed="false">
      <c r="A153" s="8" t="s">
        <v>43</v>
      </c>
      <c r="B153" s="34" t="s">
        <v>337</v>
      </c>
      <c r="C153" s="35" t="s">
        <v>241</v>
      </c>
      <c r="D153" s="35" t="n">
        <v>616500</v>
      </c>
      <c r="E153" s="10" t="n">
        <v>616500</v>
      </c>
    </row>
    <row r="154" customFormat="false" ht="15" hidden="false" customHeight="true" outlineLevel="0" collapsed="false">
      <c r="A154" s="8" t="s">
        <v>45</v>
      </c>
      <c r="B154" s="9" t="s">
        <v>338</v>
      </c>
      <c r="C154" s="10" t="n">
        <f aca="false">210500+206000</f>
        <v>416500</v>
      </c>
      <c r="D154" s="10" t="n">
        <f aca="false">E154-C154</f>
        <v>0</v>
      </c>
      <c r="E154" s="10" t="n">
        <v>416500</v>
      </c>
    </row>
    <row r="155" customFormat="false" ht="15" hidden="false" customHeight="true" outlineLevel="0" collapsed="false">
      <c r="A155" s="8" t="s">
        <v>47</v>
      </c>
      <c r="B155" s="34" t="s">
        <v>339</v>
      </c>
      <c r="C155" s="35" t="s">
        <v>241</v>
      </c>
      <c r="D155" s="35" t="n">
        <v>616500</v>
      </c>
      <c r="E155" s="10" t="n">
        <v>616500</v>
      </c>
    </row>
    <row r="156" customFormat="false" ht="15" hidden="false" customHeight="true" outlineLevel="0" collapsed="false">
      <c r="A156" s="8" t="s">
        <v>49</v>
      </c>
      <c r="B156" s="9" t="s">
        <v>340</v>
      </c>
      <c r="C156" s="10" t="n">
        <v>416500</v>
      </c>
      <c r="D156" s="10" t="n">
        <f aca="false">E156-C156</f>
        <v>0</v>
      </c>
      <c r="E156" s="10" t="n">
        <v>416500</v>
      </c>
    </row>
    <row r="157" customFormat="false" ht="15" hidden="false" customHeight="true" outlineLevel="0" collapsed="false">
      <c r="A157" s="8" t="s">
        <v>51</v>
      </c>
      <c r="B157" s="9" t="s">
        <v>341</v>
      </c>
      <c r="C157" s="10" t="n">
        <v>0</v>
      </c>
      <c r="D157" s="10" t="n">
        <f aca="false">E157-C157</f>
        <v>416500</v>
      </c>
      <c r="E157" s="10" t="n">
        <v>416500</v>
      </c>
    </row>
    <row r="158" customFormat="false" ht="15" hidden="false" customHeight="true" outlineLevel="0" collapsed="false">
      <c r="A158" s="8" t="s">
        <v>53</v>
      </c>
      <c r="B158" s="9" t="s">
        <v>342</v>
      </c>
      <c r="C158" s="10" t="n">
        <f aca="false">100000+200000+16500+100000</f>
        <v>416500</v>
      </c>
      <c r="D158" s="10" t="n">
        <f aca="false">E158-C158</f>
        <v>0</v>
      </c>
      <c r="E158" s="10" t="n">
        <v>416500</v>
      </c>
    </row>
    <row r="159" customFormat="false" ht="15" hidden="false" customHeight="true" outlineLevel="0" collapsed="false">
      <c r="A159" s="8" t="s">
        <v>55</v>
      </c>
      <c r="B159" s="9" t="s">
        <v>343</v>
      </c>
      <c r="C159" s="10" t="n">
        <f aca="false">16500+170000+30000+70000+130000</f>
        <v>416500</v>
      </c>
      <c r="D159" s="10" t="n">
        <f aca="false">E159-C159</f>
        <v>0</v>
      </c>
      <c r="E159" s="10" t="n">
        <v>416500</v>
      </c>
    </row>
    <row r="160" customFormat="false" ht="15" hidden="false" customHeight="true" outlineLevel="0" collapsed="false">
      <c r="A160" s="8" t="s">
        <v>141</v>
      </c>
      <c r="B160" s="9" t="s">
        <v>344</v>
      </c>
      <c r="C160" s="10" t="n">
        <f aca="false">416500</f>
        <v>416500</v>
      </c>
      <c r="D160" s="10" t="n">
        <f aca="false">E160-C160</f>
        <v>0</v>
      </c>
      <c r="E160" s="10" t="n">
        <v>416500</v>
      </c>
    </row>
    <row r="161" customFormat="false" ht="15" hidden="false" customHeight="true" outlineLevel="0" collapsed="false">
      <c r="A161" s="8" t="s">
        <v>143</v>
      </c>
      <c r="B161" s="9" t="s">
        <v>345</v>
      </c>
      <c r="C161" s="10" t="n">
        <v>416500</v>
      </c>
      <c r="D161" s="10" t="n">
        <f aca="false">E161-C161</f>
        <v>0</v>
      </c>
      <c r="E161" s="10" t="n">
        <v>416500</v>
      </c>
    </row>
    <row r="162" customFormat="false" ht="15" hidden="false" customHeight="true" outlineLevel="0" collapsed="false">
      <c r="A162" s="8" t="s">
        <v>145</v>
      </c>
      <c r="B162" s="9" t="s">
        <v>346</v>
      </c>
      <c r="C162" s="10" t="n">
        <f aca="false">200000+216500</f>
        <v>416500</v>
      </c>
      <c r="D162" s="10" t="n">
        <f aca="false">E162-C162</f>
        <v>0</v>
      </c>
      <c r="E162" s="10" t="n">
        <v>416500</v>
      </c>
    </row>
    <row r="163" customFormat="false" ht="15" hidden="false" customHeight="true" outlineLevel="0" collapsed="false">
      <c r="A163" s="8" t="s">
        <v>147</v>
      </c>
      <c r="B163" s="9" t="s">
        <v>347</v>
      </c>
      <c r="C163" s="10" t="n">
        <f aca="false">70000+130000+60000+40000+96500+20000</f>
        <v>416500</v>
      </c>
      <c r="D163" s="10" t="n">
        <f aca="false">E163-C163</f>
        <v>0</v>
      </c>
      <c r="E163" s="10" t="n">
        <v>416500</v>
      </c>
    </row>
    <row r="164" customFormat="false" ht="15" hidden="false" customHeight="true" outlineLevel="0" collapsed="false">
      <c r="A164" s="8" t="s">
        <v>149</v>
      </c>
      <c r="B164" s="9" t="s">
        <v>348</v>
      </c>
      <c r="C164" s="10" t="n">
        <f aca="false">216500+75000+125000</f>
        <v>416500</v>
      </c>
      <c r="D164" s="10" t="n">
        <f aca="false">E164-C164</f>
        <v>0</v>
      </c>
      <c r="E164" s="10" t="n">
        <v>416500</v>
      </c>
    </row>
    <row r="165" customFormat="false" ht="15" hidden="false" customHeight="true" outlineLevel="0" collapsed="false">
      <c r="A165" s="8" t="s">
        <v>151</v>
      </c>
      <c r="B165" s="24" t="s">
        <v>349</v>
      </c>
      <c r="C165" s="10" t="n">
        <v>416500</v>
      </c>
      <c r="D165" s="10" t="n">
        <f aca="false">E165-C165</f>
        <v>0</v>
      </c>
      <c r="E165" s="10" t="n">
        <v>416500</v>
      </c>
    </row>
    <row r="166" customFormat="false" ht="15" hidden="false" customHeight="true" outlineLevel="0" collapsed="false">
      <c r="A166" s="8" t="s">
        <v>153</v>
      </c>
      <c r="B166" s="24" t="s">
        <v>350</v>
      </c>
      <c r="C166" s="10" t="n">
        <f aca="false">16500+100000+70000+13500</f>
        <v>200000</v>
      </c>
      <c r="D166" s="10" t="n">
        <f aca="false">E166-C166</f>
        <v>216500</v>
      </c>
      <c r="E166" s="10" t="n">
        <v>416500</v>
      </c>
    </row>
    <row r="167" customFormat="false" ht="15" hidden="false" customHeight="true" outlineLevel="0" collapsed="false">
      <c r="A167" s="31"/>
      <c r="B167" s="25" t="s">
        <v>175</v>
      </c>
      <c r="C167" s="7" t="n">
        <f aca="false">SUM(C135:C166)</f>
        <v>11129500</v>
      </c>
      <c r="D167" s="7" t="n">
        <f aca="false">E167-C167</f>
        <v>2598500</v>
      </c>
      <c r="E167" s="7" t="n">
        <f aca="false">SUM(E135:E166)</f>
        <v>13728000</v>
      </c>
    </row>
    <row r="168" customFormat="false" ht="15" hidden="false" customHeight="true" outlineLevel="0" collapsed="false">
      <c r="A168" s="26"/>
      <c r="B168" s="27"/>
      <c r="C168" s="15"/>
      <c r="D168" s="15"/>
      <c r="E168" s="15"/>
    </row>
    <row r="169" customFormat="false" ht="15" hidden="false" customHeight="true" outlineLevel="0" collapsed="false">
      <c r="A169" s="26"/>
      <c r="B169" s="27"/>
      <c r="C169" s="15"/>
      <c r="D169" s="15"/>
      <c r="E169" s="15"/>
    </row>
    <row r="170" customFormat="false" ht="15" hidden="false" customHeight="true" outlineLevel="0" collapsed="false">
      <c r="A170" s="26"/>
      <c r="B170" s="27"/>
      <c r="C170" s="15"/>
      <c r="D170" s="15"/>
      <c r="E170" s="15"/>
    </row>
    <row r="171" customFormat="false" ht="15" hidden="false" customHeight="true" outlineLevel="0" collapsed="false">
      <c r="A171" s="26"/>
      <c r="B171" s="27"/>
      <c r="C171" s="15"/>
      <c r="D171" s="15"/>
      <c r="E171" s="15"/>
    </row>
    <row r="172" customFormat="false" ht="15" hidden="false" customHeight="true" outlineLevel="0" collapsed="false">
      <c r="A172" s="26"/>
      <c r="B172" s="27"/>
      <c r="C172" s="15"/>
      <c r="D172" s="15"/>
      <c r="E172" s="15"/>
    </row>
    <row r="173" customFormat="false" ht="17.25" hidden="false" customHeight="true" outlineLevel="0" collapsed="false">
      <c r="A173" s="26"/>
      <c r="B173" s="3" t="s">
        <v>0</v>
      </c>
      <c r="C173" s="15"/>
      <c r="D173" s="15"/>
      <c r="E173" s="15"/>
    </row>
    <row r="174" customFormat="false" ht="15" hidden="false" customHeight="true" outlineLevel="0" collapsed="false">
      <c r="A174" s="26"/>
      <c r="B174" s="27"/>
      <c r="C174" s="15"/>
      <c r="D174" s="15"/>
      <c r="E174" s="15"/>
    </row>
    <row r="175" customFormat="false" ht="16.5" hidden="false" customHeight="true" outlineLevel="0" collapsed="false">
      <c r="A175" s="5" t="s">
        <v>351</v>
      </c>
      <c r="B175" s="20"/>
      <c r="C175" s="5"/>
      <c r="D175" s="5"/>
      <c r="E175" s="5"/>
    </row>
    <row r="176" customFormat="false" ht="15" hidden="false" customHeight="true" outlineLevel="0" collapsed="false">
      <c r="A176" s="18"/>
      <c r="B176" s="22"/>
      <c r="C176" s="18"/>
      <c r="D176" s="18"/>
      <c r="E176" s="18"/>
    </row>
    <row r="177" customFormat="false" ht="15" hidden="false" customHeight="true" outlineLevel="0" collapsed="false">
      <c r="A177" s="33" t="s">
        <v>2</v>
      </c>
      <c r="B177" s="33" t="s">
        <v>3</v>
      </c>
      <c r="C177" s="19" t="s">
        <v>4</v>
      </c>
      <c r="D177" s="33" t="s">
        <v>5</v>
      </c>
      <c r="E177" s="19" t="s">
        <v>6</v>
      </c>
    </row>
    <row r="178" customFormat="false" ht="15" hidden="false" customHeight="true" outlineLevel="0" collapsed="false">
      <c r="A178" s="8" t="s">
        <v>7</v>
      </c>
      <c r="B178" s="9" t="s">
        <v>352</v>
      </c>
      <c r="C178" s="10" t="n">
        <f aca="false">44500+372000</f>
        <v>416500</v>
      </c>
      <c r="D178" s="10" t="n">
        <f aca="false">E178-C178</f>
        <v>0</v>
      </c>
      <c r="E178" s="10" t="n">
        <v>416500</v>
      </c>
    </row>
    <row r="179" customFormat="false" ht="15" hidden="false" customHeight="true" outlineLevel="0" collapsed="false">
      <c r="A179" s="8" t="s">
        <v>9</v>
      </c>
      <c r="B179" s="9" t="s">
        <v>353</v>
      </c>
      <c r="C179" s="10" t="n">
        <f aca="false">100000+316500</f>
        <v>416500</v>
      </c>
      <c r="D179" s="10" t="n">
        <f aca="false">E179-C179</f>
        <v>0</v>
      </c>
      <c r="E179" s="10" t="n">
        <v>416500</v>
      </c>
    </row>
    <row r="180" customFormat="false" ht="15" hidden="false" customHeight="true" outlineLevel="0" collapsed="false">
      <c r="A180" s="8" t="s">
        <v>11</v>
      </c>
      <c r="B180" s="9" t="s">
        <v>354</v>
      </c>
      <c r="C180" s="10" t="n">
        <v>416500</v>
      </c>
      <c r="D180" s="10" t="n">
        <f aca="false">E180-C180</f>
        <v>0</v>
      </c>
      <c r="E180" s="10" t="n">
        <v>416500</v>
      </c>
    </row>
    <row r="181" customFormat="false" ht="15" hidden="false" customHeight="true" outlineLevel="0" collapsed="false">
      <c r="A181" s="8" t="s">
        <v>13</v>
      </c>
      <c r="B181" s="9" t="s">
        <v>355</v>
      </c>
      <c r="C181" s="10" t="n">
        <v>416500</v>
      </c>
      <c r="D181" s="10" t="n">
        <f aca="false">E181-C181</f>
        <v>0</v>
      </c>
      <c r="E181" s="10" t="n">
        <v>416500</v>
      </c>
    </row>
    <row r="182" customFormat="false" ht="15" hidden="false" customHeight="true" outlineLevel="0" collapsed="false">
      <c r="A182" s="8" t="s">
        <v>15</v>
      </c>
      <c r="B182" s="9" t="s">
        <v>356</v>
      </c>
      <c r="C182" s="10" t="n">
        <f aca="false">200000+216500</f>
        <v>416500</v>
      </c>
      <c r="D182" s="10" t="n">
        <f aca="false">E182-C182</f>
        <v>0</v>
      </c>
      <c r="E182" s="10" t="n">
        <v>416500</v>
      </c>
    </row>
    <row r="183" customFormat="false" ht="15" hidden="false" customHeight="true" outlineLevel="0" collapsed="false">
      <c r="A183" s="8" t="s">
        <v>17</v>
      </c>
      <c r="B183" s="9" t="s">
        <v>357</v>
      </c>
      <c r="C183" s="10" t="n">
        <f aca="false">100000+200000+116500</f>
        <v>416500</v>
      </c>
      <c r="D183" s="10" t="n">
        <f aca="false">E183-C183</f>
        <v>0</v>
      </c>
      <c r="E183" s="10" t="n">
        <v>416500</v>
      </c>
    </row>
    <row r="184" customFormat="false" ht="15" hidden="false" customHeight="true" outlineLevel="0" collapsed="false">
      <c r="A184" s="8" t="s">
        <v>19</v>
      </c>
      <c r="B184" s="9" t="s">
        <v>358</v>
      </c>
      <c r="C184" s="10" t="n">
        <v>416500</v>
      </c>
      <c r="D184" s="10" t="n">
        <f aca="false">E184-C184</f>
        <v>0</v>
      </c>
      <c r="E184" s="10" t="n">
        <v>416500</v>
      </c>
    </row>
    <row r="185" customFormat="false" ht="15" hidden="false" customHeight="true" outlineLevel="0" collapsed="false">
      <c r="A185" s="8" t="s">
        <v>21</v>
      </c>
      <c r="B185" s="9" t="s">
        <v>359</v>
      </c>
      <c r="C185" s="10" t="n">
        <v>300000</v>
      </c>
      <c r="D185" s="10" t="n">
        <f aca="false">E185-C185</f>
        <v>116500</v>
      </c>
      <c r="E185" s="10" t="n">
        <v>416500</v>
      </c>
    </row>
    <row r="186" customFormat="false" ht="15" hidden="false" customHeight="true" outlineLevel="0" collapsed="false">
      <c r="A186" s="8" t="s">
        <v>23</v>
      </c>
      <c r="B186" s="9" t="s">
        <v>360</v>
      </c>
      <c r="C186" s="10" t="n">
        <f aca="false">16500+30000+55000+100000</f>
        <v>201500</v>
      </c>
      <c r="D186" s="10" t="n">
        <f aca="false">E186-C186</f>
        <v>215000</v>
      </c>
      <c r="E186" s="10" t="n">
        <v>416500</v>
      </c>
    </row>
    <row r="187" customFormat="false" ht="15" hidden="false" customHeight="true" outlineLevel="0" collapsed="false">
      <c r="A187" s="8" t="s">
        <v>25</v>
      </c>
      <c r="B187" s="9" t="s">
        <v>361</v>
      </c>
      <c r="C187" s="10" t="n">
        <v>416500</v>
      </c>
      <c r="D187" s="10" t="n">
        <f aca="false">E187-C187</f>
        <v>0</v>
      </c>
      <c r="E187" s="10" t="n">
        <v>416500</v>
      </c>
    </row>
    <row r="188" customFormat="false" ht="15" hidden="false" customHeight="true" outlineLevel="0" collapsed="false">
      <c r="A188" s="8" t="s">
        <v>27</v>
      </c>
      <c r="B188" s="9" t="s">
        <v>362</v>
      </c>
      <c r="C188" s="10" t="n">
        <v>416500</v>
      </c>
      <c r="D188" s="10" t="n">
        <f aca="false">E188-C188</f>
        <v>0</v>
      </c>
      <c r="E188" s="10" t="n">
        <v>416500</v>
      </c>
    </row>
    <row r="189" customFormat="false" ht="15" hidden="false" customHeight="true" outlineLevel="0" collapsed="false">
      <c r="A189" s="8" t="s">
        <v>29</v>
      </c>
      <c r="B189" s="9" t="s">
        <v>363</v>
      </c>
      <c r="C189" s="10" t="n">
        <f aca="false">60000+40000+50000</f>
        <v>150000</v>
      </c>
      <c r="D189" s="10" t="n">
        <f aca="false">E189-C189</f>
        <v>266500</v>
      </c>
      <c r="E189" s="10" t="n">
        <v>416500</v>
      </c>
    </row>
    <row r="190" customFormat="false" ht="15" hidden="false" customHeight="true" outlineLevel="0" collapsed="false">
      <c r="A190" s="8" t="s">
        <v>31</v>
      </c>
      <c r="B190" s="13" t="s">
        <v>364</v>
      </c>
      <c r="C190" s="10" t="n">
        <f aca="false">208000+208500</f>
        <v>416500</v>
      </c>
      <c r="D190" s="10" t="n">
        <f aca="false">E190-C190</f>
        <v>0</v>
      </c>
      <c r="E190" s="10" t="n">
        <v>416500</v>
      </c>
    </row>
    <row r="191" customFormat="false" ht="15" hidden="false" customHeight="true" outlineLevel="0" collapsed="false">
      <c r="A191" s="8" t="s">
        <v>33</v>
      </c>
      <c r="B191" s="9" t="s">
        <v>365</v>
      </c>
      <c r="C191" s="10" t="n">
        <f aca="false">200000+216500</f>
        <v>416500</v>
      </c>
      <c r="D191" s="10" t="n">
        <f aca="false">E191-C191</f>
        <v>0</v>
      </c>
      <c r="E191" s="10" t="n">
        <v>416500</v>
      </c>
    </row>
    <row r="192" customFormat="false" ht="15" hidden="false" customHeight="true" outlineLevel="0" collapsed="false">
      <c r="A192" s="8" t="s">
        <v>35</v>
      </c>
      <c r="B192" s="9" t="s">
        <v>366</v>
      </c>
      <c r="C192" s="10" t="n">
        <f aca="false">300000+115000+1500</f>
        <v>416500</v>
      </c>
      <c r="D192" s="10" t="n">
        <f aca="false">E192-C192</f>
        <v>0</v>
      </c>
      <c r="E192" s="10" t="n">
        <v>416500</v>
      </c>
    </row>
    <row r="193" customFormat="false" ht="15" hidden="false" customHeight="true" outlineLevel="0" collapsed="false">
      <c r="A193" s="8" t="s">
        <v>37</v>
      </c>
      <c r="B193" s="9" t="s">
        <v>367</v>
      </c>
      <c r="C193" s="10" t="n">
        <f aca="false">200000+216500</f>
        <v>416500</v>
      </c>
      <c r="D193" s="10" t="n">
        <f aca="false">E193-C193</f>
        <v>0</v>
      </c>
      <c r="E193" s="10" t="n">
        <v>416500</v>
      </c>
    </row>
    <row r="194" customFormat="false" ht="15" hidden="false" customHeight="true" outlineLevel="0" collapsed="false">
      <c r="A194" s="8" t="s">
        <v>39</v>
      </c>
      <c r="B194" s="9" t="s">
        <v>368</v>
      </c>
      <c r="C194" s="10" t="n">
        <v>416500</v>
      </c>
      <c r="D194" s="10" t="n">
        <f aca="false">E194-C194</f>
        <v>0</v>
      </c>
      <c r="E194" s="10" t="n">
        <v>416500</v>
      </c>
    </row>
    <row r="195" customFormat="false" ht="15" hidden="false" customHeight="true" outlineLevel="0" collapsed="false">
      <c r="A195" s="8" t="s">
        <v>41</v>
      </c>
      <c r="B195" s="9" t="s">
        <v>369</v>
      </c>
      <c r="C195" s="10" t="n">
        <v>416500</v>
      </c>
      <c r="D195" s="10" t="n">
        <f aca="false">E195-C195</f>
        <v>0</v>
      </c>
      <c r="E195" s="10" t="n">
        <v>416500</v>
      </c>
    </row>
    <row r="196" customFormat="false" ht="15" hidden="false" customHeight="true" outlineLevel="0" collapsed="false">
      <c r="A196" s="8" t="s">
        <v>43</v>
      </c>
      <c r="B196" s="9" t="s">
        <v>370</v>
      </c>
      <c r="C196" s="10" t="n">
        <f aca="false">216500+200000</f>
        <v>416500</v>
      </c>
      <c r="D196" s="10" t="n">
        <f aca="false">E196-C196</f>
        <v>0</v>
      </c>
      <c r="E196" s="10" t="n">
        <v>416500</v>
      </c>
    </row>
    <row r="197" customFormat="false" ht="15" hidden="false" customHeight="true" outlineLevel="0" collapsed="false">
      <c r="A197" s="8" t="s">
        <v>45</v>
      </c>
      <c r="B197" s="9" t="s">
        <v>371</v>
      </c>
      <c r="C197" s="10" t="n">
        <f aca="false">106500+20000+85000+150000+25000+30000</f>
        <v>416500</v>
      </c>
      <c r="D197" s="10" t="n">
        <f aca="false">E197-C197</f>
        <v>0</v>
      </c>
      <c r="E197" s="10" t="n">
        <v>416500</v>
      </c>
    </row>
    <row r="198" customFormat="false" ht="15" hidden="false" customHeight="true" outlineLevel="0" collapsed="false">
      <c r="A198" s="8" t="s">
        <v>47</v>
      </c>
      <c r="B198" s="9" t="s">
        <v>372</v>
      </c>
      <c r="C198" s="10" t="n">
        <v>416500</v>
      </c>
      <c r="D198" s="10" t="n">
        <f aca="false">E198-C198</f>
        <v>0</v>
      </c>
      <c r="E198" s="10" t="n">
        <v>416500</v>
      </c>
    </row>
    <row r="199" customFormat="false" ht="15" hidden="false" customHeight="true" outlineLevel="0" collapsed="false">
      <c r="A199" s="8" t="s">
        <v>49</v>
      </c>
      <c r="B199" s="9" t="s">
        <v>373</v>
      </c>
      <c r="C199" s="10" t="n">
        <f aca="false">50000+50000+100000+216500</f>
        <v>416500</v>
      </c>
      <c r="D199" s="10" t="n">
        <f aca="false">E199-C199</f>
        <v>0</v>
      </c>
      <c r="E199" s="10" t="n">
        <v>416500</v>
      </c>
    </row>
    <row r="200" customFormat="false" ht="15" hidden="false" customHeight="true" outlineLevel="0" collapsed="false">
      <c r="A200" s="8" t="s">
        <v>51</v>
      </c>
      <c r="B200" s="9" t="s">
        <v>374</v>
      </c>
      <c r="C200" s="10" t="n">
        <f aca="false">200000+130000+51500+35000</f>
        <v>416500</v>
      </c>
      <c r="D200" s="10" t="n">
        <f aca="false">E200-C200</f>
        <v>0</v>
      </c>
      <c r="E200" s="10" t="n">
        <v>416500</v>
      </c>
    </row>
    <row r="201" customFormat="false" ht="15" hidden="false" customHeight="true" outlineLevel="0" collapsed="false">
      <c r="A201" s="8" t="s">
        <v>53</v>
      </c>
      <c r="B201" s="9" t="s">
        <v>375</v>
      </c>
      <c r="C201" s="10" t="n">
        <v>416500</v>
      </c>
      <c r="D201" s="10" t="n">
        <f aca="false">E201-C201</f>
        <v>0</v>
      </c>
      <c r="E201" s="10" t="n">
        <v>416500</v>
      </c>
    </row>
    <row r="202" customFormat="false" ht="15" hidden="false" customHeight="true" outlineLevel="0" collapsed="false">
      <c r="A202" s="8" t="s">
        <v>55</v>
      </c>
      <c r="B202" s="9" t="s">
        <v>376</v>
      </c>
      <c r="C202" s="10" t="n">
        <f aca="false">25000</f>
        <v>25000</v>
      </c>
      <c r="D202" s="10" t="n">
        <f aca="false">E202-C202</f>
        <v>391500</v>
      </c>
      <c r="E202" s="10" t="n">
        <v>416500</v>
      </c>
    </row>
    <row r="203" customFormat="false" ht="15" hidden="false" customHeight="true" outlineLevel="0" collapsed="false">
      <c r="A203" s="8" t="s">
        <v>141</v>
      </c>
      <c r="B203" s="9" t="s">
        <v>377</v>
      </c>
      <c r="C203" s="10" t="n">
        <v>416500</v>
      </c>
      <c r="D203" s="10" t="n">
        <f aca="false">E203-C203</f>
        <v>0</v>
      </c>
      <c r="E203" s="10" t="n">
        <v>416500</v>
      </c>
    </row>
    <row r="204" customFormat="false" ht="15" hidden="false" customHeight="true" outlineLevel="0" collapsed="false">
      <c r="A204" s="8" t="s">
        <v>143</v>
      </c>
      <c r="B204" s="9" t="s">
        <v>378</v>
      </c>
      <c r="C204" s="10" t="n">
        <f aca="false">250000+166500</f>
        <v>416500</v>
      </c>
      <c r="D204" s="10" t="n">
        <f aca="false">E204-C204</f>
        <v>0</v>
      </c>
      <c r="E204" s="10" t="n">
        <v>416500</v>
      </c>
    </row>
    <row r="205" customFormat="false" ht="15" hidden="false" customHeight="true" outlineLevel="0" collapsed="false">
      <c r="A205" s="8" t="s">
        <v>145</v>
      </c>
      <c r="B205" s="9" t="s">
        <v>379</v>
      </c>
      <c r="C205" s="10" t="n">
        <f aca="false">120000+80000+216500</f>
        <v>416500</v>
      </c>
      <c r="D205" s="10" t="n">
        <f aca="false">E205-C205</f>
        <v>0</v>
      </c>
      <c r="E205" s="10" t="n">
        <v>416500</v>
      </c>
    </row>
    <row r="206" customFormat="false" ht="15" hidden="false" customHeight="true" outlineLevel="0" collapsed="false">
      <c r="A206" s="8" t="s">
        <v>147</v>
      </c>
      <c r="B206" s="9" t="s">
        <v>380</v>
      </c>
      <c r="C206" s="10" t="n">
        <f aca="false">100000+316500</f>
        <v>416500</v>
      </c>
      <c r="D206" s="10" t="n">
        <f aca="false">E206-C206</f>
        <v>0</v>
      </c>
      <c r="E206" s="10" t="n">
        <v>416500</v>
      </c>
    </row>
    <row r="207" customFormat="false" ht="15" hidden="false" customHeight="true" outlineLevel="0" collapsed="false">
      <c r="A207" s="8" t="s">
        <v>149</v>
      </c>
      <c r="B207" s="9" t="s">
        <v>381</v>
      </c>
      <c r="C207" s="10" t="n">
        <f aca="false">250000+166500</f>
        <v>416500</v>
      </c>
      <c r="D207" s="10" t="n">
        <f aca="false">E207-C207</f>
        <v>0</v>
      </c>
      <c r="E207" s="10" t="n">
        <v>416500</v>
      </c>
    </row>
    <row r="208" customFormat="false" ht="15" hidden="false" customHeight="true" outlineLevel="0" collapsed="false">
      <c r="A208" s="8" t="s">
        <v>151</v>
      </c>
      <c r="B208" s="9" t="s">
        <v>382</v>
      </c>
      <c r="C208" s="10" t="n">
        <f aca="false">16500+150000+200000+50000</f>
        <v>416500</v>
      </c>
      <c r="D208" s="10" t="n">
        <f aca="false">E208-C208</f>
        <v>0</v>
      </c>
      <c r="E208" s="10" t="n">
        <v>416500</v>
      </c>
    </row>
    <row r="209" customFormat="false" ht="15" hidden="false" customHeight="true" outlineLevel="0" collapsed="false">
      <c r="A209" s="8" t="s">
        <v>153</v>
      </c>
      <c r="B209" s="9" t="s">
        <v>383</v>
      </c>
      <c r="C209" s="10" t="n">
        <f aca="false">216500+200000</f>
        <v>416500</v>
      </c>
      <c r="D209" s="10" t="n">
        <f aca="false">E209-C209</f>
        <v>0</v>
      </c>
      <c r="E209" s="10" t="n">
        <v>416500</v>
      </c>
    </row>
    <row r="210" customFormat="false" ht="15" hidden="false" customHeight="true" outlineLevel="0" collapsed="false">
      <c r="A210" s="8" t="s">
        <v>155</v>
      </c>
      <c r="B210" s="9" t="s">
        <v>384</v>
      </c>
      <c r="C210" s="10" t="n">
        <f aca="false">100000+50000+180000+86500</f>
        <v>416500</v>
      </c>
      <c r="D210" s="10" t="n">
        <f aca="false">E210-C210</f>
        <v>0</v>
      </c>
      <c r="E210" s="10" t="n">
        <v>416500</v>
      </c>
    </row>
    <row r="211" customFormat="false" ht="15" hidden="false" customHeight="true" outlineLevel="0" collapsed="false">
      <c r="A211" s="8" t="s">
        <v>157</v>
      </c>
      <c r="B211" s="9" t="s">
        <v>385</v>
      </c>
      <c r="C211" s="10" t="n">
        <f aca="false">70000+347000</f>
        <v>417000</v>
      </c>
      <c r="D211" s="10" t="n">
        <f aca="false">E211-C211</f>
        <v>-500</v>
      </c>
      <c r="E211" s="10" t="n">
        <v>416500</v>
      </c>
    </row>
    <row r="212" customFormat="false" ht="15" hidden="false" customHeight="true" outlineLevel="0" collapsed="false">
      <c r="A212" s="8" t="s">
        <v>159</v>
      </c>
      <c r="B212" s="9" t="s">
        <v>386</v>
      </c>
      <c r="C212" s="10" t="n">
        <v>416500</v>
      </c>
      <c r="D212" s="10" t="n">
        <f aca="false">E212-C212</f>
        <v>0</v>
      </c>
      <c r="E212" s="10" t="n">
        <v>416500</v>
      </c>
    </row>
    <row r="213" customFormat="false" ht="15" hidden="false" customHeight="true" outlineLevel="0" collapsed="false">
      <c r="A213" s="8" t="s">
        <v>161</v>
      </c>
      <c r="B213" s="9" t="s">
        <v>387</v>
      </c>
      <c r="C213" s="10" t="n">
        <v>200000</v>
      </c>
      <c r="D213" s="10" t="n">
        <f aca="false">E213-C213</f>
        <v>216500</v>
      </c>
      <c r="E213" s="10" t="n">
        <v>416500</v>
      </c>
    </row>
    <row r="214" customFormat="false" ht="15" hidden="false" customHeight="true" outlineLevel="0" collapsed="false">
      <c r="A214" s="8" t="s">
        <v>163</v>
      </c>
      <c r="B214" s="9" t="s">
        <v>388</v>
      </c>
      <c r="C214" s="10" t="n">
        <f aca="false">130000+170000+116500</f>
        <v>416500</v>
      </c>
      <c r="D214" s="10" t="n">
        <f aca="false">E214-C214</f>
        <v>0</v>
      </c>
      <c r="E214" s="10" t="n">
        <v>416500</v>
      </c>
    </row>
    <row r="215" customFormat="false" ht="15" hidden="false" customHeight="true" outlineLevel="0" collapsed="false">
      <c r="A215" s="8" t="s">
        <v>165</v>
      </c>
      <c r="B215" s="9" t="s">
        <v>389</v>
      </c>
      <c r="C215" s="10" t="n">
        <f aca="false">200000+216500</f>
        <v>416500</v>
      </c>
      <c r="D215" s="10" t="n">
        <f aca="false">E215-C215</f>
        <v>0</v>
      </c>
      <c r="E215" s="10" t="n">
        <v>416500</v>
      </c>
    </row>
    <row r="216" customFormat="false" ht="15" hidden="false" customHeight="true" outlineLevel="0" collapsed="false">
      <c r="A216" s="8" t="s">
        <v>167</v>
      </c>
      <c r="B216" s="9" t="s">
        <v>390</v>
      </c>
      <c r="C216" s="10" t="n">
        <f aca="false">5000+200000+60000+151500</f>
        <v>416500</v>
      </c>
      <c r="D216" s="10" t="n">
        <f aca="false">E216-C216</f>
        <v>0</v>
      </c>
      <c r="E216" s="10" t="n">
        <v>416500</v>
      </c>
    </row>
    <row r="217" customFormat="false" ht="15" hidden="false" customHeight="true" outlineLevel="0" collapsed="false">
      <c r="A217" s="8" t="s">
        <v>169</v>
      </c>
      <c r="B217" s="9" t="s">
        <v>391</v>
      </c>
      <c r="C217" s="10" t="n">
        <f aca="false">250000+166500</f>
        <v>416500</v>
      </c>
      <c r="D217" s="10" t="n">
        <f aca="false">E217-C217</f>
        <v>0</v>
      </c>
      <c r="E217" s="10" t="n">
        <v>416500</v>
      </c>
    </row>
    <row r="218" customFormat="false" ht="15" hidden="false" customHeight="true" outlineLevel="0" collapsed="false">
      <c r="A218" s="8" t="s">
        <v>171</v>
      </c>
      <c r="B218" s="9" t="s">
        <v>392</v>
      </c>
      <c r="C218" s="10" t="n">
        <f aca="false">350000+60000</f>
        <v>410000</v>
      </c>
      <c r="D218" s="10" t="n">
        <f aca="false">E218-C218</f>
        <v>6500</v>
      </c>
      <c r="E218" s="10" t="n">
        <v>416500</v>
      </c>
    </row>
    <row r="219" customFormat="false" ht="15" hidden="false" customHeight="true" outlineLevel="0" collapsed="false">
      <c r="A219" s="8" t="s">
        <v>173</v>
      </c>
      <c r="B219" s="9" t="s">
        <v>393</v>
      </c>
      <c r="C219" s="10" t="n">
        <f aca="false">100000+200000+116500</f>
        <v>416500</v>
      </c>
      <c r="D219" s="10" t="n">
        <f aca="false">E219-C219</f>
        <v>0</v>
      </c>
      <c r="E219" s="10" t="n">
        <v>416500</v>
      </c>
    </row>
    <row r="220" customFormat="false" ht="15" hidden="false" customHeight="true" outlineLevel="0" collapsed="false">
      <c r="A220" s="8" t="s">
        <v>394</v>
      </c>
      <c r="B220" s="9" t="s">
        <v>395</v>
      </c>
      <c r="C220" s="10" t="n">
        <f aca="false">130000+286000+500</f>
        <v>416500</v>
      </c>
      <c r="D220" s="10" t="n">
        <f aca="false">E220-C220</f>
        <v>0</v>
      </c>
      <c r="E220" s="10" t="n">
        <v>416500</v>
      </c>
    </row>
    <row r="221" customFormat="false" ht="15" hidden="false" customHeight="true" outlineLevel="0" collapsed="false">
      <c r="A221" s="8" t="s">
        <v>396</v>
      </c>
      <c r="B221" s="9" t="s">
        <v>397</v>
      </c>
      <c r="C221" s="10" t="n">
        <f aca="false">95500+260000+61000</f>
        <v>416500</v>
      </c>
      <c r="D221" s="10" t="n">
        <f aca="false">E221-C221</f>
        <v>0</v>
      </c>
      <c r="E221" s="10" t="n">
        <v>416500</v>
      </c>
    </row>
    <row r="222" customFormat="false" ht="15" hidden="false" customHeight="true" outlineLevel="0" collapsed="false">
      <c r="A222" s="8" t="s">
        <v>398</v>
      </c>
      <c r="B222" s="9" t="s">
        <v>399</v>
      </c>
      <c r="C222" s="10" t="n">
        <f aca="false">140000+80000+120000+76500</f>
        <v>416500</v>
      </c>
      <c r="D222" s="10" t="n">
        <f aca="false">E222-C222</f>
        <v>0</v>
      </c>
      <c r="E222" s="10" t="n">
        <v>416500</v>
      </c>
    </row>
    <row r="223" customFormat="false" ht="15" hidden="false" customHeight="true" outlineLevel="0" collapsed="false">
      <c r="A223" s="8" t="s">
        <v>400</v>
      </c>
      <c r="B223" s="9" t="s">
        <v>401</v>
      </c>
      <c r="C223" s="10" t="n">
        <f aca="false">100000+100000+216500</f>
        <v>416500</v>
      </c>
      <c r="D223" s="10" t="n">
        <f aca="false">E223-C223</f>
        <v>0</v>
      </c>
      <c r="E223" s="10" t="n">
        <v>416500</v>
      </c>
    </row>
    <row r="224" customFormat="false" ht="15" hidden="false" customHeight="true" outlineLevel="0" collapsed="false">
      <c r="A224" s="8" t="s">
        <v>402</v>
      </c>
      <c r="B224" s="9" t="s">
        <v>403</v>
      </c>
      <c r="C224" s="10" t="n">
        <f aca="false">200000+216500</f>
        <v>416500</v>
      </c>
      <c r="D224" s="10" t="n">
        <f aca="false">E224-C224</f>
        <v>0</v>
      </c>
      <c r="E224" s="10" t="n">
        <v>416500</v>
      </c>
    </row>
    <row r="225" customFormat="false" ht="15" hidden="false" customHeight="true" outlineLevel="0" collapsed="false">
      <c r="A225" s="8" t="s">
        <v>404</v>
      </c>
      <c r="B225" s="9" t="s">
        <v>405</v>
      </c>
      <c r="C225" s="10" t="n">
        <v>416500</v>
      </c>
      <c r="D225" s="10" t="n">
        <f aca="false">E225-C225</f>
        <v>0</v>
      </c>
      <c r="E225" s="10" t="n">
        <v>416500</v>
      </c>
    </row>
    <row r="226" customFormat="false" ht="15" hidden="false" customHeight="true" outlineLevel="0" collapsed="false">
      <c r="A226" s="8" t="s">
        <v>406</v>
      </c>
      <c r="B226" s="9" t="s">
        <v>407</v>
      </c>
      <c r="C226" s="10" t="n">
        <f aca="false">270000+146500</f>
        <v>416500</v>
      </c>
      <c r="D226" s="10" t="n">
        <f aca="false">E226-C226</f>
        <v>0</v>
      </c>
      <c r="E226" s="10" t="n">
        <v>416500</v>
      </c>
    </row>
    <row r="227" customFormat="false" ht="15" hidden="false" customHeight="true" outlineLevel="0" collapsed="false">
      <c r="A227" s="8" t="s">
        <v>408</v>
      </c>
      <c r="B227" s="9" t="s">
        <v>409</v>
      </c>
      <c r="C227" s="10" t="n">
        <f aca="false">100000+200000+60000+56000+500</f>
        <v>416500</v>
      </c>
      <c r="D227" s="10" t="n">
        <f aca="false">E227-C227</f>
        <v>0</v>
      </c>
      <c r="E227" s="10" t="n">
        <v>416500</v>
      </c>
    </row>
    <row r="228" customFormat="false" ht="15" hidden="false" customHeight="true" outlineLevel="0" collapsed="false">
      <c r="A228" s="8" t="s">
        <v>410</v>
      </c>
      <c r="B228" s="9" t="s">
        <v>411</v>
      </c>
      <c r="C228" s="10" t="n">
        <v>416500</v>
      </c>
      <c r="D228" s="10" t="n">
        <f aca="false">E228-C228</f>
        <v>0</v>
      </c>
      <c r="E228" s="10" t="n">
        <v>416500</v>
      </c>
    </row>
    <row r="229" customFormat="false" ht="15" hidden="false" customHeight="true" outlineLevel="0" collapsed="false">
      <c r="A229" s="8" t="s">
        <v>412</v>
      </c>
      <c r="B229" s="9" t="s">
        <v>413</v>
      </c>
      <c r="C229" s="10" t="n">
        <f aca="false">100000+150000+166500</f>
        <v>416500</v>
      </c>
      <c r="D229" s="10" t="n">
        <f aca="false">E229-C229</f>
        <v>0</v>
      </c>
      <c r="E229" s="10" t="n">
        <v>416500</v>
      </c>
    </row>
    <row r="230" customFormat="false" ht="15" hidden="false" customHeight="true" outlineLevel="0" collapsed="false">
      <c r="A230" s="8" t="s">
        <v>414</v>
      </c>
      <c r="B230" s="9" t="s">
        <v>415</v>
      </c>
      <c r="C230" s="10" t="n">
        <f aca="false">200000+200000+16500</f>
        <v>416500</v>
      </c>
      <c r="D230" s="10" t="n">
        <f aca="false">E230-C230</f>
        <v>0</v>
      </c>
      <c r="E230" s="10" t="n">
        <v>416500</v>
      </c>
    </row>
    <row r="231" customFormat="false" ht="15" hidden="false" customHeight="true" outlineLevel="0" collapsed="false">
      <c r="A231" s="8" t="s">
        <v>416</v>
      </c>
      <c r="B231" s="9" t="s">
        <v>417</v>
      </c>
      <c r="C231" s="10" t="n">
        <f aca="false">116500+200000+100000</f>
        <v>416500</v>
      </c>
      <c r="D231" s="10" t="n">
        <f aca="false">E231-C231</f>
        <v>0</v>
      </c>
      <c r="E231" s="10" t="n">
        <v>416500</v>
      </c>
    </row>
    <row r="232" customFormat="false" ht="15" hidden="false" customHeight="true" outlineLevel="0" collapsed="false">
      <c r="A232" s="8" t="s">
        <v>418</v>
      </c>
      <c r="B232" s="24" t="s">
        <v>419</v>
      </c>
      <c r="C232" s="10" t="n">
        <f aca="false">170000+130000</f>
        <v>300000</v>
      </c>
      <c r="D232" s="10" t="n">
        <f aca="false">E232-C232</f>
        <v>116500</v>
      </c>
      <c r="E232" s="10" t="n">
        <v>416500</v>
      </c>
    </row>
    <row r="233" customFormat="false" ht="15" hidden="false" customHeight="true" outlineLevel="0" collapsed="false">
      <c r="A233" s="8" t="s">
        <v>420</v>
      </c>
      <c r="B233" s="9" t="s">
        <v>421</v>
      </c>
      <c r="C233" s="10" t="n">
        <f aca="false">80000+40000+70000</f>
        <v>190000</v>
      </c>
      <c r="D233" s="10" t="n">
        <f aca="false">E233-C233</f>
        <v>226500</v>
      </c>
      <c r="E233" s="10" t="n">
        <v>416500</v>
      </c>
    </row>
    <row r="234" customFormat="false" ht="15" hidden="false" customHeight="true" outlineLevel="0" collapsed="false">
      <c r="A234" s="8" t="s">
        <v>422</v>
      </c>
      <c r="B234" s="24" t="s">
        <v>423</v>
      </c>
      <c r="C234" s="10" t="n">
        <v>90000</v>
      </c>
      <c r="D234" s="10" t="n">
        <f aca="false">E234-C234</f>
        <v>326500</v>
      </c>
      <c r="E234" s="10" t="n">
        <v>416500</v>
      </c>
    </row>
    <row r="235" customFormat="false" ht="15" hidden="false" customHeight="true" outlineLevel="0" collapsed="false">
      <c r="A235" s="8"/>
      <c r="B235" s="29" t="s">
        <v>175</v>
      </c>
      <c r="C235" s="7" t="n">
        <f aca="false">SUM(C178:C234)</f>
        <v>21859000</v>
      </c>
      <c r="D235" s="7" t="n">
        <f aca="false">E235-C235</f>
        <v>1881500</v>
      </c>
      <c r="E235" s="7" t="n">
        <f aca="false">SUM(E178:E234)</f>
        <v>23740500</v>
      </c>
    </row>
    <row r="236" customFormat="false" ht="15" hidden="false" customHeight="true" outlineLevel="0" collapsed="false">
      <c r="A236" s="30"/>
      <c r="B236" s="27"/>
      <c r="C236" s="15"/>
      <c r="D236" s="15"/>
      <c r="E236" s="15"/>
    </row>
    <row r="237" customFormat="false" ht="15" hidden="false" customHeight="true" outlineLevel="0" collapsed="false">
      <c r="A237" s="30"/>
      <c r="B237" s="27"/>
      <c r="C237" s="15"/>
      <c r="D237" s="15"/>
      <c r="E237" s="15"/>
    </row>
    <row r="238" customFormat="false" ht="15" hidden="false" customHeight="true" outlineLevel="0" collapsed="false">
      <c r="A238" s="30"/>
      <c r="B238" s="27"/>
      <c r="C238" s="15"/>
      <c r="D238" s="15"/>
      <c r="E238" s="15"/>
    </row>
    <row r="239" customFormat="false" ht="15" hidden="false" customHeight="true" outlineLevel="0" collapsed="false">
      <c r="A239" s="30"/>
      <c r="B239" s="27"/>
      <c r="C239" s="15"/>
      <c r="D239" s="15"/>
      <c r="E239" s="15"/>
    </row>
    <row r="240" customFormat="false" ht="16.5" hidden="false" customHeight="true" outlineLevel="0" collapsed="false">
      <c r="A240" s="30"/>
      <c r="B240" s="3" t="s">
        <v>0</v>
      </c>
      <c r="C240" s="15"/>
      <c r="D240" s="15"/>
      <c r="E240" s="15"/>
    </row>
    <row r="241" customFormat="false" ht="16.5" hidden="false" customHeight="true" outlineLevel="0" collapsed="false">
      <c r="A241" s="30"/>
      <c r="B241" s="3"/>
      <c r="C241" s="15"/>
      <c r="D241" s="15"/>
      <c r="E241" s="15"/>
    </row>
    <row r="242" customFormat="false" ht="17.25" hidden="false" customHeight="true" outlineLevel="0" collapsed="false">
      <c r="A242" s="5" t="s">
        <v>424</v>
      </c>
      <c r="B242" s="20"/>
      <c r="C242" s="5"/>
      <c r="D242" s="5"/>
      <c r="E242" s="5"/>
    </row>
    <row r="243" customFormat="false" ht="15" hidden="false" customHeight="true" outlineLevel="0" collapsed="false">
      <c r="A243" s="18"/>
      <c r="B243" s="22"/>
      <c r="C243" s="18"/>
      <c r="D243" s="18"/>
      <c r="E243" s="18"/>
    </row>
    <row r="244" customFormat="false" ht="15" hidden="false" customHeight="true" outlineLevel="0" collapsed="false">
      <c r="A244" s="33" t="s">
        <v>2</v>
      </c>
      <c r="B244" s="33" t="s">
        <v>3</v>
      </c>
      <c r="C244" s="19" t="s">
        <v>4</v>
      </c>
      <c r="D244" s="33" t="s">
        <v>5</v>
      </c>
      <c r="E244" s="19" t="s">
        <v>6</v>
      </c>
    </row>
    <row r="245" customFormat="false" ht="15" hidden="false" customHeight="true" outlineLevel="0" collapsed="false">
      <c r="A245" s="8" t="s">
        <v>7</v>
      </c>
      <c r="B245" s="9" t="s">
        <v>425</v>
      </c>
      <c r="C245" s="10" t="n">
        <v>416500</v>
      </c>
      <c r="D245" s="10" t="n">
        <f aca="false">E245-C245</f>
        <v>0</v>
      </c>
      <c r="E245" s="10" t="n">
        <v>416500</v>
      </c>
    </row>
    <row r="246" customFormat="false" ht="15" hidden="false" customHeight="true" outlineLevel="0" collapsed="false">
      <c r="A246" s="8" t="s">
        <v>9</v>
      </c>
      <c r="B246" s="9" t="s">
        <v>426</v>
      </c>
      <c r="C246" s="10" t="n">
        <f aca="false">200000+100000+116500</f>
        <v>416500</v>
      </c>
      <c r="D246" s="10" t="n">
        <f aca="false">E246-C246</f>
        <v>0</v>
      </c>
      <c r="E246" s="10" t="n">
        <v>416500</v>
      </c>
    </row>
    <row r="247" customFormat="false" ht="15" hidden="false" customHeight="true" outlineLevel="0" collapsed="false">
      <c r="A247" s="8" t="s">
        <v>11</v>
      </c>
      <c r="B247" s="9" t="s">
        <v>427</v>
      </c>
      <c r="C247" s="10"/>
      <c r="D247" s="10" t="n">
        <f aca="false">E247-C247</f>
        <v>416500</v>
      </c>
      <c r="E247" s="10" t="n">
        <v>416500</v>
      </c>
    </row>
    <row r="248" customFormat="false" ht="15" hidden="false" customHeight="true" outlineLevel="0" collapsed="false">
      <c r="A248" s="8" t="s">
        <v>13</v>
      </c>
      <c r="B248" s="9" t="s">
        <v>428</v>
      </c>
      <c r="C248" s="10" t="n">
        <f aca="false">85000+31500+200000+100000</f>
        <v>416500</v>
      </c>
      <c r="D248" s="10" t="n">
        <f aca="false">E248-C248</f>
        <v>0</v>
      </c>
      <c r="E248" s="10" t="n">
        <v>416500</v>
      </c>
    </row>
    <row r="249" customFormat="false" ht="15" hidden="false" customHeight="true" outlineLevel="0" collapsed="false">
      <c r="A249" s="8" t="s">
        <v>15</v>
      </c>
      <c r="B249" s="9" t="s">
        <v>429</v>
      </c>
      <c r="C249" s="10" t="n">
        <f aca="false">60000+30000</f>
        <v>90000</v>
      </c>
      <c r="D249" s="10" t="n">
        <f aca="false">E249-C249</f>
        <v>326500</v>
      </c>
      <c r="E249" s="10" t="n">
        <v>416500</v>
      </c>
    </row>
    <row r="250" customFormat="false" ht="15" hidden="false" customHeight="true" outlineLevel="0" collapsed="false">
      <c r="A250" s="8" t="s">
        <v>17</v>
      </c>
      <c r="B250" s="9" t="s">
        <v>430</v>
      </c>
      <c r="C250" s="10" t="n">
        <f aca="false">85500+331000</f>
        <v>416500</v>
      </c>
      <c r="D250" s="10" t="n">
        <f aca="false">E250-C250</f>
        <v>0</v>
      </c>
      <c r="E250" s="10" t="n">
        <v>416500</v>
      </c>
    </row>
    <row r="251" customFormat="false" ht="15" hidden="false" customHeight="true" outlineLevel="0" collapsed="false">
      <c r="A251" s="8" t="s">
        <v>19</v>
      </c>
      <c r="B251" s="9" t="s">
        <v>431</v>
      </c>
      <c r="C251" s="10" t="n">
        <v>416500</v>
      </c>
      <c r="D251" s="10" t="n">
        <f aca="false">E251-C251</f>
        <v>0</v>
      </c>
      <c r="E251" s="10" t="n">
        <v>416500</v>
      </c>
    </row>
    <row r="252" customFormat="false" ht="15" hidden="false" customHeight="true" outlineLevel="0" collapsed="false">
      <c r="A252" s="8" t="s">
        <v>21</v>
      </c>
      <c r="B252" s="9" t="s">
        <v>432</v>
      </c>
      <c r="C252" s="10" t="n">
        <f aca="false">100000+116500+200000</f>
        <v>416500</v>
      </c>
      <c r="D252" s="10" t="n">
        <f aca="false">E252-C252</f>
        <v>0</v>
      </c>
      <c r="E252" s="10" t="n">
        <v>416500</v>
      </c>
    </row>
    <row r="253" customFormat="false" ht="15" hidden="false" customHeight="true" outlineLevel="0" collapsed="false">
      <c r="A253" s="8" t="s">
        <v>23</v>
      </c>
      <c r="B253" s="9" t="s">
        <v>433</v>
      </c>
      <c r="C253" s="10" t="n">
        <f aca="false">50000+20000+240000+10000+32000+34500+30000</f>
        <v>416500</v>
      </c>
      <c r="D253" s="10" t="n">
        <f aca="false">E253-C253</f>
        <v>0</v>
      </c>
      <c r="E253" s="10" t="n">
        <v>416500</v>
      </c>
    </row>
    <row r="254" customFormat="false" ht="15" hidden="false" customHeight="true" outlineLevel="0" collapsed="false">
      <c r="A254" s="8" t="s">
        <v>25</v>
      </c>
      <c r="B254" s="9" t="s">
        <v>434</v>
      </c>
      <c r="C254" s="10" t="n">
        <f aca="false">300000+116500</f>
        <v>416500</v>
      </c>
      <c r="D254" s="10" t="n">
        <f aca="false">E254-C254</f>
        <v>0</v>
      </c>
      <c r="E254" s="10" t="n">
        <v>416500</v>
      </c>
    </row>
    <row r="255" customFormat="false" ht="15" hidden="false" customHeight="true" outlineLevel="0" collapsed="false">
      <c r="A255" s="8" t="s">
        <v>27</v>
      </c>
      <c r="B255" s="9" t="s">
        <v>435</v>
      </c>
      <c r="C255" s="10" t="n">
        <v>416500</v>
      </c>
      <c r="D255" s="10" t="n">
        <f aca="false">E255-C255</f>
        <v>0</v>
      </c>
      <c r="E255" s="10" t="n">
        <v>416500</v>
      </c>
    </row>
    <row r="256" customFormat="false" ht="15" hidden="false" customHeight="true" outlineLevel="0" collapsed="false">
      <c r="A256" s="8" t="s">
        <v>29</v>
      </c>
      <c r="B256" s="9" t="s">
        <v>436</v>
      </c>
      <c r="C256" s="10" t="n">
        <v>416500</v>
      </c>
      <c r="D256" s="10" t="n">
        <f aca="false">E256-C256</f>
        <v>0</v>
      </c>
      <c r="E256" s="10" t="n">
        <v>416500</v>
      </c>
    </row>
    <row r="257" customFormat="false" ht="15" hidden="false" customHeight="true" outlineLevel="0" collapsed="false">
      <c r="A257" s="8" t="s">
        <v>31</v>
      </c>
      <c r="B257" s="24" t="s">
        <v>437</v>
      </c>
      <c r="C257" s="10" t="n">
        <v>35000</v>
      </c>
      <c r="D257" s="10" t="n">
        <f aca="false">E257-C257</f>
        <v>381500</v>
      </c>
      <c r="E257" s="10" t="n">
        <v>416500</v>
      </c>
    </row>
    <row r="258" customFormat="false" ht="15" hidden="false" customHeight="true" outlineLevel="0" collapsed="false">
      <c r="A258" s="8" t="s">
        <v>33</v>
      </c>
      <c r="B258" s="24" t="s">
        <v>438</v>
      </c>
      <c r="C258" s="10" t="n">
        <v>416500</v>
      </c>
      <c r="D258" s="10" t="n">
        <f aca="false">E258-C258</f>
        <v>0</v>
      </c>
      <c r="E258" s="10" t="n">
        <v>416500</v>
      </c>
    </row>
    <row r="259" customFormat="false" ht="15" hidden="false" customHeight="true" outlineLevel="0" collapsed="false">
      <c r="A259" s="8" t="s">
        <v>35</v>
      </c>
      <c r="B259" s="24" t="s">
        <v>439</v>
      </c>
      <c r="C259" s="10" t="n">
        <f aca="false">120000+100000+196500</f>
        <v>416500</v>
      </c>
      <c r="D259" s="10" t="n">
        <f aca="false">E259-C259</f>
        <v>0</v>
      </c>
      <c r="E259" s="10" t="n">
        <v>416500</v>
      </c>
    </row>
    <row r="260" customFormat="false" ht="15" hidden="false" customHeight="true" outlineLevel="0" collapsed="false">
      <c r="A260" s="8" t="s">
        <v>37</v>
      </c>
      <c r="B260" s="24" t="s">
        <v>440</v>
      </c>
      <c r="C260" s="10" t="n">
        <f aca="false">131500+200000+85000</f>
        <v>416500</v>
      </c>
      <c r="D260" s="10" t="n">
        <f aca="false">E260-C260</f>
        <v>0</v>
      </c>
      <c r="E260" s="10" t="n">
        <v>416500</v>
      </c>
    </row>
    <row r="261" customFormat="false" ht="15" hidden="false" customHeight="true" outlineLevel="0" collapsed="false">
      <c r="A261" s="8" t="s">
        <v>39</v>
      </c>
      <c r="B261" s="24" t="s">
        <v>441</v>
      </c>
      <c r="C261" s="10" t="n">
        <f aca="false">418500</f>
        <v>418500</v>
      </c>
      <c r="D261" s="10" t="n">
        <f aca="false">E261-C261</f>
        <v>-2000</v>
      </c>
      <c r="E261" s="10" t="n">
        <v>416500</v>
      </c>
    </row>
    <row r="262" customFormat="false" ht="15" hidden="false" customHeight="true" outlineLevel="0" collapsed="false">
      <c r="A262" s="8" t="s">
        <v>41</v>
      </c>
      <c r="B262" s="24" t="s">
        <v>442</v>
      </c>
      <c r="C262" s="10" t="n">
        <f aca="false">400000+16500</f>
        <v>416500</v>
      </c>
      <c r="D262" s="10" t="n">
        <f aca="false">E262-C262</f>
        <v>0</v>
      </c>
      <c r="E262" s="10" t="n">
        <v>416500</v>
      </c>
    </row>
    <row r="263" customFormat="false" ht="15" hidden="false" customHeight="true" outlineLevel="0" collapsed="false">
      <c r="A263" s="8" t="s">
        <v>43</v>
      </c>
      <c r="B263" s="9" t="s">
        <v>443</v>
      </c>
      <c r="C263" s="10" t="n">
        <v>416500</v>
      </c>
      <c r="D263" s="10" t="n">
        <f aca="false">E263-C263</f>
        <v>0</v>
      </c>
      <c r="E263" s="10" t="n">
        <v>416500</v>
      </c>
    </row>
    <row r="264" customFormat="false" ht="15" hidden="false" customHeight="true" outlineLevel="0" collapsed="false">
      <c r="A264" s="31"/>
      <c r="B264" s="25"/>
      <c r="C264" s="7" t="n">
        <f aca="false">SUM(C245:C263)</f>
        <v>6791000</v>
      </c>
      <c r="D264" s="7" t="n">
        <f aca="false">E264-C264</f>
        <v>1122500</v>
      </c>
      <c r="E264" s="7" t="n">
        <f aca="false">SUM(E245:E263)</f>
        <v>7913500</v>
      </c>
    </row>
    <row r="265" customFormat="false" ht="15" hidden="false" customHeight="true" outlineLevel="0" collapsed="false">
      <c r="A265" s="26"/>
      <c r="B265" s="27"/>
      <c r="C265" s="15"/>
      <c r="D265" s="15"/>
      <c r="E265" s="15"/>
    </row>
    <row r="266" customFormat="false" ht="15" hidden="false" customHeight="true" outlineLevel="0" collapsed="false">
      <c r="A266" s="26"/>
      <c r="B266" s="27"/>
      <c r="C266" s="15"/>
      <c r="D266" s="15"/>
      <c r="E266" s="15"/>
    </row>
    <row r="267" customFormat="false" ht="15" hidden="false" customHeight="true" outlineLevel="0" collapsed="false">
      <c r="A267" s="26"/>
      <c r="B267" s="27"/>
      <c r="C267" s="15"/>
      <c r="D267" s="15"/>
      <c r="E267" s="15"/>
    </row>
    <row r="268" customFormat="false" ht="18.75" hidden="false" customHeight="true" outlineLevel="0" collapsed="false">
      <c r="A268" s="26"/>
      <c r="B268" s="3" t="s">
        <v>0</v>
      </c>
      <c r="C268" s="15"/>
      <c r="D268" s="15"/>
      <c r="E268" s="15"/>
    </row>
    <row r="269" customFormat="false" ht="15" hidden="false" customHeight="true" outlineLevel="0" collapsed="false">
      <c r="A269" s="26"/>
      <c r="B269" s="27"/>
      <c r="C269" s="15"/>
      <c r="D269" s="15"/>
      <c r="E269" s="15"/>
    </row>
    <row r="270" customFormat="false" ht="18" hidden="false" customHeight="true" outlineLevel="0" collapsed="false">
      <c r="A270" s="5" t="s">
        <v>444</v>
      </c>
      <c r="B270" s="20"/>
      <c r="C270" s="5"/>
      <c r="D270" s="5"/>
      <c r="E270" s="5"/>
    </row>
    <row r="271" customFormat="false" ht="18" hidden="false" customHeight="true" outlineLevel="0" collapsed="false">
      <c r="A271" s="18"/>
      <c r="B271" s="22"/>
      <c r="C271" s="18"/>
      <c r="D271" s="18"/>
      <c r="E271" s="18"/>
    </row>
    <row r="272" customFormat="false" ht="15" hidden="false" customHeight="true" outlineLevel="0" collapsed="false">
      <c r="A272" s="33" t="s">
        <v>2</v>
      </c>
      <c r="B272" s="33" t="s">
        <v>3</v>
      </c>
      <c r="C272" s="19" t="s">
        <v>4</v>
      </c>
      <c r="D272" s="33" t="s">
        <v>5</v>
      </c>
      <c r="E272" s="19" t="s">
        <v>6</v>
      </c>
    </row>
    <row r="273" customFormat="false" ht="15" hidden="false" customHeight="true" outlineLevel="0" collapsed="false">
      <c r="A273" s="8" t="s">
        <v>7</v>
      </c>
      <c r="B273" s="9" t="s">
        <v>445</v>
      </c>
      <c r="C273" s="10"/>
      <c r="D273" s="10" t="n">
        <f aca="false">E273-C273</f>
        <v>416500</v>
      </c>
      <c r="E273" s="10" t="n">
        <v>416500</v>
      </c>
    </row>
    <row r="274" customFormat="false" ht="15" hidden="false" customHeight="true" outlineLevel="0" collapsed="false">
      <c r="A274" s="8" t="s">
        <v>9</v>
      </c>
      <c r="B274" s="9" t="s">
        <v>446</v>
      </c>
      <c r="C274" s="10" t="n">
        <f aca="false">100000+120000+196500</f>
        <v>416500</v>
      </c>
      <c r="D274" s="10" t="n">
        <f aca="false">E274-C274</f>
        <v>0</v>
      </c>
      <c r="E274" s="10" t="n">
        <v>416500</v>
      </c>
    </row>
    <row r="275" customFormat="false" ht="15" hidden="false" customHeight="true" outlineLevel="0" collapsed="false">
      <c r="A275" s="8" t="s">
        <v>11</v>
      </c>
      <c r="B275" s="9" t="s">
        <v>447</v>
      </c>
      <c r="C275" s="10" t="n">
        <v>416500</v>
      </c>
      <c r="D275" s="10" t="n">
        <f aca="false">E275-C275</f>
        <v>0</v>
      </c>
      <c r="E275" s="10" t="n">
        <v>416500</v>
      </c>
    </row>
    <row r="276" customFormat="false" ht="15" hidden="false" customHeight="true" outlineLevel="0" collapsed="false">
      <c r="A276" s="8" t="s">
        <v>13</v>
      </c>
      <c r="B276" s="9" t="s">
        <v>448</v>
      </c>
      <c r="C276" s="10" t="n">
        <v>416500</v>
      </c>
      <c r="D276" s="10" t="n">
        <f aca="false">E276-C276</f>
        <v>0</v>
      </c>
      <c r="E276" s="10" t="n">
        <v>416500</v>
      </c>
    </row>
    <row r="277" customFormat="false" ht="15" hidden="false" customHeight="true" outlineLevel="0" collapsed="false">
      <c r="A277" s="8" t="s">
        <v>15</v>
      </c>
      <c r="B277" s="9" t="s">
        <v>449</v>
      </c>
      <c r="C277" s="10" t="n">
        <f aca="false">140000+100000+176500</f>
        <v>416500</v>
      </c>
      <c r="D277" s="10" t="n">
        <f aca="false">E277-C277</f>
        <v>0</v>
      </c>
      <c r="E277" s="10" t="n">
        <v>416500</v>
      </c>
    </row>
    <row r="278" customFormat="false" ht="15" hidden="false" customHeight="true" outlineLevel="0" collapsed="false">
      <c r="A278" s="8" t="s">
        <v>17</v>
      </c>
      <c r="B278" s="9" t="s">
        <v>450</v>
      </c>
      <c r="C278" s="10" t="n">
        <v>416500</v>
      </c>
      <c r="D278" s="10" t="n">
        <f aca="false">E278-C278</f>
        <v>0</v>
      </c>
      <c r="E278" s="10" t="n">
        <v>416500</v>
      </c>
    </row>
    <row r="279" customFormat="false" ht="15" hidden="false" customHeight="true" outlineLevel="0" collapsed="false">
      <c r="A279" s="8" t="s">
        <v>19</v>
      </c>
      <c r="B279" s="9" t="s">
        <v>451</v>
      </c>
      <c r="C279" s="10" t="n">
        <v>416500</v>
      </c>
      <c r="D279" s="10" t="n">
        <f aca="false">E279-C279</f>
        <v>0</v>
      </c>
      <c r="E279" s="10" t="n">
        <v>416500</v>
      </c>
    </row>
    <row r="280" customFormat="false" ht="15" hidden="false" customHeight="true" outlineLevel="0" collapsed="false">
      <c r="A280" s="8" t="s">
        <v>21</v>
      </c>
      <c r="B280" s="9" t="s">
        <v>452</v>
      </c>
      <c r="C280" s="10" t="n">
        <f aca="false">103500+200000+113000</f>
        <v>416500</v>
      </c>
      <c r="D280" s="10" t="n">
        <f aca="false">E280-C280</f>
        <v>0</v>
      </c>
      <c r="E280" s="10" t="n">
        <v>416500</v>
      </c>
    </row>
    <row r="281" customFormat="false" ht="15" hidden="false" customHeight="true" outlineLevel="0" collapsed="false">
      <c r="A281" s="8" t="s">
        <v>23</v>
      </c>
      <c r="B281" s="9" t="s">
        <v>453</v>
      </c>
      <c r="C281" s="10" t="n">
        <f aca="false">300000+116500</f>
        <v>416500</v>
      </c>
      <c r="D281" s="10" t="n">
        <f aca="false">E281-C281</f>
        <v>0</v>
      </c>
      <c r="E281" s="10" t="n">
        <v>416500</v>
      </c>
    </row>
    <row r="282" customFormat="false" ht="15" hidden="false" customHeight="true" outlineLevel="0" collapsed="false">
      <c r="A282" s="8" t="s">
        <v>25</v>
      </c>
      <c r="B282" s="9" t="s">
        <v>454</v>
      </c>
      <c r="C282" s="10" t="n">
        <v>416500</v>
      </c>
      <c r="D282" s="10" t="n">
        <f aca="false">E282-C282</f>
        <v>0</v>
      </c>
      <c r="E282" s="10" t="n">
        <v>416500</v>
      </c>
    </row>
    <row r="283" customFormat="false" ht="15" hidden="false" customHeight="true" outlineLevel="0" collapsed="false">
      <c r="A283" s="31"/>
      <c r="B283" s="25" t="s">
        <v>175</v>
      </c>
      <c r="C283" s="7" t="n">
        <f aca="false">SUM(C273:C282)</f>
        <v>3748500</v>
      </c>
      <c r="D283" s="7" t="n">
        <f aca="false">E283-C283</f>
        <v>416500</v>
      </c>
      <c r="E283" s="7" t="n">
        <f aca="false">SUM(E273:E282)</f>
        <v>4165000</v>
      </c>
    </row>
    <row r="284" customFormat="false" ht="15" hidden="false" customHeight="true" outlineLevel="0" collapsed="false">
      <c r="A284" s="26"/>
      <c r="B284" s="27"/>
      <c r="C284" s="15"/>
      <c r="D284" s="15"/>
      <c r="E284" s="15"/>
    </row>
    <row r="285" customFormat="false" ht="15" hidden="false" customHeight="true" outlineLevel="0" collapsed="false"/>
    <row r="286" customFormat="false" ht="15" hidden="false" customHeight="true" outlineLevel="0" collapsed="false"/>
  </sheetData>
  <mergeCells count="4">
    <mergeCell ref="A32:B32"/>
    <mergeCell ref="A70:B70"/>
    <mergeCell ref="A94:B94"/>
    <mergeCell ref="A124:B124"/>
  </mergeCells>
  <printOptions headings="false" gridLines="false" gridLinesSet="true" horizontalCentered="false" verticalCentered="false"/>
  <pageMargins left="0.7875" right="0.7875" top="0.359722222222222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4" activeCellId="0" sqref="F164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7.7"/>
    <col collapsed="false" customWidth="true" hidden="false" outlineLevel="0" max="2" min="2" style="1" width="34.85"/>
    <col collapsed="false" customWidth="true" hidden="false" outlineLevel="0" max="3" min="3" style="1" width="13.28"/>
    <col collapsed="false" customWidth="true" hidden="false" outlineLevel="0" max="4" min="4" style="1" width="12.42"/>
    <col collapsed="false" customWidth="true" hidden="false" outlineLevel="0" max="5" min="5" style="1" width="12.85"/>
    <col collapsed="false" customWidth="true" hidden="false" outlineLevel="0" max="16384" min="16372" style="0" width="11.5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8" hidden="false" customHeight="true" outlineLevel="0" collapsed="false">
      <c r="A3" s="39"/>
      <c r="B3" s="40" t="s">
        <v>0</v>
      </c>
      <c r="C3" s="39"/>
      <c r="D3" s="39"/>
      <c r="E3" s="39"/>
    </row>
    <row r="4" customFormat="false" ht="18" hidden="false" customHeight="true" outlineLevel="0" collapsed="false">
      <c r="A4" s="41"/>
      <c r="B4" s="42"/>
      <c r="C4" s="41"/>
      <c r="D4" s="41"/>
      <c r="E4" s="41"/>
    </row>
    <row r="5" customFormat="false" ht="18" hidden="false" customHeight="true" outlineLevel="0" collapsed="false">
      <c r="A5" s="43" t="s">
        <v>455</v>
      </c>
      <c r="B5" s="43"/>
      <c r="C5" s="43"/>
      <c r="D5" s="43"/>
      <c r="E5" s="43"/>
    </row>
    <row r="6" customFormat="false" ht="18" hidden="false" customHeight="true" outlineLevel="0" collapsed="false">
      <c r="A6" s="44"/>
      <c r="B6" s="44"/>
      <c r="C6" s="44"/>
      <c r="D6" s="44"/>
      <c r="E6" s="44"/>
    </row>
    <row r="7" customFormat="false" ht="15" hidden="false" customHeight="true" outlineLevel="0" collapsed="false">
      <c r="A7" s="45" t="s">
        <v>2</v>
      </c>
      <c r="B7" s="45" t="s">
        <v>3</v>
      </c>
      <c r="C7" s="46" t="s">
        <v>4</v>
      </c>
      <c r="D7" s="45" t="s">
        <v>5</v>
      </c>
      <c r="E7" s="46" t="s">
        <v>6</v>
      </c>
    </row>
    <row r="8" customFormat="false" ht="15" hidden="false" customHeight="true" outlineLevel="0" collapsed="false">
      <c r="A8" s="47" t="s">
        <v>7</v>
      </c>
      <c r="B8" s="13" t="s">
        <v>456</v>
      </c>
      <c r="C8" s="48"/>
      <c r="D8" s="48" t="n">
        <f aca="false">E8-C8</f>
        <v>416500</v>
      </c>
      <c r="E8" s="48" t="n">
        <v>416500</v>
      </c>
    </row>
    <row r="9" customFormat="false" ht="15" hidden="false" customHeight="true" outlineLevel="0" collapsed="false">
      <c r="A9" s="47" t="s">
        <v>9</v>
      </c>
      <c r="B9" s="13" t="s">
        <v>457</v>
      </c>
      <c r="C9" s="48" t="n">
        <f aca="false">100000+316500</f>
        <v>416500</v>
      </c>
      <c r="D9" s="48" t="n">
        <f aca="false">E9-C9</f>
        <v>0</v>
      </c>
      <c r="E9" s="48" t="n">
        <v>416500</v>
      </c>
    </row>
    <row r="10" customFormat="false" ht="15" hidden="false" customHeight="true" outlineLevel="0" collapsed="false">
      <c r="A10" s="47" t="s">
        <v>11</v>
      </c>
      <c r="B10" s="13" t="s">
        <v>458</v>
      </c>
      <c r="C10" s="48" t="n">
        <v>200000</v>
      </c>
      <c r="D10" s="48" t="n">
        <f aca="false">E10-C10</f>
        <v>216500</v>
      </c>
      <c r="E10" s="48" t="n">
        <v>416500</v>
      </c>
    </row>
    <row r="11" customFormat="false" ht="15" hidden="false" customHeight="true" outlineLevel="0" collapsed="false">
      <c r="A11" s="47" t="s">
        <v>13</v>
      </c>
      <c r="B11" s="13" t="s">
        <v>459</v>
      </c>
      <c r="C11" s="48" t="n">
        <v>0</v>
      </c>
      <c r="D11" s="48" t="n">
        <f aca="false">E11-C11</f>
        <v>416500</v>
      </c>
      <c r="E11" s="48" t="n">
        <v>416500</v>
      </c>
    </row>
    <row r="12" customFormat="false" ht="15" hidden="false" customHeight="true" outlineLevel="0" collapsed="false">
      <c r="A12" s="47" t="s">
        <v>15</v>
      </c>
      <c r="B12" s="13" t="s">
        <v>460</v>
      </c>
      <c r="C12" s="48" t="n">
        <f aca="false">50000+100000</f>
        <v>150000</v>
      </c>
      <c r="D12" s="48" t="n">
        <f aca="false">E12-C12</f>
        <v>266500</v>
      </c>
      <c r="E12" s="48" t="n">
        <v>416500</v>
      </c>
    </row>
    <row r="13" customFormat="false" ht="15" hidden="false" customHeight="true" outlineLevel="0" collapsed="false">
      <c r="A13" s="47" t="s">
        <v>17</v>
      </c>
      <c r="B13" s="13" t="s">
        <v>461</v>
      </c>
      <c r="C13" s="48" t="n">
        <v>300000</v>
      </c>
      <c r="D13" s="48" t="n">
        <f aca="false">E13-C13</f>
        <v>116500</v>
      </c>
      <c r="E13" s="48" t="n">
        <v>416500</v>
      </c>
    </row>
    <row r="14" customFormat="false" ht="15" hidden="false" customHeight="true" outlineLevel="0" collapsed="false">
      <c r="A14" s="47" t="s">
        <v>19</v>
      </c>
      <c r="B14" s="13" t="s">
        <v>462</v>
      </c>
      <c r="C14" s="48" t="n">
        <f aca="false">116500+300000</f>
        <v>416500</v>
      </c>
      <c r="D14" s="48" t="n">
        <f aca="false">E14-C14</f>
        <v>0</v>
      </c>
      <c r="E14" s="48" t="n">
        <v>416500</v>
      </c>
    </row>
    <row r="15" customFormat="false" ht="15" hidden="false" customHeight="true" outlineLevel="0" collapsed="false">
      <c r="A15" s="47" t="s">
        <v>21</v>
      </c>
      <c r="B15" s="13" t="s">
        <v>463</v>
      </c>
      <c r="C15" s="48" t="n">
        <f aca="false">48500+52000+30000+90000+50000+40000+100000+6000</f>
        <v>416500</v>
      </c>
      <c r="D15" s="48" t="n">
        <f aca="false">E15-C15</f>
        <v>0</v>
      </c>
      <c r="E15" s="48" t="n">
        <v>416500</v>
      </c>
    </row>
    <row r="16" customFormat="false" ht="15" hidden="false" customHeight="true" outlineLevel="0" collapsed="false">
      <c r="A16" s="47" t="s">
        <v>23</v>
      </c>
      <c r="B16" s="13" t="s">
        <v>464</v>
      </c>
      <c r="C16" s="48" t="n">
        <f aca="false">220000+196500</f>
        <v>416500</v>
      </c>
      <c r="D16" s="48" t="n">
        <f aca="false">E16-C16</f>
        <v>0</v>
      </c>
      <c r="E16" s="48" t="n">
        <v>416500</v>
      </c>
    </row>
    <row r="17" customFormat="false" ht="15" hidden="false" customHeight="true" outlineLevel="0" collapsed="false">
      <c r="A17" s="47" t="s">
        <v>25</v>
      </c>
      <c r="B17" s="13" t="s">
        <v>465</v>
      </c>
      <c r="C17" s="48" t="n">
        <f aca="false">216500+200000</f>
        <v>416500</v>
      </c>
      <c r="D17" s="48" t="n">
        <f aca="false">E17-C17</f>
        <v>0</v>
      </c>
      <c r="E17" s="48" t="n">
        <v>416500</v>
      </c>
    </row>
    <row r="18" customFormat="false" ht="15" hidden="false" customHeight="true" outlineLevel="0" collapsed="false">
      <c r="A18" s="47" t="s">
        <v>27</v>
      </c>
      <c r="B18" s="13" t="s">
        <v>466</v>
      </c>
      <c r="C18" s="48" t="n">
        <f aca="false">100000+50000+50000+100000+116500</f>
        <v>416500</v>
      </c>
      <c r="D18" s="48" t="n">
        <f aca="false">E18-C18</f>
        <v>0</v>
      </c>
      <c r="E18" s="48" t="n">
        <v>416500</v>
      </c>
    </row>
    <row r="19" customFormat="false" ht="15" hidden="false" customHeight="true" outlineLevel="0" collapsed="false">
      <c r="A19" s="47" t="s">
        <v>29</v>
      </c>
      <c r="B19" s="13" t="s">
        <v>467</v>
      </c>
      <c r="C19" s="48" t="n">
        <f aca="false">100000+100000+216500</f>
        <v>416500</v>
      </c>
      <c r="D19" s="48" t="n">
        <f aca="false">E19-C19</f>
        <v>0</v>
      </c>
      <c r="E19" s="48" t="n">
        <v>416500</v>
      </c>
    </row>
    <row r="20" customFormat="false" ht="15" hidden="false" customHeight="true" outlineLevel="0" collapsed="false">
      <c r="A20" s="47" t="s">
        <v>31</v>
      </c>
      <c r="B20" s="13" t="s">
        <v>468</v>
      </c>
      <c r="C20" s="48" t="n">
        <v>216000</v>
      </c>
      <c r="D20" s="48" t="n">
        <f aca="false">E20-C20</f>
        <v>200500</v>
      </c>
      <c r="E20" s="48" t="n">
        <v>416500</v>
      </c>
    </row>
    <row r="21" customFormat="false" ht="15" hidden="false" customHeight="true" outlineLevel="0" collapsed="false">
      <c r="A21" s="47" t="s">
        <v>33</v>
      </c>
      <c r="B21" s="13" t="s">
        <v>469</v>
      </c>
      <c r="C21" s="48"/>
      <c r="D21" s="48" t="n">
        <f aca="false">E21-C21</f>
        <v>416500</v>
      </c>
      <c r="E21" s="48" t="n">
        <v>416500</v>
      </c>
    </row>
    <row r="22" customFormat="false" ht="15" hidden="false" customHeight="true" outlineLevel="0" collapsed="false">
      <c r="A22" s="47" t="s">
        <v>35</v>
      </c>
      <c r="B22" s="13" t="s">
        <v>470</v>
      </c>
      <c r="C22" s="48" t="n">
        <f aca="false">131500+200000</f>
        <v>331500</v>
      </c>
      <c r="D22" s="48" t="n">
        <f aca="false">E22-C22</f>
        <v>85000</v>
      </c>
      <c r="E22" s="48" t="n">
        <v>416500</v>
      </c>
    </row>
    <row r="23" customFormat="false" ht="15" hidden="false" customHeight="true" outlineLevel="0" collapsed="false">
      <c r="A23" s="47" t="s">
        <v>37</v>
      </c>
      <c r="B23" s="13" t="s">
        <v>471</v>
      </c>
      <c r="C23" s="48" t="n">
        <v>70000</v>
      </c>
      <c r="D23" s="48" t="n">
        <f aca="false">E23-C23</f>
        <v>346500</v>
      </c>
      <c r="E23" s="48" t="n">
        <v>416500</v>
      </c>
    </row>
    <row r="24" customFormat="false" ht="15" hidden="false" customHeight="true" outlineLevel="0" collapsed="false">
      <c r="A24" s="47" t="s">
        <v>39</v>
      </c>
      <c r="B24" s="13" t="s">
        <v>472</v>
      </c>
      <c r="C24" s="48"/>
      <c r="D24" s="48" t="n">
        <f aca="false">E24-C24</f>
        <v>416500</v>
      </c>
      <c r="E24" s="48" t="n">
        <v>416500</v>
      </c>
    </row>
    <row r="25" customFormat="false" ht="15" hidden="false" customHeight="true" outlineLevel="0" collapsed="false">
      <c r="A25" s="47" t="s">
        <v>41</v>
      </c>
      <c r="B25" s="13" t="s">
        <v>473</v>
      </c>
      <c r="C25" s="48" t="n">
        <v>416500</v>
      </c>
      <c r="D25" s="48" t="n">
        <f aca="false">E25-C25</f>
        <v>0</v>
      </c>
      <c r="E25" s="48" t="n">
        <v>416500</v>
      </c>
    </row>
    <row r="26" customFormat="false" ht="15" hidden="false" customHeight="true" outlineLevel="0" collapsed="false">
      <c r="A26" s="47" t="s">
        <v>43</v>
      </c>
      <c r="B26" s="13" t="s">
        <v>474</v>
      </c>
      <c r="C26" s="48"/>
      <c r="D26" s="48" t="n">
        <f aca="false">E26-C26</f>
        <v>416500</v>
      </c>
      <c r="E26" s="48" t="n">
        <v>416500</v>
      </c>
    </row>
    <row r="27" customFormat="false" ht="15" hidden="false" customHeight="true" outlineLevel="0" collapsed="false">
      <c r="A27" s="47" t="s">
        <v>45</v>
      </c>
      <c r="B27" s="13" t="s">
        <v>475</v>
      </c>
      <c r="C27" s="48" t="n">
        <v>0</v>
      </c>
      <c r="D27" s="48" t="n">
        <f aca="false">E27-C27</f>
        <v>416500</v>
      </c>
      <c r="E27" s="48" t="n">
        <v>416500</v>
      </c>
    </row>
    <row r="28" customFormat="false" ht="15" hidden="false" customHeight="true" outlineLevel="0" collapsed="false">
      <c r="A28" s="47" t="s">
        <v>47</v>
      </c>
      <c r="B28" s="13" t="s">
        <v>476</v>
      </c>
      <c r="C28" s="48"/>
      <c r="D28" s="48" t="n">
        <f aca="false">E28-C28</f>
        <v>416500</v>
      </c>
      <c r="E28" s="48" t="n">
        <v>416500</v>
      </c>
    </row>
    <row r="29" customFormat="false" ht="15" hidden="false" customHeight="true" outlineLevel="0" collapsed="false">
      <c r="A29" s="47" t="s">
        <v>49</v>
      </c>
      <c r="B29" s="13" t="s">
        <v>477</v>
      </c>
      <c r="C29" s="48" t="n">
        <v>416500</v>
      </c>
      <c r="D29" s="48" t="n">
        <f aca="false">E29-C29</f>
        <v>0</v>
      </c>
      <c r="E29" s="48" t="n">
        <v>416500</v>
      </c>
    </row>
    <row r="30" customFormat="false" ht="15" hidden="false" customHeight="true" outlineLevel="0" collapsed="false">
      <c r="A30" s="47" t="s">
        <v>51</v>
      </c>
      <c r="B30" s="13" t="s">
        <v>478</v>
      </c>
      <c r="C30" s="48" t="n">
        <f aca="false">166500+50000+200000</f>
        <v>416500</v>
      </c>
      <c r="D30" s="48" t="n">
        <f aca="false">E30-C30</f>
        <v>0</v>
      </c>
      <c r="E30" s="48" t="n">
        <v>416500</v>
      </c>
    </row>
    <row r="31" customFormat="false" ht="15" hidden="false" customHeight="true" outlineLevel="0" collapsed="false">
      <c r="A31" s="47" t="s">
        <v>53</v>
      </c>
      <c r="B31" s="13" t="s">
        <v>479</v>
      </c>
      <c r="C31" s="48" t="n">
        <v>416500</v>
      </c>
      <c r="D31" s="48" t="n">
        <f aca="false">E31-C31</f>
        <v>0</v>
      </c>
      <c r="E31" s="48" t="n">
        <v>416500</v>
      </c>
    </row>
    <row r="32" customFormat="false" ht="15" hidden="false" customHeight="true" outlineLevel="0" collapsed="false">
      <c r="A32" s="47" t="s">
        <v>55</v>
      </c>
      <c r="B32" s="13" t="s">
        <v>480</v>
      </c>
      <c r="C32" s="48"/>
      <c r="D32" s="48" t="n">
        <f aca="false">E32-C32</f>
        <v>416500</v>
      </c>
      <c r="E32" s="48" t="n">
        <v>416500</v>
      </c>
    </row>
    <row r="33" customFormat="false" ht="15" hidden="false" customHeight="true" outlineLevel="0" collapsed="false">
      <c r="A33" s="47" t="s">
        <v>141</v>
      </c>
      <c r="B33" s="13" t="s">
        <v>481</v>
      </c>
      <c r="C33" s="48"/>
      <c r="D33" s="48" t="n">
        <f aca="false">E33-C33</f>
        <v>416500</v>
      </c>
      <c r="E33" s="48" t="n">
        <v>416500</v>
      </c>
    </row>
    <row r="34" customFormat="false" ht="15" hidden="false" customHeight="true" outlineLevel="0" collapsed="false">
      <c r="A34" s="47" t="s">
        <v>143</v>
      </c>
      <c r="B34" s="13" t="s">
        <v>482</v>
      </c>
      <c r="C34" s="48" t="n">
        <v>416500</v>
      </c>
      <c r="D34" s="48" t="n">
        <f aca="false">E34-C34</f>
        <v>0</v>
      </c>
      <c r="E34" s="48" t="n">
        <v>416500</v>
      </c>
    </row>
    <row r="35" customFormat="false" ht="15" hidden="false" customHeight="true" outlineLevel="0" collapsed="false">
      <c r="A35" s="47" t="s">
        <v>145</v>
      </c>
      <c r="B35" s="13" t="s">
        <v>483</v>
      </c>
      <c r="C35" s="48"/>
      <c r="D35" s="48" t="n">
        <f aca="false">E35-C35</f>
        <v>416500</v>
      </c>
      <c r="E35" s="48" t="n">
        <v>416500</v>
      </c>
    </row>
    <row r="36" customFormat="false" ht="15" hidden="false" customHeight="true" outlineLevel="0" collapsed="false">
      <c r="A36" s="47" t="s">
        <v>147</v>
      </c>
      <c r="B36" s="13" t="s">
        <v>484</v>
      </c>
      <c r="C36" s="48" t="n">
        <f aca="false">400000+16500</f>
        <v>416500</v>
      </c>
      <c r="D36" s="48" t="n">
        <f aca="false">E36-C36</f>
        <v>0</v>
      </c>
      <c r="E36" s="48" t="n">
        <v>416500</v>
      </c>
    </row>
    <row r="37" customFormat="false" ht="15" hidden="false" customHeight="true" outlineLevel="0" collapsed="false">
      <c r="A37" s="47" t="s">
        <v>149</v>
      </c>
      <c r="B37" s="13" t="s">
        <v>485</v>
      </c>
      <c r="C37" s="48" t="n">
        <f aca="false">150000+100000+100000+66500</f>
        <v>416500</v>
      </c>
      <c r="D37" s="48" t="n">
        <f aca="false">E37-C37</f>
        <v>0</v>
      </c>
      <c r="E37" s="48" t="n">
        <v>416500</v>
      </c>
    </row>
    <row r="38" customFormat="false" ht="15" hidden="false" customHeight="true" outlineLevel="0" collapsed="false">
      <c r="A38" s="47" t="s">
        <v>151</v>
      </c>
      <c r="B38" s="13" t="s">
        <v>486</v>
      </c>
      <c r="C38" s="48" t="n">
        <v>416500</v>
      </c>
      <c r="D38" s="48" t="n">
        <f aca="false">E38-C38</f>
        <v>0</v>
      </c>
      <c r="E38" s="48" t="n">
        <v>416500</v>
      </c>
    </row>
    <row r="39" customFormat="false" ht="15" hidden="false" customHeight="true" outlineLevel="0" collapsed="false">
      <c r="A39" s="47" t="s">
        <v>153</v>
      </c>
      <c r="B39" s="13" t="s">
        <v>487</v>
      </c>
      <c r="C39" s="48"/>
      <c r="D39" s="48" t="n">
        <f aca="false">E39-C39</f>
        <v>416500</v>
      </c>
      <c r="E39" s="48" t="n">
        <v>416500</v>
      </c>
    </row>
    <row r="40" customFormat="false" ht="15" hidden="false" customHeight="true" outlineLevel="0" collapsed="false">
      <c r="A40" s="47" t="s">
        <v>155</v>
      </c>
      <c r="B40" s="13" t="s">
        <v>488</v>
      </c>
      <c r="C40" s="48" t="n">
        <v>416500</v>
      </c>
      <c r="D40" s="48" t="n">
        <f aca="false">E40-C40</f>
        <v>0</v>
      </c>
      <c r="E40" s="48" t="n">
        <v>416500</v>
      </c>
    </row>
    <row r="41" customFormat="false" ht="15" hidden="false" customHeight="true" outlineLevel="0" collapsed="false">
      <c r="A41" s="47" t="s">
        <v>157</v>
      </c>
      <c r="B41" s="13" t="s">
        <v>489</v>
      </c>
      <c r="C41" s="48" t="n">
        <v>0</v>
      </c>
      <c r="D41" s="48" t="n">
        <f aca="false">E41-C41</f>
        <v>416500</v>
      </c>
      <c r="E41" s="48" t="n">
        <v>416500</v>
      </c>
    </row>
    <row r="42" customFormat="false" ht="15" hidden="false" customHeight="true" outlineLevel="0" collapsed="false">
      <c r="A42" s="47" t="s">
        <v>159</v>
      </c>
      <c r="B42" s="13" t="s">
        <v>490</v>
      </c>
      <c r="C42" s="48" t="n">
        <v>416500</v>
      </c>
      <c r="D42" s="48" t="n">
        <f aca="false">E42-C42</f>
        <v>0</v>
      </c>
      <c r="E42" s="48" t="n">
        <v>416500</v>
      </c>
    </row>
    <row r="43" customFormat="false" ht="15" hidden="false" customHeight="true" outlineLevel="0" collapsed="false">
      <c r="A43" s="47" t="s">
        <v>161</v>
      </c>
      <c r="B43" s="13" t="s">
        <v>491</v>
      </c>
      <c r="C43" s="48" t="n">
        <v>417000</v>
      </c>
      <c r="D43" s="48" t="n">
        <f aca="false">E43-C43</f>
        <v>-500</v>
      </c>
      <c r="E43" s="48" t="n">
        <v>416500</v>
      </c>
    </row>
    <row r="44" customFormat="false" ht="15" hidden="false" customHeight="true" outlineLevel="0" collapsed="false">
      <c r="A44" s="49" t="s">
        <v>57</v>
      </c>
      <c r="B44" s="49"/>
      <c r="C44" s="50" t="n">
        <f aca="false">SUM(C8:C43)</f>
        <v>8765000</v>
      </c>
      <c r="D44" s="50" t="n">
        <f aca="false">E44-C44</f>
        <v>6229000</v>
      </c>
      <c r="E44" s="50" t="n">
        <f aca="false">SUM(E8:E43)</f>
        <v>14994000</v>
      </c>
    </row>
    <row r="45" customFormat="false" ht="15" hidden="false" customHeight="true" outlineLevel="0" collapsed="false">
      <c r="A45" s="51"/>
      <c r="B45" s="51"/>
      <c r="C45" s="52"/>
      <c r="D45" s="52"/>
      <c r="E45" s="52"/>
    </row>
    <row r="46" customFormat="false" ht="15" hidden="false" customHeight="true" outlineLevel="0" collapsed="false">
      <c r="A46" s="51"/>
      <c r="B46" s="51"/>
      <c r="C46" s="52"/>
      <c r="D46" s="52"/>
      <c r="E46" s="52"/>
    </row>
    <row r="47" customFormat="false" ht="15" hidden="false" customHeight="true" outlineLevel="0" collapsed="false">
      <c r="A47" s="51"/>
      <c r="B47" s="51"/>
      <c r="C47" s="52"/>
      <c r="D47" s="52"/>
      <c r="E47" s="52"/>
    </row>
    <row r="48" customFormat="false" ht="15" hidden="false" customHeight="true" outlineLevel="0" collapsed="false">
      <c r="A48" s="51"/>
      <c r="B48" s="51"/>
      <c r="C48" s="52"/>
      <c r="D48" s="52"/>
      <c r="E48" s="52"/>
    </row>
    <row r="49" customFormat="false" ht="15" hidden="false" customHeight="true" outlineLevel="0" collapsed="false">
      <c r="A49" s="51"/>
      <c r="B49" s="51"/>
      <c r="C49" s="52"/>
      <c r="D49" s="52"/>
      <c r="E49" s="52"/>
    </row>
    <row r="50" customFormat="false" ht="15" hidden="false" customHeight="true" outlineLevel="0" collapsed="false">
      <c r="A50" s="51"/>
      <c r="B50" s="51"/>
      <c r="C50" s="52"/>
      <c r="D50" s="52"/>
      <c r="E50" s="52"/>
    </row>
    <row r="51" customFormat="false" ht="15" hidden="false" customHeight="true" outlineLevel="0" collapsed="false">
      <c r="A51" s="51"/>
      <c r="B51" s="51"/>
      <c r="C51" s="52"/>
      <c r="D51" s="52"/>
      <c r="E51" s="52"/>
    </row>
    <row r="52" customFormat="false" ht="15" hidden="false" customHeight="true" outlineLevel="0" collapsed="false">
      <c r="A52" s="51"/>
      <c r="B52" s="51"/>
      <c r="C52" s="52"/>
      <c r="D52" s="52"/>
      <c r="E52" s="52"/>
    </row>
    <row r="53" customFormat="false" ht="15" hidden="false" customHeight="true" outlineLevel="0" collapsed="false">
      <c r="A53" s="51"/>
      <c r="B53" s="51"/>
      <c r="C53" s="52"/>
      <c r="D53" s="52"/>
      <c r="E53" s="52"/>
    </row>
    <row r="54" customFormat="false" ht="15" hidden="false" customHeight="true" outlineLevel="0" collapsed="false">
      <c r="A54" s="51"/>
      <c r="B54" s="51"/>
      <c r="C54" s="52"/>
      <c r="D54" s="52"/>
      <c r="E54" s="52"/>
    </row>
    <row r="55" customFormat="false" ht="15" hidden="false" customHeight="true" outlineLevel="0" collapsed="false">
      <c r="A55" s="51"/>
      <c r="B55" s="51"/>
      <c r="C55" s="52"/>
      <c r="D55" s="52"/>
      <c r="E55" s="52"/>
    </row>
    <row r="56" customFormat="false" ht="15" hidden="false" customHeight="true" outlineLevel="0" collapsed="false">
      <c r="A56" s="51"/>
      <c r="B56" s="40" t="s">
        <v>0</v>
      </c>
      <c r="C56" s="52"/>
      <c r="D56" s="52"/>
      <c r="E56" s="52"/>
    </row>
    <row r="57" customFormat="false" ht="15" hidden="false" customHeight="true" outlineLevel="0" collapsed="false">
      <c r="A57" s="51"/>
      <c r="B57" s="51"/>
      <c r="C57" s="52"/>
      <c r="D57" s="52"/>
      <c r="E57" s="52"/>
    </row>
    <row r="58" customFormat="false" ht="18" hidden="false" customHeight="true" outlineLevel="0" collapsed="false">
      <c r="A58" s="43" t="s">
        <v>492</v>
      </c>
      <c r="B58" s="43"/>
      <c r="C58" s="43"/>
      <c r="D58" s="43"/>
      <c r="E58" s="43"/>
    </row>
    <row r="59" customFormat="false" ht="18" hidden="false" customHeight="true" outlineLevel="0" collapsed="false">
      <c r="A59" s="44"/>
      <c r="B59" s="44"/>
      <c r="C59" s="44"/>
      <c r="D59" s="44"/>
      <c r="E59" s="44"/>
    </row>
    <row r="60" customFormat="false" ht="15" hidden="false" customHeight="true" outlineLevel="0" collapsed="false">
      <c r="A60" s="45" t="s">
        <v>2</v>
      </c>
      <c r="B60" s="45" t="s">
        <v>3</v>
      </c>
      <c r="C60" s="46" t="s">
        <v>4</v>
      </c>
      <c r="D60" s="45" t="s">
        <v>5</v>
      </c>
      <c r="E60" s="46" t="s">
        <v>6</v>
      </c>
    </row>
    <row r="61" customFormat="false" ht="15" hidden="false" customHeight="true" outlineLevel="0" collapsed="false">
      <c r="A61" s="47" t="s">
        <v>7</v>
      </c>
      <c r="B61" s="13" t="s">
        <v>493</v>
      </c>
      <c r="C61" s="48" t="n">
        <f aca="false">50000+165000</f>
        <v>215000</v>
      </c>
      <c r="D61" s="48" t="n">
        <f aca="false">E61-C61</f>
        <v>201500</v>
      </c>
      <c r="E61" s="48" t="n">
        <v>416500</v>
      </c>
    </row>
    <row r="62" customFormat="false" ht="15" hidden="false" customHeight="true" outlineLevel="0" collapsed="false">
      <c r="A62" s="47" t="s">
        <v>9</v>
      </c>
      <c r="B62" s="13" t="s">
        <v>494</v>
      </c>
      <c r="C62" s="48" t="n">
        <v>416500</v>
      </c>
      <c r="D62" s="48" t="n">
        <f aca="false">E62-C62</f>
        <v>0</v>
      </c>
      <c r="E62" s="48" t="n">
        <v>416500</v>
      </c>
    </row>
    <row r="63" customFormat="false" ht="15" hidden="false" customHeight="true" outlineLevel="0" collapsed="false">
      <c r="A63" s="47" t="s">
        <v>11</v>
      </c>
      <c r="B63" s="13" t="s">
        <v>495</v>
      </c>
      <c r="C63" s="48" t="n">
        <v>416500</v>
      </c>
      <c r="D63" s="48" t="n">
        <f aca="false">E63-C63</f>
        <v>0</v>
      </c>
      <c r="E63" s="48" t="n">
        <v>416500</v>
      </c>
    </row>
    <row r="64" customFormat="false" ht="15" hidden="false" customHeight="true" outlineLevel="0" collapsed="false">
      <c r="A64" s="47" t="s">
        <v>13</v>
      </c>
      <c r="B64" s="13" t="s">
        <v>496</v>
      </c>
      <c r="C64" s="48" t="n">
        <f aca="false">130000+250000</f>
        <v>380000</v>
      </c>
      <c r="D64" s="48" t="n">
        <f aca="false">E64-C64</f>
        <v>36500</v>
      </c>
      <c r="E64" s="48" t="n">
        <v>416500</v>
      </c>
    </row>
    <row r="65" customFormat="false" ht="15" hidden="false" customHeight="true" outlineLevel="0" collapsed="false">
      <c r="A65" s="47" t="s">
        <v>15</v>
      </c>
      <c r="B65" s="13" t="s">
        <v>497</v>
      </c>
      <c r="C65" s="48" t="n">
        <v>416500</v>
      </c>
      <c r="D65" s="48" t="n">
        <f aca="false">E65-C65</f>
        <v>0</v>
      </c>
      <c r="E65" s="48" t="n">
        <v>416500</v>
      </c>
    </row>
    <row r="66" customFormat="false" ht="15" hidden="false" customHeight="true" outlineLevel="0" collapsed="false">
      <c r="A66" s="47" t="s">
        <v>17</v>
      </c>
      <c r="B66" s="13" t="s">
        <v>498</v>
      </c>
      <c r="C66" s="48"/>
      <c r="D66" s="48" t="n">
        <f aca="false">E66-C66</f>
        <v>416500</v>
      </c>
      <c r="E66" s="48" t="n">
        <v>416500</v>
      </c>
    </row>
    <row r="67" customFormat="false" ht="15" hidden="false" customHeight="true" outlineLevel="0" collapsed="false">
      <c r="A67" s="47" t="s">
        <v>19</v>
      </c>
      <c r="B67" s="13" t="s">
        <v>499</v>
      </c>
      <c r="C67" s="48" t="n">
        <f aca="false">402500+14000</f>
        <v>416500</v>
      </c>
      <c r="D67" s="48" t="n">
        <f aca="false">E67-C67</f>
        <v>0</v>
      </c>
      <c r="E67" s="48" t="n">
        <v>416500</v>
      </c>
    </row>
    <row r="68" customFormat="false" ht="15" hidden="false" customHeight="true" outlineLevel="0" collapsed="false">
      <c r="A68" s="47" t="s">
        <v>21</v>
      </c>
      <c r="B68" s="13" t="s">
        <v>500</v>
      </c>
      <c r="C68" s="48" t="n">
        <f aca="false">80000+120000</f>
        <v>200000</v>
      </c>
      <c r="D68" s="48" t="n">
        <f aca="false">E68-C68</f>
        <v>216500</v>
      </c>
      <c r="E68" s="48" t="n">
        <v>416500</v>
      </c>
    </row>
    <row r="69" customFormat="false" ht="15" hidden="false" customHeight="true" outlineLevel="0" collapsed="false">
      <c r="A69" s="47" t="s">
        <v>23</v>
      </c>
      <c r="B69" s="13" t="s">
        <v>501</v>
      </c>
      <c r="C69" s="48" t="n">
        <f aca="false">150000+250000+16500</f>
        <v>416500</v>
      </c>
      <c r="D69" s="48" t="n">
        <f aca="false">E69-C69</f>
        <v>0</v>
      </c>
      <c r="E69" s="48" t="n">
        <v>416500</v>
      </c>
    </row>
    <row r="70" customFormat="false" ht="15" hidden="false" customHeight="true" outlineLevel="0" collapsed="false">
      <c r="A70" s="47" t="s">
        <v>25</v>
      </c>
      <c r="B70" s="13" t="s">
        <v>502</v>
      </c>
      <c r="C70" s="48" t="n">
        <f aca="false">186500+70000+40000+25000+70000+25000</f>
        <v>416500</v>
      </c>
      <c r="D70" s="48" t="n">
        <f aca="false">E70-C70</f>
        <v>0</v>
      </c>
      <c r="E70" s="48" t="n">
        <v>416500</v>
      </c>
    </row>
    <row r="71" customFormat="false" ht="15" hidden="false" customHeight="true" outlineLevel="0" collapsed="false">
      <c r="A71" s="47" t="s">
        <v>27</v>
      </c>
      <c r="B71" s="13" t="s">
        <v>503</v>
      </c>
      <c r="C71" s="48" t="n">
        <f aca="false">70000+71000+275500</f>
        <v>416500</v>
      </c>
      <c r="D71" s="48" t="n">
        <f aca="false">E71-C71</f>
        <v>0</v>
      </c>
      <c r="E71" s="48" t="n">
        <v>416500</v>
      </c>
    </row>
    <row r="72" customFormat="false" ht="15" hidden="false" customHeight="true" outlineLevel="0" collapsed="false">
      <c r="A72" s="47" t="s">
        <v>29</v>
      </c>
      <c r="B72" s="13" t="s">
        <v>504</v>
      </c>
      <c r="C72" s="48" t="n">
        <f aca="false">200000+200000+16500</f>
        <v>416500</v>
      </c>
      <c r="D72" s="48" t="n">
        <f aca="false">E72-C72</f>
        <v>0</v>
      </c>
      <c r="E72" s="48" t="n">
        <v>416500</v>
      </c>
    </row>
    <row r="73" customFormat="false" ht="15" hidden="false" customHeight="true" outlineLevel="0" collapsed="false">
      <c r="A73" s="47" t="s">
        <v>31</v>
      </c>
      <c r="B73" s="13" t="s">
        <v>505</v>
      </c>
      <c r="C73" s="48" t="n">
        <v>351500</v>
      </c>
      <c r="D73" s="48" t="n">
        <f aca="false">E73-C73</f>
        <v>65000</v>
      </c>
      <c r="E73" s="48" t="n">
        <v>416500</v>
      </c>
    </row>
    <row r="74" customFormat="false" ht="15" hidden="false" customHeight="true" outlineLevel="0" collapsed="false">
      <c r="A74" s="47" t="s">
        <v>33</v>
      </c>
      <c r="B74" s="13" t="s">
        <v>506</v>
      </c>
      <c r="C74" s="48" t="n">
        <f aca="false">20000+100000+30000</f>
        <v>150000</v>
      </c>
      <c r="D74" s="48" t="n">
        <f aca="false">E74-C74</f>
        <v>266500</v>
      </c>
      <c r="E74" s="48" t="n">
        <v>416500</v>
      </c>
    </row>
    <row r="75" customFormat="false" ht="15" hidden="false" customHeight="true" outlineLevel="0" collapsed="false">
      <c r="A75" s="47" t="s">
        <v>35</v>
      </c>
      <c r="B75" s="13" t="s">
        <v>507</v>
      </c>
      <c r="C75" s="48" t="n">
        <v>416500</v>
      </c>
      <c r="D75" s="48" t="n">
        <f aca="false">E75-C75</f>
        <v>0</v>
      </c>
      <c r="E75" s="48" t="n">
        <v>416500</v>
      </c>
    </row>
    <row r="76" customFormat="false" ht="15" hidden="false" customHeight="true" outlineLevel="0" collapsed="false">
      <c r="A76" s="47" t="s">
        <v>37</v>
      </c>
      <c r="B76" s="13" t="s">
        <v>508</v>
      </c>
      <c r="C76" s="48" t="n">
        <v>416500</v>
      </c>
      <c r="D76" s="48" t="n">
        <f aca="false">E76-C76</f>
        <v>0</v>
      </c>
      <c r="E76" s="48" t="n">
        <v>416500</v>
      </c>
    </row>
    <row r="77" customFormat="false" ht="15" hidden="false" customHeight="true" outlineLevel="0" collapsed="false">
      <c r="A77" s="47" t="s">
        <v>39</v>
      </c>
      <c r="B77" s="13" t="s">
        <v>509</v>
      </c>
      <c r="C77" s="48" t="n">
        <f aca="false">30000+45000+65000+80000+196500</f>
        <v>416500</v>
      </c>
      <c r="D77" s="48" t="n">
        <f aca="false">E77-C77</f>
        <v>0</v>
      </c>
      <c r="E77" s="48" t="n">
        <v>416500</v>
      </c>
    </row>
    <row r="78" customFormat="false" ht="15" hidden="false" customHeight="true" outlineLevel="0" collapsed="false">
      <c r="A78" s="47" t="s">
        <v>41</v>
      </c>
      <c r="B78" s="13" t="s">
        <v>510</v>
      </c>
      <c r="C78" s="48" t="n">
        <v>150000</v>
      </c>
      <c r="D78" s="48" t="n">
        <f aca="false">E78-C78</f>
        <v>266500</v>
      </c>
      <c r="E78" s="48" t="n">
        <v>416500</v>
      </c>
    </row>
    <row r="79" customFormat="false" ht="15" hidden="false" customHeight="true" outlineLevel="0" collapsed="false">
      <c r="A79" s="47" t="s">
        <v>43</v>
      </c>
      <c r="B79" s="13" t="s">
        <v>511</v>
      </c>
      <c r="C79" s="48" t="n">
        <f aca="false">100000</f>
        <v>100000</v>
      </c>
      <c r="D79" s="48" t="n">
        <f aca="false">E79-C79</f>
        <v>316500</v>
      </c>
      <c r="E79" s="48" t="n">
        <v>416500</v>
      </c>
    </row>
    <row r="80" customFormat="false" ht="15" hidden="false" customHeight="true" outlineLevel="0" collapsed="false">
      <c r="A80" s="47" t="s">
        <v>45</v>
      </c>
      <c r="B80" s="13" t="s">
        <v>512</v>
      </c>
      <c r="C80" s="48" t="n">
        <v>110000</v>
      </c>
      <c r="D80" s="48" t="n">
        <f aca="false">E80-C80</f>
        <v>306500</v>
      </c>
      <c r="E80" s="48" t="n">
        <v>416500</v>
      </c>
    </row>
    <row r="81" customFormat="false" ht="15" hidden="false" customHeight="true" outlineLevel="0" collapsed="false">
      <c r="A81" s="47" t="s">
        <v>47</v>
      </c>
      <c r="B81" s="13" t="s">
        <v>513</v>
      </c>
      <c r="C81" s="48" t="n">
        <f aca="false">216500+200000</f>
        <v>416500</v>
      </c>
      <c r="D81" s="48" t="n">
        <f aca="false">E81-C81</f>
        <v>0</v>
      </c>
      <c r="E81" s="48" t="n">
        <v>416500</v>
      </c>
    </row>
    <row r="82" customFormat="false" ht="15" hidden="false" customHeight="true" outlineLevel="0" collapsed="false">
      <c r="A82" s="47" t="s">
        <v>49</v>
      </c>
      <c r="B82" s="13" t="s">
        <v>514</v>
      </c>
      <c r="C82" s="48" t="n">
        <f aca="false">100000+30000+200000+61500+25000</f>
        <v>416500</v>
      </c>
      <c r="D82" s="48" t="n">
        <f aca="false">E82-C82</f>
        <v>0</v>
      </c>
      <c r="E82" s="48" t="n">
        <v>416500</v>
      </c>
    </row>
    <row r="83" customFormat="false" ht="15" hidden="false" customHeight="true" outlineLevel="0" collapsed="false">
      <c r="A83" s="47" t="s">
        <v>51</v>
      </c>
      <c r="B83" s="13" t="s">
        <v>515</v>
      </c>
      <c r="C83" s="48" t="n">
        <v>416500</v>
      </c>
      <c r="D83" s="48" t="n">
        <f aca="false">E83-C83</f>
        <v>0</v>
      </c>
      <c r="E83" s="48" t="n">
        <v>416500</v>
      </c>
    </row>
    <row r="84" customFormat="false" ht="15" hidden="false" customHeight="true" outlineLevel="0" collapsed="false">
      <c r="A84" s="47" t="s">
        <v>53</v>
      </c>
      <c r="B84" s="13" t="s">
        <v>516</v>
      </c>
      <c r="C84" s="48" t="n">
        <f aca="false">65000+300000+20000+31500</f>
        <v>416500</v>
      </c>
      <c r="D84" s="48" t="n">
        <f aca="false">E84-C84</f>
        <v>0</v>
      </c>
      <c r="E84" s="48" t="n">
        <v>416500</v>
      </c>
    </row>
    <row r="85" customFormat="false" ht="15" hidden="false" customHeight="true" outlineLevel="0" collapsed="false">
      <c r="A85" s="47" t="s">
        <v>55</v>
      </c>
      <c r="B85" s="13" t="s">
        <v>517</v>
      </c>
      <c r="C85" s="48" t="n">
        <f aca="false">16500+250000+150000</f>
        <v>416500</v>
      </c>
      <c r="D85" s="48" t="n">
        <f aca="false">E85-C85</f>
        <v>0</v>
      </c>
      <c r="E85" s="48" t="n">
        <v>416500</v>
      </c>
    </row>
    <row r="86" customFormat="false" ht="15" hidden="false" customHeight="true" outlineLevel="0" collapsed="false">
      <c r="A86" s="47" t="s">
        <v>141</v>
      </c>
      <c r="B86" s="13" t="s">
        <v>518</v>
      </c>
      <c r="C86" s="48" t="n">
        <v>416500</v>
      </c>
      <c r="D86" s="48" t="n">
        <f aca="false">E86-C86</f>
        <v>0</v>
      </c>
      <c r="E86" s="48" t="n">
        <v>416500</v>
      </c>
    </row>
    <row r="87" customFormat="false" ht="15" hidden="false" customHeight="true" outlineLevel="0" collapsed="false">
      <c r="A87" s="47" t="s">
        <v>143</v>
      </c>
      <c r="B87" s="13" t="s">
        <v>519</v>
      </c>
      <c r="C87" s="48" t="n">
        <v>416500</v>
      </c>
      <c r="D87" s="48" t="n">
        <f aca="false">E87-C87</f>
        <v>0</v>
      </c>
      <c r="E87" s="48" t="n">
        <v>416500</v>
      </c>
    </row>
    <row r="88" customFormat="false" ht="15" hidden="false" customHeight="true" outlineLevel="0" collapsed="false">
      <c r="A88" s="47" t="s">
        <v>145</v>
      </c>
      <c r="B88" s="13" t="s">
        <v>520</v>
      </c>
      <c r="C88" s="48" t="n">
        <v>416500</v>
      </c>
      <c r="D88" s="48" t="n">
        <f aca="false">E88-C88</f>
        <v>0</v>
      </c>
      <c r="E88" s="48" t="n">
        <v>416500</v>
      </c>
    </row>
    <row r="89" customFormat="false" ht="15" hidden="false" customHeight="true" outlineLevel="0" collapsed="false">
      <c r="A89" s="47" t="s">
        <v>147</v>
      </c>
      <c r="B89" s="13" t="s">
        <v>521</v>
      </c>
      <c r="C89" s="48" t="n">
        <f aca="false">250000+150000</f>
        <v>400000</v>
      </c>
      <c r="D89" s="48" t="n">
        <f aca="false">E89-C89</f>
        <v>16500</v>
      </c>
      <c r="E89" s="48" t="n">
        <v>416500</v>
      </c>
    </row>
    <row r="90" customFormat="false" ht="15" hidden="false" customHeight="true" outlineLevel="0" collapsed="false">
      <c r="A90" s="47" t="s">
        <v>149</v>
      </c>
      <c r="B90" s="13" t="s">
        <v>522</v>
      </c>
      <c r="C90" s="48" t="n">
        <v>416500</v>
      </c>
      <c r="D90" s="48" t="n">
        <f aca="false">E90-C90</f>
        <v>0</v>
      </c>
      <c r="E90" s="48" t="n">
        <v>416500</v>
      </c>
    </row>
    <row r="91" customFormat="false" ht="15" hidden="false" customHeight="true" outlineLevel="0" collapsed="false">
      <c r="A91" s="49" t="s">
        <v>57</v>
      </c>
      <c r="B91" s="49"/>
      <c r="C91" s="50" t="n">
        <f aca="false">SUM(C61:C90)</f>
        <v>10386500</v>
      </c>
      <c r="D91" s="50" t="n">
        <f aca="false">E91-C91</f>
        <v>2108500</v>
      </c>
      <c r="E91" s="50" t="n">
        <f aca="false">SUM(E60:E90)</f>
        <v>12495000</v>
      </c>
    </row>
    <row r="92" customFormat="false" ht="15" hidden="false" customHeight="true" outlineLevel="0" collapsed="false">
      <c r="A92" s="51"/>
      <c r="B92" s="51"/>
      <c r="C92" s="52"/>
      <c r="D92" s="52"/>
      <c r="E92" s="52"/>
    </row>
    <row r="93" customFormat="false" ht="15" hidden="false" customHeight="true" outlineLevel="0" collapsed="false">
      <c r="A93" s="51"/>
      <c r="B93" s="51"/>
      <c r="C93" s="52"/>
      <c r="D93" s="52"/>
      <c r="E93" s="52"/>
    </row>
    <row r="94" customFormat="false" ht="15" hidden="false" customHeight="true" outlineLevel="0" collapsed="false">
      <c r="A94" s="51"/>
      <c r="B94" s="51"/>
      <c r="C94" s="52"/>
      <c r="D94" s="52"/>
      <c r="E94" s="52"/>
    </row>
    <row r="95" customFormat="false" ht="15" hidden="false" customHeight="true" outlineLevel="0" collapsed="false">
      <c r="A95" s="51"/>
      <c r="B95" s="51"/>
      <c r="C95" s="52"/>
      <c r="D95" s="52"/>
      <c r="E95" s="52"/>
    </row>
    <row r="96" customFormat="false" ht="16.5" hidden="false" customHeight="true" outlineLevel="0" collapsed="false">
      <c r="A96" s="51"/>
      <c r="B96" s="40" t="s">
        <v>0</v>
      </c>
      <c r="C96" s="52"/>
      <c r="D96" s="52"/>
      <c r="E96" s="52"/>
    </row>
    <row r="97" customFormat="false" ht="15" hidden="false" customHeight="true" outlineLevel="0" collapsed="false">
      <c r="A97" s="51"/>
      <c r="B97" s="51"/>
      <c r="C97" s="52"/>
      <c r="D97" s="52"/>
      <c r="E97" s="52"/>
    </row>
    <row r="98" customFormat="false" ht="16.5" hidden="false" customHeight="true" outlineLevel="0" collapsed="false">
      <c r="A98" s="43" t="s">
        <v>523</v>
      </c>
      <c r="B98" s="43"/>
      <c r="C98" s="43"/>
      <c r="D98" s="43"/>
      <c r="E98" s="43"/>
    </row>
    <row r="99" customFormat="false" ht="15" hidden="false" customHeight="true" outlineLevel="0" collapsed="false">
      <c r="A99" s="44"/>
      <c r="B99" s="44"/>
      <c r="C99" s="44"/>
      <c r="D99" s="44"/>
      <c r="E99" s="44"/>
    </row>
    <row r="100" customFormat="false" ht="15" hidden="false" customHeight="true" outlineLevel="0" collapsed="false">
      <c r="A100" s="45" t="s">
        <v>2</v>
      </c>
      <c r="B100" s="45" t="s">
        <v>3</v>
      </c>
      <c r="C100" s="46" t="s">
        <v>4</v>
      </c>
      <c r="D100" s="45" t="s">
        <v>5</v>
      </c>
      <c r="E100" s="46" t="s">
        <v>6</v>
      </c>
    </row>
    <row r="101" customFormat="false" ht="15" hidden="false" customHeight="true" outlineLevel="0" collapsed="false">
      <c r="A101" s="47" t="s">
        <v>7</v>
      </c>
      <c r="B101" s="13" t="s">
        <v>524</v>
      </c>
      <c r="C101" s="48" t="n">
        <f aca="false">100000+220000+96500</f>
        <v>416500</v>
      </c>
      <c r="D101" s="48" t="n">
        <f aca="false">E101-C101</f>
        <v>0</v>
      </c>
      <c r="E101" s="48" t="n">
        <v>416500</v>
      </c>
    </row>
    <row r="102" customFormat="false" ht="15" hidden="false" customHeight="true" outlineLevel="0" collapsed="false">
      <c r="A102" s="47" t="s">
        <v>9</v>
      </c>
      <c r="B102" s="13" t="s">
        <v>525</v>
      </c>
      <c r="C102" s="48"/>
      <c r="D102" s="48" t="n">
        <f aca="false">E102-C102</f>
        <v>416500</v>
      </c>
      <c r="E102" s="48" t="n">
        <v>416500</v>
      </c>
    </row>
    <row r="103" customFormat="false" ht="15" hidden="false" customHeight="true" outlineLevel="0" collapsed="false">
      <c r="A103" s="47" t="s">
        <v>11</v>
      </c>
      <c r="B103" s="13" t="s">
        <v>526</v>
      </c>
      <c r="C103" s="48" t="n">
        <f aca="false">300000+116500</f>
        <v>416500</v>
      </c>
      <c r="D103" s="48" t="n">
        <f aca="false">E103-C103</f>
        <v>0</v>
      </c>
      <c r="E103" s="48" t="n">
        <v>416500</v>
      </c>
    </row>
    <row r="104" customFormat="false" ht="15" hidden="false" customHeight="true" outlineLevel="0" collapsed="false">
      <c r="A104" s="47" t="s">
        <v>13</v>
      </c>
      <c r="B104" s="13" t="s">
        <v>527</v>
      </c>
      <c r="C104" s="48" t="n">
        <f aca="false">250000+166500</f>
        <v>416500</v>
      </c>
      <c r="D104" s="48" t="n">
        <f aca="false">E104-C104</f>
        <v>0</v>
      </c>
      <c r="E104" s="48" t="n">
        <v>416500</v>
      </c>
    </row>
    <row r="105" customFormat="false" ht="15" hidden="false" customHeight="true" outlineLevel="0" collapsed="false">
      <c r="A105" s="47" t="s">
        <v>15</v>
      </c>
      <c r="B105" s="13" t="s">
        <v>528</v>
      </c>
      <c r="C105" s="48" t="n">
        <f aca="false">266500+9500+140500</f>
        <v>416500</v>
      </c>
      <c r="D105" s="48" t="n">
        <f aca="false">E105-C105</f>
        <v>0</v>
      </c>
      <c r="E105" s="48" t="n">
        <v>416500</v>
      </c>
    </row>
    <row r="106" customFormat="false" ht="15" hidden="false" customHeight="true" outlineLevel="0" collapsed="false">
      <c r="A106" s="47" t="s">
        <v>17</v>
      </c>
      <c r="B106" s="13" t="s">
        <v>529</v>
      </c>
      <c r="C106" s="48" t="n">
        <f aca="false">266500+150000</f>
        <v>416500</v>
      </c>
      <c r="D106" s="48" t="n">
        <f aca="false">E106-C106</f>
        <v>0</v>
      </c>
      <c r="E106" s="48" t="n">
        <v>416500</v>
      </c>
    </row>
    <row r="107" customFormat="false" ht="15" hidden="false" customHeight="true" outlineLevel="0" collapsed="false">
      <c r="A107" s="47" t="s">
        <v>19</v>
      </c>
      <c r="B107" s="13" t="s">
        <v>530</v>
      </c>
      <c r="C107" s="48" t="n">
        <f aca="false">200000+216500</f>
        <v>416500</v>
      </c>
      <c r="D107" s="48" t="n">
        <f aca="false">E107-C107</f>
        <v>0</v>
      </c>
      <c r="E107" s="48" t="n">
        <v>416500</v>
      </c>
    </row>
    <row r="108" customFormat="false" ht="15" hidden="false" customHeight="true" outlineLevel="0" collapsed="false">
      <c r="A108" s="47" t="s">
        <v>21</v>
      </c>
      <c r="B108" s="13" t="s">
        <v>531</v>
      </c>
      <c r="C108" s="48" t="n">
        <v>416500</v>
      </c>
      <c r="D108" s="48" t="n">
        <f aca="false">E108-C108</f>
        <v>0</v>
      </c>
      <c r="E108" s="48" t="n">
        <v>416500</v>
      </c>
    </row>
    <row r="109" customFormat="false" ht="15" hidden="false" customHeight="true" outlineLevel="0" collapsed="false">
      <c r="A109" s="47" t="s">
        <v>23</v>
      </c>
      <c r="B109" s="13" t="s">
        <v>532</v>
      </c>
      <c r="C109" s="48" t="n">
        <f aca="false">400000+16500</f>
        <v>416500</v>
      </c>
      <c r="D109" s="48" t="n">
        <f aca="false">E109-C109</f>
        <v>0</v>
      </c>
      <c r="E109" s="48" t="n">
        <v>416500</v>
      </c>
    </row>
    <row r="110" customFormat="false" ht="15" hidden="false" customHeight="true" outlineLevel="0" collapsed="false">
      <c r="A110" s="47" t="s">
        <v>25</v>
      </c>
      <c r="B110" s="13" t="s">
        <v>533</v>
      </c>
      <c r="C110" s="48" t="n">
        <v>100000</v>
      </c>
      <c r="D110" s="48" t="n">
        <f aca="false">E110-C110</f>
        <v>316500</v>
      </c>
      <c r="E110" s="48" t="n">
        <v>416500</v>
      </c>
    </row>
    <row r="111" customFormat="false" ht="15" hidden="false" customHeight="true" outlineLevel="0" collapsed="false">
      <c r="A111" s="47" t="s">
        <v>27</v>
      </c>
      <c r="B111" s="13" t="s">
        <v>534</v>
      </c>
      <c r="C111" s="48" t="n">
        <f aca="false">50000+70000+200000+96500</f>
        <v>416500</v>
      </c>
      <c r="D111" s="48" t="n">
        <f aca="false">E111-C111</f>
        <v>0</v>
      </c>
      <c r="E111" s="48" t="n">
        <v>416500</v>
      </c>
    </row>
    <row r="112" customFormat="false" ht="15" hidden="false" customHeight="true" outlineLevel="0" collapsed="false">
      <c r="A112" s="49" t="s">
        <v>57</v>
      </c>
      <c r="B112" s="49"/>
      <c r="C112" s="50" t="n">
        <f aca="false">SUM(C101:C111)</f>
        <v>3848500</v>
      </c>
      <c r="D112" s="50" t="n">
        <f aca="false">E112-C112</f>
        <v>733000</v>
      </c>
      <c r="E112" s="50" t="n">
        <f aca="false">SUM(E101:E111)</f>
        <v>4581500</v>
      </c>
    </row>
    <row r="113" customFormat="false" ht="15" hidden="false" customHeight="true" outlineLevel="0" collapsed="false">
      <c r="A113" s="51"/>
      <c r="B113" s="51"/>
      <c r="C113" s="52"/>
      <c r="D113" s="52"/>
      <c r="E113" s="52"/>
    </row>
    <row r="114" customFormat="false" ht="15" hidden="false" customHeight="true" outlineLevel="0" collapsed="false">
      <c r="A114" s="51"/>
      <c r="B114" s="51"/>
      <c r="C114" s="52"/>
      <c r="D114" s="52"/>
      <c r="E114" s="52"/>
    </row>
    <row r="115" customFormat="false" ht="15" hidden="false" customHeight="true" outlineLevel="0" collapsed="false">
      <c r="A115" s="51"/>
      <c r="B115" s="51"/>
      <c r="C115" s="52"/>
      <c r="D115" s="52"/>
      <c r="E115" s="52"/>
    </row>
    <row r="116" customFormat="false" ht="15" hidden="false" customHeight="true" outlineLevel="0" collapsed="false">
      <c r="A116" s="51"/>
      <c r="B116" s="51"/>
      <c r="C116" s="52"/>
      <c r="D116" s="52"/>
      <c r="E116" s="52"/>
    </row>
    <row r="117" customFormat="false" ht="15.75" hidden="false" customHeight="true" outlineLevel="0" collapsed="false">
      <c r="A117" s="51"/>
      <c r="B117" s="40" t="s">
        <v>0</v>
      </c>
      <c r="C117" s="52"/>
      <c r="D117" s="52"/>
      <c r="E117" s="52"/>
    </row>
    <row r="118" customFormat="false" ht="15" hidden="false" customHeight="true" outlineLevel="0" collapsed="false">
      <c r="A118" s="51"/>
      <c r="B118" s="51"/>
      <c r="C118" s="52"/>
      <c r="D118" s="52"/>
      <c r="E118" s="52"/>
    </row>
    <row r="119" customFormat="false" ht="17.25" hidden="false" customHeight="true" outlineLevel="0" collapsed="false">
      <c r="A119" s="41"/>
      <c r="B119" s="43" t="s">
        <v>535</v>
      </c>
      <c r="C119" s="43"/>
      <c r="D119" s="43"/>
      <c r="E119" s="43"/>
    </row>
    <row r="120" customFormat="false" ht="17.25" hidden="false" customHeight="true" outlineLevel="0" collapsed="false">
      <c r="A120" s="53"/>
      <c r="B120" s="44"/>
      <c r="C120" s="44"/>
      <c r="D120" s="44"/>
      <c r="E120" s="44"/>
    </row>
    <row r="121" customFormat="false" ht="15" hidden="false" customHeight="true" outlineLevel="0" collapsed="false">
      <c r="A121" s="45" t="s">
        <v>2</v>
      </c>
      <c r="B121" s="45" t="s">
        <v>3</v>
      </c>
      <c r="C121" s="46" t="s">
        <v>4</v>
      </c>
      <c r="D121" s="45" t="s">
        <v>5</v>
      </c>
      <c r="E121" s="46" t="s">
        <v>6</v>
      </c>
    </row>
    <row r="122" customFormat="false" ht="15" hidden="false" customHeight="true" outlineLevel="0" collapsed="false">
      <c r="A122" s="47" t="s">
        <v>7</v>
      </c>
      <c r="B122" s="13" t="s">
        <v>536</v>
      </c>
      <c r="C122" s="48" t="n">
        <v>250000</v>
      </c>
      <c r="D122" s="48" t="n">
        <f aca="false">E122-C122</f>
        <v>166500</v>
      </c>
      <c r="E122" s="48" t="n">
        <v>416500</v>
      </c>
    </row>
    <row r="123" customFormat="false" ht="15" hidden="false" customHeight="true" outlineLevel="0" collapsed="false">
      <c r="A123" s="47" t="s">
        <v>9</v>
      </c>
      <c r="B123" s="13" t="s">
        <v>537</v>
      </c>
      <c r="C123" s="48" t="n">
        <f aca="false">350000+33500+33000</f>
        <v>416500</v>
      </c>
      <c r="D123" s="48" t="n">
        <f aca="false">E123-C123</f>
        <v>0</v>
      </c>
      <c r="E123" s="48" t="n">
        <v>416500</v>
      </c>
    </row>
    <row r="124" customFormat="false" ht="15" hidden="false" customHeight="true" outlineLevel="0" collapsed="false">
      <c r="A124" s="47" t="s">
        <v>11</v>
      </c>
      <c r="B124" s="13" t="s">
        <v>538</v>
      </c>
      <c r="C124" s="48"/>
      <c r="D124" s="48" t="n">
        <f aca="false">E124-C124</f>
        <v>416500</v>
      </c>
      <c r="E124" s="48" t="n">
        <v>416500</v>
      </c>
    </row>
    <row r="125" customFormat="false" ht="15" hidden="false" customHeight="true" outlineLevel="0" collapsed="false">
      <c r="A125" s="47" t="s">
        <v>13</v>
      </c>
      <c r="B125" s="13" t="s">
        <v>539</v>
      </c>
      <c r="C125" s="48" t="n">
        <f aca="false">200000+216500</f>
        <v>416500</v>
      </c>
      <c r="D125" s="48" t="n">
        <f aca="false">E125-C125</f>
        <v>0</v>
      </c>
      <c r="E125" s="48" t="n">
        <v>416500</v>
      </c>
    </row>
    <row r="126" customFormat="false" ht="15" hidden="false" customHeight="true" outlineLevel="0" collapsed="false">
      <c r="A126" s="47" t="s">
        <v>15</v>
      </c>
      <c r="B126" s="13" t="s">
        <v>540</v>
      </c>
      <c r="C126" s="48" t="n">
        <v>416500</v>
      </c>
      <c r="D126" s="48" t="n">
        <f aca="false">E126-C126</f>
        <v>0</v>
      </c>
      <c r="E126" s="48" t="n">
        <v>416500</v>
      </c>
    </row>
    <row r="127" customFormat="false" ht="15" hidden="false" customHeight="true" outlineLevel="0" collapsed="false">
      <c r="A127" s="47" t="s">
        <v>17</v>
      </c>
      <c r="B127" s="13" t="s">
        <v>541</v>
      </c>
      <c r="C127" s="48" t="n">
        <v>100000</v>
      </c>
      <c r="D127" s="48" t="n">
        <f aca="false">E127-C127</f>
        <v>316500</v>
      </c>
      <c r="E127" s="48" t="n">
        <v>416500</v>
      </c>
    </row>
    <row r="128" customFormat="false" ht="15" hidden="false" customHeight="true" outlineLevel="0" collapsed="false">
      <c r="A128" s="47" t="s">
        <v>19</v>
      </c>
      <c r="B128" s="13" t="s">
        <v>542</v>
      </c>
      <c r="C128" s="48" t="n">
        <f aca="false">18000+17000+55000+10000+100000</f>
        <v>200000</v>
      </c>
      <c r="D128" s="48" t="n">
        <f aca="false">E128-C128</f>
        <v>216500</v>
      </c>
      <c r="E128" s="48" t="n">
        <v>416500</v>
      </c>
    </row>
    <row r="129" customFormat="false" ht="15" hidden="false" customHeight="true" outlineLevel="0" collapsed="false">
      <c r="A129" s="47" t="s">
        <v>21</v>
      </c>
      <c r="B129" s="13" t="s">
        <v>543</v>
      </c>
      <c r="C129" s="48" t="n">
        <v>416500</v>
      </c>
      <c r="D129" s="48" t="n">
        <f aca="false">E129-C129</f>
        <v>0</v>
      </c>
      <c r="E129" s="48" t="n">
        <v>416500</v>
      </c>
    </row>
    <row r="130" customFormat="false" ht="15" hidden="false" customHeight="true" outlineLevel="0" collapsed="false">
      <c r="A130" s="47" t="s">
        <v>23</v>
      </c>
      <c r="B130" s="13" t="s">
        <v>544</v>
      </c>
      <c r="C130" s="48"/>
      <c r="D130" s="48" t="n">
        <f aca="false">E130-C130</f>
        <v>416500</v>
      </c>
      <c r="E130" s="48" t="n">
        <v>416500</v>
      </c>
    </row>
    <row r="131" customFormat="false" ht="15" hidden="false" customHeight="true" outlineLevel="0" collapsed="false">
      <c r="A131" s="47" t="s">
        <v>25</v>
      </c>
      <c r="B131" s="13" t="s">
        <v>545</v>
      </c>
      <c r="C131" s="48" t="n">
        <v>16500</v>
      </c>
      <c r="D131" s="48" t="n">
        <f aca="false">E131-C131</f>
        <v>400000</v>
      </c>
      <c r="E131" s="48" t="n">
        <v>416500</v>
      </c>
    </row>
    <row r="132" customFormat="false" ht="15" hidden="false" customHeight="true" outlineLevel="0" collapsed="false">
      <c r="A132" s="47" t="s">
        <v>27</v>
      </c>
      <c r="B132" s="13" t="s">
        <v>546</v>
      </c>
      <c r="C132" s="48" t="n">
        <f aca="false">130000+220000+66500</f>
        <v>416500</v>
      </c>
      <c r="D132" s="48" t="n">
        <f aca="false">E132-C132</f>
        <v>0</v>
      </c>
      <c r="E132" s="48" t="n">
        <v>416500</v>
      </c>
    </row>
    <row r="133" customFormat="false" ht="15" hidden="false" customHeight="true" outlineLevel="0" collapsed="false">
      <c r="A133" s="47" t="s">
        <v>29</v>
      </c>
      <c r="B133" s="13" t="s">
        <v>547</v>
      </c>
      <c r="C133" s="48" t="n">
        <v>416000</v>
      </c>
      <c r="D133" s="48" t="n">
        <f aca="false">E133-C133</f>
        <v>500</v>
      </c>
      <c r="E133" s="48" t="n">
        <v>416500</v>
      </c>
    </row>
    <row r="134" customFormat="false" ht="15" hidden="false" customHeight="true" outlineLevel="0" collapsed="false">
      <c r="A134" s="47" t="s">
        <v>31</v>
      </c>
      <c r="B134" s="13" t="s">
        <v>548</v>
      </c>
      <c r="C134" s="48" t="n">
        <f aca="false">50000+366500</f>
        <v>416500</v>
      </c>
      <c r="D134" s="48" t="n">
        <f aca="false">E134-C134</f>
        <v>0</v>
      </c>
      <c r="E134" s="48" t="n">
        <v>416500</v>
      </c>
    </row>
    <row r="135" customFormat="false" ht="15" hidden="false" customHeight="true" outlineLevel="0" collapsed="false">
      <c r="A135" s="47" t="s">
        <v>33</v>
      </c>
      <c r="B135" s="13" t="s">
        <v>549</v>
      </c>
      <c r="C135" s="48" t="n">
        <f aca="false">100000+300000</f>
        <v>400000</v>
      </c>
      <c r="D135" s="48" t="n">
        <f aca="false">E135-C135</f>
        <v>16500</v>
      </c>
      <c r="E135" s="48" t="n">
        <v>416500</v>
      </c>
    </row>
    <row r="136" customFormat="false" ht="15" hidden="false" customHeight="true" outlineLevel="0" collapsed="false">
      <c r="A136" s="47" t="s">
        <v>35</v>
      </c>
      <c r="B136" s="13" t="s">
        <v>550</v>
      </c>
      <c r="C136" s="48" t="n">
        <f aca="false">100000+50000+50000</f>
        <v>200000</v>
      </c>
      <c r="D136" s="48" t="n">
        <f aca="false">E136-C136</f>
        <v>216500</v>
      </c>
      <c r="E136" s="48" t="n">
        <v>416500</v>
      </c>
    </row>
    <row r="137" customFormat="false" ht="15" hidden="false" customHeight="true" outlineLevel="0" collapsed="false">
      <c r="A137" s="47" t="s">
        <v>37</v>
      </c>
      <c r="B137" s="13" t="s">
        <v>551</v>
      </c>
      <c r="C137" s="48"/>
      <c r="D137" s="48" t="n">
        <f aca="false">E137-C137</f>
        <v>416500</v>
      </c>
      <c r="E137" s="48" t="n">
        <v>416500</v>
      </c>
    </row>
    <row r="138" customFormat="false" ht="15" hidden="false" customHeight="true" outlineLevel="0" collapsed="false">
      <c r="A138" s="49" t="s">
        <v>57</v>
      </c>
      <c r="B138" s="49"/>
      <c r="C138" s="50" t="n">
        <f aca="false">SUM(C122:C137)</f>
        <v>4081500</v>
      </c>
      <c r="D138" s="50" t="n">
        <f aca="false">E138-C138</f>
        <v>2582500</v>
      </c>
      <c r="E138" s="50" t="n">
        <f aca="false">SUM(E122:E137)</f>
        <v>6664000</v>
      </c>
    </row>
    <row r="139" customFormat="false" ht="15" hidden="false" customHeight="true" outlineLevel="0" collapsed="false">
      <c r="A139" s="51"/>
      <c r="B139" s="51"/>
      <c r="C139" s="52"/>
      <c r="D139" s="52"/>
      <c r="E139" s="52"/>
    </row>
    <row r="140" customFormat="false" ht="15" hidden="false" customHeight="true" outlineLevel="0" collapsed="false">
      <c r="A140" s="51"/>
      <c r="B140" s="51"/>
      <c r="C140" s="52"/>
      <c r="D140" s="52"/>
      <c r="E140" s="52"/>
    </row>
    <row r="141" customFormat="false" ht="15" hidden="false" customHeight="true" outlineLevel="0" collapsed="false">
      <c r="A141" s="51"/>
      <c r="B141" s="51"/>
      <c r="C141" s="52"/>
      <c r="D141" s="52"/>
      <c r="E141" s="52"/>
    </row>
    <row r="142" customFormat="false" ht="15" hidden="false" customHeight="true" outlineLevel="0" collapsed="false">
      <c r="A142" s="51"/>
      <c r="B142" s="51"/>
      <c r="C142" s="52"/>
      <c r="D142" s="52"/>
      <c r="E142" s="52"/>
    </row>
    <row r="143" customFormat="false" ht="17.25" hidden="false" customHeight="true" outlineLevel="0" collapsed="false">
      <c r="A143" s="51"/>
      <c r="B143" s="40" t="s">
        <v>0</v>
      </c>
      <c r="C143" s="52"/>
      <c r="D143" s="52"/>
      <c r="E143" s="52"/>
    </row>
    <row r="144" customFormat="false" ht="15" hidden="false" customHeight="true" outlineLevel="0" collapsed="false">
      <c r="A144" s="51"/>
      <c r="B144" s="51"/>
      <c r="C144" s="52"/>
      <c r="D144" s="52"/>
      <c r="E144" s="52"/>
    </row>
    <row r="145" customFormat="false" ht="18" hidden="false" customHeight="true" outlineLevel="0" collapsed="false">
      <c r="A145" s="43" t="s">
        <v>552</v>
      </c>
      <c r="B145" s="41"/>
      <c r="C145" s="43"/>
      <c r="D145" s="43"/>
      <c r="E145" s="43"/>
    </row>
    <row r="146" customFormat="false" ht="15" hidden="false" customHeight="true" outlineLevel="0" collapsed="false">
      <c r="A146" s="54"/>
      <c r="B146" s="53"/>
      <c r="C146" s="44"/>
      <c r="D146" s="44"/>
      <c r="E146" s="44"/>
    </row>
    <row r="147" customFormat="false" ht="15" hidden="false" customHeight="true" outlineLevel="0" collapsed="false">
      <c r="A147" s="49" t="s">
        <v>2</v>
      </c>
      <c r="B147" s="49" t="s">
        <v>3</v>
      </c>
      <c r="C147" s="50" t="s">
        <v>4</v>
      </c>
      <c r="D147" s="49" t="s">
        <v>5</v>
      </c>
      <c r="E147" s="46" t="s">
        <v>6</v>
      </c>
    </row>
    <row r="148" customFormat="false" ht="15" hidden="false" customHeight="true" outlineLevel="0" collapsed="false">
      <c r="A148" s="47" t="s">
        <v>7</v>
      </c>
      <c r="B148" s="13" t="s">
        <v>553</v>
      </c>
      <c r="C148" s="48" t="n">
        <f aca="false">200000+216500</f>
        <v>416500</v>
      </c>
      <c r="D148" s="48" t="n">
        <f aca="false">E148-C148</f>
        <v>0</v>
      </c>
      <c r="E148" s="48" t="n">
        <v>416500</v>
      </c>
    </row>
    <row r="149" customFormat="false" ht="15" hidden="false" customHeight="true" outlineLevel="0" collapsed="false">
      <c r="A149" s="47" t="s">
        <v>9</v>
      </c>
      <c r="B149" s="13" t="s">
        <v>554</v>
      </c>
      <c r="C149" s="48" t="n">
        <f aca="false">150000+150000+116500</f>
        <v>416500</v>
      </c>
      <c r="D149" s="48" t="n">
        <f aca="false">E149-C149</f>
        <v>0</v>
      </c>
      <c r="E149" s="48" t="n">
        <v>416500</v>
      </c>
    </row>
    <row r="150" customFormat="false" ht="15" hidden="false" customHeight="true" outlineLevel="0" collapsed="false">
      <c r="A150" s="47" t="s">
        <v>11</v>
      </c>
      <c r="B150" s="13" t="s">
        <v>555</v>
      </c>
      <c r="C150" s="48" t="n">
        <f aca="false">213500+203000</f>
        <v>416500</v>
      </c>
      <c r="D150" s="48" t="n">
        <f aca="false">E150-C150</f>
        <v>0</v>
      </c>
      <c r="E150" s="48" t="n">
        <v>416500</v>
      </c>
    </row>
    <row r="151" customFormat="false" ht="15" hidden="false" customHeight="true" outlineLevel="0" collapsed="false">
      <c r="A151" s="47" t="s">
        <v>13</v>
      </c>
      <c r="B151" s="13" t="s">
        <v>556</v>
      </c>
      <c r="C151" s="48" t="n">
        <f aca="false">116500+250000+50000</f>
        <v>416500</v>
      </c>
      <c r="D151" s="48" t="n">
        <f aca="false">E151-C151</f>
        <v>0</v>
      </c>
      <c r="E151" s="48" t="n">
        <v>416500</v>
      </c>
    </row>
    <row r="152" customFormat="false" ht="15" hidden="false" customHeight="true" outlineLevel="0" collapsed="false">
      <c r="A152" s="47" t="s">
        <v>15</v>
      </c>
      <c r="B152" s="13" t="s">
        <v>557</v>
      </c>
      <c r="C152" s="48" t="n">
        <f aca="false">150000+210000+40000+16500</f>
        <v>416500</v>
      </c>
      <c r="D152" s="48" t="n">
        <f aca="false">E152-C152</f>
        <v>0</v>
      </c>
      <c r="E152" s="48" t="n">
        <v>416500</v>
      </c>
    </row>
    <row r="153" customFormat="false" ht="15" hidden="false" customHeight="true" outlineLevel="0" collapsed="false">
      <c r="A153" s="47" t="s">
        <v>17</v>
      </c>
      <c r="B153" s="13" t="s">
        <v>558</v>
      </c>
      <c r="C153" s="48" t="n">
        <f aca="false">100000+100000+200000+16500</f>
        <v>416500</v>
      </c>
      <c r="D153" s="48" t="n">
        <f aca="false">E153-C153</f>
        <v>0</v>
      </c>
      <c r="E153" s="48" t="n">
        <v>416500</v>
      </c>
    </row>
    <row r="154" customFormat="false" ht="15" hidden="false" customHeight="true" outlineLevel="0" collapsed="false">
      <c r="A154" s="47" t="s">
        <v>19</v>
      </c>
      <c r="B154" s="13" t="s">
        <v>559</v>
      </c>
      <c r="C154" s="48" t="n">
        <f aca="false">200000+16500+50000+150000</f>
        <v>416500</v>
      </c>
      <c r="D154" s="48" t="n">
        <f aca="false">E154-C154</f>
        <v>0</v>
      </c>
      <c r="E154" s="48" t="n">
        <v>416500</v>
      </c>
    </row>
    <row r="155" customFormat="false" ht="15" hidden="false" customHeight="true" outlineLevel="0" collapsed="false">
      <c r="A155" s="47" t="s">
        <v>21</v>
      </c>
      <c r="B155" s="13" t="s">
        <v>560</v>
      </c>
      <c r="C155" s="48" t="n">
        <v>416500</v>
      </c>
      <c r="D155" s="48" t="n">
        <f aca="false">E155-C155</f>
        <v>0</v>
      </c>
      <c r="E155" s="48" t="n">
        <v>416500</v>
      </c>
    </row>
    <row r="156" customFormat="false" ht="15" hidden="false" customHeight="true" outlineLevel="0" collapsed="false">
      <c r="A156" s="47" t="s">
        <v>23</v>
      </c>
      <c r="B156" s="13" t="s">
        <v>561</v>
      </c>
      <c r="C156" s="48" t="n">
        <f aca="false">150000+136500+70000+60000</f>
        <v>416500</v>
      </c>
      <c r="D156" s="48" t="n">
        <f aca="false">E156-C156</f>
        <v>0</v>
      </c>
      <c r="E156" s="48" t="n">
        <v>416500</v>
      </c>
    </row>
    <row r="157" customFormat="false" ht="15" hidden="false" customHeight="true" outlineLevel="0" collapsed="false">
      <c r="A157" s="47" t="s">
        <v>25</v>
      </c>
      <c r="B157" s="13" t="s">
        <v>562</v>
      </c>
      <c r="C157" s="48" t="n">
        <f aca="false">200000+216500</f>
        <v>416500</v>
      </c>
      <c r="D157" s="48" t="n">
        <f aca="false">E157-C157</f>
        <v>0</v>
      </c>
      <c r="E157" s="48" t="n">
        <v>416500</v>
      </c>
    </row>
    <row r="158" customFormat="false" ht="15" hidden="false" customHeight="true" outlineLevel="0" collapsed="false">
      <c r="A158" s="47" t="s">
        <v>27</v>
      </c>
      <c r="B158" s="13" t="s">
        <v>563</v>
      </c>
      <c r="C158" s="48" t="n">
        <f aca="false">250000+166500</f>
        <v>416500</v>
      </c>
      <c r="D158" s="48" t="n">
        <f aca="false">E158-C158</f>
        <v>0</v>
      </c>
      <c r="E158" s="48" t="n">
        <v>416500</v>
      </c>
    </row>
    <row r="159" customFormat="false" ht="15" hidden="false" customHeight="true" outlineLevel="0" collapsed="false">
      <c r="A159" s="47" t="s">
        <v>29</v>
      </c>
      <c r="B159" s="13" t="s">
        <v>564</v>
      </c>
      <c r="C159" s="48" t="n">
        <f aca="false">200000+216500</f>
        <v>416500</v>
      </c>
      <c r="D159" s="48" t="n">
        <f aca="false">E159-C159</f>
        <v>0</v>
      </c>
      <c r="E159" s="48" t="n">
        <v>416500</v>
      </c>
    </row>
    <row r="160" customFormat="false" ht="15" hidden="false" customHeight="true" outlineLevel="0" collapsed="false">
      <c r="A160" s="47" t="s">
        <v>31</v>
      </c>
      <c r="B160" s="13" t="s">
        <v>565</v>
      </c>
      <c r="C160" s="48" t="n">
        <f aca="false">120000+296500</f>
        <v>416500</v>
      </c>
      <c r="D160" s="48" t="n">
        <f aca="false">E160-C160</f>
        <v>0</v>
      </c>
      <c r="E160" s="48" t="n">
        <v>416500</v>
      </c>
    </row>
    <row r="161" customFormat="false" ht="15" hidden="false" customHeight="true" outlineLevel="0" collapsed="false">
      <c r="A161" s="47" t="s">
        <v>33</v>
      </c>
      <c r="B161" s="13" t="s">
        <v>566</v>
      </c>
      <c r="C161" s="48" t="n">
        <v>400000</v>
      </c>
      <c r="D161" s="48" t="n">
        <f aca="false">E161-C161</f>
        <v>16500</v>
      </c>
      <c r="E161" s="48" t="n">
        <v>416500</v>
      </c>
    </row>
    <row r="162" customFormat="false" ht="15" hidden="false" customHeight="true" outlineLevel="0" collapsed="false">
      <c r="A162" s="47" t="s">
        <v>35</v>
      </c>
      <c r="B162" s="13" t="s">
        <v>567</v>
      </c>
      <c r="C162" s="48" t="n">
        <v>416500</v>
      </c>
      <c r="D162" s="48" t="n">
        <f aca="false">E162-C162</f>
        <v>0</v>
      </c>
      <c r="E162" s="48" t="n">
        <v>416500</v>
      </c>
    </row>
    <row r="163" customFormat="false" ht="15" hidden="false" customHeight="true" outlineLevel="0" collapsed="false">
      <c r="A163" s="47" t="s">
        <v>37</v>
      </c>
      <c r="B163" s="13" t="s">
        <v>568</v>
      </c>
      <c r="C163" s="48" t="n">
        <f aca="false">210000+500+206000</f>
        <v>416500</v>
      </c>
      <c r="D163" s="48" t="n">
        <f aca="false">E163-C163</f>
        <v>0</v>
      </c>
      <c r="E163" s="48" t="n">
        <v>416500</v>
      </c>
    </row>
    <row r="164" customFormat="false" ht="15" hidden="false" customHeight="true" outlineLevel="0" collapsed="false">
      <c r="A164" s="47" t="s">
        <v>39</v>
      </c>
      <c r="B164" s="13" t="s">
        <v>569</v>
      </c>
      <c r="C164" s="48" t="n">
        <f aca="false">75000+50000+50000+50000+150000+41500</f>
        <v>416500</v>
      </c>
      <c r="D164" s="48" t="n">
        <f aca="false">E164-C164</f>
        <v>0</v>
      </c>
      <c r="E164" s="48" t="n">
        <v>416500</v>
      </c>
    </row>
    <row r="165" customFormat="false" ht="15" hidden="false" customHeight="true" outlineLevel="0" collapsed="false">
      <c r="A165" s="47" t="s">
        <v>41</v>
      </c>
      <c r="B165" s="13" t="s">
        <v>570</v>
      </c>
      <c r="C165" s="48" t="n">
        <f aca="false">150000+100000+50000+116500</f>
        <v>416500</v>
      </c>
      <c r="D165" s="48" t="n">
        <f aca="false">E165-C165</f>
        <v>0</v>
      </c>
      <c r="E165" s="48" t="n">
        <v>416500</v>
      </c>
    </row>
    <row r="166" customFormat="false" ht="15" hidden="false" customHeight="true" outlineLevel="0" collapsed="false">
      <c r="A166" s="47" t="s">
        <v>43</v>
      </c>
      <c r="B166" s="13" t="s">
        <v>571</v>
      </c>
      <c r="C166" s="48" t="n">
        <f aca="false">16500+300000+100000</f>
        <v>416500</v>
      </c>
      <c r="D166" s="48" t="n">
        <f aca="false">E166-C166</f>
        <v>0</v>
      </c>
      <c r="E166" s="48" t="n">
        <v>416500</v>
      </c>
    </row>
    <row r="167" customFormat="false" ht="15" hidden="false" customHeight="true" outlineLevel="0" collapsed="false">
      <c r="A167" s="47" t="s">
        <v>45</v>
      </c>
      <c r="B167" s="13" t="s">
        <v>572</v>
      </c>
      <c r="C167" s="48" t="n">
        <f aca="false">116500+300000</f>
        <v>416500</v>
      </c>
      <c r="D167" s="48" t="n">
        <f aca="false">E167-C167</f>
        <v>0</v>
      </c>
      <c r="E167" s="48" t="n">
        <v>416500</v>
      </c>
    </row>
    <row r="168" customFormat="false" ht="15" hidden="false" customHeight="true" outlineLevel="0" collapsed="false">
      <c r="A168" s="47" t="s">
        <v>47</v>
      </c>
      <c r="B168" s="13" t="s">
        <v>573</v>
      </c>
      <c r="C168" s="48" t="n">
        <f aca="false">200000+100000+116500</f>
        <v>416500</v>
      </c>
      <c r="D168" s="48" t="n">
        <f aca="false">E168-C168</f>
        <v>0</v>
      </c>
      <c r="E168" s="48" t="n">
        <v>416500</v>
      </c>
    </row>
    <row r="169" customFormat="false" ht="15" hidden="false" customHeight="true" outlineLevel="0" collapsed="false">
      <c r="A169" s="47" t="s">
        <v>49</v>
      </c>
      <c r="B169" s="13" t="s">
        <v>574</v>
      </c>
      <c r="C169" s="48"/>
      <c r="D169" s="48" t="n">
        <f aca="false">E169-C169</f>
        <v>416500</v>
      </c>
      <c r="E169" s="48" t="n">
        <v>416500</v>
      </c>
    </row>
    <row r="170" customFormat="false" ht="15" hidden="false" customHeight="true" outlineLevel="0" collapsed="false">
      <c r="A170" s="47" t="s">
        <v>51</v>
      </c>
      <c r="B170" s="13" t="s">
        <v>575</v>
      </c>
      <c r="C170" s="48"/>
      <c r="D170" s="48" t="n">
        <f aca="false">E170-C170</f>
        <v>416500</v>
      </c>
      <c r="E170" s="48" t="n">
        <v>416500</v>
      </c>
    </row>
    <row r="171" customFormat="false" ht="15" hidden="false" customHeight="true" outlineLevel="0" collapsed="false">
      <c r="A171" s="47" t="s">
        <v>53</v>
      </c>
      <c r="B171" s="13" t="s">
        <v>576</v>
      </c>
      <c r="C171" s="48" t="n">
        <f aca="false">220000+197000</f>
        <v>417000</v>
      </c>
      <c r="D171" s="48" t="n">
        <f aca="false">E171-C171</f>
        <v>-500</v>
      </c>
      <c r="E171" s="48" t="n">
        <v>416500</v>
      </c>
    </row>
    <row r="172" customFormat="false" ht="15" hidden="false" customHeight="true" outlineLevel="0" collapsed="false">
      <c r="A172" s="47" t="s">
        <v>55</v>
      </c>
      <c r="B172" s="13" t="s">
        <v>577</v>
      </c>
      <c r="C172" s="48" t="n">
        <f aca="false">43500+240000+100000+33000</f>
        <v>416500</v>
      </c>
      <c r="D172" s="48" t="n">
        <f aca="false">E172-C172</f>
        <v>0</v>
      </c>
      <c r="E172" s="48" t="n">
        <v>416500</v>
      </c>
    </row>
    <row r="173" customFormat="false" ht="15" hidden="false" customHeight="true" outlineLevel="0" collapsed="false">
      <c r="A173" s="47" t="s">
        <v>141</v>
      </c>
      <c r="B173" s="13" t="s">
        <v>578</v>
      </c>
      <c r="C173" s="48" t="n">
        <v>416500</v>
      </c>
      <c r="D173" s="48" t="n">
        <f aca="false">E173-C173</f>
        <v>0</v>
      </c>
      <c r="E173" s="48" t="n">
        <v>416500</v>
      </c>
    </row>
    <row r="174" customFormat="false" ht="15" hidden="false" customHeight="true" outlineLevel="0" collapsed="false">
      <c r="A174" s="47" t="s">
        <v>143</v>
      </c>
      <c r="B174" s="13" t="s">
        <v>579</v>
      </c>
      <c r="C174" s="48" t="n">
        <f aca="false">100000+100000+145000+71500</f>
        <v>416500</v>
      </c>
      <c r="D174" s="48" t="n">
        <f aca="false">E174-C174</f>
        <v>0</v>
      </c>
      <c r="E174" s="48" t="n">
        <v>416500</v>
      </c>
    </row>
    <row r="175" customFormat="false" ht="15" hidden="false" customHeight="true" outlineLevel="0" collapsed="false">
      <c r="A175" s="47" t="s">
        <v>145</v>
      </c>
      <c r="B175" s="13" t="s">
        <v>580</v>
      </c>
      <c r="C175" s="48" t="n">
        <v>20000</v>
      </c>
      <c r="D175" s="48" t="n">
        <f aca="false">E175-C175</f>
        <v>396500</v>
      </c>
      <c r="E175" s="48" t="n">
        <v>416500</v>
      </c>
    </row>
    <row r="176" customFormat="false" ht="15" hidden="false" customHeight="true" outlineLevel="0" collapsed="false">
      <c r="A176" s="47" t="s">
        <v>147</v>
      </c>
      <c r="B176" s="13" t="s">
        <v>581</v>
      </c>
      <c r="C176" s="48" t="n">
        <f aca="false">100000+50000+60000+100000+106500</f>
        <v>416500</v>
      </c>
      <c r="D176" s="48" t="n">
        <f aca="false">E176-C176</f>
        <v>0</v>
      </c>
      <c r="E176" s="48" t="n">
        <v>416500</v>
      </c>
    </row>
    <row r="177" customFormat="false" ht="15" hidden="false" customHeight="true" outlineLevel="0" collapsed="false">
      <c r="A177" s="47" t="s">
        <v>149</v>
      </c>
      <c r="B177" s="13" t="s">
        <v>582</v>
      </c>
      <c r="C177" s="48" t="n">
        <v>16500</v>
      </c>
      <c r="D177" s="48" t="n">
        <f aca="false">E177-C177</f>
        <v>400000</v>
      </c>
      <c r="E177" s="48" t="n">
        <v>416500</v>
      </c>
    </row>
    <row r="178" customFormat="false" ht="15" hidden="false" customHeight="true" outlineLevel="0" collapsed="false">
      <c r="A178" s="47" t="s">
        <v>151</v>
      </c>
      <c r="B178" s="13" t="s">
        <v>583</v>
      </c>
      <c r="C178" s="48" t="n">
        <v>100000</v>
      </c>
      <c r="D178" s="48" t="n">
        <f aca="false">E178-C178</f>
        <v>316500</v>
      </c>
      <c r="E178" s="48" t="n">
        <v>416500</v>
      </c>
    </row>
    <row r="179" customFormat="false" ht="15" hidden="false" customHeight="true" outlineLevel="0" collapsed="false">
      <c r="A179" s="47" t="s">
        <v>153</v>
      </c>
      <c r="B179" s="13" t="s">
        <v>584</v>
      </c>
      <c r="C179" s="48"/>
      <c r="D179" s="48" t="n">
        <f aca="false">E179-C179</f>
        <v>416500</v>
      </c>
      <c r="E179" s="48" t="n">
        <v>416500</v>
      </c>
    </row>
    <row r="180" customFormat="false" ht="15" hidden="false" customHeight="true" outlineLevel="0" collapsed="false">
      <c r="A180" s="47" t="s">
        <v>155</v>
      </c>
      <c r="B180" s="13" t="s">
        <v>585</v>
      </c>
      <c r="C180" s="48" t="n">
        <v>116000</v>
      </c>
      <c r="D180" s="48" t="n">
        <f aca="false">E180-C180</f>
        <v>300500</v>
      </c>
      <c r="E180" s="48" t="n">
        <v>416500</v>
      </c>
    </row>
    <row r="181" customFormat="false" ht="15" hidden="false" customHeight="true" outlineLevel="0" collapsed="false">
      <c r="A181" s="47" t="s">
        <v>157</v>
      </c>
      <c r="B181" s="13" t="s">
        <v>586</v>
      </c>
      <c r="C181" s="48" t="n">
        <f aca="false">13500+300000+104000</f>
        <v>417500</v>
      </c>
      <c r="D181" s="48" t="n">
        <f aca="false">E181-C181</f>
        <v>-1000</v>
      </c>
      <c r="E181" s="48" t="n">
        <v>416500</v>
      </c>
    </row>
    <row r="182" customFormat="false" ht="15" hidden="false" customHeight="true" outlineLevel="0" collapsed="false">
      <c r="A182" s="47" t="s">
        <v>159</v>
      </c>
      <c r="B182" s="13" t="s">
        <v>587</v>
      </c>
      <c r="C182" s="48" t="n">
        <f aca="false">120500+56000+150000+90000</f>
        <v>416500</v>
      </c>
      <c r="D182" s="48" t="n">
        <f aca="false">E182-C182</f>
        <v>0</v>
      </c>
      <c r="E182" s="48" t="n">
        <v>416500</v>
      </c>
    </row>
    <row r="183" customFormat="false" ht="15" hidden="false" customHeight="true" outlineLevel="0" collapsed="false">
      <c r="A183" s="47" t="s">
        <v>161</v>
      </c>
      <c r="B183" s="13" t="s">
        <v>588</v>
      </c>
      <c r="C183" s="48" t="n">
        <v>416500</v>
      </c>
      <c r="D183" s="48" t="n">
        <f aca="false">E183-C183</f>
        <v>0</v>
      </c>
      <c r="E183" s="48" t="n">
        <v>416500</v>
      </c>
    </row>
    <row r="184" customFormat="false" ht="15" hidden="false" customHeight="true" outlineLevel="0" collapsed="false">
      <c r="A184" s="55"/>
      <c r="B184" s="56" t="s">
        <v>175</v>
      </c>
      <c r="C184" s="50" t="n">
        <f aca="false">SUM(C148:C183)</f>
        <v>12316000</v>
      </c>
      <c r="D184" s="50" t="n">
        <f aca="false">E184-C184</f>
        <v>2678000</v>
      </c>
      <c r="E184" s="50" t="n">
        <f aca="false">SUM(E148:E183)</f>
        <v>14994000</v>
      </c>
    </row>
    <row r="185" customFormat="false" ht="15" hidden="false" customHeight="true" outlineLevel="0" collapsed="false">
      <c r="A185" s="57"/>
      <c r="B185" s="58"/>
      <c r="C185" s="52"/>
      <c r="D185" s="52"/>
      <c r="E185" s="52"/>
    </row>
    <row r="186" customFormat="false" ht="15" hidden="false" customHeight="true" outlineLevel="0" collapsed="false">
      <c r="A186" s="57"/>
      <c r="B186" s="58"/>
      <c r="C186" s="52"/>
      <c r="D186" s="52"/>
      <c r="E186" s="52"/>
    </row>
    <row r="187" customFormat="false" ht="15" hidden="false" customHeight="true" outlineLevel="0" collapsed="false">
      <c r="A187" s="57"/>
      <c r="B187" s="58"/>
      <c r="C187" s="52"/>
      <c r="D187" s="52"/>
      <c r="E187" s="52"/>
    </row>
    <row r="188" customFormat="false" ht="15" hidden="false" customHeight="true" outlineLevel="0" collapsed="false">
      <c r="A188" s="57"/>
      <c r="B188" s="58"/>
      <c r="C188" s="52"/>
      <c r="D188" s="52"/>
      <c r="E188" s="52"/>
    </row>
    <row r="189" customFormat="false" ht="15" hidden="false" customHeight="true" outlineLevel="0" collapsed="false">
      <c r="A189" s="57"/>
      <c r="B189" s="58"/>
      <c r="C189" s="52"/>
      <c r="D189" s="52"/>
      <c r="E189" s="52"/>
    </row>
    <row r="190" customFormat="false" ht="15" hidden="false" customHeight="true" outlineLevel="0" collapsed="false">
      <c r="A190" s="57"/>
      <c r="B190" s="58"/>
      <c r="C190" s="52"/>
      <c r="D190" s="52"/>
      <c r="E190" s="52"/>
    </row>
    <row r="191" customFormat="false" ht="15" hidden="false" customHeight="true" outlineLevel="0" collapsed="false">
      <c r="A191" s="57"/>
      <c r="B191" s="58"/>
      <c r="C191" s="52"/>
      <c r="D191" s="52"/>
      <c r="E191" s="52"/>
    </row>
    <row r="192" customFormat="false" ht="15" hidden="false" customHeight="true" outlineLevel="0" collapsed="false">
      <c r="A192" s="57"/>
      <c r="B192" s="58"/>
      <c r="C192" s="52"/>
      <c r="D192" s="52"/>
      <c r="E192" s="52"/>
    </row>
    <row r="193" customFormat="false" ht="15" hidden="false" customHeight="true" outlineLevel="0" collapsed="false">
      <c r="A193" s="57"/>
      <c r="B193" s="58"/>
      <c r="C193" s="52"/>
      <c r="D193" s="52"/>
      <c r="E193" s="52"/>
    </row>
    <row r="194" customFormat="false" ht="15" hidden="false" customHeight="true" outlineLevel="0" collapsed="false">
      <c r="A194" s="57"/>
      <c r="B194" s="58"/>
      <c r="C194" s="52"/>
      <c r="D194" s="52"/>
      <c r="E194" s="52"/>
    </row>
    <row r="195" customFormat="false" ht="15" hidden="false" customHeight="true" outlineLevel="0" collapsed="false">
      <c r="A195" s="57"/>
      <c r="B195" s="58"/>
      <c r="C195" s="52"/>
      <c r="D195" s="52"/>
      <c r="E195" s="52"/>
    </row>
    <row r="196" customFormat="false" ht="15.75" hidden="false" customHeight="true" outlineLevel="0" collapsed="false">
      <c r="A196" s="57"/>
      <c r="B196" s="40" t="s">
        <v>0</v>
      </c>
      <c r="C196" s="52"/>
      <c r="D196" s="52"/>
      <c r="E196" s="52"/>
    </row>
    <row r="197" customFormat="false" ht="15" hidden="false" customHeight="true" outlineLevel="0" collapsed="false">
      <c r="A197" s="59" t="s">
        <v>589</v>
      </c>
      <c r="B197" s="60"/>
      <c r="C197" s="43"/>
      <c r="D197" s="43"/>
      <c r="E197" s="43"/>
    </row>
    <row r="198" customFormat="false" ht="15" hidden="false" customHeight="true" outlineLevel="0" collapsed="false">
      <c r="A198" s="61"/>
      <c r="B198" s="62"/>
      <c r="C198" s="44"/>
      <c r="D198" s="44"/>
      <c r="E198" s="44"/>
    </row>
    <row r="199" customFormat="false" ht="15" hidden="false" customHeight="true" outlineLevel="0" collapsed="false">
      <c r="A199" s="45" t="s">
        <v>2</v>
      </c>
      <c r="B199" s="45" t="s">
        <v>3</v>
      </c>
      <c r="C199" s="46" t="s">
        <v>4</v>
      </c>
      <c r="D199" s="45" t="s">
        <v>5</v>
      </c>
      <c r="E199" s="46" t="s">
        <v>6</v>
      </c>
    </row>
    <row r="200" customFormat="false" ht="15" hidden="false" customHeight="true" outlineLevel="0" collapsed="false">
      <c r="A200" s="47" t="s">
        <v>7</v>
      </c>
      <c r="B200" s="13" t="s">
        <v>590</v>
      </c>
      <c r="C200" s="48" t="n">
        <f aca="false">68500+110000</f>
        <v>178500</v>
      </c>
      <c r="D200" s="48" t="n">
        <f aca="false">E200-C200</f>
        <v>238000</v>
      </c>
      <c r="E200" s="48" t="n">
        <v>416500</v>
      </c>
    </row>
    <row r="201" customFormat="false" ht="15" hidden="false" customHeight="true" outlineLevel="0" collapsed="false">
      <c r="A201" s="47" t="s">
        <v>9</v>
      </c>
      <c r="B201" s="13" t="s">
        <v>591</v>
      </c>
      <c r="C201" s="48" t="n">
        <v>416500</v>
      </c>
      <c r="D201" s="48" t="n">
        <f aca="false">E201-C201</f>
        <v>0</v>
      </c>
      <c r="E201" s="48" t="n">
        <v>416500</v>
      </c>
    </row>
    <row r="202" customFormat="false" ht="15" hidden="false" customHeight="true" outlineLevel="0" collapsed="false">
      <c r="A202" s="47" t="s">
        <v>11</v>
      </c>
      <c r="B202" s="13" t="s">
        <v>592</v>
      </c>
      <c r="C202" s="48" t="n">
        <f aca="false">200000+217000</f>
        <v>417000</v>
      </c>
      <c r="D202" s="48" t="n">
        <f aca="false">E202-C202</f>
        <v>-500</v>
      </c>
      <c r="E202" s="48" t="n">
        <v>416500</v>
      </c>
    </row>
    <row r="203" customFormat="false" ht="15" hidden="false" customHeight="true" outlineLevel="0" collapsed="false">
      <c r="A203" s="47" t="s">
        <v>13</v>
      </c>
      <c r="B203" s="13" t="s">
        <v>593</v>
      </c>
      <c r="C203" s="48" t="n">
        <v>416500</v>
      </c>
      <c r="D203" s="48" t="n">
        <f aca="false">E203-C203</f>
        <v>0</v>
      </c>
      <c r="E203" s="48" t="n">
        <v>416500</v>
      </c>
    </row>
    <row r="204" customFormat="false" ht="15" hidden="false" customHeight="true" outlineLevel="0" collapsed="false">
      <c r="A204" s="47" t="s">
        <v>15</v>
      </c>
      <c r="B204" s="13" t="s">
        <v>594</v>
      </c>
      <c r="C204" s="48" t="n">
        <v>416500</v>
      </c>
      <c r="D204" s="48" t="n">
        <f aca="false">E204-C204</f>
        <v>0</v>
      </c>
      <c r="E204" s="48" t="n">
        <v>416500</v>
      </c>
    </row>
    <row r="205" customFormat="false" ht="15" hidden="false" customHeight="true" outlineLevel="0" collapsed="false">
      <c r="A205" s="47" t="s">
        <v>17</v>
      </c>
      <c r="B205" s="13" t="s">
        <v>595</v>
      </c>
      <c r="C205" s="48" t="n">
        <v>416500</v>
      </c>
      <c r="D205" s="48" t="n">
        <f aca="false">E205-C205</f>
        <v>0</v>
      </c>
      <c r="E205" s="48" t="n">
        <v>416500</v>
      </c>
    </row>
    <row r="206" customFormat="false" ht="15" hidden="false" customHeight="true" outlineLevel="0" collapsed="false">
      <c r="A206" s="47" t="s">
        <v>19</v>
      </c>
      <c r="B206" s="13" t="s">
        <v>596</v>
      </c>
      <c r="C206" s="48" t="n">
        <f aca="false">100000+100000+216500</f>
        <v>416500</v>
      </c>
      <c r="D206" s="48" t="n">
        <f aca="false">E206-C206</f>
        <v>0</v>
      </c>
      <c r="E206" s="48" t="n">
        <v>416500</v>
      </c>
    </row>
    <row r="207" customFormat="false" ht="15" hidden="false" customHeight="true" outlineLevel="0" collapsed="false">
      <c r="A207" s="47" t="s">
        <v>21</v>
      </c>
      <c r="B207" s="13" t="s">
        <v>597</v>
      </c>
      <c r="C207" s="48" t="n">
        <v>416500</v>
      </c>
      <c r="D207" s="48" t="n">
        <f aca="false">E207-C207</f>
        <v>0</v>
      </c>
      <c r="E207" s="48" t="n">
        <v>416500</v>
      </c>
    </row>
    <row r="208" customFormat="false" ht="15" hidden="false" customHeight="true" outlineLevel="0" collapsed="false">
      <c r="A208" s="47" t="s">
        <v>23</v>
      </c>
      <c r="B208" s="13" t="s">
        <v>598</v>
      </c>
      <c r="C208" s="48" t="n">
        <v>416500</v>
      </c>
      <c r="D208" s="48" t="n">
        <f aca="false">E208-C208</f>
        <v>0</v>
      </c>
      <c r="E208" s="48" t="n">
        <v>416500</v>
      </c>
    </row>
    <row r="209" customFormat="false" ht="15" hidden="false" customHeight="true" outlineLevel="0" collapsed="false">
      <c r="A209" s="47" t="s">
        <v>25</v>
      </c>
      <c r="B209" s="13" t="s">
        <v>599</v>
      </c>
      <c r="C209" s="48" t="n">
        <v>416500</v>
      </c>
      <c r="D209" s="48" t="n">
        <f aca="false">E209-C209</f>
        <v>0</v>
      </c>
      <c r="E209" s="48" t="n">
        <v>416500</v>
      </c>
    </row>
    <row r="210" customFormat="false" ht="15" hidden="false" customHeight="true" outlineLevel="0" collapsed="false">
      <c r="A210" s="47" t="s">
        <v>27</v>
      </c>
      <c r="B210" s="13" t="s">
        <v>600</v>
      </c>
      <c r="C210" s="48" t="n">
        <f aca="false">125000+125000+166500</f>
        <v>416500</v>
      </c>
      <c r="D210" s="48" t="n">
        <f aca="false">E210-C210</f>
        <v>0</v>
      </c>
      <c r="E210" s="48" t="n">
        <v>416500</v>
      </c>
    </row>
    <row r="211" customFormat="false" ht="15" hidden="false" customHeight="true" outlineLevel="0" collapsed="false">
      <c r="A211" s="47" t="s">
        <v>29</v>
      </c>
      <c r="B211" s="13" t="s">
        <v>601</v>
      </c>
      <c r="C211" s="48" t="n">
        <f aca="false">100000+100000+216500</f>
        <v>416500</v>
      </c>
      <c r="D211" s="48" t="n">
        <f aca="false">E211-C211</f>
        <v>0</v>
      </c>
      <c r="E211" s="48" t="n">
        <v>416500</v>
      </c>
    </row>
    <row r="212" customFormat="false" ht="15" hidden="false" customHeight="true" outlineLevel="0" collapsed="false">
      <c r="A212" s="47" t="s">
        <v>31</v>
      </c>
      <c r="B212" s="13" t="s">
        <v>602</v>
      </c>
      <c r="C212" s="48" t="n">
        <v>271500</v>
      </c>
      <c r="D212" s="48" t="n">
        <f aca="false">E212-C212</f>
        <v>145000</v>
      </c>
      <c r="E212" s="48" t="n">
        <v>416500</v>
      </c>
    </row>
    <row r="213" customFormat="false" ht="15" hidden="false" customHeight="true" outlineLevel="0" collapsed="false">
      <c r="A213" s="47" t="s">
        <v>33</v>
      </c>
      <c r="B213" s="13" t="s">
        <v>603</v>
      </c>
      <c r="C213" s="48" t="n">
        <v>220000</v>
      </c>
      <c r="D213" s="48" t="n">
        <f aca="false">E213-C213</f>
        <v>196500</v>
      </c>
      <c r="E213" s="48" t="n">
        <v>416500</v>
      </c>
    </row>
    <row r="214" customFormat="false" ht="15" hidden="false" customHeight="true" outlineLevel="0" collapsed="false">
      <c r="A214" s="47" t="s">
        <v>35</v>
      </c>
      <c r="B214" s="13" t="s">
        <v>604</v>
      </c>
      <c r="C214" s="48" t="n">
        <f aca="false">30000+100000+286500</f>
        <v>416500</v>
      </c>
      <c r="D214" s="48" t="n">
        <f aca="false">E214-C214</f>
        <v>0</v>
      </c>
      <c r="E214" s="48" t="n">
        <v>416500</v>
      </c>
    </row>
    <row r="215" customFormat="false" ht="15" hidden="false" customHeight="true" outlineLevel="0" collapsed="false">
      <c r="A215" s="47" t="s">
        <v>37</v>
      </c>
      <c r="B215" s="13" t="s">
        <v>605</v>
      </c>
      <c r="C215" s="48" t="n">
        <f aca="false">100000+316500</f>
        <v>416500</v>
      </c>
      <c r="D215" s="48" t="n">
        <f aca="false">E215-C215</f>
        <v>0</v>
      </c>
      <c r="E215" s="48" t="n">
        <v>416500</v>
      </c>
    </row>
    <row r="216" customFormat="false" ht="15" hidden="false" customHeight="true" outlineLevel="0" collapsed="false">
      <c r="A216" s="47" t="s">
        <v>39</v>
      </c>
      <c r="B216" s="13" t="s">
        <v>606</v>
      </c>
      <c r="C216" s="48" t="n">
        <v>416500</v>
      </c>
      <c r="D216" s="48" t="n">
        <f aca="false">E216-C216</f>
        <v>0</v>
      </c>
      <c r="E216" s="48" t="n">
        <v>416500</v>
      </c>
    </row>
    <row r="217" customFormat="false" ht="15" hidden="false" customHeight="true" outlineLevel="0" collapsed="false">
      <c r="A217" s="47" t="s">
        <v>41</v>
      </c>
      <c r="B217" s="13" t="s">
        <v>607</v>
      </c>
      <c r="C217" s="48" t="n">
        <f aca="false">200000+200000+16500</f>
        <v>416500</v>
      </c>
      <c r="D217" s="48" t="n">
        <f aca="false">E217-C217</f>
        <v>0</v>
      </c>
      <c r="E217" s="48" t="n">
        <v>416500</v>
      </c>
    </row>
    <row r="218" customFormat="false" ht="15" hidden="false" customHeight="true" outlineLevel="0" collapsed="false">
      <c r="A218" s="47" t="s">
        <v>43</v>
      </c>
      <c r="B218" s="13" t="s">
        <v>608</v>
      </c>
      <c r="C218" s="48" t="n">
        <f aca="false">200000+216000+500</f>
        <v>416500</v>
      </c>
      <c r="D218" s="48" t="n">
        <f aca="false">E218-C218</f>
        <v>0</v>
      </c>
      <c r="E218" s="48" t="n">
        <v>416500</v>
      </c>
    </row>
    <row r="219" customFormat="false" ht="15" hidden="false" customHeight="true" outlineLevel="0" collapsed="false">
      <c r="A219" s="47" t="s">
        <v>45</v>
      </c>
      <c r="B219" s="13" t="s">
        <v>609</v>
      </c>
      <c r="C219" s="48" t="n">
        <v>416500</v>
      </c>
      <c r="D219" s="48" t="n">
        <f aca="false">E219-C219</f>
        <v>0</v>
      </c>
      <c r="E219" s="48" t="n">
        <v>416500</v>
      </c>
    </row>
    <row r="220" customFormat="false" ht="15" hidden="false" customHeight="true" outlineLevel="0" collapsed="false">
      <c r="A220" s="47" t="s">
        <v>47</v>
      </c>
      <c r="B220" s="13" t="s">
        <v>610</v>
      </c>
      <c r="C220" s="48" t="n">
        <f aca="false">200000+216500</f>
        <v>416500</v>
      </c>
      <c r="D220" s="48" t="n">
        <f aca="false">E220-C220</f>
        <v>0</v>
      </c>
      <c r="E220" s="48" t="n">
        <v>416500</v>
      </c>
    </row>
    <row r="221" customFormat="false" ht="15" hidden="false" customHeight="true" outlineLevel="0" collapsed="false">
      <c r="A221" s="47" t="s">
        <v>49</v>
      </c>
      <c r="B221" s="13" t="s">
        <v>611</v>
      </c>
      <c r="C221" s="48" t="n">
        <f aca="false">100000+100000+216500</f>
        <v>416500</v>
      </c>
      <c r="D221" s="48" t="n">
        <f aca="false">E221-C221</f>
        <v>0</v>
      </c>
      <c r="E221" s="48" t="n">
        <v>416500</v>
      </c>
    </row>
    <row r="222" customFormat="false" ht="15" hidden="false" customHeight="true" outlineLevel="0" collapsed="false">
      <c r="A222" s="47" t="s">
        <v>51</v>
      </c>
      <c r="B222" s="13" t="s">
        <v>612</v>
      </c>
      <c r="C222" s="48" t="n">
        <v>416500</v>
      </c>
      <c r="D222" s="48" t="n">
        <f aca="false">E222-C222</f>
        <v>0</v>
      </c>
      <c r="E222" s="48" t="n">
        <v>416500</v>
      </c>
    </row>
    <row r="223" customFormat="false" ht="15" hidden="false" customHeight="true" outlineLevel="0" collapsed="false">
      <c r="A223" s="47" t="s">
        <v>53</v>
      </c>
      <c r="B223" s="13" t="s">
        <v>613</v>
      </c>
      <c r="C223" s="48" t="n">
        <v>416500</v>
      </c>
      <c r="D223" s="48" t="n">
        <f aca="false">E223-C223</f>
        <v>0</v>
      </c>
      <c r="E223" s="48" t="n">
        <v>416500</v>
      </c>
    </row>
    <row r="224" customFormat="false" ht="15" hidden="false" customHeight="true" outlineLevel="0" collapsed="false">
      <c r="A224" s="47" t="s">
        <v>55</v>
      </c>
      <c r="B224" s="13" t="s">
        <v>614</v>
      </c>
      <c r="C224" s="48" t="n">
        <f aca="false">16000+80000</f>
        <v>96000</v>
      </c>
      <c r="D224" s="48" t="n">
        <f aca="false">E224-C224</f>
        <v>320500</v>
      </c>
      <c r="E224" s="48" t="n">
        <v>416500</v>
      </c>
    </row>
    <row r="225" customFormat="false" ht="15" hidden="false" customHeight="true" outlineLevel="0" collapsed="false">
      <c r="A225" s="47" t="s">
        <v>141</v>
      </c>
      <c r="B225" s="13" t="s">
        <v>615</v>
      </c>
      <c r="C225" s="48" t="n">
        <f aca="false">100000+316500</f>
        <v>416500</v>
      </c>
      <c r="D225" s="48" t="n">
        <f aca="false">E225-C225</f>
        <v>0</v>
      </c>
      <c r="E225" s="48" t="n">
        <v>416500</v>
      </c>
    </row>
    <row r="226" customFormat="false" ht="15" hidden="false" customHeight="true" outlineLevel="0" collapsed="false">
      <c r="A226" s="47" t="s">
        <v>143</v>
      </c>
      <c r="B226" s="13" t="s">
        <v>616</v>
      </c>
      <c r="C226" s="48" t="n">
        <f aca="false">316500+100000</f>
        <v>416500</v>
      </c>
      <c r="D226" s="48" t="n">
        <f aca="false">E226-C226</f>
        <v>0</v>
      </c>
      <c r="E226" s="48" t="n">
        <v>416500</v>
      </c>
    </row>
    <row r="227" customFormat="false" ht="15" hidden="false" customHeight="true" outlineLevel="0" collapsed="false">
      <c r="A227" s="47" t="s">
        <v>145</v>
      </c>
      <c r="B227" s="13" t="s">
        <v>617</v>
      </c>
      <c r="C227" s="48" t="n">
        <v>30000</v>
      </c>
      <c r="D227" s="48" t="n">
        <f aca="false">E227-C227</f>
        <v>386500</v>
      </c>
      <c r="E227" s="48" t="n">
        <v>416500</v>
      </c>
    </row>
    <row r="228" customFormat="false" ht="15" hidden="false" customHeight="true" outlineLevel="0" collapsed="false">
      <c r="A228" s="47" t="s">
        <v>147</v>
      </c>
      <c r="B228" s="13" t="s">
        <v>618</v>
      </c>
      <c r="C228" s="48" t="n">
        <f aca="false">216500+200000</f>
        <v>416500</v>
      </c>
      <c r="D228" s="48" t="n">
        <f aca="false">E228-C228</f>
        <v>0</v>
      </c>
      <c r="E228" s="48" t="n">
        <v>416500</v>
      </c>
    </row>
    <row r="229" customFormat="false" ht="15" hidden="false" customHeight="true" outlineLevel="0" collapsed="false">
      <c r="A229" s="47" t="s">
        <v>149</v>
      </c>
      <c r="B229" s="13" t="s">
        <v>619</v>
      </c>
      <c r="C229" s="48" t="n">
        <f aca="false">100000+150000+166500</f>
        <v>416500</v>
      </c>
      <c r="D229" s="48" t="n">
        <f aca="false">E229-C229</f>
        <v>0</v>
      </c>
      <c r="E229" s="48" t="n">
        <v>416500</v>
      </c>
    </row>
    <row r="230" customFormat="false" ht="15" hidden="false" customHeight="true" outlineLevel="0" collapsed="false">
      <c r="A230" s="47" t="s">
        <v>151</v>
      </c>
      <c r="B230" s="13" t="s">
        <v>620</v>
      </c>
      <c r="C230" s="48" t="n">
        <f aca="false">100000+190000+76500+50000</f>
        <v>416500</v>
      </c>
      <c r="D230" s="48" t="n">
        <f aca="false">E230-C230</f>
        <v>0</v>
      </c>
      <c r="E230" s="48" t="n">
        <v>416500</v>
      </c>
    </row>
    <row r="231" customFormat="false" ht="15" hidden="false" customHeight="true" outlineLevel="0" collapsed="false">
      <c r="A231" s="47" t="s">
        <v>153</v>
      </c>
      <c r="B231" s="13" t="s">
        <v>621</v>
      </c>
      <c r="C231" s="48" t="n">
        <v>100000</v>
      </c>
      <c r="D231" s="48" t="n">
        <f aca="false">E231-C231</f>
        <v>316500</v>
      </c>
      <c r="E231" s="48" t="n">
        <v>416500</v>
      </c>
    </row>
    <row r="232" customFormat="false" ht="15" hidden="false" customHeight="true" outlineLevel="0" collapsed="false">
      <c r="A232" s="47" t="s">
        <v>155</v>
      </c>
      <c r="B232" s="13" t="s">
        <v>622</v>
      </c>
      <c r="C232" s="48" t="n">
        <v>416500</v>
      </c>
      <c r="D232" s="48" t="n">
        <f aca="false">E232-C232</f>
        <v>0</v>
      </c>
      <c r="E232" s="48" t="n">
        <v>416500</v>
      </c>
    </row>
    <row r="233" customFormat="false" ht="15" hidden="false" customHeight="true" outlineLevel="0" collapsed="false">
      <c r="A233" s="47" t="s">
        <v>157</v>
      </c>
      <c r="B233" s="13" t="s">
        <v>623</v>
      </c>
      <c r="C233" s="48" t="n">
        <v>416500</v>
      </c>
      <c r="D233" s="48" t="n">
        <f aca="false">E233-C233</f>
        <v>0</v>
      </c>
      <c r="E233" s="48" t="n">
        <v>416500</v>
      </c>
    </row>
    <row r="234" customFormat="false" ht="15" hidden="false" customHeight="true" outlineLevel="0" collapsed="false">
      <c r="A234" s="47" t="s">
        <v>159</v>
      </c>
      <c r="B234" s="13" t="s">
        <v>624</v>
      </c>
      <c r="C234" s="48"/>
      <c r="D234" s="48" t="n">
        <f aca="false">E234-C234</f>
        <v>416500</v>
      </c>
      <c r="E234" s="48" t="n">
        <v>416500</v>
      </c>
    </row>
    <row r="235" customFormat="false" ht="15" hidden="false" customHeight="true" outlineLevel="0" collapsed="false">
      <c r="A235" s="47" t="s">
        <v>161</v>
      </c>
      <c r="B235" s="13" t="s">
        <v>625</v>
      </c>
      <c r="C235" s="48" t="n">
        <v>416500</v>
      </c>
      <c r="D235" s="48" t="n">
        <f aca="false">E235-C235</f>
        <v>0</v>
      </c>
      <c r="E235" s="48" t="n">
        <v>416500</v>
      </c>
    </row>
    <row r="236" customFormat="false" ht="15" hidden="false" customHeight="true" outlineLevel="0" collapsed="false">
      <c r="A236" s="47" t="s">
        <v>163</v>
      </c>
      <c r="B236" s="13" t="s">
        <v>626</v>
      </c>
      <c r="C236" s="48" t="n">
        <v>416500</v>
      </c>
      <c r="D236" s="48" t="n">
        <f aca="false">E236-C236</f>
        <v>0</v>
      </c>
      <c r="E236" s="48" t="n">
        <v>416500</v>
      </c>
    </row>
    <row r="237" customFormat="false" ht="15" hidden="false" customHeight="true" outlineLevel="0" collapsed="false">
      <c r="A237" s="47" t="s">
        <v>165</v>
      </c>
      <c r="B237" s="13" t="s">
        <v>627</v>
      </c>
      <c r="C237" s="48" t="n">
        <f aca="false">16500+90000+50000+81500+178500</f>
        <v>416500</v>
      </c>
      <c r="D237" s="48" t="n">
        <f aca="false">E237-C237</f>
        <v>0</v>
      </c>
      <c r="E237" s="48" t="n">
        <v>416500</v>
      </c>
    </row>
    <row r="238" customFormat="false" ht="15" hidden="false" customHeight="true" outlineLevel="0" collapsed="false">
      <c r="A238" s="47" t="s">
        <v>167</v>
      </c>
      <c r="B238" s="13" t="s">
        <v>628</v>
      </c>
      <c r="C238" s="48" t="n">
        <v>416500</v>
      </c>
      <c r="D238" s="48" t="n">
        <f aca="false">E238-C238</f>
        <v>0</v>
      </c>
      <c r="E238" s="48" t="n">
        <v>416500</v>
      </c>
    </row>
    <row r="239" customFormat="false" ht="15" hidden="false" customHeight="true" outlineLevel="0" collapsed="false">
      <c r="A239" s="47" t="s">
        <v>169</v>
      </c>
      <c r="B239" s="13" t="s">
        <v>629</v>
      </c>
      <c r="C239" s="48" t="n">
        <v>416500</v>
      </c>
      <c r="D239" s="48" t="n">
        <f aca="false">E239-C239</f>
        <v>0</v>
      </c>
      <c r="E239" s="48" t="n">
        <v>416500</v>
      </c>
    </row>
    <row r="240" customFormat="false" ht="15" hidden="false" customHeight="true" outlineLevel="0" collapsed="false">
      <c r="A240" s="47" t="s">
        <v>171</v>
      </c>
      <c r="B240" s="13" t="s">
        <v>630</v>
      </c>
      <c r="C240" s="48" t="n">
        <f aca="false">200000+216500</f>
        <v>416500</v>
      </c>
      <c r="D240" s="48" t="n">
        <f aca="false">E240-C240</f>
        <v>0</v>
      </c>
      <c r="E240" s="48" t="n">
        <v>416500</v>
      </c>
    </row>
    <row r="241" customFormat="false" ht="15" hidden="false" customHeight="true" outlineLevel="0" collapsed="false">
      <c r="A241" s="47" t="s">
        <v>173</v>
      </c>
      <c r="B241" s="13" t="s">
        <v>631</v>
      </c>
      <c r="C241" s="48" t="n">
        <f aca="false">83500+170000+35000+55000+73000</f>
        <v>416500</v>
      </c>
      <c r="D241" s="48" t="n">
        <f aca="false">E241-C241</f>
        <v>0</v>
      </c>
      <c r="E241" s="48" t="n">
        <v>416500</v>
      </c>
    </row>
    <row r="242" customFormat="false" ht="15" hidden="false" customHeight="true" outlineLevel="0" collapsed="false">
      <c r="A242" s="47" t="s">
        <v>394</v>
      </c>
      <c r="B242" s="13" t="s">
        <v>632</v>
      </c>
      <c r="C242" s="48" t="n">
        <f aca="false">101500+85000+15000+215000</f>
        <v>416500</v>
      </c>
      <c r="D242" s="48" t="n">
        <f aca="false">E242-C242</f>
        <v>0</v>
      </c>
      <c r="E242" s="48" t="n">
        <v>416500</v>
      </c>
    </row>
    <row r="243" customFormat="false" ht="15" hidden="false" customHeight="true" outlineLevel="0" collapsed="false">
      <c r="A243" s="47" t="s">
        <v>396</v>
      </c>
      <c r="B243" s="13" t="s">
        <v>633</v>
      </c>
      <c r="C243" s="48" t="n">
        <v>416500</v>
      </c>
      <c r="D243" s="48" t="n">
        <f aca="false">E243-C243</f>
        <v>0</v>
      </c>
      <c r="E243" s="48" t="n">
        <v>416500</v>
      </c>
    </row>
    <row r="244" customFormat="false" ht="15" hidden="false" customHeight="true" outlineLevel="0" collapsed="false">
      <c r="A244" s="47" t="s">
        <v>398</v>
      </c>
      <c r="B244" s="13" t="s">
        <v>634</v>
      </c>
      <c r="C244" s="48" t="n">
        <f aca="false">150000+100000</f>
        <v>250000</v>
      </c>
      <c r="D244" s="48" t="n">
        <f aca="false">E244-C244</f>
        <v>166500</v>
      </c>
      <c r="E244" s="48" t="n">
        <v>416500</v>
      </c>
    </row>
    <row r="245" customFormat="false" ht="15" hidden="false" customHeight="true" outlineLevel="0" collapsed="false">
      <c r="A245" s="47" t="s">
        <v>400</v>
      </c>
      <c r="B245" s="13" t="s">
        <v>635</v>
      </c>
      <c r="C245" s="48" t="n">
        <v>350000</v>
      </c>
      <c r="D245" s="48" t="n">
        <f aca="false">E245-C245</f>
        <v>66500</v>
      </c>
      <c r="E245" s="48" t="n">
        <v>416500</v>
      </c>
    </row>
    <row r="246" customFormat="false" ht="15" hidden="false" customHeight="true" outlineLevel="0" collapsed="false">
      <c r="A246" s="47" t="s">
        <v>402</v>
      </c>
      <c r="B246" s="13" t="s">
        <v>636</v>
      </c>
      <c r="C246" s="48" t="n">
        <f aca="false">200000+166500+50000</f>
        <v>416500</v>
      </c>
      <c r="D246" s="48" t="n">
        <f aca="false">E246-C246</f>
        <v>0</v>
      </c>
      <c r="E246" s="48" t="n">
        <v>416500</v>
      </c>
    </row>
    <row r="247" customFormat="false" ht="15" hidden="false" customHeight="true" outlineLevel="0" collapsed="false">
      <c r="A247" s="47" t="s">
        <v>404</v>
      </c>
      <c r="B247" s="13" t="s">
        <v>637</v>
      </c>
      <c r="C247" s="48" t="n">
        <f aca="false">191500+150000+75000</f>
        <v>416500</v>
      </c>
      <c r="D247" s="48" t="n">
        <f aca="false">E247-C247</f>
        <v>0</v>
      </c>
      <c r="E247" s="48" t="n">
        <v>416500</v>
      </c>
    </row>
    <row r="248" customFormat="false" ht="15" hidden="false" customHeight="true" outlineLevel="0" collapsed="false">
      <c r="A248" s="47" t="s">
        <v>406</v>
      </c>
      <c r="B248" s="13" t="s">
        <v>638</v>
      </c>
      <c r="C248" s="48" t="n">
        <f aca="false">100000+200000+116500</f>
        <v>416500</v>
      </c>
      <c r="D248" s="48" t="n">
        <f aca="false">E248-C248</f>
        <v>0</v>
      </c>
      <c r="E248" s="48" t="n">
        <v>416500</v>
      </c>
    </row>
    <row r="249" customFormat="false" ht="15" hidden="false" customHeight="true" outlineLevel="0" collapsed="false">
      <c r="A249" s="47" t="s">
        <v>408</v>
      </c>
      <c r="B249" s="13" t="s">
        <v>639</v>
      </c>
      <c r="C249" s="48" t="n">
        <f aca="false">200000+100000+116500</f>
        <v>416500</v>
      </c>
      <c r="D249" s="48" t="n">
        <f aca="false">E249-C249</f>
        <v>0</v>
      </c>
      <c r="E249" s="48" t="n">
        <v>416500</v>
      </c>
    </row>
    <row r="250" customFormat="false" ht="15" hidden="false" customHeight="true" outlineLevel="0" collapsed="false">
      <c r="A250" s="47" t="s">
        <v>410</v>
      </c>
      <c r="B250" s="63" t="s">
        <v>640</v>
      </c>
      <c r="C250" s="48" t="n">
        <v>416500</v>
      </c>
      <c r="D250" s="48" t="n">
        <f aca="false">E250-C250</f>
        <v>0</v>
      </c>
      <c r="E250" s="48" t="n">
        <v>416500</v>
      </c>
    </row>
    <row r="251" customFormat="false" ht="15" hidden="false" customHeight="true" outlineLevel="0" collapsed="false">
      <c r="A251" s="47" t="s">
        <v>412</v>
      </c>
      <c r="B251" s="63" t="s">
        <v>641</v>
      </c>
      <c r="C251" s="48" t="n">
        <v>416500</v>
      </c>
      <c r="D251" s="48" t="n">
        <f aca="false">E251-C251</f>
        <v>0</v>
      </c>
      <c r="E251" s="48" t="n">
        <v>416500</v>
      </c>
    </row>
    <row r="252" customFormat="false" ht="15" hidden="false" customHeight="true" outlineLevel="0" collapsed="false">
      <c r="A252" s="64"/>
      <c r="B252" s="65" t="s">
        <v>175</v>
      </c>
      <c r="C252" s="50" t="n">
        <f aca="false">SUM(C200:C251)</f>
        <v>19406000</v>
      </c>
      <c r="D252" s="50" t="n">
        <f aca="false">E252-C252</f>
        <v>2252000</v>
      </c>
      <c r="E252" s="50" t="n">
        <f aca="false">SUM(E200:E251)</f>
        <v>21658000</v>
      </c>
    </row>
    <row r="253" customFormat="false" ht="15" hidden="false" customHeight="true" outlineLevel="0" collapsed="false">
      <c r="A253" s="41"/>
      <c r="B253" s="58"/>
      <c r="C253" s="52"/>
      <c r="D253" s="52"/>
      <c r="E253" s="52"/>
    </row>
    <row r="254" customFormat="false" ht="15" hidden="false" customHeight="true" outlineLevel="0" collapsed="false">
      <c r="A254" s="41"/>
      <c r="B254" s="58"/>
      <c r="C254" s="52"/>
      <c r="D254" s="52"/>
      <c r="E254" s="52"/>
    </row>
    <row r="255" customFormat="false" ht="15" hidden="false" customHeight="true" outlineLevel="0" collapsed="false">
      <c r="A255" s="57"/>
      <c r="B255" s="58"/>
      <c r="C255" s="52"/>
      <c r="D255" s="52"/>
      <c r="E255" s="52"/>
    </row>
    <row r="256" customFormat="false" ht="15" hidden="false" customHeight="true" outlineLevel="0" collapsed="false">
      <c r="A256" s="57"/>
      <c r="B256" s="58"/>
      <c r="C256" s="52"/>
      <c r="D256" s="52"/>
      <c r="E256" s="52"/>
    </row>
    <row r="257" customFormat="false" ht="15" hidden="false" customHeight="true" outlineLevel="0" collapsed="false">
      <c r="A257" s="57"/>
      <c r="B257" s="58"/>
      <c r="C257" s="52"/>
      <c r="D257" s="52"/>
      <c r="E257" s="52"/>
    </row>
    <row r="258" customFormat="false" ht="17.25" hidden="false" customHeight="true" outlineLevel="0" collapsed="false">
      <c r="A258" s="57"/>
      <c r="B258" s="40" t="s">
        <v>0</v>
      </c>
      <c r="C258" s="52"/>
      <c r="D258" s="52"/>
      <c r="E258" s="52"/>
    </row>
    <row r="259" customFormat="false" ht="15" hidden="false" customHeight="true" outlineLevel="0" collapsed="false">
      <c r="A259" s="57"/>
      <c r="B259" s="58"/>
      <c r="C259" s="52"/>
      <c r="D259" s="52"/>
      <c r="E259" s="52"/>
    </row>
    <row r="260" customFormat="false" ht="18" hidden="false" customHeight="true" outlineLevel="0" collapsed="false">
      <c r="A260" s="43" t="s">
        <v>642</v>
      </c>
      <c r="B260" s="41"/>
      <c r="C260" s="43"/>
      <c r="D260" s="43"/>
      <c r="E260" s="43"/>
    </row>
    <row r="261" customFormat="false" ht="15" hidden="false" customHeight="true" outlineLevel="0" collapsed="false">
      <c r="A261" s="44"/>
      <c r="B261" s="53"/>
      <c r="C261" s="44"/>
      <c r="D261" s="44"/>
      <c r="E261" s="44"/>
    </row>
    <row r="262" customFormat="false" ht="15" hidden="false" customHeight="true" outlineLevel="0" collapsed="false">
      <c r="A262" s="45" t="s">
        <v>2</v>
      </c>
      <c r="B262" s="45" t="s">
        <v>3</v>
      </c>
      <c r="C262" s="46" t="s">
        <v>4</v>
      </c>
      <c r="D262" s="45" t="s">
        <v>5</v>
      </c>
      <c r="E262" s="46" t="s">
        <v>6</v>
      </c>
    </row>
    <row r="263" customFormat="false" ht="15" hidden="false" customHeight="true" outlineLevel="0" collapsed="false">
      <c r="A263" s="47" t="s">
        <v>7</v>
      </c>
      <c r="B263" s="13" t="s">
        <v>643</v>
      </c>
      <c r="C263" s="48" t="n">
        <f aca="false">100000+50000+266500</f>
        <v>416500</v>
      </c>
      <c r="D263" s="48" t="n">
        <f aca="false">E263-C263</f>
        <v>0</v>
      </c>
      <c r="E263" s="48" t="n">
        <v>416500</v>
      </c>
    </row>
    <row r="264" customFormat="false" ht="15" hidden="false" customHeight="true" outlineLevel="0" collapsed="false">
      <c r="A264" s="47" t="s">
        <v>9</v>
      </c>
      <c r="B264" s="13" t="s">
        <v>644</v>
      </c>
      <c r="C264" s="48" t="n">
        <f aca="false">220000+196500</f>
        <v>416500</v>
      </c>
      <c r="D264" s="48" t="n">
        <f aca="false">E264-C264</f>
        <v>0</v>
      </c>
      <c r="E264" s="48" t="n">
        <v>416500</v>
      </c>
    </row>
    <row r="265" customFormat="false" ht="15" hidden="false" customHeight="true" outlineLevel="0" collapsed="false">
      <c r="A265" s="47" t="s">
        <v>11</v>
      </c>
      <c r="B265" s="13" t="s">
        <v>645</v>
      </c>
      <c r="C265" s="48" t="n">
        <f aca="false">301500+115000</f>
        <v>416500</v>
      </c>
      <c r="D265" s="48" t="n">
        <f aca="false">E265-C265</f>
        <v>0</v>
      </c>
      <c r="E265" s="48" t="n">
        <v>416500</v>
      </c>
    </row>
    <row r="266" customFormat="false" ht="15" hidden="false" customHeight="true" outlineLevel="0" collapsed="false">
      <c r="A266" s="47" t="s">
        <v>13</v>
      </c>
      <c r="B266" s="13" t="s">
        <v>646</v>
      </c>
      <c r="C266" s="48" t="n">
        <f aca="false">300000+116500</f>
        <v>416500</v>
      </c>
      <c r="D266" s="48" t="n">
        <f aca="false">E266-C266</f>
        <v>0</v>
      </c>
      <c r="E266" s="48" t="n">
        <v>416500</v>
      </c>
    </row>
    <row r="267" customFormat="false" ht="15" hidden="false" customHeight="true" outlineLevel="0" collapsed="false">
      <c r="A267" s="47" t="s">
        <v>15</v>
      </c>
      <c r="B267" s="13" t="s">
        <v>647</v>
      </c>
      <c r="C267" s="48" t="n">
        <v>51500</v>
      </c>
      <c r="D267" s="48" t="n">
        <f aca="false">E267-C267</f>
        <v>365000</v>
      </c>
      <c r="E267" s="48" t="n">
        <v>416500</v>
      </c>
    </row>
    <row r="268" customFormat="false" ht="15" hidden="false" customHeight="true" outlineLevel="0" collapsed="false">
      <c r="A268" s="47" t="s">
        <v>17</v>
      </c>
      <c r="B268" s="13" t="s">
        <v>648</v>
      </c>
      <c r="C268" s="48" t="n">
        <v>416500</v>
      </c>
      <c r="D268" s="48" t="n">
        <f aca="false">E268-C268</f>
        <v>0</v>
      </c>
      <c r="E268" s="48" t="n">
        <v>416500</v>
      </c>
    </row>
    <row r="269" customFormat="false" ht="15" hidden="false" customHeight="true" outlineLevel="0" collapsed="false">
      <c r="A269" s="47" t="s">
        <v>19</v>
      </c>
      <c r="B269" s="13" t="s">
        <v>649</v>
      </c>
      <c r="C269" s="48" t="n">
        <v>416500</v>
      </c>
      <c r="D269" s="48" t="n">
        <f aca="false">E269-C269</f>
        <v>0</v>
      </c>
      <c r="E269" s="48" t="n">
        <v>416500</v>
      </c>
    </row>
    <row r="270" customFormat="false" ht="15" hidden="false" customHeight="true" outlineLevel="0" collapsed="false">
      <c r="A270" s="47" t="s">
        <v>21</v>
      </c>
      <c r="B270" s="13" t="s">
        <v>650</v>
      </c>
      <c r="C270" s="48" t="n">
        <f aca="false">100000+200000+100000+16500</f>
        <v>416500</v>
      </c>
      <c r="D270" s="48" t="n">
        <f aca="false">E270-C270</f>
        <v>0</v>
      </c>
      <c r="E270" s="48" t="n">
        <v>416500</v>
      </c>
    </row>
    <row r="271" customFormat="false" ht="15" hidden="false" customHeight="true" outlineLevel="0" collapsed="false">
      <c r="A271" s="47" t="s">
        <v>23</v>
      </c>
      <c r="B271" s="13" t="s">
        <v>651</v>
      </c>
      <c r="C271" s="48"/>
      <c r="D271" s="48" t="n">
        <f aca="false">E271-C271</f>
        <v>416500</v>
      </c>
      <c r="E271" s="48" t="n">
        <v>416500</v>
      </c>
    </row>
    <row r="272" customFormat="false" ht="15" hidden="false" customHeight="true" outlineLevel="0" collapsed="false">
      <c r="A272" s="47" t="s">
        <v>25</v>
      </c>
      <c r="B272" s="13" t="s">
        <v>652</v>
      </c>
      <c r="C272" s="48" t="n">
        <v>150000</v>
      </c>
      <c r="D272" s="48" t="n">
        <f aca="false">E272-C272</f>
        <v>266500</v>
      </c>
      <c r="E272" s="48" t="n">
        <v>416500</v>
      </c>
    </row>
    <row r="273" customFormat="false" ht="15" hidden="false" customHeight="true" outlineLevel="0" collapsed="false">
      <c r="A273" s="55"/>
      <c r="B273" s="56" t="s">
        <v>175</v>
      </c>
      <c r="C273" s="50" t="n">
        <f aca="false">SUM(C263:C272)</f>
        <v>3117000</v>
      </c>
      <c r="D273" s="50" t="n">
        <f aca="false">E273-C273</f>
        <v>1048000</v>
      </c>
      <c r="E273" s="50" t="n">
        <f aca="false">SUM(E263:E272)</f>
        <v>4165000</v>
      </c>
    </row>
    <row r="274" customFormat="false" ht="15" hidden="false" customHeight="true" outlineLevel="0" collapsed="false">
      <c r="A274" s="57"/>
      <c r="B274" s="58"/>
      <c r="C274" s="52"/>
      <c r="D274" s="52"/>
      <c r="E274" s="52"/>
    </row>
    <row r="275" customFormat="false" ht="15" hidden="false" customHeight="true" outlineLevel="0" collapsed="false">
      <c r="A275" s="57"/>
      <c r="B275" s="58"/>
      <c r="C275" s="52"/>
      <c r="D275" s="52"/>
      <c r="E275" s="52"/>
    </row>
    <row r="276" customFormat="false" ht="15" hidden="false" customHeight="true" outlineLevel="0" collapsed="false">
      <c r="A276" s="57"/>
      <c r="B276" s="58"/>
      <c r="C276" s="52"/>
      <c r="D276" s="52"/>
      <c r="E276" s="52"/>
    </row>
    <row r="277" customFormat="false" ht="15" hidden="false" customHeight="true" outlineLevel="0" collapsed="false">
      <c r="A277" s="57"/>
      <c r="B277" s="58"/>
      <c r="C277" s="52"/>
      <c r="D277" s="52"/>
      <c r="E277" s="52"/>
    </row>
    <row r="278" customFormat="false" ht="15" hidden="false" customHeight="true" outlineLevel="0" collapsed="false">
      <c r="A278" s="51"/>
      <c r="B278" s="40"/>
      <c r="C278" s="52"/>
      <c r="D278" s="52"/>
      <c r="E278" s="52"/>
    </row>
    <row r="279" customFormat="false" ht="15" hidden="false" customHeight="true" outlineLevel="0" collapsed="false">
      <c r="A279" s="41"/>
      <c r="B279" s="40" t="s">
        <v>0</v>
      </c>
      <c r="C279" s="52"/>
      <c r="D279" s="52"/>
      <c r="E279" s="52"/>
    </row>
    <row r="280" customFormat="false" ht="15" hidden="false" customHeight="true" outlineLevel="0" collapsed="false">
      <c r="A280" s="41"/>
      <c r="B280" s="58"/>
      <c r="C280" s="52"/>
      <c r="D280" s="52"/>
      <c r="E280" s="52"/>
    </row>
    <row r="281" customFormat="false" ht="15" hidden="false" customHeight="true" outlineLevel="0" collapsed="false">
      <c r="A281" s="43" t="s">
        <v>653</v>
      </c>
      <c r="B281" s="41"/>
      <c r="C281" s="43"/>
      <c r="D281" s="43"/>
      <c r="E281" s="43"/>
    </row>
    <row r="282" customFormat="false" ht="15" hidden="false" customHeight="true" outlineLevel="0" collapsed="false">
      <c r="A282" s="43"/>
      <c r="B282" s="41"/>
      <c r="C282" s="43"/>
      <c r="D282" s="43"/>
      <c r="E282" s="43"/>
    </row>
    <row r="283" customFormat="false" ht="15" hidden="false" customHeight="true" outlineLevel="0" collapsed="false">
      <c r="A283" s="49" t="s">
        <v>2</v>
      </c>
      <c r="B283" s="49" t="s">
        <v>3</v>
      </c>
      <c r="C283" s="50" t="s">
        <v>4</v>
      </c>
      <c r="D283" s="49" t="s">
        <v>5</v>
      </c>
      <c r="E283" s="50" t="s">
        <v>6</v>
      </c>
    </row>
    <row r="284" customFormat="false" ht="15" hidden="false" customHeight="true" outlineLevel="0" collapsed="false">
      <c r="A284" s="66" t="s">
        <v>7</v>
      </c>
      <c r="B284" s="67" t="s">
        <v>654</v>
      </c>
      <c r="C284" s="68" t="n">
        <f aca="false">40000+180000</f>
        <v>220000</v>
      </c>
      <c r="D284" s="68" t="n">
        <f aca="false">E284-C284</f>
        <v>196500</v>
      </c>
      <c r="E284" s="68" t="n">
        <v>416500</v>
      </c>
    </row>
    <row r="285" customFormat="false" ht="15" hidden="false" customHeight="true" outlineLevel="0" collapsed="false">
      <c r="A285" s="47" t="s">
        <v>9</v>
      </c>
      <c r="B285" s="13" t="s">
        <v>655</v>
      </c>
      <c r="C285" s="48" t="n">
        <f aca="false">200000+216500</f>
        <v>416500</v>
      </c>
      <c r="D285" s="68" t="n">
        <f aca="false">E285-C285</f>
        <v>0</v>
      </c>
      <c r="E285" s="48" t="n">
        <v>416500</v>
      </c>
    </row>
    <row r="286" customFormat="false" ht="15" hidden="false" customHeight="true" outlineLevel="0" collapsed="false">
      <c r="A286" s="47" t="s">
        <v>11</v>
      </c>
      <c r="B286" s="13" t="s">
        <v>656</v>
      </c>
      <c r="C286" s="48"/>
      <c r="D286" s="68" t="n">
        <f aca="false">E286-C286</f>
        <v>416500</v>
      </c>
      <c r="E286" s="48" t="n">
        <v>416500</v>
      </c>
    </row>
    <row r="287" customFormat="false" ht="15" hidden="false" customHeight="true" outlineLevel="0" collapsed="false">
      <c r="A287" s="47" t="s">
        <v>13</v>
      </c>
      <c r="B287" s="13" t="s">
        <v>657</v>
      </c>
      <c r="C287" s="48" t="n">
        <f aca="false">50000+366500</f>
        <v>416500</v>
      </c>
      <c r="D287" s="68" t="n">
        <f aca="false">E287-C287</f>
        <v>0</v>
      </c>
      <c r="E287" s="48" t="n">
        <v>416500</v>
      </c>
    </row>
    <row r="288" customFormat="false" ht="15" hidden="false" customHeight="true" outlineLevel="0" collapsed="false">
      <c r="A288" s="47" t="s">
        <v>15</v>
      </c>
      <c r="B288" s="13" t="s">
        <v>658</v>
      </c>
      <c r="C288" s="48"/>
      <c r="D288" s="68" t="n">
        <f aca="false">E288-C288</f>
        <v>416500</v>
      </c>
      <c r="E288" s="48" t="n">
        <v>416500</v>
      </c>
    </row>
    <row r="289" customFormat="false" ht="15" hidden="false" customHeight="true" outlineLevel="0" collapsed="false">
      <c r="A289" s="47" t="s">
        <v>17</v>
      </c>
      <c r="B289" s="13" t="s">
        <v>659</v>
      </c>
      <c r="C289" s="48" t="n">
        <v>416500</v>
      </c>
      <c r="D289" s="68" t="n">
        <f aca="false">E289-C289</f>
        <v>0</v>
      </c>
      <c r="E289" s="48" t="n">
        <v>416500</v>
      </c>
    </row>
    <row r="290" customFormat="false" ht="15" hidden="false" customHeight="true" outlineLevel="0" collapsed="false">
      <c r="A290" s="47" t="s">
        <v>19</v>
      </c>
      <c r="B290" s="13" t="s">
        <v>660</v>
      </c>
      <c r="C290" s="48" t="n">
        <v>200000</v>
      </c>
      <c r="D290" s="68" t="n">
        <f aca="false">E290-C290</f>
        <v>216500</v>
      </c>
      <c r="E290" s="48" t="n">
        <v>416500</v>
      </c>
    </row>
    <row r="291" customFormat="false" ht="15" hidden="false" customHeight="true" outlineLevel="0" collapsed="false">
      <c r="A291" s="47" t="s">
        <v>21</v>
      </c>
      <c r="B291" s="13" t="s">
        <v>661</v>
      </c>
      <c r="C291" s="48" t="n">
        <f aca="false">150000+120000+146500</f>
        <v>416500</v>
      </c>
      <c r="D291" s="68" t="n">
        <f aca="false">E291-C291</f>
        <v>0</v>
      </c>
      <c r="E291" s="48" t="n">
        <v>416500</v>
      </c>
    </row>
    <row r="292" customFormat="false" ht="15" hidden="false" customHeight="true" outlineLevel="0" collapsed="false">
      <c r="A292" s="47" t="s">
        <v>23</v>
      </c>
      <c r="B292" s="13" t="s">
        <v>662</v>
      </c>
      <c r="C292" s="48" t="n">
        <f aca="false">200000+216500</f>
        <v>416500</v>
      </c>
      <c r="D292" s="68" t="n">
        <f aca="false">E292-C292</f>
        <v>0</v>
      </c>
      <c r="E292" s="48" t="n">
        <v>416500</v>
      </c>
    </row>
    <row r="293" customFormat="false" ht="15" hidden="false" customHeight="true" outlineLevel="0" collapsed="false">
      <c r="A293" s="47" t="s">
        <v>25</v>
      </c>
      <c r="B293" s="13" t="s">
        <v>663</v>
      </c>
      <c r="C293" s="48" t="n">
        <f aca="false">50000+130000</f>
        <v>180000</v>
      </c>
      <c r="D293" s="68" t="n">
        <f aca="false">E293-C293</f>
        <v>236500</v>
      </c>
      <c r="E293" s="48" t="n">
        <v>416500</v>
      </c>
    </row>
    <row r="294" customFormat="false" ht="15" hidden="false" customHeight="true" outlineLevel="0" collapsed="false">
      <c r="A294" s="47" t="s">
        <v>27</v>
      </c>
      <c r="B294" s="13" t="s">
        <v>664</v>
      </c>
      <c r="C294" s="48" t="n">
        <f aca="false">216500+200000</f>
        <v>416500</v>
      </c>
      <c r="D294" s="68" t="n">
        <f aca="false">E294-C294</f>
        <v>0</v>
      </c>
      <c r="E294" s="48" t="n">
        <v>416500</v>
      </c>
    </row>
    <row r="295" customFormat="false" ht="15" hidden="false" customHeight="true" outlineLevel="0" collapsed="false">
      <c r="A295" s="47" t="s">
        <v>29</v>
      </c>
      <c r="B295" s="13" t="s">
        <v>665</v>
      </c>
      <c r="C295" s="48" t="n">
        <f aca="false">100000+100000</f>
        <v>200000</v>
      </c>
      <c r="D295" s="68" t="n">
        <f aca="false">E295-C295</f>
        <v>216500</v>
      </c>
      <c r="E295" s="48" t="n">
        <v>416500</v>
      </c>
    </row>
    <row r="296" customFormat="false" ht="15" hidden="false" customHeight="true" outlineLevel="0" collapsed="false">
      <c r="A296" s="47" t="s">
        <v>31</v>
      </c>
      <c r="B296" s="13" t="s">
        <v>666</v>
      </c>
      <c r="C296" s="48" t="n">
        <f aca="false">17000+399500</f>
        <v>416500</v>
      </c>
      <c r="D296" s="68" t="n">
        <f aca="false">E296-C296</f>
        <v>0</v>
      </c>
      <c r="E296" s="48" t="n">
        <v>416500</v>
      </c>
    </row>
    <row r="297" customFormat="false" ht="15" hidden="false" customHeight="true" outlineLevel="0" collapsed="false">
      <c r="A297" s="47" t="s">
        <v>33</v>
      </c>
      <c r="B297" s="63" t="s">
        <v>667</v>
      </c>
      <c r="C297" s="48" t="n">
        <f aca="false">40000+160000</f>
        <v>200000</v>
      </c>
      <c r="D297" s="68" t="n">
        <f aca="false">E297-C297</f>
        <v>216500</v>
      </c>
      <c r="E297" s="48" t="n">
        <v>416500</v>
      </c>
    </row>
    <row r="298" customFormat="false" ht="15" hidden="false" customHeight="true" outlineLevel="0" collapsed="false">
      <c r="A298" s="47" t="s">
        <v>35</v>
      </c>
      <c r="B298" s="63" t="s">
        <v>668</v>
      </c>
      <c r="C298" s="48"/>
      <c r="D298" s="68" t="n">
        <f aca="false">E298-C298</f>
        <v>416500</v>
      </c>
      <c r="E298" s="48" t="n">
        <v>416500</v>
      </c>
    </row>
    <row r="299" customFormat="false" ht="15" hidden="false" customHeight="true" outlineLevel="0" collapsed="false">
      <c r="A299" s="47" t="s">
        <v>37</v>
      </c>
      <c r="B299" s="63" t="s">
        <v>669</v>
      </c>
      <c r="C299" s="48" t="n">
        <f aca="false">30000+100000</f>
        <v>130000</v>
      </c>
      <c r="D299" s="68" t="n">
        <f aca="false">E299-C299</f>
        <v>286500</v>
      </c>
      <c r="E299" s="48" t="n">
        <v>416500</v>
      </c>
    </row>
    <row r="300" customFormat="false" ht="15" hidden="false" customHeight="true" outlineLevel="0" collapsed="false">
      <c r="A300" s="47" t="s">
        <v>39</v>
      </c>
      <c r="B300" s="63" t="s">
        <v>670</v>
      </c>
      <c r="C300" s="48" t="n">
        <f aca="false">270000+100000+46500</f>
        <v>416500</v>
      </c>
      <c r="D300" s="68" t="n">
        <f aca="false">E300-C300</f>
        <v>0</v>
      </c>
      <c r="E300" s="48" t="n">
        <v>416500</v>
      </c>
    </row>
    <row r="301" customFormat="false" ht="15" hidden="false" customHeight="true" outlineLevel="0" collapsed="false">
      <c r="A301" s="47" t="s">
        <v>41</v>
      </c>
      <c r="B301" s="63" t="s">
        <v>671</v>
      </c>
      <c r="C301" s="48" t="n">
        <f aca="false">200000+50000+30000</f>
        <v>280000</v>
      </c>
      <c r="D301" s="68" t="n">
        <f aca="false">E301-C301</f>
        <v>136500</v>
      </c>
      <c r="E301" s="48" t="n">
        <v>416500</v>
      </c>
    </row>
    <row r="302" customFormat="false" ht="15" hidden="false" customHeight="true" outlineLevel="0" collapsed="false">
      <c r="A302" s="47" t="s">
        <v>43</v>
      </c>
      <c r="B302" s="63" t="s">
        <v>672</v>
      </c>
      <c r="C302" s="48" t="n">
        <f aca="false">16500+50000+40000</f>
        <v>106500</v>
      </c>
      <c r="D302" s="68" t="n">
        <f aca="false">E302-C302</f>
        <v>310000</v>
      </c>
      <c r="E302" s="48" t="n">
        <v>416500</v>
      </c>
    </row>
    <row r="303" customFormat="false" ht="15" hidden="false" customHeight="true" outlineLevel="0" collapsed="false">
      <c r="A303" s="47" t="s">
        <v>45</v>
      </c>
      <c r="B303" s="63" t="s">
        <v>673</v>
      </c>
      <c r="C303" s="48" t="n">
        <f aca="false">100000+100000</f>
        <v>200000</v>
      </c>
      <c r="D303" s="68" t="n">
        <f aca="false">E303-C303</f>
        <v>216500</v>
      </c>
      <c r="E303" s="48" t="n">
        <v>416500</v>
      </c>
    </row>
    <row r="304" customFormat="false" ht="15" hidden="false" customHeight="true" outlineLevel="0" collapsed="false">
      <c r="A304" s="55"/>
      <c r="B304" s="56" t="s">
        <v>175</v>
      </c>
      <c r="C304" s="50" t="n">
        <f aca="false">SUM(C284:C303)</f>
        <v>5048500</v>
      </c>
      <c r="D304" s="50" t="n">
        <f aca="false">E304-C304</f>
        <v>3281500</v>
      </c>
      <c r="E304" s="50" t="n">
        <f aca="false">SUM(E284:E303)</f>
        <v>8330000</v>
      </c>
    </row>
    <row r="305" customFormat="false" ht="15" hidden="false" customHeight="true" outlineLevel="0" collapsed="false">
      <c r="A305" s="57"/>
      <c r="B305" s="58"/>
      <c r="C305" s="52"/>
      <c r="D305" s="52"/>
      <c r="E305" s="52"/>
    </row>
    <row r="306" customFormat="false" ht="15" hidden="false" customHeight="true" outlineLevel="0" collapsed="false">
      <c r="A306" s="57"/>
      <c r="B306" s="58"/>
      <c r="C306" s="52"/>
      <c r="D306" s="52"/>
      <c r="E306" s="52"/>
    </row>
    <row r="307" customFormat="false" ht="15" hidden="false" customHeight="true" outlineLevel="0" collapsed="false">
      <c r="A307" s="57"/>
      <c r="B307" s="58"/>
      <c r="C307" s="52"/>
      <c r="D307" s="52"/>
      <c r="E307" s="52"/>
    </row>
    <row r="308" customFormat="false" ht="15" hidden="false" customHeight="true" outlineLevel="0" collapsed="false">
      <c r="A308" s="57"/>
      <c r="B308" s="58"/>
      <c r="C308" s="52"/>
      <c r="D308" s="52"/>
      <c r="E308" s="52"/>
    </row>
    <row r="309" customFormat="false" ht="15" hidden="false" customHeight="true" outlineLevel="0" collapsed="false">
      <c r="A309" s="57"/>
      <c r="B309" s="58"/>
      <c r="C309" s="52"/>
      <c r="D309" s="52"/>
      <c r="E309" s="52"/>
    </row>
    <row r="310" customFormat="false" ht="15" hidden="false" customHeight="true" outlineLevel="0" collapsed="false">
      <c r="A310" s="57"/>
      <c r="B310" s="58"/>
      <c r="C310" s="52"/>
      <c r="D310" s="52"/>
      <c r="E310" s="52"/>
    </row>
    <row r="311" customFormat="false" ht="15" hidden="false" customHeight="true" outlineLevel="0" collapsed="false">
      <c r="A311" s="57"/>
      <c r="B311" s="58"/>
      <c r="C311" s="52"/>
      <c r="D311" s="52"/>
      <c r="E311" s="52"/>
    </row>
    <row r="312" customFormat="false" ht="15.75" hidden="false" customHeight="false" outlineLevel="0" collapsed="false">
      <c r="A312" s="57"/>
      <c r="B312" s="58"/>
      <c r="C312" s="52"/>
      <c r="D312" s="52"/>
      <c r="E312" s="52"/>
    </row>
    <row r="313" customFormat="false" ht="12.75" hidden="false" customHeight="false" outlineLevel="0" collapsed="false">
      <c r="A313" s="39"/>
      <c r="B313" s="39"/>
      <c r="C313" s="39"/>
      <c r="D313" s="39"/>
      <c r="E313" s="39"/>
    </row>
    <row r="314" customFormat="false" ht="12.75" hidden="false" customHeight="false" outlineLevel="0" collapsed="false">
      <c r="A314" s="39"/>
      <c r="B314" s="39"/>
      <c r="C314" s="39"/>
      <c r="D314" s="39"/>
      <c r="E314" s="39"/>
    </row>
    <row r="315" customFormat="false" ht="12.75" hidden="false" customHeight="false" outlineLevel="0" collapsed="false">
      <c r="A315" s="39"/>
      <c r="B315" s="39"/>
      <c r="C315" s="39"/>
      <c r="D315" s="39"/>
      <c r="E315" s="39"/>
    </row>
  </sheetData>
  <mergeCells count="4">
    <mergeCell ref="A44:B44"/>
    <mergeCell ref="A91:B91"/>
    <mergeCell ref="A112:B112"/>
    <mergeCell ref="A138:B138"/>
  </mergeCells>
  <printOptions headings="false" gridLines="false" gridLinesSet="true" horizontalCentered="false" verticalCentered="false"/>
  <pageMargins left="0.329861111111111" right="0.340277777777778" top="0.309722222222222" bottom="0.52986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4"/>
  <sheetViews>
    <sheetView showFormulas="false" showGridLines="true" showRowColHeaders="true" showZeros="true" rightToLeft="false" tabSelected="false" showOutlineSymbols="true" defaultGridColor="true" view="normal" topLeftCell="A130" colorId="64" zoomScale="130" zoomScaleNormal="130" zoomScalePageLayoutView="100" workbookViewId="0">
      <selection pane="topLeft" activeCell="F119" activeCellId="0" sqref="F119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24.13"/>
    <col collapsed="false" customWidth="true" hidden="false" outlineLevel="0" max="3" min="3" style="1" width="11.99"/>
    <col collapsed="false" customWidth="true" hidden="false" outlineLevel="0" max="4" min="4" style="1" width="9.41"/>
    <col collapsed="false" customWidth="true" hidden="false" outlineLevel="0" max="5" min="5" style="1" width="10.41"/>
    <col collapsed="false" customWidth="true" hidden="false" outlineLevel="0" max="16384" min="16373" style="0" width="11.53"/>
  </cols>
  <sheetData>
    <row r="1" customFormat="false" ht="12.75" hidden="false" customHeight="false" outlineLevel="0" collapsed="false">
      <c r="A1" s="69"/>
      <c r="B1" s="70" t="s">
        <v>0</v>
      </c>
      <c r="C1" s="69"/>
      <c r="D1" s="69"/>
      <c r="E1" s="69"/>
    </row>
    <row r="2" customFormat="false" ht="12.75" hidden="false" customHeight="false" outlineLevel="0" collapsed="false">
      <c r="A2" s="69"/>
      <c r="B2" s="70" t="s">
        <v>674</v>
      </c>
      <c r="C2" s="71"/>
      <c r="D2" s="69"/>
      <c r="E2" s="69"/>
    </row>
    <row r="3" customFormat="false" ht="12.75" hidden="false" customHeight="false" outlineLevel="0" collapsed="false">
      <c r="A3" s="72" t="s">
        <v>675</v>
      </c>
      <c r="B3" s="73"/>
      <c r="C3" s="73"/>
      <c r="D3" s="73"/>
      <c r="E3" s="74"/>
    </row>
    <row r="4" customFormat="false" ht="12.75" hidden="false" customHeight="false" outlineLevel="0" collapsed="false">
      <c r="A4" s="75" t="s">
        <v>2</v>
      </c>
      <c r="B4" s="75" t="s">
        <v>3</v>
      </c>
      <c r="C4" s="76" t="s">
        <v>4</v>
      </c>
      <c r="D4" s="75" t="s">
        <v>5</v>
      </c>
      <c r="E4" s="76" t="s">
        <v>6</v>
      </c>
    </row>
    <row r="5" customFormat="false" ht="12.75" hidden="false" customHeight="false" outlineLevel="0" collapsed="false">
      <c r="A5" s="77" t="s">
        <v>7</v>
      </c>
      <c r="B5" s="23" t="s">
        <v>676</v>
      </c>
      <c r="C5" s="78" t="n">
        <f aca="false">20000</f>
        <v>20000</v>
      </c>
      <c r="D5" s="78" t="n">
        <f aca="false">E5-C5</f>
        <v>396500</v>
      </c>
      <c r="E5" s="78" t="n">
        <v>416500</v>
      </c>
    </row>
    <row r="6" customFormat="false" ht="12.75" hidden="false" customHeight="false" outlineLevel="0" collapsed="false">
      <c r="A6" s="77" t="s">
        <v>9</v>
      </c>
      <c r="B6" s="23" t="s">
        <v>677</v>
      </c>
      <c r="C6" s="78"/>
      <c r="D6" s="78" t="n">
        <f aca="false">E6-C6</f>
        <v>416500</v>
      </c>
      <c r="E6" s="78" t="n">
        <v>416500</v>
      </c>
    </row>
    <row r="7" customFormat="false" ht="12.75" hidden="false" customHeight="false" outlineLevel="0" collapsed="false">
      <c r="A7" s="77" t="s">
        <v>11</v>
      </c>
      <c r="B7" s="23" t="s">
        <v>678</v>
      </c>
      <c r="C7" s="78" t="n">
        <f aca="false">100000+220000+96500</f>
        <v>416500</v>
      </c>
      <c r="D7" s="78" t="n">
        <f aca="false">E7-C7</f>
        <v>0</v>
      </c>
      <c r="E7" s="78" t="n">
        <v>416500</v>
      </c>
    </row>
    <row r="8" customFormat="false" ht="12.75" hidden="false" customHeight="false" outlineLevel="0" collapsed="false">
      <c r="A8" s="77" t="s">
        <v>13</v>
      </c>
      <c r="B8" s="23" t="s">
        <v>679</v>
      </c>
      <c r="C8" s="78" t="n">
        <f aca="false">400000+16500</f>
        <v>416500</v>
      </c>
      <c r="D8" s="78" t="n">
        <f aca="false">E8-C8</f>
        <v>0</v>
      </c>
      <c r="E8" s="78" t="n">
        <v>416500</v>
      </c>
    </row>
    <row r="9" customFormat="false" ht="12.75" hidden="false" customHeight="false" outlineLevel="0" collapsed="false">
      <c r="A9" s="77" t="s">
        <v>15</v>
      </c>
      <c r="B9" s="23" t="s">
        <v>680</v>
      </c>
      <c r="C9" s="78" t="n">
        <f aca="false">58500+150000+170000+38000</f>
        <v>416500</v>
      </c>
      <c r="D9" s="78" t="n">
        <f aca="false">E9-C9</f>
        <v>0</v>
      </c>
      <c r="E9" s="78" t="n">
        <v>416500</v>
      </c>
    </row>
    <row r="10" customFormat="false" ht="12.75" hidden="false" customHeight="false" outlineLevel="0" collapsed="false">
      <c r="A10" s="77" t="s">
        <v>17</v>
      </c>
      <c r="B10" s="23" t="s">
        <v>681</v>
      </c>
      <c r="C10" s="78" t="n">
        <f aca="false">100000+100000+100000+50000+66500</f>
        <v>416500</v>
      </c>
      <c r="D10" s="78" t="n">
        <f aca="false">E10-C10</f>
        <v>0</v>
      </c>
      <c r="E10" s="78" t="n">
        <v>416500</v>
      </c>
    </row>
    <row r="11" customFormat="false" ht="12.75" hidden="false" customHeight="false" outlineLevel="0" collapsed="false">
      <c r="A11" s="77" t="s">
        <v>19</v>
      </c>
      <c r="B11" s="23" t="s">
        <v>682</v>
      </c>
      <c r="C11" s="78" t="n">
        <f aca="false">416500</f>
        <v>416500</v>
      </c>
      <c r="D11" s="78" t="n">
        <f aca="false">E11-C11</f>
        <v>0</v>
      </c>
      <c r="E11" s="78" t="n">
        <v>416500</v>
      </c>
    </row>
    <row r="12" customFormat="false" ht="12.75" hidden="false" customHeight="false" outlineLevel="0" collapsed="false">
      <c r="A12" s="77" t="s">
        <v>21</v>
      </c>
      <c r="B12" s="23" t="s">
        <v>683</v>
      </c>
      <c r="C12" s="78" t="n">
        <f aca="false">416000+500</f>
        <v>416500</v>
      </c>
      <c r="D12" s="78" t="n">
        <f aca="false">E12-C12</f>
        <v>0</v>
      </c>
      <c r="E12" s="78" t="n">
        <v>416500</v>
      </c>
    </row>
    <row r="13" customFormat="false" ht="12.75" hidden="false" customHeight="false" outlineLevel="0" collapsed="false">
      <c r="A13" s="77" t="s">
        <v>23</v>
      </c>
      <c r="B13" s="23" t="s">
        <v>684</v>
      </c>
      <c r="C13" s="78" t="n">
        <f aca="false">416500</f>
        <v>416500</v>
      </c>
      <c r="D13" s="78" t="n">
        <f aca="false">E13-C13</f>
        <v>0</v>
      </c>
      <c r="E13" s="78" t="n">
        <v>416500</v>
      </c>
    </row>
    <row r="14" customFormat="false" ht="12.75" hidden="false" customHeight="false" outlineLevel="0" collapsed="false">
      <c r="A14" s="77" t="s">
        <v>25</v>
      </c>
      <c r="B14" s="23" t="s">
        <v>685</v>
      </c>
      <c r="C14" s="78" t="n">
        <f aca="false">416500</f>
        <v>416500</v>
      </c>
      <c r="D14" s="78" t="n">
        <f aca="false">E14-C14</f>
        <v>0</v>
      </c>
      <c r="E14" s="78" t="n">
        <v>416500</v>
      </c>
    </row>
    <row r="15" customFormat="false" ht="12.75" hidden="false" customHeight="false" outlineLevel="0" collapsed="false">
      <c r="A15" s="77" t="s">
        <v>27</v>
      </c>
      <c r="B15" s="23" t="s">
        <v>686</v>
      </c>
      <c r="C15" s="78" t="n">
        <f aca="false">315000+101500</f>
        <v>416500</v>
      </c>
      <c r="D15" s="78" t="n">
        <f aca="false">E15-C15</f>
        <v>0</v>
      </c>
      <c r="E15" s="78" t="n">
        <v>416500</v>
      </c>
    </row>
    <row r="16" customFormat="false" ht="12.75" hidden="false" customHeight="false" outlineLevel="0" collapsed="false">
      <c r="A16" s="77" t="s">
        <v>29</v>
      </c>
      <c r="B16" s="23" t="s">
        <v>687</v>
      </c>
      <c r="C16" s="78"/>
      <c r="D16" s="78" t="n">
        <f aca="false">E16-C16</f>
        <v>416500</v>
      </c>
      <c r="E16" s="78" t="n">
        <v>416500</v>
      </c>
    </row>
    <row r="17" customFormat="false" ht="12.75" hidden="false" customHeight="false" outlineLevel="0" collapsed="false">
      <c r="A17" s="77" t="s">
        <v>31</v>
      </c>
      <c r="B17" s="23" t="s">
        <v>688</v>
      </c>
      <c r="C17" s="78" t="n">
        <f aca="false">200000+50000+166500</f>
        <v>416500</v>
      </c>
      <c r="D17" s="78" t="n">
        <f aca="false">E17-C17</f>
        <v>0</v>
      </c>
      <c r="E17" s="78" t="n">
        <v>416500</v>
      </c>
    </row>
    <row r="18" customFormat="false" ht="12.75" hidden="false" customHeight="false" outlineLevel="0" collapsed="false">
      <c r="A18" s="77" t="s">
        <v>33</v>
      </c>
      <c r="B18" s="23" t="s">
        <v>689</v>
      </c>
      <c r="C18" s="79" t="n">
        <v>0</v>
      </c>
      <c r="D18" s="78" t="n">
        <f aca="false">E18-C18</f>
        <v>416500</v>
      </c>
      <c r="E18" s="78" t="n">
        <v>416500</v>
      </c>
    </row>
    <row r="19" customFormat="false" ht="12.75" hidden="false" customHeight="false" outlineLevel="0" collapsed="false">
      <c r="A19" s="77" t="s">
        <v>35</v>
      </c>
      <c r="B19" s="23" t="s">
        <v>690</v>
      </c>
      <c r="C19" s="79" t="n">
        <v>0</v>
      </c>
      <c r="D19" s="78" t="n">
        <f aca="false">E19-C19</f>
        <v>416500</v>
      </c>
      <c r="E19" s="78" t="n">
        <v>416500</v>
      </c>
    </row>
    <row r="20" customFormat="false" ht="12.75" hidden="false" customHeight="false" outlineLevel="0" collapsed="false">
      <c r="A20" s="77" t="s">
        <v>37</v>
      </c>
      <c r="B20" s="23" t="s">
        <v>691</v>
      </c>
      <c r="C20" s="78" t="n">
        <f aca="false">133000+133500+150000</f>
        <v>416500</v>
      </c>
      <c r="D20" s="78" t="n">
        <f aca="false">E20-C20</f>
        <v>0</v>
      </c>
      <c r="E20" s="78" t="n">
        <v>416500</v>
      </c>
    </row>
    <row r="21" customFormat="false" ht="12.75" hidden="false" customHeight="false" outlineLevel="0" collapsed="false">
      <c r="A21" s="77" t="s">
        <v>39</v>
      </c>
      <c r="B21" s="23" t="s">
        <v>692</v>
      </c>
      <c r="C21" s="78" t="n">
        <v>416500</v>
      </c>
      <c r="D21" s="78" t="n">
        <f aca="false">E21-C21</f>
        <v>0</v>
      </c>
      <c r="E21" s="78" t="n">
        <v>416500</v>
      </c>
    </row>
    <row r="22" customFormat="false" ht="12.75" hidden="false" customHeight="false" outlineLevel="0" collapsed="false">
      <c r="A22" s="77" t="s">
        <v>41</v>
      </c>
      <c r="B22" s="23" t="s">
        <v>693</v>
      </c>
      <c r="C22" s="78" t="n">
        <f aca="false">20000+250000+146500</f>
        <v>416500</v>
      </c>
      <c r="D22" s="78" t="n">
        <f aca="false">E22-C22</f>
        <v>0</v>
      </c>
      <c r="E22" s="78" t="n">
        <v>416500</v>
      </c>
    </row>
    <row r="23" customFormat="false" ht="12.75" hidden="false" customHeight="false" outlineLevel="0" collapsed="false">
      <c r="A23" s="77" t="s">
        <v>43</v>
      </c>
      <c r="B23" s="23" t="s">
        <v>694</v>
      </c>
      <c r="C23" s="78" t="n">
        <f aca="false">21500+395000</f>
        <v>416500</v>
      </c>
      <c r="D23" s="78" t="n">
        <f aca="false">E23-C23</f>
        <v>0</v>
      </c>
      <c r="E23" s="78" t="n">
        <v>416500</v>
      </c>
    </row>
    <row r="24" customFormat="false" ht="12.75" hidden="false" customHeight="false" outlineLevel="0" collapsed="false">
      <c r="A24" s="77" t="s">
        <v>45</v>
      </c>
      <c r="B24" s="23" t="s">
        <v>695</v>
      </c>
      <c r="C24" s="78" t="n">
        <f aca="false">216500+200000</f>
        <v>416500</v>
      </c>
      <c r="D24" s="78" t="n">
        <f aca="false">E24-C24</f>
        <v>0</v>
      </c>
      <c r="E24" s="78" t="n">
        <v>416500</v>
      </c>
    </row>
    <row r="25" customFormat="false" ht="12.75" hidden="false" customHeight="false" outlineLevel="0" collapsed="false">
      <c r="A25" s="77" t="s">
        <v>47</v>
      </c>
      <c r="B25" s="23" t="s">
        <v>696</v>
      </c>
      <c r="C25" s="78" t="n">
        <f aca="false">416500</f>
        <v>416500</v>
      </c>
      <c r="D25" s="78" t="n">
        <f aca="false">E25-C25</f>
        <v>0</v>
      </c>
      <c r="E25" s="78" t="n">
        <v>416500</v>
      </c>
    </row>
    <row r="26" customFormat="false" ht="12.75" hidden="false" customHeight="false" outlineLevel="0" collapsed="false">
      <c r="A26" s="77" t="s">
        <v>49</v>
      </c>
      <c r="B26" s="23" t="s">
        <v>697</v>
      </c>
      <c r="C26" s="78"/>
      <c r="D26" s="78" t="n">
        <f aca="false">E26-C26</f>
        <v>416500</v>
      </c>
      <c r="E26" s="78" t="n">
        <v>416500</v>
      </c>
    </row>
    <row r="27" customFormat="false" ht="12.75" hidden="false" customHeight="false" outlineLevel="0" collapsed="false">
      <c r="A27" s="77" t="s">
        <v>51</v>
      </c>
      <c r="B27" s="23" t="s">
        <v>698</v>
      </c>
      <c r="C27" s="78"/>
      <c r="D27" s="78" t="n">
        <f aca="false">E27-C27</f>
        <v>416500</v>
      </c>
      <c r="E27" s="78" t="n">
        <v>416500</v>
      </c>
    </row>
    <row r="28" customFormat="false" ht="12.75" hidden="false" customHeight="false" outlineLevel="0" collapsed="false">
      <c r="A28" s="77" t="s">
        <v>53</v>
      </c>
      <c r="B28" s="23" t="s">
        <v>699</v>
      </c>
      <c r="C28" s="78" t="n">
        <f aca="false">16500+160000+100000+95000+20000+25000</f>
        <v>416500</v>
      </c>
      <c r="D28" s="78" t="n">
        <f aca="false">E28-C28</f>
        <v>0</v>
      </c>
      <c r="E28" s="78" t="n">
        <v>416500</v>
      </c>
    </row>
    <row r="29" customFormat="false" ht="12.75" hidden="false" customHeight="false" outlineLevel="0" collapsed="false">
      <c r="A29" s="77" t="s">
        <v>55</v>
      </c>
      <c r="B29" s="23" t="s">
        <v>700</v>
      </c>
      <c r="C29" s="79" t="n">
        <v>0</v>
      </c>
      <c r="D29" s="78" t="n">
        <f aca="false">E29-C29</f>
        <v>416500</v>
      </c>
      <c r="E29" s="78" t="n">
        <v>416500</v>
      </c>
    </row>
    <row r="30" customFormat="false" ht="12.75" hidden="false" customHeight="false" outlineLevel="0" collapsed="false">
      <c r="A30" s="77" t="s">
        <v>141</v>
      </c>
      <c r="B30" s="23" t="s">
        <v>701</v>
      </c>
      <c r="C30" s="79" t="s">
        <v>702</v>
      </c>
      <c r="D30" s="78" t="n">
        <v>416500</v>
      </c>
      <c r="E30" s="78" t="n">
        <v>416500</v>
      </c>
    </row>
    <row r="31" customFormat="false" ht="12.75" hidden="false" customHeight="false" outlineLevel="0" collapsed="false">
      <c r="A31" s="77" t="s">
        <v>143</v>
      </c>
      <c r="B31" s="23" t="s">
        <v>703</v>
      </c>
      <c r="C31" s="78"/>
      <c r="D31" s="78" t="n">
        <f aca="false">E31-C31</f>
        <v>416500</v>
      </c>
      <c r="E31" s="78" t="n">
        <v>416500</v>
      </c>
    </row>
    <row r="32" customFormat="false" ht="12.75" hidden="false" customHeight="false" outlineLevel="0" collapsed="false">
      <c r="A32" s="77" t="s">
        <v>145</v>
      </c>
      <c r="B32" s="23" t="s">
        <v>704</v>
      </c>
      <c r="C32" s="78"/>
      <c r="D32" s="78" t="n">
        <f aca="false">E32-C32</f>
        <v>416500</v>
      </c>
      <c r="E32" s="78" t="n">
        <v>416500</v>
      </c>
    </row>
    <row r="33" customFormat="false" ht="12.75" hidden="false" customHeight="false" outlineLevel="0" collapsed="false">
      <c r="A33" s="77" t="s">
        <v>147</v>
      </c>
      <c r="B33" s="23" t="s">
        <v>705</v>
      </c>
      <c r="C33" s="78" t="n">
        <f aca="false">100000+316500</f>
        <v>416500</v>
      </c>
      <c r="D33" s="78" t="n">
        <f aca="false">E33-C33</f>
        <v>0</v>
      </c>
      <c r="E33" s="78" t="n">
        <v>416500</v>
      </c>
    </row>
    <row r="34" customFormat="false" ht="12.75" hidden="false" customHeight="false" outlineLevel="0" collapsed="false">
      <c r="A34" s="77" t="s">
        <v>149</v>
      </c>
      <c r="B34" s="23" t="s">
        <v>706</v>
      </c>
      <c r="C34" s="78" t="n">
        <f aca="false">416500</f>
        <v>416500</v>
      </c>
      <c r="D34" s="78" t="n">
        <f aca="false">E34-C34</f>
        <v>0</v>
      </c>
      <c r="E34" s="78" t="n">
        <v>416500</v>
      </c>
    </row>
    <row r="35" customFormat="false" ht="12.75" hidden="false" customHeight="false" outlineLevel="0" collapsed="false">
      <c r="A35" s="77" t="s">
        <v>151</v>
      </c>
      <c r="B35" s="23" t="s">
        <v>707</v>
      </c>
      <c r="C35" s="78" t="n">
        <f aca="false">90000+326500</f>
        <v>416500</v>
      </c>
      <c r="D35" s="78" t="n">
        <f aca="false">E35-C35</f>
        <v>0</v>
      </c>
      <c r="E35" s="78" t="n">
        <v>416500</v>
      </c>
    </row>
    <row r="36" customFormat="false" ht="12.75" hidden="false" customHeight="false" outlineLevel="0" collapsed="false">
      <c r="A36" s="77" t="s">
        <v>153</v>
      </c>
      <c r="B36" s="23" t="s">
        <v>708</v>
      </c>
      <c r="C36" s="78" t="n">
        <f aca="false">25000</f>
        <v>25000</v>
      </c>
      <c r="D36" s="78" t="n">
        <f aca="false">E36-C36</f>
        <v>391500</v>
      </c>
      <c r="E36" s="78" t="n">
        <v>416500</v>
      </c>
    </row>
    <row r="37" customFormat="false" ht="12.75" hidden="false" customHeight="false" outlineLevel="0" collapsed="false">
      <c r="A37" s="77" t="s">
        <v>155</v>
      </c>
      <c r="B37" s="23" t="s">
        <v>709</v>
      </c>
      <c r="C37" s="78" t="n">
        <f aca="false">50000</f>
        <v>50000</v>
      </c>
      <c r="D37" s="78" t="n">
        <f aca="false">E37-C37</f>
        <v>366500</v>
      </c>
      <c r="E37" s="78" t="n">
        <v>416500</v>
      </c>
    </row>
    <row r="38" customFormat="false" ht="12.75" hidden="false" customHeight="false" outlineLevel="0" collapsed="false">
      <c r="A38" s="75" t="s">
        <v>57</v>
      </c>
      <c r="B38" s="75"/>
      <c r="C38" s="76" t="n">
        <f aca="false">SUM(C5:C37)</f>
        <v>8425000</v>
      </c>
      <c r="D38" s="76" t="n">
        <f aca="false">E38-C38</f>
        <v>5319500</v>
      </c>
      <c r="E38" s="76" t="n">
        <f aca="false">SUM(E5:E37)</f>
        <v>13744500</v>
      </c>
    </row>
    <row r="39" customFormat="false" ht="12.75" hidden="false" customHeight="false" outlineLevel="0" collapsed="false">
      <c r="A39" s="72" t="s">
        <v>710</v>
      </c>
      <c r="B39" s="73"/>
      <c r="C39" s="73"/>
      <c r="D39" s="73"/>
      <c r="E39" s="74"/>
    </row>
    <row r="40" customFormat="false" ht="12.75" hidden="false" customHeight="false" outlineLevel="0" collapsed="false">
      <c r="A40" s="75" t="s">
        <v>2</v>
      </c>
      <c r="B40" s="75" t="s">
        <v>3</v>
      </c>
      <c r="C40" s="76" t="s">
        <v>4</v>
      </c>
      <c r="D40" s="75" t="s">
        <v>5</v>
      </c>
      <c r="E40" s="76" t="s">
        <v>6</v>
      </c>
    </row>
    <row r="41" customFormat="false" ht="12.75" hidden="false" customHeight="false" outlineLevel="0" collapsed="false">
      <c r="A41" s="77" t="s">
        <v>7</v>
      </c>
      <c r="B41" s="23" t="s">
        <v>711</v>
      </c>
      <c r="C41" s="78" t="n">
        <f aca="false">160000+256500</f>
        <v>416500</v>
      </c>
      <c r="D41" s="78" t="n">
        <f aca="false">E41-C41</f>
        <v>0</v>
      </c>
      <c r="E41" s="78" t="n">
        <v>416500</v>
      </c>
    </row>
    <row r="42" customFormat="false" ht="12.75" hidden="false" customHeight="false" outlineLevel="0" collapsed="false">
      <c r="A42" s="77" t="s">
        <v>11</v>
      </c>
      <c r="B42" s="23" t="s">
        <v>712</v>
      </c>
      <c r="C42" s="78" t="n">
        <f aca="false">66500+50000+115000+185000</f>
        <v>416500</v>
      </c>
      <c r="D42" s="78" t="n">
        <f aca="false">E42-C42</f>
        <v>0</v>
      </c>
      <c r="E42" s="78" t="n">
        <v>416500</v>
      </c>
    </row>
    <row r="43" customFormat="false" ht="12.75" hidden="false" customHeight="false" outlineLevel="0" collapsed="false">
      <c r="A43" s="77" t="s">
        <v>13</v>
      </c>
      <c r="B43" s="23" t="s">
        <v>713</v>
      </c>
      <c r="C43" s="78" t="n">
        <f aca="false">100000+316500</f>
        <v>416500</v>
      </c>
      <c r="D43" s="78" t="n">
        <f aca="false">E43-C43</f>
        <v>0</v>
      </c>
      <c r="E43" s="78" t="n">
        <v>416500</v>
      </c>
    </row>
    <row r="44" customFormat="false" ht="12.75" hidden="false" customHeight="false" outlineLevel="0" collapsed="false">
      <c r="A44" s="77" t="s">
        <v>15</v>
      </c>
      <c r="B44" s="23" t="s">
        <v>714</v>
      </c>
      <c r="C44" s="78"/>
      <c r="D44" s="78" t="n">
        <f aca="false">E44-C44</f>
        <v>416500</v>
      </c>
      <c r="E44" s="78" t="n">
        <v>416500</v>
      </c>
    </row>
    <row r="45" customFormat="false" ht="12.75" hidden="false" customHeight="false" outlineLevel="0" collapsed="false">
      <c r="A45" s="77" t="s">
        <v>17</v>
      </c>
      <c r="B45" s="23" t="s">
        <v>715</v>
      </c>
      <c r="C45" s="78" t="n">
        <f aca="false">250000+166500</f>
        <v>416500</v>
      </c>
      <c r="D45" s="78" t="n">
        <f aca="false">E45-C45</f>
        <v>0</v>
      </c>
      <c r="E45" s="78" t="n">
        <v>416500</v>
      </c>
    </row>
    <row r="46" customFormat="false" ht="12.75" hidden="false" customHeight="false" outlineLevel="0" collapsed="false">
      <c r="A46" s="77" t="s">
        <v>19</v>
      </c>
      <c r="B46" s="23" t="s">
        <v>716</v>
      </c>
      <c r="C46" s="78" t="n">
        <f aca="false">266500+150000</f>
        <v>416500</v>
      </c>
      <c r="D46" s="78" t="n">
        <f aca="false">E46-C46</f>
        <v>0</v>
      </c>
      <c r="E46" s="78" t="n">
        <v>416500</v>
      </c>
    </row>
    <row r="47" customFormat="false" ht="12.75" hidden="false" customHeight="false" outlineLevel="0" collapsed="false">
      <c r="A47" s="77" t="s">
        <v>21</v>
      </c>
      <c r="B47" s="23" t="s">
        <v>717</v>
      </c>
      <c r="C47" s="78" t="n">
        <f aca="false">116500+116000+184000</f>
        <v>416500</v>
      </c>
      <c r="D47" s="78" t="n">
        <f aca="false">E47-C47</f>
        <v>0</v>
      </c>
      <c r="E47" s="78" t="n">
        <v>416500</v>
      </c>
    </row>
    <row r="48" customFormat="false" ht="12.75" hidden="false" customHeight="false" outlineLevel="0" collapsed="false">
      <c r="A48" s="77" t="s">
        <v>23</v>
      </c>
      <c r="B48" s="23" t="s">
        <v>718</v>
      </c>
      <c r="C48" s="78" t="n">
        <f aca="false">116500+300000</f>
        <v>416500</v>
      </c>
      <c r="D48" s="78" t="n">
        <f aca="false">E48-C48</f>
        <v>0</v>
      </c>
      <c r="E48" s="78" t="n">
        <v>416500</v>
      </c>
    </row>
    <row r="49" customFormat="false" ht="12.75" hidden="false" customHeight="false" outlineLevel="0" collapsed="false">
      <c r="A49" s="77" t="s">
        <v>25</v>
      </c>
      <c r="B49" s="23" t="s">
        <v>719</v>
      </c>
      <c r="C49" s="78"/>
      <c r="D49" s="78" t="n">
        <f aca="false">E49-C49</f>
        <v>416500</v>
      </c>
      <c r="E49" s="78" t="n">
        <v>416500</v>
      </c>
    </row>
    <row r="50" customFormat="false" ht="12.75" hidden="false" customHeight="false" outlineLevel="0" collapsed="false">
      <c r="A50" s="77" t="s">
        <v>27</v>
      </c>
      <c r="B50" s="23" t="s">
        <v>720</v>
      </c>
      <c r="C50" s="78" t="n">
        <f aca="false">100000+100000+50000+150000+16500</f>
        <v>416500</v>
      </c>
      <c r="D50" s="78" t="n">
        <f aca="false">E50-C50</f>
        <v>0</v>
      </c>
      <c r="E50" s="78" t="n">
        <v>416500</v>
      </c>
    </row>
    <row r="51" customFormat="false" ht="12.75" hidden="false" customHeight="false" outlineLevel="0" collapsed="false">
      <c r="A51" s="77" t="s">
        <v>29</v>
      </c>
      <c r="B51" s="23" t="s">
        <v>721</v>
      </c>
      <c r="C51" s="78" t="n">
        <f aca="false">120000+300000</f>
        <v>420000</v>
      </c>
      <c r="D51" s="78" t="n">
        <f aca="false">E51-C51</f>
        <v>-3500</v>
      </c>
      <c r="E51" s="78" t="n">
        <v>416500</v>
      </c>
    </row>
    <row r="52" customFormat="false" ht="12.75" hidden="false" customHeight="false" outlineLevel="0" collapsed="false">
      <c r="A52" s="77" t="s">
        <v>31</v>
      </c>
      <c r="B52" s="23" t="s">
        <v>722</v>
      </c>
      <c r="C52" s="78"/>
      <c r="D52" s="78" t="n">
        <f aca="false">E52-C52</f>
        <v>416500</v>
      </c>
      <c r="E52" s="78" t="n">
        <v>416500</v>
      </c>
    </row>
    <row r="53" customFormat="false" ht="12.75" hidden="false" customHeight="false" outlineLevel="0" collapsed="false">
      <c r="A53" s="77" t="s">
        <v>33</v>
      </c>
      <c r="B53" s="23" t="s">
        <v>723</v>
      </c>
      <c r="C53" s="78" t="n">
        <f aca="false">250000+50000+50000+66500</f>
        <v>416500</v>
      </c>
      <c r="D53" s="78" t="n">
        <f aca="false">E53-C53</f>
        <v>0</v>
      </c>
      <c r="E53" s="78" t="n">
        <v>416500</v>
      </c>
    </row>
    <row r="54" customFormat="false" ht="12.75" hidden="false" customHeight="false" outlineLevel="0" collapsed="false">
      <c r="A54" s="77" t="s">
        <v>35</v>
      </c>
      <c r="B54" s="23" t="s">
        <v>724</v>
      </c>
      <c r="C54" s="78" t="n">
        <f aca="false">250000+176500</f>
        <v>426500</v>
      </c>
      <c r="D54" s="78" t="n">
        <f aca="false">E54-C54</f>
        <v>-10000</v>
      </c>
      <c r="E54" s="78" t="n">
        <v>416500</v>
      </c>
    </row>
    <row r="55" customFormat="false" ht="12.75" hidden="false" customHeight="false" outlineLevel="0" collapsed="false">
      <c r="A55" s="77" t="s">
        <v>37</v>
      </c>
      <c r="B55" s="23" t="s">
        <v>725</v>
      </c>
      <c r="C55" s="78" t="n">
        <v>416500</v>
      </c>
      <c r="D55" s="78" t="n">
        <f aca="false">E55-C55</f>
        <v>0</v>
      </c>
      <c r="E55" s="78" t="n">
        <v>416500</v>
      </c>
    </row>
    <row r="56" customFormat="false" ht="12.75" hidden="false" customHeight="false" outlineLevel="0" collapsed="false">
      <c r="A56" s="77" t="s">
        <v>39</v>
      </c>
      <c r="B56" s="23" t="s">
        <v>726</v>
      </c>
      <c r="C56" s="78" t="n">
        <f aca="false">216500+200000</f>
        <v>416500</v>
      </c>
      <c r="D56" s="78" t="n">
        <f aca="false">E56-C56</f>
        <v>0</v>
      </c>
      <c r="E56" s="78" t="n">
        <v>416500</v>
      </c>
    </row>
    <row r="57" customFormat="false" ht="12.75" hidden="false" customHeight="false" outlineLevel="0" collapsed="false">
      <c r="A57" s="77" t="s">
        <v>41</v>
      </c>
      <c r="B57" s="23" t="s">
        <v>727</v>
      </c>
      <c r="C57" s="78" t="n">
        <v>416500</v>
      </c>
      <c r="D57" s="78" t="n">
        <f aca="false">E57-C57</f>
        <v>0</v>
      </c>
      <c r="E57" s="78" t="n">
        <v>416500</v>
      </c>
    </row>
    <row r="58" customFormat="false" ht="12.75" hidden="false" customHeight="false" outlineLevel="0" collapsed="false">
      <c r="A58" s="77" t="s">
        <v>43</v>
      </c>
      <c r="B58" s="23" t="s">
        <v>728</v>
      </c>
      <c r="C58" s="78" t="n">
        <f aca="false">10000+90000+140000+200000</f>
        <v>440000</v>
      </c>
      <c r="D58" s="78" t="n">
        <f aca="false">E58-C58</f>
        <v>-23500</v>
      </c>
      <c r="E58" s="78" t="n">
        <v>416500</v>
      </c>
    </row>
    <row r="59" customFormat="false" ht="12.75" hidden="false" customHeight="false" outlineLevel="0" collapsed="false">
      <c r="A59" s="77" t="s">
        <v>45</v>
      </c>
      <c r="B59" s="23" t="s">
        <v>729</v>
      </c>
      <c r="C59" s="78" t="n">
        <v>416500</v>
      </c>
      <c r="D59" s="78" t="n">
        <f aca="false">E59-C59</f>
        <v>0</v>
      </c>
      <c r="E59" s="78" t="n">
        <v>416500</v>
      </c>
    </row>
    <row r="60" customFormat="false" ht="12.75" hidden="false" customHeight="false" outlineLevel="0" collapsed="false">
      <c r="A60" s="77" t="s">
        <v>47</v>
      </c>
      <c r="B60" s="80" t="s">
        <v>730</v>
      </c>
      <c r="C60" s="81" t="n">
        <v>416500</v>
      </c>
      <c r="D60" s="78" t="n">
        <f aca="false">E60-C60</f>
        <v>0</v>
      </c>
      <c r="E60" s="78" t="n">
        <v>416500</v>
      </c>
    </row>
    <row r="61" customFormat="false" ht="12.75" hidden="false" customHeight="false" outlineLevel="0" collapsed="false">
      <c r="A61" s="77" t="s">
        <v>49</v>
      </c>
      <c r="B61" s="23" t="s">
        <v>731</v>
      </c>
      <c r="C61" s="78" t="n">
        <f aca="false">200000+216500</f>
        <v>416500</v>
      </c>
      <c r="D61" s="78" t="n">
        <f aca="false">E61-C61</f>
        <v>0</v>
      </c>
      <c r="E61" s="78" t="n">
        <v>416500</v>
      </c>
    </row>
    <row r="62" customFormat="false" ht="12.75" hidden="false" customHeight="false" outlineLevel="0" collapsed="false">
      <c r="A62" s="75" t="s">
        <v>57</v>
      </c>
      <c r="B62" s="75"/>
      <c r="C62" s="76" t="n">
        <f aca="false">SUM(C41:C61)</f>
        <v>7534000</v>
      </c>
      <c r="D62" s="76" t="n">
        <f aca="false">E62-C62</f>
        <v>1212500</v>
      </c>
      <c r="E62" s="76" t="n">
        <f aca="false">SUM(E41:E61)</f>
        <v>8746500</v>
      </c>
    </row>
    <row r="63" customFormat="false" ht="12.75" hidden="false" customHeight="false" outlineLevel="0" collapsed="false">
      <c r="A63" s="72" t="s">
        <v>732</v>
      </c>
      <c r="B63" s="73"/>
      <c r="C63" s="73"/>
      <c r="D63" s="73"/>
      <c r="E63" s="74"/>
    </row>
    <row r="64" customFormat="false" ht="12.75" hidden="false" customHeight="false" outlineLevel="0" collapsed="false">
      <c r="A64" s="75" t="s">
        <v>2</v>
      </c>
      <c r="B64" s="75" t="s">
        <v>3</v>
      </c>
      <c r="C64" s="76" t="s">
        <v>4</v>
      </c>
      <c r="D64" s="75" t="s">
        <v>5</v>
      </c>
      <c r="E64" s="76" t="s">
        <v>6</v>
      </c>
    </row>
    <row r="65" customFormat="false" ht="12.75" hidden="false" customHeight="false" outlineLevel="0" collapsed="false">
      <c r="A65" s="77" t="s">
        <v>7</v>
      </c>
      <c r="B65" s="23" t="s">
        <v>733</v>
      </c>
      <c r="C65" s="78" t="n">
        <f aca="false">100000+100000+100000+116500</f>
        <v>416500</v>
      </c>
      <c r="D65" s="78" t="n">
        <f aca="false">E65-C65</f>
        <v>0</v>
      </c>
      <c r="E65" s="78" t="n">
        <v>416500</v>
      </c>
    </row>
    <row r="66" customFormat="false" ht="12.75" hidden="false" customHeight="false" outlineLevel="0" collapsed="false">
      <c r="A66" s="77" t="s">
        <v>9</v>
      </c>
      <c r="B66" s="23" t="s">
        <v>734</v>
      </c>
      <c r="C66" s="78" t="n">
        <f aca="false">210000+100000+106500</f>
        <v>416500</v>
      </c>
      <c r="D66" s="78" t="n">
        <f aca="false">E66-C66</f>
        <v>0</v>
      </c>
      <c r="E66" s="78" t="n">
        <v>416500</v>
      </c>
    </row>
    <row r="67" customFormat="false" ht="12.75" hidden="false" customHeight="false" outlineLevel="0" collapsed="false">
      <c r="A67" s="77" t="s">
        <v>11</v>
      </c>
      <c r="B67" s="23" t="s">
        <v>735</v>
      </c>
      <c r="C67" s="78" t="n">
        <f aca="false">200000+216500</f>
        <v>416500</v>
      </c>
      <c r="D67" s="78" t="n">
        <f aca="false">E67-C67</f>
        <v>0</v>
      </c>
      <c r="E67" s="78" t="n">
        <v>416500</v>
      </c>
    </row>
    <row r="68" customFormat="false" ht="12.75" hidden="false" customHeight="false" outlineLevel="0" collapsed="false">
      <c r="A68" s="77" t="s">
        <v>13</v>
      </c>
      <c r="B68" s="23" t="s">
        <v>736</v>
      </c>
      <c r="C68" s="78" t="n">
        <v>300000</v>
      </c>
      <c r="D68" s="78" t="n">
        <f aca="false">E68-C68</f>
        <v>116500</v>
      </c>
      <c r="E68" s="78" t="n">
        <v>416500</v>
      </c>
    </row>
    <row r="69" customFormat="false" ht="12.75" hidden="false" customHeight="false" outlineLevel="0" collapsed="false">
      <c r="A69" s="77" t="s">
        <v>15</v>
      </c>
      <c r="B69" s="23" t="s">
        <v>737</v>
      </c>
      <c r="C69" s="78"/>
      <c r="D69" s="78" t="n">
        <f aca="false">E69-C69</f>
        <v>416500</v>
      </c>
      <c r="E69" s="78" t="n">
        <v>416500</v>
      </c>
    </row>
    <row r="70" customFormat="false" ht="12.75" hidden="false" customHeight="false" outlineLevel="0" collapsed="false">
      <c r="A70" s="77" t="s">
        <v>17</v>
      </c>
      <c r="B70" s="23" t="s">
        <v>738</v>
      </c>
      <c r="C70" s="78" t="n">
        <f aca="false">100000+140000+100000+76500</f>
        <v>416500</v>
      </c>
      <c r="D70" s="78" t="n">
        <f aca="false">E70-C70</f>
        <v>0</v>
      </c>
      <c r="E70" s="78" t="n">
        <v>416500</v>
      </c>
    </row>
    <row r="71" customFormat="false" ht="12.75" hidden="false" customHeight="false" outlineLevel="0" collapsed="false">
      <c r="A71" s="77" t="s">
        <v>19</v>
      </c>
      <c r="B71" s="23" t="s">
        <v>739</v>
      </c>
      <c r="C71" s="78" t="n">
        <f aca="false">400000+16500</f>
        <v>416500</v>
      </c>
      <c r="D71" s="78" t="n">
        <f aca="false">E71-C71</f>
        <v>0</v>
      </c>
      <c r="E71" s="78" t="n">
        <v>416500</v>
      </c>
    </row>
    <row r="72" customFormat="false" ht="12.75" hidden="false" customHeight="false" outlineLevel="0" collapsed="false">
      <c r="A72" s="77" t="s">
        <v>21</v>
      </c>
      <c r="B72" s="23" t="s">
        <v>740</v>
      </c>
      <c r="C72" s="78" t="n">
        <v>150000</v>
      </c>
      <c r="D72" s="78" t="n">
        <f aca="false">E72-C72</f>
        <v>266500</v>
      </c>
      <c r="E72" s="78" t="n">
        <v>416500</v>
      </c>
    </row>
    <row r="73" customFormat="false" ht="12.75" hidden="false" customHeight="false" outlineLevel="0" collapsed="false">
      <c r="A73" s="77" t="s">
        <v>23</v>
      </c>
      <c r="B73" s="23" t="s">
        <v>741</v>
      </c>
      <c r="C73" s="78"/>
      <c r="D73" s="78" t="n">
        <f aca="false">E73-C73</f>
        <v>416500</v>
      </c>
      <c r="E73" s="78" t="n">
        <v>416500</v>
      </c>
    </row>
    <row r="74" customFormat="false" ht="12.75" hidden="false" customHeight="false" outlineLevel="0" collapsed="false">
      <c r="A74" s="77" t="s">
        <v>25</v>
      </c>
      <c r="B74" s="23" t="s">
        <v>742</v>
      </c>
      <c r="C74" s="78" t="n">
        <v>16500</v>
      </c>
      <c r="D74" s="78" t="n">
        <f aca="false">E74-C74</f>
        <v>400000</v>
      </c>
      <c r="E74" s="78" t="n">
        <v>416500</v>
      </c>
    </row>
    <row r="75" customFormat="false" ht="12.75" hidden="false" customHeight="false" outlineLevel="0" collapsed="false">
      <c r="A75" s="77" t="s">
        <v>27</v>
      </c>
      <c r="B75" s="23" t="s">
        <v>743</v>
      </c>
      <c r="C75" s="78" t="n">
        <f aca="false">80000+70000+50000+200000+16500</f>
        <v>416500</v>
      </c>
      <c r="D75" s="78" t="n">
        <f aca="false">E75-C75</f>
        <v>0</v>
      </c>
      <c r="E75" s="78" t="n">
        <v>416500</v>
      </c>
    </row>
    <row r="76" customFormat="false" ht="12.75" hidden="false" customHeight="false" outlineLevel="0" collapsed="false">
      <c r="A76" s="77" t="s">
        <v>29</v>
      </c>
      <c r="B76" s="23" t="s">
        <v>744</v>
      </c>
      <c r="C76" s="78" t="n">
        <v>416500</v>
      </c>
      <c r="D76" s="78" t="n">
        <f aca="false">E76-C76</f>
        <v>0</v>
      </c>
      <c r="E76" s="78" t="n">
        <v>416500</v>
      </c>
    </row>
    <row r="77" customFormat="false" ht="12.75" hidden="false" customHeight="false" outlineLevel="0" collapsed="false">
      <c r="A77" s="75" t="s">
        <v>57</v>
      </c>
      <c r="B77" s="75"/>
      <c r="C77" s="76" t="n">
        <f aca="false">SUM(C65:C76)</f>
        <v>3382000</v>
      </c>
      <c r="D77" s="76" t="n">
        <f aca="false">E77-C77</f>
        <v>1616000</v>
      </c>
      <c r="E77" s="76" t="n">
        <f aca="false">SUM(E65:E76)</f>
        <v>4998000</v>
      </c>
    </row>
    <row r="78" customFormat="false" ht="12.75" hidden="false" customHeight="false" outlineLevel="0" collapsed="false">
      <c r="A78" s="82"/>
      <c r="B78" s="73" t="s">
        <v>745</v>
      </c>
      <c r="C78" s="73"/>
      <c r="D78" s="73"/>
      <c r="E78" s="74"/>
    </row>
    <row r="79" customFormat="false" ht="12.75" hidden="false" customHeight="false" outlineLevel="0" collapsed="false">
      <c r="A79" s="75" t="s">
        <v>2</v>
      </c>
      <c r="B79" s="75" t="s">
        <v>3</v>
      </c>
      <c r="C79" s="76" t="s">
        <v>4</v>
      </c>
      <c r="D79" s="75" t="s">
        <v>5</v>
      </c>
      <c r="E79" s="76" t="s">
        <v>6</v>
      </c>
    </row>
    <row r="80" customFormat="false" ht="12.75" hidden="false" customHeight="false" outlineLevel="0" collapsed="false">
      <c r="A80" s="77" t="s">
        <v>7</v>
      </c>
      <c r="B80" s="23" t="s">
        <v>746</v>
      </c>
      <c r="C80" s="79" t="n">
        <v>0</v>
      </c>
      <c r="D80" s="78" t="n">
        <f aca="false">E80-C80</f>
        <v>416500</v>
      </c>
      <c r="E80" s="78" t="n">
        <v>416500</v>
      </c>
    </row>
    <row r="81" customFormat="false" ht="12.75" hidden="false" customHeight="false" outlineLevel="0" collapsed="false">
      <c r="A81" s="77" t="s">
        <v>9</v>
      </c>
      <c r="B81" s="23" t="s">
        <v>747</v>
      </c>
      <c r="C81" s="78" t="n">
        <f aca="false">26500+206000+184000</f>
        <v>416500</v>
      </c>
      <c r="D81" s="78" t="n">
        <f aca="false">E81-C81</f>
        <v>0</v>
      </c>
      <c r="E81" s="78" t="n">
        <v>416500</v>
      </c>
    </row>
    <row r="82" customFormat="false" ht="12.75" hidden="false" customHeight="false" outlineLevel="0" collapsed="false">
      <c r="A82" s="77" t="s">
        <v>11</v>
      </c>
      <c r="B82" s="23" t="s">
        <v>748</v>
      </c>
      <c r="C82" s="78"/>
      <c r="D82" s="78" t="n">
        <f aca="false">E82-C82</f>
        <v>416500</v>
      </c>
      <c r="E82" s="78" t="n">
        <v>416500</v>
      </c>
    </row>
    <row r="83" customFormat="false" ht="12.75" hidden="false" customHeight="false" outlineLevel="0" collapsed="false">
      <c r="A83" s="77" t="s">
        <v>13</v>
      </c>
      <c r="B83" s="23" t="s">
        <v>749</v>
      </c>
      <c r="C83" s="78" t="n">
        <f aca="false">266500+150000</f>
        <v>416500</v>
      </c>
      <c r="D83" s="78" t="n">
        <f aca="false">E83-C83</f>
        <v>0</v>
      </c>
      <c r="E83" s="78" t="n">
        <v>416500</v>
      </c>
    </row>
    <row r="84" customFormat="false" ht="12.75" hidden="false" customHeight="false" outlineLevel="0" collapsed="false">
      <c r="A84" s="77" t="s">
        <v>15</v>
      </c>
      <c r="B84" s="23" t="s">
        <v>750</v>
      </c>
      <c r="C84" s="78" t="n">
        <f aca="false">333500+83000</f>
        <v>416500</v>
      </c>
      <c r="D84" s="78" t="n">
        <f aca="false">E84-C84</f>
        <v>0</v>
      </c>
      <c r="E84" s="78" t="n">
        <v>416500</v>
      </c>
    </row>
    <row r="85" customFormat="false" ht="12.75" hidden="false" customHeight="false" outlineLevel="0" collapsed="false">
      <c r="A85" s="77" t="s">
        <v>17</v>
      </c>
      <c r="B85" s="23" t="s">
        <v>751</v>
      </c>
      <c r="C85" s="78"/>
      <c r="D85" s="78" t="n">
        <f aca="false">E85-C85</f>
        <v>416500</v>
      </c>
      <c r="E85" s="78" t="n">
        <v>416500</v>
      </c>
    </row>
    <row r="86" customFormat="false" ht="12.75" hidden="false" customHeight="false" outlineLevel="0" collapsed="false">
      <c r="A86" s="77" t="s">
        <v>19</v>
      </c>
      <c r="B86" s="23" t="s">
        <v>752</v>
      </c>
      <c r="C86" s="78" t="n">
        <v>66500</v>
      </c>
      <c r="D86" s="78" t="n">
        <f aca="false">E86-C86</f>
        <v>350000</v>
      </c>
      <c r="E86" s="78" t="n">
        <v>416500</v>
      </c>
    </row>
    <row r="87" customFormat="false" ht="12.75" hidden="false" customHeight="false" outlineLevel="0" collapsed="false">
      <c r="A87" s="77" t="s">
        <v>21</v>
      </c>
      <c r="B87" s="23" t="s">
        <v>753</v>
      </c>
      <c r="C87" s="78" t="n">
        <f aca="false">51500+250000+115000</f>
        <v>416500</v>
      </c>
      <c r="D87" s="78" t="n">
        <f aca="false">E87-C87</f>
        <v>0</v>
      </c>
      <c r="E87" s="78" t="n">
        <v>416500</v>
      </c>
    </row>
    <row r="88" customFormat="false" ht="12.75" hidden="false" customHeight="false" outlineLevel="0" collapsed="false">
      <c r="A88" s="77" t="s">
        <v>23</v>
      </c>
      <c r="B88" s="23" t="s">
        <v>754</v>
      </c>
      <c r="C88" s="78" t="n">
        <f aca="false">216500+200000</f>
        <v>416500</v>
      </c>
      <c r="D88" s="78" t="n">
        <f aca="false">E88-C88</f>
        <v>0</v>
      </c>
      <c r="E88" s="78" t="n">
        <v>416500</v>
      </c>
    </row>
    <row r="89" customFormat="false" ht="12.75" hidden="false" customHeight="false" outlineLevel="0" collapsed="false">
      <c r="A89" s="77" t="s">
        <v>25</v>
      </c>
      <c r="B89" s="23" t="s">
        <v>755</v>
      </c>
      <c r="C89" s="78"/>
      <c r="D89" s="78" t="n">
        <f aca="false">E89-C89</f>
        <v>416500</v>
      </c>
      <c r="E89" s="78" t="n">
        <v>416500</v>
      </c>
    </row>
    <row r="90" customFormat="false" ht="12.75" hidden="false" customHeight="false" outlineLevel="0" collapsed="false">
      <c r="A90" s="77" t="s">
        <v>27</v>
      </c>
      <c r="B90" s="23" t="s">
        <v>756</v>
      </c>
      <c r="C90" s="78" t="n">
        <f aca="false">50000+366500</f>
        <v>416500</v>
      </c>
      <c r="D90" s="78" t="n">
        <f aca="false">E90-C90</f>
        <v>0</v>
      </c>
      <c r="E90" s="78" t="n">
        <v>416500</v>
      </c>
    </row>
    <row r="91" customFormat="false" ht="12.75" hidden="false" customHeight="false" outlineLevel="0" collapsed="false">
      <c r="A91" s="77" t="s">
        <v>29</v>
      </c>
      <c r="B91" s="23" t="s">
        <v>757</v>
      </c>
      <c r="C91" s="78" t="n">
        <f aca="false">137250+200000+79250</f>
        <v>416500</v>
      </c>
      <c r="D91" s="78" t="n">
        <f aca="false">E91-C91</f>
        <v>0</v>
      </c>
      <c r="E91" s="78" t="n">
        <v>416500</v>
      </c>
    </row>
    <row r="92" customFormat="false" ht="12.75" hidden="false" customHeight="false" outlineLevel="0" collapsed="false">
      <c r="A92" s="77" t="s">
        <v>31</v>
      </c>
      <c r="B92" s="23" t="s">
        <v>758</v>
      </c>
      <c r="C92" s="78" t="n">
        <f aca="false">416500</f>
        <v>416500</v>
      </c>
      <c r="D92" s="78" t="n">
        <f aca="false">E92-C92</f>
        <v>0</v>
      </c>
      <c r="E92" s="78" t="n">
        <v>416500</v>
      </c>
    </row>
    <row r="93" customFormat="false" ht="12.75" hidden="false" customHeight="false" outlineLevel="0" collapsed="false">
      <c r="A93" s="77" t="s">
        <v>33</v>
      </c>
      <c r="B93" s="23" t="s">
        <v>759</v>
      </c>
      <c r="C93" s="78" t="n">
        <f aca="false">415000+1500</f>
        <v>416500</v>
      </c>
      <c r="D93" s="78" t="n">
        <f aca="false">E93-C93</f>
        <v>0</v>
      </c>
      <c r="E93" s="78" t="n">
        <v>416500</v>
      </c>
    </row>
    <row r="94" customFormat="false" ht="12.75" hidden="false" customHeight="false" outlineLevel="0" collapsed="false">
      <c r="A94" s="77" t="s">
        <v>35</v>
      </c>
      <c r="B94" s="23" t="s">
        <v>760</v>
      </c>
      <c r="C94" s="78" t="n">
        <v>416500</v>
      </c>
      <c r="D94" s="78" t="n">
        <f aca="false">E94-C94</f>
        <v>0</v>
      </c>
      <c r="E94" s="78" t="n">
        <v>416500</v>
      </c>
    </row>
    <row r="95" customFormat="false" ht="12.75" hidden="false" customHeight="false" outlineLevel="0" collapsed="false">
      <c r="A95" s="77" t="s">
        <v>37</v>
      </c>
      <c r="B95" s="23" t="s">
        <v>761</v>
      </c>
      <c r="C95" s="78" t="n">
        <f aca="false">70000+11500</f>
        <v>81500</v>
      </c>
      <c r="D95" s="78" t="n">
        <f aca="false">E95-C95</f>
        <v>335000</v>
      </c>
      <c r="E95" s="78" t="n">
        <v>416500</v>
      </c>
    </row>
    <row r="96" customFormat="false" ht="12.75" hidden="false" customHeight="false" outlineLevel="0" collapsed="false">
      <c r="A96" s="77" t="s">
        <v>39</v>
      </c>
      <c r="B96" s="23" t="s">
        <v>762</v>
      </c>
      <c r="C96" s="78" t="n">
        <f aca="false">26500+165000+125000+100000</f>
        <v>416500</v>
      </c>
      <c r="D96" s="78" t="n">
        <f aca="false">E96-C96</f>
        <v>0</v>
      </c>
      <c r="E96" s="78" t="n">
        <v>416500</v>
      </c>
    </row>
    <row r="97" customFormat="false" ht="12.75" hidden="false" customHeight="false" outlineLevel="0" collapsed="false">
      <c r="A97" s="77" t="s">
        <v>41</v>
      </c>
      <c r="B97" s="23" t="s">
        <v>763</v>
      </c>
      <c r="C97" s="78"/>
      <c r="D97" s="78" t="n">
        <f aca="false">E97-C97</f>
        <v>416500</v>
      </c>
      <c r="E97" s="78" t="n">
        <v>416500</v>
      </c>
    </row>
    <row r="98" customFormat="false" ht="12.75" hidden="false" customHeight="false" outlineLevel="0" collapsed="false">
      <c r="A98" s="77" t="s">
        <v>43</v>
      </c>
      <c r="B98" s="23" t="s">
        <v>764</v>
      </c>
      <c r="C98" s="79" t="n">
        <v>0</v>
      </c>
      <c r="D98" s="78" t="n">
        <f aca="false">E98-C98</f>
        <v>416500</v>
      </c>
      <c r="E98" s="78" t="n">
        <v>416500</v>
      </c>
    </row>
    <row r="99" customFormat="false" ht="12.75" hidden="false" customHeight="false" outlineLevel="0" collapsed="false">
      <c r="A99" s="75" t="s">
        <v>57</v>
      </c>
      <c r="B99" s="75"/>
      <c r="C99" s="76" t="n">
        <f aca="false">SUM(C79:C98)</f>
        <v>4729500</v>
      </c>
      <c r="D99" s="76" t="n">
        <f aca="false">E99-C99</f>
        <v>3184000</v>
      </c>
      <c r="E99" s="76" t="n">
        <f aca="false">SUM(E79:E98)</f>
        <v>7913500</v>
      </c>
    </row>
    <row r="100" customFormat="false" ht="12.75" hidden="false" customHeight="false" outlineLevel="0" collapsed="false">
      <c r="A100" s="72" t="s">
        <v>765</v>
      </c>
      <c r="B100" s="83"/>
      <c r="C100" s="73"/>
      <c r="D100" s="73"/>
      <c r="E100" s="74"/>
    </row>
    <row r="101" customFormat="false" ht="12.75" hidden="false" customHeight="false" outlineLevel="0" collapsed="false">
      <c r="A101" s="75" t="s">
        <v>2</v>
      </c>
      <c r="B101" s="75" t="s">
        <v>3</v>
      </c>
      <c r="C101" s="76" t="s">
        <v>4</v>
      </c>
      <c r="D101" s="75" t="s">
        <v>5</v>
      </c>
      <c r="E101" s="76" t="s">
        <v>6</v>
      </c>
    </row>
    <row r="102" customFormat="false" ht="12.75" hidden="false" customHeight="false" outlineLevel="0" collapsed="false">
      <c r="A102" s="77" t="s">
        <v>7</v>
      </c>
      <c r="B102" s="23" t="s">
        <v>766</v>
      </c>
      <c r="C102" s="78" t="n">
        <f aca="false">80000+120000+80000+136500</f>
        <v>416500</v>
      </c>
      <c r="D102" s="78" t="n">
        <f aca="false">E102-C102</f>
        <v>0</v>
      </c>
      <c r="E102" s="78" t="n">
        <v>416500</v>
      </c>
    </row>
    <row r="103" customFormat="false" ht="12.75" hidden="false" customHeight="false" outlineLevel="0" collapsed="false">
      <c r="A103" s="77" t="s">
        <v>9</v>
      </c>
      <c r="B103" s="23" t="s">
        <v>767</v>
      </c>
      <c r="C103" s="78"/>
      <c r="D103" s="78" t="n">
        <f aca="false">E103-C103</f>
        <v>416500</v>
      </c>
      <c r="E103" s="78" t="n">
        <v>416500</v>
      </c>
    </row>
    <row r="104" customFormat="false" ht="12.75" hidden="false" customHeight="false" outlineLevel="0" collapsed="false">
      <c r="A104" s="77" t="s">
        <v>11</v>
      </c>
      <c r="B104" s="23" t="s">
        <v>768</v>
      </c>
      <c r="C104" s="78" t="n">
        <v>200000</v>
      </c>
      <c r="D104" s="78" t="n">
        <f aca="false">E104-C104</f>
        <v>216500</v>
      </c>
      <c r="E104" s="78" t="n">
        <v>416500</v>
      </c>
    </row>
    <row r="105" customFormat="false" ht="12.75" hidden="false" customHeight="false" outlineLevel="0" collapsed="false">
      <c r="A105" s="77" t="s">
        <v>13</v>
      </c>
      <c r="B105" s="23" t="s">
        <v>769</v>
      </c>
      <c r="C105" s="78" t="n">
        <f aca="false">100000+316500</f>
        <v>416500</v>
      </c>
      <c r="D105" s="78" t="n">
        <f aca="false">E105-C105</f>
        <v>0</v>
      </c>
      <c r="E105" s="78" t="n">
        <v>416500</v>
      </c>
    </row>
    <row r="106" customFormat="false" ht="12.75" hidden="false" customHeight="false" outlineLevel="0" collapsed="false">
      <c r="A106" s="77" t="s">
        <v>15</v>
      </c>
      <c r="B106" s="23" t="s">
        <v>770</v>
      </c>
      <c r="C106" s="78" t="n">
        <f aca="false">100000+316500</f>
        <v>416500</v>
      </c>
      <c r="D106" s="78" t="n">
        <f aca="false">E106-C106</f>
        <v>0</v>
      </c>
      <c r="E106" s="78" t="n">
        <v>416500</v>
      </c>
    </row>
    <row r="107" customFormat="false" ht="12.75" hidden="false" customHeight="false" outlineLevel="0" collapsed="false">
      <c r="A107" s="77" t="s">
        <v>17</v>
      </c>
      <c r="B107" s="23" t="s">
        <v>771</v>
      </c>
      <c r="C107" s="78" t="n">
        <f aca="false">100000+150000+216500</f>
        <v>466500</v>
      </c>
      <c r="D107" s="78" t="n">
        <f aca="false">E107-C107</f>
        <v>-50000</v>
      </c>
      <c r="E107" s="78" t="n">
        <v>416500</v>
      </c>
    </row>
    <row r="108" customFormat="false" ht="12.75" hidden="false" customHeight="false" outlineLevel="0" collapsed="false">
      <c r="A108" s="77" t="s">
        <v>19</v>
      </c>
      <c r="B108" s="23" t="s">
        <v>772</v>
      </c>
      <c r="C108" s="78" t="n">
        <f aca="false">100000+316500</f>
        <v>416500</v>
      </c>
      <c r="D108" s="78" t="n">
        <f aca="false">E108-C108</f>
        <v>0</v>
      </c>
      <c r="E108" s="78" t="n">
        <v>416500</v>
      </c>
    </row>
    <row r="109" customFormat="false" ht="12.75" hidden="false" customHeight="false" outlineLevel="0" collapsed="false">
      <c r="A109" s="77" t="s">
        <v>21</v>
      </c>
      <c r="B109" s="23" t="s">
        <v>773</v>
      </c>
      <c r="C109" s="78" t="n">
        <f aca="false">200000+100000</f>
        <v>300000</v>
      </c>
      <c r="D109" s="78" t="n">
        <f aca="false">E109-C109</f>
        <v>116500</v>
      </c>
      <c r="E109" s="78" t="n">
        <v>416500</v>
      </c>
    </row>
    <row r="110" customFormat="false" ht="12.75" hidden="false" customHeight="false" outlineLevel="0" collapsed="false">
      <c r="A110" s="77" t="s">
        <v>23</v>
      </c>
      <c r="B110" s="23" t="s">
        <v>774</v>
      </c>
      <c r="C110" s="78" t="n">
        <v>416500</v>
      </c>
      <c r="D110" s="78" t="n">
        <f aca="false">E110-C110</f>
        <v>0</v>
      </c>
      <c r="E110" s="78" t="n">
        <v>416500</v>
      </c>
    </row>
    <row r="111" customFormat="false" ht="12.75" hidden="false" customHeight="false" outlineLevel="0" collapsed="false">
      <c r="A111" s="77" t="s">
        <v>25</v>
      </c>
      <c r="B111" s="23" t="s">
        <v>775</v>
      </c>
      <c r="C111" s="78" t="n">
        <v>216000</v>
      </c>
      <c r="D111" s="78" t="n">
        <f aca="false">E111-C111</f>
        <v>200500</v>
      </c>
      <c r="E111" s="78" t="n">
        <v>416500</v>
      </c>
    </row>
    <row r="112" customFormat="false" ht="12.75" hidden="false" customHeight="false" outlineLevel="0" collapsed="false">
      <c r="A112" s="77" t="s">
        <v>27</v>
      </c>
      <c r="B112" s="23" t="s">
        <v>776</v>
      </c>
      <c r="C112" s="78" t="n">
        <f aca="false">85500+331000</f>
        <v>416500</v>
      </c>
      <c r="D112" s="78" t="n">
        <f aca="false">E112-C112</f>
        <v>0</v>
      </c>
      <c r="E112" s="78" t="n">
        <v>416500</v>
      </c>
    </row>
    <row r="113" customFormat="false" ht="12.75" hidden="false" customHeight="false" outlineLevel="0" collapsed="false">
      <c r="A113" s="77" t="s">
        <v>29</v>
      </c>
      <c r="B113" s="23" t="s">
        <v>777</v>
      </c>
      <c r="C113" s="78" t="n">
        <f aca="false">200000+216500</f>
        <v>416500</v>
      </c>
      <c r="D113" s="78" t="n">
        <f aca="false">E113-C113</f>
        <v>0</v>
      </c>
      <c r="E113" s="78" t="n">
        <v>416500</v>
      </c>
    </row>
    <row r="114" customFormat="false" ht="12.75" hidden="false" customHeight="false" outlineLevel="0" collapsed="false">
      <c r="A114" s="77" t="s">
        <v>31</v>
      </c>
      <c r="B114" s="23" t="s">
        <v>778</v>
      </c>
      <c r="C114" s="78" t="n">
        <v>416500</v>
      </c>
      <c r="D114" s="78" t="n">
        <f aca="false">E114-C114</f>
        <v>0</v>
      </c>
      <c r="E114" s="78" t="n">
        <v>416500</v>
      </c>
    </row>
    <row r="115" customFormat="false" ht="12.75" hidden="false" customHeight="false" outlineLevel="0" collapsed="false">
      <c r="A115" s="77" t="s">
        <v>33</v>
      </c>
      <c r="B115" s="23" t="s">
        <v>779</v>
      </c>
      <c r="C115" s="78" t="n">
        <f aca="false">300000+116000+500</f>
        <v>416500</v>
      </c>
      <c r="D115" s="78" t="n">
        <f aca="false">E115-C115</f>
        <v>0</v>
      </c>
      <c r="E115" s="78" t="n">
        <v>416500</v>
      </c>
    </row>
    <row r="116" customFormat="false" ht="12.75" hidden="false" customHeight="false" outlineLevel="0" collapsed="false">
      <c r="A116" s="77" t="s">
        <v>35</v>
      </c>
      <c r="B116" s="23" t="s">
        <v>780</v>
      </c>
      <c r="C116" s="78" t="n">
        <f aca="false">200000+216500</f>
        <v>416500</v>
      </c>
      <c r="D116" s="78" t="n">
        <f aca="false">E116-C116</f>
        <v>0</v>
      </c>
      <c r="E116" s="78" t="n">
        <v>416500</v>
      </c>
    </row>
    <row r="117" customFormat="false" ht="12.75" hidden="false" customHeight="false" outlineLevel="0" collapsed="false">
      <c r="A117" s="84"/>
      <c r="B117" s="85" t="s">
        <v>175</v>
      </c>
      <c r="C117" s="76" t="n">
        <f aca="false">SUM(C102:C116)</f>
        <v>5347500</v>
      </c>
      <c r="D117" s="76" t="n">
        <f aca="false">E117-C117</f>
        <v>900000</v>
      </c>
      <c r="E117" s="76" t="n">
        <f aca="false">SUM(E102:E116)</f>
        <v>6247500</v>
      </c>
    </row>
    <row r="118" customFormat="false" ht="12.75" hidden="false" customHeight="false" outlineLevel="0" collapsed="false">
      <c r="A118" s="72" t="s">
        <v>781</v>
      </c>
      <c r="B118" s="83"/>
      <c r="C118" s="73"/>
      <c r="D118" s="73"/>
      <c r="E118" s="74"/>
    </row>
    <row r="119" customFormat="false" ht="12.75" hidden="false" customHeight="false" outlineLevel="0" collapsed="false">
      <c r="A119" s="75" t="s">
        <v>2</v>
      </c>
      <c r="B119" s="75" t="s">
        <v>3</v>
      </c>
      <c r="C119" s="76" t="s">
        <v>4</v>
      </c>
      <c r="D119" s="75" t="s">
        <v>5</v>
      </c>
      <c r="E119" s="76" t="s">
        <v>6</v>
      </c>
    </row>
    <row r="120" customFormat="false" ht="12.75" hidden="false" customHeight="false" outlineLevel="0" collapsed="false">
      <c r="A120" s="77" t="s">
        <v>7</v>
      </c>
      <c r="B120" s="23" t="s">
        <v>782</v>
      </c>
      <c r="C120" s="78" t="n">
        <f aca="false">150000+266500</f>
        <v>416500</v>
      </c>
      <c r="D120" s="78" t="n">
        <f aca="false">E120-C120</f>
        <v>0</v>
      </c>
      <c r="E120" s="78" t="n">
        <v>416500</v>
      </c>
    </row>
    <row r="121" customFormat="false" ht="12.75" hidden="false" customHeight="false" outlineLevel="0" collapsed="false">
      <c r="A121" s="77" t="s">
        <v>9</v>
      </c>
      <c r="B121" s="23" t="s">
        <v>783</v>
      </c>
      <c r="C121" s="78" t="n">
        <f aca="false">97000+83500+186000+40000+10000</f>
        <v>416500</v>
      </c>
      <c r="D121" s="78" t="n">
        <f aca="false">E121-C121</f>
        <v>0</v>
      </c>
      <c r="E121" s="78" t="n">
        <v>416500</v>
      </c>
    </row>
    <row r="122" customFormat="false" ht="12.75" hidden="false" customHeight="false" outlineLevel="0" collapsed="false">
      <c r="A122" s="77" t="s">
        <v>11</v>
      </c>
      <c r="B122" s="23" t="s">
        <v>784</v>
      </c>
      <c r="C122" s="78" t="n">
        <f aca="false">176500+80000+160000</f>
        <v>416500</v>
      </c>
      <c r="D122" s="78" t="n">
        <f aca="false">E122-C122</f>
        <v>0</v>
      </c>
      <c r="E122" s="78" t="n">
        <v>416500</v>
      </c>
    </row>
    <row r="123" customFormat="false" ht="12.75" hidden="false" customHeight="false" outlineLevel="0" collapsed="false">
      <c r="A123" s="77" t="s">
        <v>13</v>
      </c>
      <c r="B123" s="23" t="s">
        <v>785</v>
      </c>
      <c r="C123" s="78" t="n">
        <v>416500</v>
      </c>
      <c r="D123" s="78" t="n">
        <v>0</v>
      </c>
      <c r="E123" s="78" t="n">
        <v>416500</v>
      </c>
    </row>
    <row r="124" customFormat="false" ht="12.75" hidden="false" customHeight="false" outlineLevel="0" collapsed="false">
      <c r="A124" s="77" t="s">
        <v>15</v>
      </c>
      <c r="B124" s="23" t="s">
        <v>786</v>
      </c>
      <c r="C124" s="78"/>
      <c r="D124" s="78" t="n">
        <f aca="false">E124-C124</f>
        <v>416500</v>
      </c>
      <c r="E124" s="78" t="n">
        <v>416500</v>
      </c>
    </row>
    <row r="125" customFormat="false" ht="12.75" hidden="false" customHeight="false" outlineLevel="0" collapsed="false">
      <c r="A125" s="77" t="s">
        <v>17</v>
      </c>
      <c r="B125" s="23" t="s">
        <v>787</v>
      </c>
      <c r="C125" s="78" t="n">
        <f aca="false">100000+66500</f>
        <v>166500</v>
      </c>
      <c r="D125" s="78" t="n">
        <f aca="false">E125-C125</f>
        <v>250000</v>
      </c>
      <c r="E125" s="78" t="n">
        <v>416500</v>
      </c>
    </row>
    <row r="126" customFormat="false" ht="12.75" hidden="false" customHeight="false" outlineLevel="0" collapsed="false">
      <c r="A126" s="77" t="s">
        <v>19</v>
      </c>
      <c r="B126" s="23" t="s">
        <v>788</v>
      </c>
      <c r="C126" s="78" t="n">
        <v>416500</v>
      </c>
      <c r="D126" s="78" t="n">
        <f aca="false">E126-C126</f>
        <v>0</v>
      </c>
      <c r="E126" s="78" t="n">
        <v>416500</v>
      </c>
    </row>
    <row r="127" customFormat="false" ht="12.75" hidden="false" customHeight="false" outlineLevel="0" collapsed="false">
      <c r="A127" s="77" t="s">
        <v>21</v>
      </c>
      <c r="B127" s="23" t="s">
        <v>789</v>
      </c>
      <c r="C127" s="78" t="n">
        <f aca="false">100000</f>
        <v>100000</v>
      </c>
      <c r="D127" s="78" t="n">
        <f aca="false">E127-C127</f>
        <v>316500</v>
      </c>
      <c r="E127" s="78" t="n">
        <v>416500</v>
      </c>
    </row>
    <row r="128" customFormat="false" ht="12.75" hidden="false" customHeight="false" outlineLevel="0" collapsed="false">
      <c r="A128" s="77" t="s">
        <v>23</v>
      </c>
      <c r="B128" s="23" t="s">
        <v>790</v>
      </c>
      <c r="C128" s="78" t="n">
        <v>416500</v>
      </c>
      <c r="D128" s="78" t="n">
        <f aca="false">E128-C128</f>
        <v>0</v>
      </c>
      <c r="E128" s="78" t="n">
        <v>416500</v>
      </c>
    </row>
    <row r="129" customFormat="false" ht="12.75" hidden="false" customHeight="false" outlineLevel="0" collapsed="false">
      <c r="A129" s="77" t="s">
        <v>25</v>
      </c>
      <c r="B129" s="23" t="s">
        <v>791</v>
      </c>
      <c r="C129" s="78" t="n">
        <v>100000</v>
      </c>
      <c r="D129" s="78" t="n">
        <f aca="false">E129-C129</f>
        <v>316500</v>
      </c>
      <c r="E129" s="78" t="n">
        <v>416500</v>
      </c>
    </row>
    <row r="130" customFormat="false" ht="12.75" hidden="false" customHeight="false" outlineLevel="0" collapsed="false">
      <c r="A130" s="77" t="s">
        <v>27</v>
      </c>
      <c r="B130" s="23" t="s">
        <v>792</v>
      </c>
      <c r="C130" s="78" t="n">
        <f aca="false">200000+216500</f>
        <v>416500</v>
      </c>
      <c r="D130" s="78" t="n">
        <f aca="false">E130-C130</f>
        <v>0</v>
      </c>
      <c r="E130" s="78" t="n">
        <v>416500</v>
      </c>
    </row>
    <row r="131" customFormat="false" ht="12.75" hidden="false" customHeight="false" outlineLevel="0" collapsed="false">
      <c r="A131" s="77" t="s">
        <v>29</v>
      </c>
      <c r="B131" s="23" t="s">
        <v>793</v>
      </c>
      <c r="C131" s="78" t="n">
        <f aca="false">200000+216500</f>
        <v>416500</v>
      </c>
      <c r="D131" s="78" t="n">
        <f aca="false">E131-C131</f>
        <v>0</v>
      </c>
      <c r="E131" s="78" t="n">
        <v>416500</v>
      </c>
    </row>
    <row r="132" customFormat="false" ht="12.75" hidden="false" customHeight="false" outlineLevel="0" collapsed="false">
      <c r="A132" s="77" t="s">
        <v>31</v>
      </c>
      <c r="B132" s="23" t="s">
        <v>794</v>
      </c>
      <c r="C132" s="78" t="n">
        <f aca="false">100000+316500</f>
        <v>416500</v>
      </c>
      <c r="D132" s="78" t="n">
        <f aca="false">E132-C132</f>
        <v>0</v>
      </c>
      <c r="E132" s="78" t="n">
        <v>416500</v>
      </c>
    </row>
    <row r="133" customFormat="false" ht="12.75" hidden="false" customHeight="false" outlineLevel="0" collapsed="false">
      <c r="A133" s="77" t="s">
        <v>33</v>
      </c>
      <c r="B133" s="23" t="s">
        <v>795</v>
      </c>
      <c r="C133" s="78" t="n">
        <f aca="false">33500+383000</f>
        <v>416500</v>
      </c>
      <c r="D133" s="78" t="n">
        <f aca="false">E133-C133</f>
        <v>0</v>
      </c>
      <c r="E133" s="78" t="n">
        <v>416500</v>
      </c>
    </row>
    <row r="134" customFormat="false" ht="12.75" hidden="false" customHeight="false" outlineLevel="0" collapsed="false">
      <c r="A134" s="77" t="s">
        <v>35</v>
      </c>
      <c r="B134" s="23" t="s">
        <v>796</v>
      </c>
      <c r="C134" s="78" t="n">
        <f aca="false">162500+254000</f>
        <v>416500</v>
      </c>
      <c r="D134" s="78" t="n">
        <f aca="false">E134-C134</f>
        <v>0</v>
      </c>
      <c r="E134" s="78" t="n">
        <v>416500</v>
      </c>
    </row>
    <row r="135" customFormat="false" ht="12.75" hidden="false" customHeight="false" outlineLevel="0" collapsed="false">
      <c r="A135" s="77" t="s">
        <v>37</v>
      </c>
      <c r="B135" s="23" t="s">
        <v>797</v>
      </c>
      <c r="C135" s="78"/>
      <c r="D135" s="78" t="n">
        <f aca="false">E135-C135</f>
        <v>416500</v>
      </c>
      <c r="E135" s="78" t="n">
        <v>416500</v>
      </c>
    </row>
    <row r="136" customFormat="false" ht="12.75" hidden="false" customHeight="false" outlineLevel="0" collapsed="false">
      <c r="A136" s="77" t="s">
        <v>39</v>
      </c>
      <c r="B136" s="23" t="s">
        <v>798</v>
      </c>
      <c r="C136" s="78" t="n">
        <f aca="false">103500+160000+90000+63000</f>
        <v>416500</v>
      </c>
      <c r="D136" s="78" t="n">
        <f aca="false">E136-C136</f>
        <v>0</v>
      </c>
      <c r="E136" s="78" t="n">
        <v>416500</v>
      </c>
    </row>
    <row r="137" customFormat="false" ht="12.75" hidden="false" customHeight="false" outlineLevel="0" collapsed="false">
      <c r="A137" s="77" t="s">
        <v>41</v>
      </c>
      <c r="B137" s="23" t="s">
        <v>799</v>
      </c>
      <c r="C137" s="78" t="n">
        <f aca="false">100000+200000</f>
        <v>300000</v>
      </c>
      <c r="D137" s="78" t="n">
        <f aca="false">E137-C137</f>
        <v>116500</v>
      </c>
      <c r="E137" s="78" t="n">
        <v>416500</v>
      </c>
    </row>
    <row r="138" customFormat="false" ht="12.75" hidden="false" customHeight="false" outlineLevel="0" collapsed="false">
      <c r="A138" s="77" t="s">
        <v>43</v>
      </c>
      <c r="B138" s="23" t="s">
        <v>800</v>
      </c>
      <c r="C138" s="78" t="n">
        <f aca="false">100000+50000+266500</f>
        <v>416500</v>
      </c>
      <c r="D138" s="78" t="n">
        <f aca="false">E138-C138</f>
        <v>0</v>
      </c>
      <c r="E138" s="78" t="n">
        <v>416500</v>
      </c>
    </row>
    <row r="139" customFormat="false" ht="12.75" hidden="false" customHeight="false" outlineLevel="0" collapsed="false">
      <c r="A139" s="77" t="s">
        <v>45</v>
      </c>
      <c r="B139" s="23" t="s">
        <v>801</v>
      </c>
      <c r="C139" s="78" t="n">
        <f aca="false">116500+300000</f>
        <v>416500</v>
      </c>
      <c r="D139" s="78" t="n">
        <f aca="false">E139-C139</f>
        <v>0</v>
      </c>
      <c r="E139" s="78" t="n">
        <v>416500</v>
      </c>
    </row>
    <row r="140" customFormat="false" ht="12.75" hidden="false" customHeight="false" outlineLevel="0" collapsed="false">
      <c r="A140" s="77" t="s">
        <v>47</v>
      </c>
      <c r="B140" s="23" t="s">
        <v>802</v>
      </c>
      <c r="C140" s="78" t="n">
        <f aca="false">166500+250000</f>
        <v>416500</v>
      </c>
      <c r="D140" s="78" t="n">
        <f aca="false">E140-C140</f>
        <v>0</v>
      </c>
      <c r="E140" s="78" t="n">
        <v>416500</v>
      </c>
    </row>
    <row r="141" customFormat="false" ht="12.75" hidden="false" customHeight="false" outlineLevel="0" collapsed="false">
      <c r="A141" s="77" t="s">
        <v>49</v>
      </c>
      <c r="B141" s="23" t="s">
        <v>803</v>
      </c>
      <c r="C141" s="78" t="n">
        <f aca="false">106500+240000+70000</f>
        <v>416500</v>
      </c>
      <c r="D141" s="78" t="n">
        <f aca="false">E141-C141</f>
        <v>0</v>
      </c>
      <c r="E141" s="78" t="n">
        <v>416500</v>
      </c>
    </row>
    <row r="142" customFormat="false" ht="12.75" hidden="false" customHeight="false" outlineLevel="0" collapsed="false">
      <c r="A142" s="77" t="s">
        <v>51</v>
      </c>
      <c r="B142" s="23" t="s">
        <v>804</v>
      </c>
      <c r="C142" s="79" t="n">
        <v>0</v>
      </c>
      <c r="D142" s="78" t="n">
        <f aca="false">E142-C142</f>
        <v>416500</v>
      </c>
      <c r="E142" s="78" t="n">
        <v>416500</v>
      </c>
    </row>
    <row r="143" customFormat="false" ht="12.75" hidden="false" customHeight="false" outlineLevel="0" collapsed="false">
      <c r="A143" s="77" t="s">
        <v>53</v>
      </c>
      <c r="B143" s="23" t="s">
        <v>805</v>
      </c>
      <c r="C143" s="78" t="n">
        <f aca="false">99500+317000</f>
        <v>416500</v>
      </c>
      <c r="D143" s="78" t="n">
        <f aca="false">E143-C143</f>
        <v>0</v>
      </c>
      <c r="E143" s="78" t="n">
        <v>416500</v>
      </c>
    </row>
    <row r="144" customFormat="false" ht="12.75" hidden="false" customHeight="false" outlineLevel="0" collapsed="false">
      <c r="A144" s="77" t="s">
        <v>55</v>
      </c>
      <c r="B144" s="23" t="s">
        <v>806</v>
      </c>
      <c r="C144" s="78" t="n">
        <f aca="false">100000+200000</f>
        <v>300000</v>
      </c>
      <c r="D144" s="78" t="n">
        <f aca="false">E144-C144</f>
        <v>116500</v>
      </c>
      <c r="E144" s="78" t="n">
        <v>416500</v>
      </c>
    </row>
    <row r="145" customFormat="false" ht="12.75" hidden="false" customHeight="false" outlineLevel="0" collapsed="false">
      <c r="A145" s="77" t="s">
        <v>141</v>
      </c>
      <c r="B145" s="23" t="s">
        <v>807</v>
      </c>
      <c r="C145" s="78" t="n">
        <f aca="false">416500</f>
        <v>416500</v>
      </c>
      <c r="D145" s="78" t="n">
        <f aca="false">E145-C145</f>
        <v>0</v>
      </c>
      <c r="E145" s="78" t="n">
        <v>416500</v>
      </c>
    </row>
    <row r="146" customFormat="false" ht="12.75" hidden="false" customHeight="false" outlineLevel="0" collapsed="false">
      <c r="A146" s="77" t="s">
        <v>143</v>
      </c>
      <c r="B146" s="23" t="s">
        <v>808</v>
      </c>
      <c r="C146" s="79" t="n">
        <v>0</v>
      </c>
      <c r="D146" s="78" t="n">
        <f aca="false">E146-C146</f>
        <v>416500</v>
      </c>
      <c r="E146" s="78" t="n">
        <v>416500</v>
      </c>
    </row>
    <row r="147" customFormat="false" ht="12.75" hidden="false" customHeight="false" outlineLevel="0" collapsed="false">
      <c r="A147" s="77" t="s">
        <v>145</v>
      </c>
      <c r="B147" s="23" t="s">
        <v>809</v>
      </c>
      <c r="C147" s="78" t="n">
        <f aca="false">100000+200000+116500</f>
        <v>416500</v>
      </c>
      <c r="D147" s="78" t="n">
        <f aca="false">E147-C147</f>
        <v>0</v>
      </c>
      <c r="E147" s="78" t="n">
        <v>416500</v>
      </c>
    </row>
    <row r="148" customFormat="false" ht="12.75" hidden="false" customHeight="false" outlineLevel="0" collapsed="false">
      <c r="A148" s="77" t="s">
        <v>147</v>
      </c>
      <c r="B148" s="23" t="s">
        <v>810</v>
      </c>
      <c r="C148" s="78" t="n">
        <v>416500</v>
      </c>
      <c r="D148" s="78" t="n">
        <f aca="false">E148-C148</f>
        <v>0</v>
      </c>
      <c r="E148" s="78" t="n">
        <v>416500</v>
      </c>
    </row>
    <row r="149" customFormat="false" ht="12.75" hidden="false" customHeight="false" outlineLevel="0" collapsed="false">
      <c r="A149" s="77" t="s">
        <v>149</v>
      </c>
      <c r="B149" s="23" t="s">
        <v>811</v>
      </c>
      <c r="C149" s="78"/>
      <c r="D149" s="78" t="n">
        <f aca="false">E149-C149</f>
        <v>416500</v>
      </c>
      <c r="E149" s="78" t="n">
        <v>416500</v>
      </c>
    </row>
    <row r="150" customFormat="false" ht="12.75" hidden="false" customHeight="false" outlineLevel="0" collapsed="false">
      <c r="A150" s="77" t="s">
        <v>151</v>
      </c>
      <c r="B150" s="23" t="s">
        <v>812</v>
      </c>
      <c r="C150" s="78" t="n">
        <f aca="false">400000+16500</f>
        <v>416500</v>
      </c>
      <c r="D150" s="78" t="n">
        <f aca="false">E150-C150</f>
        <v>0</v>
      </c>
      <c r="E150" s="78" t="n">
        <v>416500</v>
      </c>
    </row>
    <row r="151" customFormat="false" ht="12.75" hidden="false" customHeight="false" outlineLevel="0" collapsed="false">
      <c r="A151" s="77" t="s">
        <v>153</v>
      </c>
      <c r="B151" s="23" t="s">
        <v>813</v>
      </c>
      <c r="C151" s="78" t="n">
        <v>416500</v>
      </c>
      <c r="D151" s="78" t="n">
        <f aca="false">E151-C151</f>
        <v>0</v>
      </c>
      <c r="E151" s="78" t="n">
        <v>416500</v>
      </c>
    </row>
    <row r="152" customFormat="false" ht="12.75" hidden="false" customHeight="false" outlineLevel="0" collapsed="false">
      <c r="A152" s="84"/>
      <c r="B152" s="85" t="s">
        <v>175</v>
      </c>
      <c r="C152" s="76" t="n">
        <f aca="false">SUM(C120:C151)</f>
        <v>10129500</v>
      </c>
      <c r="D152" s="76" t="n">
        <f aca="false">7627000</f>
        <v>7627000</v>
      </c>
      <c r="E152" s="76" t="n">
        <f aca="false">SUM(E120:E151)</f>
        <v>13328000</v>
      </c>
    </row>
    <row r="153" customFormat="false" ht="12.75" hidden="false" customHeight="false" outlineLevel="0" collapsed="false">
      <c r="A153" s="69"/>
      <c r="B153" s="69"/>
      <c r="C153" s="69"/>
      <c r="D153" s="69"/>
      <c r="E153" s="69"/>
    </row>
    <row r="154" customFormat="false" ht="12.75" hidden="false" customHeight="false" outlineLevel="0" collapsed="false">
      <c r="A154" s="69"/>
      <c r="B154" s="69"/>
      <c r="C154" s="69"/>
      <c r="D154" s="69"/>
      <c r="E154" s="69"/>
    </row>
  </sheetData>
  <mergeCells count="4">
    <mergeCell ref="A38:B38"/>
    <mergeCell ref="A62:B62"/>
    <mergeCell ref="A77:B77"/>
    <mergeCell ref="A99:B99"/>
  </mergeCells>
  <printOptions headings="false" gridLines="false" gridLinesSet="true" horizontalCentered="false" verticalCentered="false"/>
  <pageMargins left="0.329861111111111" right="0.390277777777778" top="0.429861111111111" bottom="0.52986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31.7"/>
    <col collapsed="false" customWidth="true" hidden="false" outlineLevel="0" max="3" min="3" style="1" width="14.28"/>
    <col collapsed="false" customWidth="true" hidden="false" outlineLevel="0" max="4" min="4" style="1" width="14.41"/>
    <col collapsed="false" customWidth="true" hidden="false" outlineLevel="0" max="5" min="5" style="1" width="14.28"/>
    <col collapsed="false" customWidth="true" hidden="false" outlineLevel="0" max="16384" min="16375" style="0" width="11.53"/>
  </cols>
  <sheetData>
    <row r="3" customFormat="false" ht="14.45" hidden="false" customHeight="true" outlineLevel="0" collapsed="false">
      <c r="A3" s="3" t="s">
        <v>814</v>
      </c>
      <c r="B3" s="3"/>
      <c r="C3" s="2"/>
      <c r="D3" s="2"/>
      <c r="E3" s="2"/>
    </row>
    <row r="4" customFormat="false" ht="17.35" hidden="false" customHeight="false" outlineLevel="0" collapsed="false">
      <c r="A4" s="86" t="s">
        <v>815</v>
      </c>
      <c r="B4" s="86"/>
      <c r="C4" s="86"/>
      <c r="D4" s="86"/>
      <c r="E4" s="86"/>
    </row>
    <row r="5" customFormat="false" ht="15" hidden="false" customHeight="false" outlineLevel="0" collapsed="false">
      <c r="A5" s="6" t="s">
        <v>2</v>
      </c>
      <c r="B5" s="6" t="s">
        <v>3</v>
      </c>
      <c r="C5" s="7" t="s">
        <v>4</v>
      </c>
      <c r="D5" s="6" t="s">
        <v>5</v>
      </c>
      <c r="E5" s="7" t="s">
        <v>6</v>
      </c>
    </row>
    <row r="6" customFormat="false" ht="15" hidden="false" customHeight="false" outlineLevel="0" collapsed="false">
      <c r="A6" s="8" t="s">
        <v>7</v>
      </c>
      <c r="B6" s="9" t="s">
        <v>816</v>
      </c>
      <c r="C6" s="10"/>
      <c r="D6" s="10" t="n">
        <f aca="false">E6-C6</f>
        <v>416500</v>
      </c>
      <c r="E6" s="10" t="n">
        <v>416500</v>
      </c>
    </row>
    <row r="7" customFormat="false" ht="15" hidden="false" customHeight="false" outlineLevel="0" collapsed="false">
      <c r="A7" s="8" t="s">
        <v>9</v>
      </c>
      <c r="B7" s="9" t="s">
        <v>817</v>
      </c>
      <c r="C7" s="10" t="n">
        <v>50000</v>
      </c>
      <c r="D7" s="10" t="n">
        <f aca="false">E7-C7</f>
        <v>366500</v>
      </c>
      <c r="E7" s="10" t="n">
        <v>416500</v>
      </c>
    </row>
    <row r="8" customFormat="false" ht="15" hidden="false" customHeight="false" outlineLevel="0" collapsed="false">
      <c r="A8" s="8" t="s">
        <v>11</v>
      </c>
      <c r="B8" s="34" t="s">
        <v>818</v>
      </c>
      <c r="C8" s="35" t="s">
        <v>819</v>
      </c>
      <c r="D8" s="35" t="n">
        <v>616500</v>
      </c>
      <c r="E8" s="35" t="n">
        <v>616500</v>
      </c>
    </row>
    <row r="9" customFormat="false" ht="15" hidden="false" customHeight="false" outlineLevel="0" collapsed="false">
      <c r="A9" s="8" t="s">
        <v>13</v>
      </c>
      <c r="B9" s="9" t="s">
        <v>820</v>
      </c>
      <c r="C9" s="10" t="n">
        <f aca="false">300000+116500</f>
        <v>416500</v>
      </c>
      <c r="D9" s="10" t="n">
        <f aca="false">E9-C9</f>
        <v>0</v>
      </c>
      <c r="E9" s="10" t="n">
        <v>416500</v>
      </c>
    </row>
    <row r="10" customFormat="false" ht="15" hidden="false" customHeight="false" outlineLevel="0" collapsed="false">
      <c r="A10" s="8" t="s">
        <v>15</v>
      </c>
      <c r="B10" s="9" t="s">
        <v>821</v>
      </c>
      <c r="C10" s="10" t="n">
        <f aca="false">116500+200000+100000</f>
        <v>416500</v>
      </c>
      <c r="D10" s="10" t="n">
        <f aca="false">E10-C10</f>
        <v>0</v>
      </c>
      <c r="E10" s="10" t="n">
        <v>416500</v>
      </c>
    </row>
    <row r="11" customFormat="false" ht="15" hidden="false" customHeight="false" outlineLevel="0" collapsed="false">
      <c r="A11" s="8" t="s">
        <v>17</v>
      </c>
      <c r="B11" s="9" t="s">
        <v>822</v>
      </c>
      <c r="C11" s="10" t="n">
        <f aca="false">75000+200000+141500</f>
        <v>416500</v>
      </c>
      <c r="D11" s="10" t="n">
        <f aca="false">E11-C11</f>
        <v>0</v>
      </c>
      <c r="E11" s="10" t="n">
        <v>416500</v>
      </c>
    </row>
    <row r="12" customFormat="false" ht="15" hidden="false" customHeight="false" outlineLevel="0" collapsed="false">
      <c r="A12" s="8" t="s">
        <v>19</v>
      </c>
      <c r="B12" s="9" t="s">
        <v>823</v>
      </c>
      <c r="C12" s="10" t="n">
        <f aca="false">50000+50000</f>
        <v>100000</v>
      </c>
      <c r="D12" s="10" t="n">
        <f aca="false">E12-C12</f>
        <v>316500</v>
      </c>
      <c r="E12" s="10" t="n">
        <v>416500</v>
      </c>
    </row>
    <row r="13" customFormat="false" ht="15" hidden="false" customHeight="false" outlineLevel="0" collapsed="false">
      <c r="A13" s="8" t="s">
        <v>21</v>
      </c>
      <c r="B13" s="9" t="s">
        <v>824</v>
      </c>
      <c r="C13" s="10" t="n">
        <f aca="false">250000+166500</f>
        <v>416500</v>
      </c>
      <c r="D13" s="10" t="n">
        <f aca="false">E13-C13</f>
        <v>0</v>
      </c>
      <c r="E13" s="10" t="n">
        <v>416500</v>
      </c>
    </row>
    <row r="14" customFormat="false" ht="15" hidden="false" customHeight="false" outlineLevel="0" collapsed="false">
      <c r="A14" s="8" t="s">
        <v>23</v>
      </c>
      <c r="B14" s="9" t="s">
        <v>825</v>
      </c>
      <c r="C14" s="10" t="n">
        <f aca="false">100000+316500</f>
        <v>416500</v>
      </c>
      <c r="D14" s="10" t="n">
        <f aca="false">E14-C14</f>
        <v>0</v>
      </c>
      <c r="E14" s="10" t="n">
        <v>416500</v>
      </c>
    </row>
    <row r="15" customFormat="false" ht="15" hidden="false" customHeight="false" outlineLevel="0" collapsed="false">
      <c r="A15" s="8" t="s">
        <v>25</v>
      </c>
      <c r="B15" s="9" t="s">
        <v>826</v>
      </c>
      <c r="C15" s="10" t="n">
        <f aca="false">100000+215000+216500+91500</f>
        <v>623000</v>
      </c>
      <c r="D15" s="10" t="n">
        <f aca="false">E15-C15</f>
        <v>-206500</v>
      </c>
      <c r="E15" s="10" t="n">
        <v>416500</v>
      </c>
    </row>
    <row r="16" customFormat="false" ht="15" hidden="false" customHeight="false" outlineLevel="0" collapsed="false">
      <c r="A16" s="8" t="s">
        <v>27</v>
      </c>
      <c r="B16" s="9" t="s">
        <v>827</v>
      </c>
      <c r="C16" s="10" t="n">
        <f aca="false">150000+50000+50000+166500</f>
        <v>416500</v>
      </c>
      <c r="D16" s="10" t="n">
        <f aca="false">E16-C16</f>
        <v>0</v>
      </c>
      <c r="E16" s="10" t="n">
        <v>416500</v>
      </c>
    </row>
    <row r="17" customFormat="false" ht="15" hidden="false" customHeight="false" outlineLevel="0" collapsed="false">
      <c r="A17" s="8" t="s">
        <v>29</v>
      </c>
      <c r="B17" s="9" t="s">
        <v>828</v>
      </c>
      <c r="C17" s="10"/>
      <c r="D17" s="10" t="n">
        <f aca="false">E17-C17</f>
        <v>416500</v>
      </c>
      <c r="E17" s="10" t="n">
        <v>416500</v>
      </c>
    </row>
    <row r="18" customFormat="false" ht="15" hidden="false" customHeight="false" outlineLevel="0" collapsed="false">
      <c r="A18" s="6" t="s">
        <v>57</v>
      </c>
      <c r="B18" s="6"/>
      <c r="C18" s="7" t="n">
        <f aca="false">SUM(C6:C17)</f>
        <v>3272000</v>
      </c>
      <c r="D18" s="7" t="n">
        <f aca="false">E18-C18</f>
        <v>1926000</v>
      </c>
      <c r="E18" s="7" t="n">
        <f aca="false">SUM(E6:E17)</f>
        <v>5198000</v>
      </c>
    </row>
    <row r="19" customFormat="false" ht="15" hidden="false" customHeight="false" outlineLevel="0" collapsed="false">
      <c r="A19" s="14"/>
      <c r="B19" s="14"/>
      <c r="C19" s="15"/>
      <c r="D19" s="15"/>
      <c r="E19" s="15"/>
    </row>
    <row r="20" customFormat="false" ht="15" hidden="false" customHeight="false" outlineLevel="0" collapsed="false">
      <c r="A20" s="14"/>
      <c r="B20" s="14"/>
      <c r="C20" s="15"/>
      <c r="D20" s="15"/>
      <c r="E20" s="15"/>
    </row>
    <row r="22" customFormat="false" ht="17.35" hidden="false" customHeight="false" outlineLevel="0" collapsed="false">
      <c r="A22" s="3" t="s">
        <v>814</v>
      </c>
      <c r="B22" s="3"/>
      <c r="C22" s="2"/>
      <c r="D22" s="2"/>
      <c r="E22" s="2"/>
    </row>
    <row r="23" customFormat="false" ht="17.35" hidden="false" customHeight="false" outlineLevel="0" collapsed="false">
      <c r="A23" s="86" t="s">
        <v>829</v>
      </c>
      <c r="B23" s="86"/>
      <c r="C23" s="86"/>
      <c r="D23" s="86"/>
      <c r="E23" s="86"/>
    </row>
    <row r="24" customFormat="false" ht="15" hidden="false" customHeight="false" outlineLevel="0" collapsed="false">
      <c r="A24" s="6" t="s">
        <v>2</v>
      </c>
      <c r="B24" s="6" t="s">
        <v>3</v>
      </c>
      <c r="C24" s="7" t="s">
        <v>4</v>
      </c>
      <c r="D24" s="6" t="s">
        <v>5</v>
      </c>
      <c r="E24" s="7" t="s">
        <v>6</v>
      </c>
    </row>
    <row r="25" customFormat="false" ht="15" hidden="false" customHeight="false" outlineLevel="0" collapsed="false">
      <c r="A25" s="8" t="s">
        <v>7</v>
      </c>
      <c r="B25" s="9" t="s">
        <v>830</v>
      </c>
      <c r="C25" s="10"/>
      <c r="D25" s="10" t="n">
        <f aca="false">E25-C25</f>
        <v>216500</v>
      </c>
      <c r="E25" s="10" t="n">
        <v>216500</v>
      </c>
    </row>
    <row r="26" customFormat="false" ht="15" hidden="false" customHeight="false" outlineLevel="0" collapsed="false">
      <c r="A26" s="8" t="s">
        <v>9</v>
      </c>
      <c r="B26" s="9" t="s">
        <v>831</v>
      </c>
      <c r="C26" s="10" t="n">
        <f aca="false">216500</f>
        <v>216500</v>
      </c>
      <c r="D26" s="10" t="n">
        <f aca="false">E26-C26</f>
        <v>0</v>
      </c>
      <c r="E26" s="10" t="n">
        <v>216500</v>
      </c>
    </row>
    <row r="27" customFormat="false" ht="15" hidden="false" customHeight="false" outlineLevel="0" collapsed="false">
      <c r="A27" s="8" t="s">
        <v>11</v>
      </c>
      <c r="B27" s="9" t="s">
        <v>832</v>
      </c>
      <c r="C27" s="10"/>
      <c r="D27" s="10" t="n">
        <f aca="false">E27-C27</f>
        <v>216500</v>
      </c>
      <c r="E27" s="10" t="n">
        <v>216500</v>
      </c>
    </row>
    <row r="28" customFormat="false" ht="15" hidden="false" customHeight="false" outlineLevel="0" collapsed="false">
      <c r="A28" s="8" t="s">
        <v>13</v>
      </c>
      <c r="B28" s="9" t="s">
        <v>833</v>
      </c>
      <c r="C28" s="10" t="n">
        <f aca="false">216500</f>
        <v>216500</v>
      </c>
      <c r="D28" s="10" t="n">
        <f aca="false">E28-C28</f>
        <v>0</v>
      </c>
      <c r="E28" s="10" t="n">
        <v>216500</v>
      </c>
    </row>
    <row r="29" customFormat="false" ht="15" hidden="false" customHeight="false" outlineLevel="0" collapsed="false">
      <c r="A29" s="8" t="s">
        <v>15</v>
      </c>
      <c r="B29" s="9" t="s">
        <v>834</v>
      </c>
      <c r="C29" s="10"/>
      <c r="D29" s="10" t="n">
        <f aca="false">E29-C29</f>
        <v>216500</v>
      </c>
      <c r="E29" s="10" t="n">
        <v>216500</v>
      </c>
    </row>
    <row r="30" customFormat="false" ht="15" hidden="false" customHeight="false" outlineLevel="0" collapsed="false">
      <c r="A30" s="8" t="s">
        <v>17</v>
      </c>
      <c r="B30" s="9" t="s">
        <v>835</v>
      </c>
      <c r="C30" s="10" t="n">
        <f aca="false">216500</f>
        <v>216500</v>
      </c>
      <c r="D30" s="10" t="n">
        <f aca="false">E30-C30</f>
        <v>0</v>
      </c>
      <c r="E30" s="10" t="n">
        <v>216500</v>
      </c>
    </row>
    <row r="31" customFormat="false" ht="15" hidden="false" customHeight="false" outlineLevel="0" collapsed="false">
      <c r="A31" s="8" t="s">
        <v>19</v>
      </c>
      <c r="B31" s="9" t="s">
        <v>836</v>
      </c>
      <c r="C31" s="10" t="n">
        <f aca="false">216500</f>
        <v>216500</v>
      </c>
      <c r="D31" s="10" t="n">
        <f aca="false">E31-C31</f>
        <v>0</v>
      </c>
      <c r="E31" s="10" t="n">
        <v>216500</v>
      </c>
    </row>
    <row r="32" customFormat="false" ht="15" hidden="false" customHeight="false" outlineLevel="0" collapsed="false">
      <c r="A32" s="8" t="s">
        <v>21</v>
      </c>
      <c r="B32" s="9" t="s">
        <v>837</v>
      </c>
      <c r="C32" s="10"/>
      <c r="D32" s="10" t="n">
        <f aca="false">E32-C32</f>
        <v>216500</v>
      </c>
      <c r="E32" s="10" t="n">
        <v>216500</v>
      </c>
    </row>
    <row r="33" customFormat="false" ht="15" hidden="false" customHeight="false" outlineLevel="0" collapsed="false">
      <c r="A33" s="8" t="s">
        <v>23</v>
      </c>
      <c r="B33" s="9" t="s">
        <v>838</v>
      </c>
      <c r="C33" s="10"/>
      <c r="D33" s="10" t="n">
        <f aca="false">E33-C33</f>
        <v>216500</v>
      </c>
      <c r="E33" s="10" t="n">
        <v>216500</v>
      </c>
    </row>
    <row r="34" customFormat="false" ht="15" hidden="false" customHeight="false" outlineLevel="0" collapsed="false">
      <c r="A34" s="8" t="s">
        <v>25</v>
      </c>
      <c r="B34" s="9" t="s">
        <v>839</v>
      </c>
      <c r="C34" s="10"/>
      <c r="D34" s="10" t="n">
        <f aca="false">E34-C34</f>
        <v>216500</v>
      </c>
      <c r="E34" s="10" t="n">
        <v>216500</v>
      </c>
    </row>
    <row r="35" customFormat="false" ht="15" hidden="false" customHeight="false" outlineLevel="0" collapsed="false">
      <c r="A35" s="8" t="s">
        <v>27</v>
      </c>
      <c r="B35" s="9" t="s">
        <v>840</v>
      </c>
      <c r="C35" s="10" t="n">
        <f aca="false">184500+32000</f>
        <v>216500</v>
      </c>
      <c r="D35" s="10" t="n">
        <f aca="false">E35-C35</f>
        <v>0</v>
      </c>
      <c r="E35" s="10" t="n">
        <v>216500</v>
      </c>
    </row>
    <row r="36" customFormat="false" ht="15" hidden="false" customHeight="false" outlineLevel="0" collapsed="false">
      <c r="A36" s="8" t="s">
        <v>29</v>
      </c>
      <c r="B36" s="9" t="s">
        <v>841</v>
      </c>
      <c r="C36" s="10" t="n">
        <f aca="false">216500</f>
        <v>216500</v>
      </c>
      <c r="D36" s="10" t="n">
        <f aca="false">E36-C36</f>
        <v>0</v>
      </c>
      <c r="E36" s="10" t="n">
        <v>216500</v>
      </c>
    </row>
    <row r="37" customFormat="false" ht="15" hidden="false" customHeight="false" outlineLevel="0" collapsed="false">
      <c r="A37" s="8" t="s">
        <v>31</v>
      </c>
      <c r="B37" s="9" t="s">
        <v>842</v>
      </c>
      <c r="C37" s="10" t="n">
        <f aca="false">83500+133000</f>
        <v>216500</v>
      </c>
      <c r="D37" s="10" t="n">
        <f aca="false">E37-C37</f>
        <v>0</v>
      </c>
      <c r="E37" s="10" t="n">
        <v>216500</v>
      </c>
    </row>
    <row r="38" customFormat="false" ht="15" hidden="false" customHeight="false" outlineLevel="0" collapsed="false">
      <c r="A38" s="8" t="s">
        <v>33</v>
      </c>
      <c r="B38" s="9" t="s">
        <v>843</v>
      </c>
      <c r="C38" s="10"/>
      <c r="D38" s="10" t="n">
        <f aca="false">E38-C38</f>
        <v>216500</v>
      </c>
      <c r="E38" s="10" t="n">
        <v>216500</v>
      </c>
    </row>
    <row r="39" customFormat="false" ht="15" hidden="false" customHeight="false" outlineLevel="0" collapsed="false">
      <c r="A39" s="8" t="s">
        <v>35</v>
      </c>
      <c r="B39" s="9" t="s">
        <v>844</v>
      </c>
      <c r="C39" s="10"/>
      <c r="D39" s="10" t="n">
        <f aca="false">E39-C39</f>
        <v>216500</v>
      </c>
      <c r="E39" s="10" t="n">
        <v>216500</v>
      </c>
    </row>
    <row r="40" customFormat="false" ht="15" hidden="false" customHeight="false" outlineLevel="0" collapsed="false">
      <c r="A40" s="8" t="s">
        <v>37</v>
      </c>
      <c r="B40" s="9" t="s">
        <v>845</v>
      </c>
      <c r="C40" s="10" t="n">
        <f aca="false">70000+100000+46500</f>
        <v>216500</v>
      </c>
      <c r="D40" s="10" t="n">
        <f aca="false">E40-C40</f>
        <v>0</v>
      </c>
      <c r="E40" s="10" t="n">
        <v>216500</v>
      </c>
    </row>
    <row r="41" customFormat="false" ht="15" hidden="false" customHeight="false" outlineLevel="0" collapsed="false">
      <c r="A41" s="8" t="s">
        <v>39</v>
      </c>
      <c r="B41" s="9" t="s">
        <v>846</v>
      </c>
      <c r="C41" s="10" t="n">
        <f aca="false">216500</f>
        <v>216500</v>
      </c>
      <c r="D41" s="10" t="n">
        <f aca="false">E41-C41</f>
        <v>0</v>
      </c>
      <c r="E41" s="10" t="n">
        <v>216500</v>
      </c>
    </row>
    <row r="42" customFormat="false" ht="15" hidden="false" customHeight="false" outlineLevel="0" collapsed="false">
      <c r="A42" s="8" t="s">
        <v>41</v>
      </c>
      <c r="B42" s="9" t="s">
        <v>847</v>
      </c>
      <c r="C42" s="10" t="n">
        <f aca="false">116500</f>
        <v>116500</v>
      </c>
      <c r="D42" s="10" t="n">
        <f aca="false">E42-C42</f>
        <v>100000</v>
      </c>
      <c r="E42" s="10" t="n">
        <v>216500</v>
      </c>
    </row>
    <row r="43" customFormat="false" ht="15" hidden="false" customHeight="false" outlineLevel="0" collapsed="false">
      <c r="A43" s="8" t="s">
        <v>43</v>
      </c>
      <c r="B43" s="9" t="s">
        <v>848</v>
      </c>
      <c r="C43" s="10"/>
      <c r="D43" s="10" t="n">
        <f aca="false">E43-C43</f>
        <v>216500</v>
      </c>
      <c r="E43" s="10" t="n">
        <v>216500</v>
      </c>
    </row>
    <row r="44" customFormat="false" ht="15" hidden="false" customHeight="false" outlineLevel="0" collapsed="false">
      <c r="A44" s="8" t="s">
        <v>45</v>
      </c>
      <c r="B44" s="9" t="s">
        <v>849</v>
      </c>
      <c r="C44" s="10" t="n">
        <f aca="false">216500</f>
        <v>216500</v>
      </c>
      <c r="D44" s="10" t="n">
        <f aca="false">E44-C44</f>
        <v>0</v>
      </c>
      <c r="E44" s="10" t="n">
        <v>216500</v>
      </c>
    </row>
    <row r="45" customFormat="false" ht="15" hidden="false" customHeight="false" outlineLevel="0" collapsed="false">
      <c r="A45" s="8" t="s">
        <v>47</v>
      </c>
      <c r="B45" s="9" t="s">
        <v>850</v>
      </c>
      <c r="C45" s="10"/>
      <c r="D45" s="10" t="n">
        <f aca="false">E45-C45</f>
        <v>216500</v>
      </c>
      <c r="E45" s="10" t="n">
        <v>216500</v>
      </c>
    </row>
    <row r="46" customFormat="false" ht="15" hidden="false" customHeight="false" outlineLevel="0" collapsed="false">
      <c r="A46" s="8" t="s">
        <v>49</v>
      </c>
      <c r="B46" s="9" t="s">
        <v>851</v>
      </c>
      <c r="C46" s="10" t="n">
        <f aca="false">216500</f>
        <v>216500</v>
      </c>
      <c r="D46" s="10" t="n">
        <f aca="false">E46-C46</f>
        <v>0</v>
      </c>
      <c r="E46" s="10" t="n">
        <v>216500</v>
      </c>
    </row>
    <row r="47" customFormat="false" ht="15" hidden="false" customHeight="false" outlineLevel="0" collapsed="false">
      <c r="A47" s="8" t="s">
        <v>51</v>
      </c>
      <c r="B47" s="9" t="s">
        <v>852</v>
      </c>
      <c r="C47" s="10"/>
      <c r="D47" s="10" t="n">
        <f aca="false">E47-C47</f>
        <v>216500</v>
      </c>
      <c r="E47" s="10" t="n">
        <v>216500</v>
      </c>
    </row>
    <row r="48" customFormat="false" ht="15" hidden="false" customHeight="false" outlineLevel="0" collapsed="false">
      <c r="A48" s="8" t="s">
        <v>53</v>
      </c>
      <c r="B48" s="9" t="s">
        <v>853</v>
      </c>
      <c r="C48" s="10" t="n">
        <f aca="false">216500</f>
        <v>216500</v>
      </c>
      <c r="D48" s="10" t="n">
        <f aca="false">E48-C48</f>
        <v>0</v>
      </c>
      <c r="E48" s="10" t="n">
        <v>216500</v>
      </c>
    </row>
    <row r="49" customFormat="false" ht="15" hidden="false" customHeight="false" outlineLevel="0" collapsed="false">
      <c r="A49" s="8" t="s">
        <v>55</v>
      </c>
      <c r="B49" s="9" t="s">
        <v>854</v>
      </c>
      <c r="C49" s="10" t="n">
        <f aca="false">216000+500</f>
        <v>216500</v>
      </c>
      <c r="D49" s="10" t="n">
        <f aca="false">E49-C49</f>
        <v>0</v>
      </c>
      <c r="E49" s="10" t="n">
        <v>216500</v>
      </c>
    </row>
    <row r="50" customFormat="false" ht="15" hidden="false" customHeight="false" outlineLevel="0" collapsed="false">
      <c r="A50" s="8" t="s">
        <v>141</v>
      </c>
      <c r="B50" s="9" t="s">
        <v>855</v>
      </c>
      <c r="C50" s="10" t="n">
        <f aca="false">216000+500</f>
        <v>216500</v>
      </c>
      <c r="D50" s="10" t="n">
        <f aca="false">E50-C50</f>
        <v>0</v>
      </c>
      <c r="E50" s="10" t="n">
        <v>216500</v>
      </c>
    </row>
    <row r="51" customFormat="false" ht="15" hidden="false" customHeight="false" outlineLevel="0" collapsed="false">
      <c r="A51" s="8" t="s">
        <v>143</v>
      </c>
      <c r="B51" s="9" t="s">
        <v>856</v>
      </c>
      <c r="C51" s="10" t="n">
        <f aca="false">216000+500</f>
        <v>216500</v>
      </c>
      <c r="D51" s="10" t="n">
        <f aca="false">E51-C51</f>
        <v>0</v>
      </c>
      <c r="E51" s="10" t="n">
        <v>216500</v>
      </c>
    </row>
    <row r="52" customFormat="false" ht="15" hidden="false" customHeight="false" outlineLevel="0" collapsed="false">
      <c r="A52" s="8" t="s">
        <v>145</v>
      </c>
      <c r="B52" s="9" t="s">
        <v>857</v>
      </c>
      <c r="C52" s="10" t="n">
        <f aca="false">216000+500</f>
        <v>216500</v>
      </c>
      <c r="D52" s="10" t="n">
        <f aca="false">E52-C52</f>
        <v>0</v>
      </c>
      <c r="E52" s="10" t="n">
        <v>216500</v>
      </c>
    </row>
    <row r="53" customFormat="false" ht="15" hidden="false" customHeight="false" outlineLevel="0" collapsed="false">
      <c r="A53" s="8" t="s">
        <v>147</v>
      </c>
      <c r="B53" s="9" t="s">
        <v>858</v>
      </c>
      <c r="C53" s="10" t="n">
        <f aca="false">216000+500</f>
        <v>216500</v>
      </c>
      <c r="D53" s="10" t="n">
        <f aca="false">E53-C53</f>
        <v>0</v>
      </c>
      <c r="E53" s="10" t="n">
        <v>216500</v>
      </c>
    </row>
    <row r="54" customFormat="false" ht="15" hidden="false" customHeight="false" outlineLevel="0" collapsed="false">
      <c r="A54" s="8" t="s">
        <v>149</v>
      </c>
      <c r="B54" s="9" t="s">
        <v>859</v>
      </c>
      <c r="C54" s="10" t="n">
        <f aca="false">216500</f>
        <v>216500</v>
      </c>
      <c r="D54" s="10" t="n">
        <f aca="false">E54-C54</f>
        <v>0</v>
      </c>
      <c r="E54" s="10" t="n">
        <v>216500</v>
      </c>
    </row>
    <row r="55" customFormat="false" ht="15" hidden="false" customHeight="false" outlineLevel="0" collapsed="false">
      <c r="A55" s="8" t="s">
        <v>151</v>
      </c>
      <c r="B55" s="9" t="s">
        <v>860</v>
      </c>
      <c r="C55" s="10" t="n">
        <f aca="false">100000+116500</f>
        <v>216500</v>
      </c>
      <c r="D55" s="10" t="n">
        <f aca="false">E55-C55</f>
        <v>0</v>
      </c>
      <c r="E55" s="10" t="n">
        <v>216500</v>
      </c>
    </row>
    <row r="56" customFormat="false" ht="15" hidden="false" customHeight="false" outlineLevel="0" collapsed="false">
      <c r="A56" s="8" t="s">
        <v>153</v>
      </c>
      <c r="B56" s="9" t="s">
        <v>861</v>
      </c>
      <c r="C56" s="10" t="n">
        <f aca="false">216500</f>
        <v>216500</v>
      </c>
      <c r="D56" s="10" t="n">
        <f aca="false">E56-C56</f>
        <v>0</v>
      </c>
      <c r="E56" s="10" t="n">
        <v>216500</v>
      </c>
    </row>
    <row r="57" customFormat="false" ht="15" hidden="false" customHeight="false" outlineLevel="0" collapsed="false">
      <c r="A57" s="6" t="s">
        <v>57</v>
      </c>
      <c r="B57" s="6"/>
      <c r="C57" s="7" t="n">
        <f aca="false">SUM(C25:C56)</f>
        <v>4446500</v>
      </c>
      <c r="D57" s="7" t="n">
        <f aca="false">E57-C57</f>
        <v>2481500</v>
      </c>
      <c r="E57" s="7" t="n">
        <f aca="false">SUM(E25:E56)</f>
        <v>6928000</v>
      </c>
    </row>
    <row r="58" customFormat="false" ht="15" hidden="false" customHeight="false" outlineLevel="0" collapsed="false">
      <c r="A58" s="14"/>
      <c r="B58" s="14"/>
      <c r="C58" s="15"/>
      <c r="D58" s="15"/>
      <c r="E58" s="15"/>
    </row>
    <row r="59" customFormat="false" ht="15" hidden="false" customHeight="false" outlineLevel="0" collapsed="false">
      <c r="A59" s="14"/>
      <c r="B59" s="14"/>
      <c r="C59" s="15"/>
      <c r="D59" s="15"/>
      <c r="E59" s="15"/>
    </row>
    <row r="60" customFormat="false" ht="15" hidden="false" customHeight="false" outlineLevel="0" collapsed="false">
      <c r="A60" s="14"/>
      <c r="B60" s="14"/>
      <c r="C60" s="15"/>
      <c r="D60" s="15"/>
      <c r="E60" s="15"/>
    </row>
    <row r="61" customFormat="false" ht="15" hidden="false" customHeight="false" outlineLevel="0" collapsed="false">
      <c r="A61" s="14"/>
      <c r="B61" s="14"/>
      <c r="C61" s="15"/>
      <c r="D61" s="15"/>
      <c r="E61" s="15"/>
    </row>
    <row r="62" customFormat="false" ht="15" hidden="false" customHeight="false" outlineLevel="0" collapsed="false">
      <c r="A62" s="14"/>
      <c r="B62" s="14"/>
      <c r="C62" s="15"/>
      <c r="D62" s="15"/>
      <c r="E62" s="15"/>
    </row>
    <row r="63" customFormat="false" ht="15" hidden="false" customHeight="false" outlineLevel="0" collapsed="false">
      <c r="A63" s="14"/>
      <c r="B63" s="14"/>
      <c r="C63" s="15"/>
      <c r="D63" s="15"/>
      <c r="E63" s="15"/>
    </row>
    <row r="64" customFormat="false" ht="15" hidden="false" customHeight="false" outlineLevel="0" collapsed="false">
      <c r="A64" s="14"/>
      <c r="B64" s="14"/>
      <c r="C64" s="15"/>
      <c r="D64" s="15"/>
      <c r="E64" s="15"/>
    </row>
    <row r="65" customFormat="false" ht="15" hidden="false" customHeight="false" outlineLevel="0" collapsed="false">
      <c r="A65" s="14"/>
      <c r="B65" s="14"/>
      <c r="C65" s="15"/>
      <c r="D65" s="15"/>
      <c r="E65" s="15"/>
    </row>
    <row r="66" customFormat="false" ht="15" hidden="false" customHeight="false" outlineLevel="0" collapsed="false">
      <c r="A66" s="14"/>
      <c r="B66" s="14"/>
      <c r="C66" s="15"/>
      <c r="D66" s="15"/>
      <c r="E66" s="15"/>
    </row>
    <row r="67" customFormat="false" ht="15" hidden="false" customHeight="false" outlineLevel="0" collapsed="false">
      <c r="A67" s="14"/>
      <c r="B67" s="14"/>
      <c r="C67" s="15"/>
      <c r="D67" s="15"/>
      <c r="E67" s="15"/>
    </row>
    <row r="68" customFormat="false" ht="15" hidden="false" customHeight="false" outlineLevel="0" collapsed="false">
      <c r="A68" s="14"/>
      <c r="B68" s="14"/>
      <c r="C68" s="15"/>
      <c r="D68" s="15"/>
      <c r="E68" s="15"/>
    </row>
    <row r="69" customFormat="false" ht="15" hidden="false" customHeight="false" outlineLevel="0" collapsed="false">
      <c r="A69" s="14"/>
      <c r="B69" s="14"/>
      <c r="C69" s="15"/>
      <c r="D69" s="15"/>
      <c r="E69" s="15"/>
    </row>
    <row r="70" customFormat="false" ht="15" hidden="false" customHeight="false" outlineLevel="0" collapsed="false">
      <c r="A70" s="14"/>
      <c r="B70" s="14"/>
      <c r="C70" s="15"/>
      <c r="D70" s="15"/>
      <c r="E70" s="15"/>
    </row>
    <row r="71" customFormat="false" ht="15" hidden="false" customHeight="false" outlineLevel="0" collapsed="false">
      <c r="A71" s="14"/>
      <c r="B71" s="14"/>
      <c r="C71" s="15"/>
      <c r="D71" s="15"/>
      <c r="E71" s="15"/>
    </row>
    <row r="72" customFormat="false" ht="15" hidden="false" customHeight="false" outlineLevel="0" collapsed="false">
      <c r="A72" s="14"/>
      <c r="B72" s="14"/>
      <c r="C72" s="15"/>
      <c r="D72" s="15"/>
      <c r="E72" s="15"/>
    </row>
    <row r="73" customFormat="false" ht="15" hidden="false" customHeight="false" outlineLevel="0" collapsed="false">
      <c r="A73" s="14"/>
      <c r="B73" s="14"/>
      <c r="C73" s="15"/>
      <c r="D73" s="15"/>
      <c r="E73" s="15"/>
    </row>
    <row r="74" customFormat="false" ht="15" hidden="false" customHeight="false" outlineLevel="0" collapsed="false">
      <c r="A74" s="14"/>
      <c r="B74" s="14"/>
      <c r="C74" s="15"/>
      <c r="D74" s="15"/>
      <c r="E74" s="15"/>
    </row>
    <row r="75" customFormat="false" ht="15" hidden="false" customHeight="false" outlineLevel="0" collapsed="false">
      <c r="A75" s="14"/>
      <c r="B75" s="14"/>
      <c r="C75" s="15"/>
      <c r="D75" s="15"/>
      <c r="E75" s="15"/>
    </row>
    <row r="76" customFormat="false" ht="15" hidden="false" customHeight="false" outlineLevel="0" collapsed="false">
      <c r="A76" s="14"/>
      <c r="B76" s="14"/>
      <c r="C76" s="15"/>
      <c r="D76" s="15"/>
      <c r="E76" s="15"/>
    </row>
    <row r="77" customFormat="false" ht="15" hidden="false" customHeight="false" outlineLevel="0" collapsed="false">
      <c r="A77" s="14"/>
      <c r="B77" s="14"/>
      <c r="C77" s="15"/>
      <c r="D77" s="15"/>
      <c r="E77" s="15"/>
    </row>
    <row r="99" customFormat="false" ht="12.75" hidden="false" customHeight="false" outlineLevel="0" collapsed="false">
      <c r="C99" s="87"/>
    </row>
    <row r="100" customFormat="false" ht="12.75" hidden="false" customHeight="false" outlineLevel="0" collapsed="false">
      <c r="C100" s="87"/>
    </row>
    <row r="101" customFormat="false" ht="12.75" hidden="false" customHeight="false" outlineLevel="0" collapsed="false">
      <c r="C101" s="87"/>
    </row>
    <row r="102" customFormat="false" ht="12.75" hidden="false" customHeight="false" outlineLevel="0" collapsed="false">
      <c r="C102" s="87"/>
    </row>
    <row r="103" customFormat="false" ht="12.75" hidden="false" customHeight="false" outlineLevel="0" collapsed="false">
      <c r="A103" s="87"/>
      <c r="C103" s="87"/>
    </row>
    <row r="104" customFormat="false" ht="12.75" hidden="false" customHeight="false" outlineLevel="0" collapsed="false">
      <c r="A104" s="87"/>
      <c r="C104" s="87"/>
    </row>
    <row r="105" customFormat="false" ht="12.75" hidden="false" customHeight="false" outlineLevel="0" collapsed="false">
      <c r="A105" s="87"/>
      <c r="C105" s="87"/>
    </row>
    <row r="106" customFormat="false" ht="12.75" hidden="false" customHeight="false" outlineLevel="0" collapsed="false">
      <c r="A106" s="87"/>
      <c r="C106" s="87"/>
    </row>
    <row r="107" customFormat="false" ht="12.75" hidden="false" customHeight="false" outlineLevel="0" collapsed="false">
      <c r="A107" s="87"/>
      <c r="C107" s="87"/>
    </row>
    <row r="108" customFormat="false" ht="12.75" hidden="false" customHeight="false" outlineLevel="0" collapsed="false">
      <c r="A108" s="87"/>
      <c r="C108" s="87"/>
    </row>
    <row r="109" customFormat="false" ht="12.75" hidden="false" customHeight="false" outlineLevel="0" collapsed="false">
      <c r="A109" s="87"/>
      <c r="C109" s="87"/>
    </row>
    <row r="110" customFormat="false" ht="12.75" hidden="false" customHeight="false" outlineLevel="0" collapsed="false">
      <c r="A110" s="87"/>
      <c r="C110" s="87"/>
    </row>
    <row r="111" customFormat="false" ht="12.75" hidden="false" customHeight="false" outlineLevel="0" collapsed="false">
      <c r="A111" s="87"/>
      <c r="C111" s="87"/>
    </row>
    <row r="112" customFormat="false" ht="12.75" hidden="false" customHeight="false" outlineLevel="0" collapsed="false">
      <c r="A112" s="87"/>
      <c r="C112" s="87"/>
    </row>
    <row r="113" customFormat="false" ht="12.75" hidden="false" customHeight="false" outlineLevel="0" collapsed="false">
      <c r="A113" s="87"/>
      <c r="C113" s="87"/>
    </row>
    <row r="114" customFormat="false" ht="12.75" hidden="false" customHeight="false" outlineLevel="0" collapsed="false">
      <c r="A114" s="87"/>
      <c r="C114" s="87"/>
    </row>
    <row r="115" customFormat="false" ht="12.75" hidden="false" customHeight="false" outlineLevel="0" collapsed="false">
      <c r="A115" s="87"/>
      <c r="C115" s="87"/>
    </row>
    <row r="116" customFormat="false" ht="12.75" hidden="false" customHeight="false" outlineLevel="0" collapsed="false">
      <c r="A116" s="87"/>
      <c r="C116" s="87"/>
    </row>
    <row r="117" customFormat="false" ht="12.75" hidden="false" customHeight="false" outlineLevel="0" collapsed="false">
      <c r="A117" s="87"/>
      <c r="C117" s="87"/>
    </row>
    <row r="118" customFormat="false" ht="12.75" hidden="false" customHeight="false" outlineLevel="0" collapsed="false">
      <c r="A118" s="87"/>
      <c r="C118" s="87"/>
    </row>
    <row r="119" customFormat="false" ht="12.75" hidden="false" customHeight="false" outlineLevel="0" collapsed="false">
      <c r="A119" s="87"/>
      <c r="C119" s="87"/>
    </row>
    <row r="120" customFormat="false" ht="12.75" hidden="false" customHeight="false" outlineLevel="0" collapsed="false">
      <c r="A120" s="87"/>
      <c r="C120" s="87"/>
    </row>
    <row r="121" customFormat="false" ht="12.75" hidden="false" customHeight="false" outlineLevel="0" collapsed="false">
      <c r="A121" s="87"/>
      <c r="C121" s="87"/>
    </row>
    <row r="122" customFormat="false" ht="12.75" hidden="false" customHeight="false" outlineLevel="0" collapsed="false">
      <c r="A122" s="87"/>
      <c r="C122" s="87"/>
    </row>
    <row r="123" customFormat="false" ht="12.75" hidden="false" customHeight="false" outlineLevel="0" collapsed="false">
      <c r="A123" s="87"/>
      <c r="C123" s="87"/>
    </row>
    <row r="124" customFormat="false" ht="12.75" hidden="false" customHeight="false" outlineLevel="0" collapsed="false">
      <c r="A124" s="87"/>
      <c r="C124" s="87"/>
    </row>
    <row r="125" customFormat="false" ht="12.75" hidden="false" customHeight="false" outlineLevel="0" collapsed="false">
      <c r="C125" s="87"/>
    </row>
    <row r="126" customFormat="false" ht="12.75" hidden="false" customHeight="false" outlineLevel="0" collapsed="false">
      <c r="C126" s="87"/>
    </row>
    <row r="127" customFormat="false" ht="12.75" hidden="false" customHeight="false" outlineLevel="0" collapsed="false">
      <c r="C127" s="87"/>
    </row>
    <row r="128" customFormat="false" ht="12.75" hidden="false" customHeight="false" outlineLevel="0" collapsed="false">
      <c r="C128" s="87"/>
    </row>
    <row r="129" customFormat="false" ht="12.75" hidden="false" customHeight="false" outlineLevel="0" collapsed="false">
      <c r="C129" s="87"/>
    </row>
    <row r="130" customFormat="false" ht="12.75" hidden="false" customHeight="false" outlineLevel="0" collapsed="false">
      <c r="C130" s="87"/>
    </row>
    <row r="131" customFormat="false" ht="12.75" hidden="false" customHeight="false" outlineLevel="0" collapsed="false">
      <c r="C131" s="87"/>
    </row>
    <row r="132" customFormat="false" ht="12.75" hidden="false" customHeight="false" outlineLevel="0" collapsed="false">
      <c r="C132" s="87"/>
    </row>
    <row r="133" customFormat="false" ht="12.75" hidden="false" customHeight="false" outlineLevel="0" collapsed="false">
      <c r="C133" s="87"/>
    </row>
    <row r="134" customFormat="false" ht="12.75" hidden="false" customHeight="false" outlineLevel="0" collapsed="false">
      <c r="C134" s="87"/>
    </row>
    <row r="135" customFormat="false" ht="12.75" hidden="false" customHeight="false" outlineLevel="0" collapsed="false">
      <c r="C135" s="87"/>
    </row>
    <row r="136" customFormat="false" ht="12.75" hidden="false" customHeight="false" outlineLevel="0" collapsed="false">
      <c r="C136" s="87"/>
    </row>
    <row r="137" customFormat="false" ht="12.75" hidden="false" customHeight="false" outlineLevel="0" collapsed="false">
      <c r="C137" s="87"/>
    </row>
    <row r="138" customFormat="false" ht="12.75" hidden="false" customHeight="false" outlineLevel="0" collapsed="false">
      <c r="C138" s="87"/>
    </row>
    <row r="139" customFormat="false" ht="12.75" hidden="false" customHeight="false" outlineLevel="0" collapsed="false">
      <c r="C139" s="87"/>
    </row>
    <row r="140" customFormat="false" ht="12.75" hidden="false" customHeight="false" outlineLevel="0" collapsed="false">
      <c r="C140" s="87"/>
    </row>
    <row r="141" customFormat="false" ht="12.75" hidden="false" customHeight="false" outlineLevel="0" collapsed="false">
      <c r="C141" s="87"/>
    </row>
    <row r="142" customFormat="false" ht="12.75" hidden="false" customHeight="false" outlineLevel="0" collapsed="false">
      <c r="C142" s="87"/>
    </row>
    <row r="143" customFormat="false" ht="12.75" hidden="false" customHeight="false" outlineLevel="0" collapsed="false">
      <c r="C143" s="87"/>
    </row>
    <row r="144" customFormat="false" ht="12.75" hidden="false" customHeight="false" outlineLevel="0" collapsed="false">
      <c r="C144" s="87"/>
    </row>
    <row r="145" customFormat="false" ht="12.75" hidden="false" customHeight="false" outlineLevel="0" collapsed="false">
      <c r="C145" s="87"/>
    </row>
    <row r="146" customFormat="false" ht="12.75" hidden="false" customHeight="false" outlineLevel="0" collapsed="false">
      <c r="C146" s="87"/>
    </row>
    <row r="147" customFormat="false" ht="12.75" hidden="false" customHeight="false" outlineLevel="0" collapsed="false">
      <c r="C147" s="87"/>
    </row>
    <row r="148" customFormat="false" ht="12.75" hidden="false" customHeight="false" outlineLevel="0" collapsed="false">
      <c r="C148" s="87"/>
    </row>
    <row r="149" customFormat="false" ht="12.75" hidden="false" customHeight="false" outlineLevel="0" collapsed="false">
      <c r="C149" s="87"/>
    </row>
    <row r="151" customFormat="false" ht="12.75" hidden="false" customHeight="false" outlineLevel="0" collapsed="false">
      <c r="C151" s="87"/>
    </row>
  </sheetData>
  <mergeCells count="2">
    <mergeCell ref="A18:B18"/>
    <mergeCell ref="A57:B57"/>
  </mergeCells>
  <printOptions headings="false" gridLines="false" gridLinesSet="true" horizontalCentered="false" verticalCentered="false"/>
  <pageMargins left="0.4" right="0.440277777777778" top="0.140277777777778" bottom="0.45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7.85"/>
    <col collapsed="false" customWidth="true" hidden="false" outlineLevel="0" max="2" min="2" style="1" width="28.41"/>
    <col collapsed="false" customWidth="true" hidden="false" outlineLevel="0" max="3" min="3" style="1" width="13.56"/>
    <col collapsed="false" customWidth="true" hidden="false" outlineLevel="0" max="4" min="4" style="1" width="13.7"/>
    <col collapsed="false" customWidth="true" hidden="false" outlineLevel="0" max="5" min="5" style="1" width="12.99"/>
    <col collapsed="false" customWidth="true" hidden="false" outlineLevel="0" max="16384" min="16380" style="0" width="11.53"/>
  </cols>
  <sheetData>
    <row r="2" customFormat="false" ht="15" hidden="false" customHeight="false" outlineLevel="0" collapsed="false">
      <c r="A2" s="14"/>
      <c r="B2" s="88"/>
      <c r="C2" s="15"/>
      <c r="D2" s="15"/>
      <c r="E2" s="15"/>
    </row>
    <row r="3" customFormat="false" ht="15" hidden="false" customHeight="false" outlineLevel="0" collapsed="false">
      <c r="A3" s="14"/>
      <c r="B3" s="88"/>
      <c r="C3" s="15"/>
      <c r="D3" s="15"/>
      <c r="E3" s="15"/>
    </row>
    <row r="5" customFormat="false" ht="17.35" hidden="false" customHeight="false" outlineLevel="0" collapsed="false">
      <c r="A5" s="3" t="s">
        <v>862</v>
      </c>
    </row>
    <row r="6" customFormat="false" ht="17.35" hidden="false" customHeight="false" outlineLevel="0" collapsed="false">
      <c r="B6" s="3" t="s">
        <v>863</v>
      </c>
    </row>
    <row r="8" customFormat="false" ht="15" hidden="false" customHeight="false" outlineLevel="0" collapsed="false">
      <c r="A8" s="6" t="s">
        <v>2</v>
      </c>
      <c r="B8" s="6" t="s">
        <v>3</v>
      </c>
      <c r="C8" s="7" t="s">
        <v>4</v>
      </c>
      <c r="D8" s="6" t="s">
        <v>5</v>
      </c>
      <c r="E8" s="7" t="s">
        <v>6</v>
      </c>
    </row>
    <row r="9" customFormat="false" ht="15" hidden="false" customHeight="false" outlineLevel="0" collapsed="false">
      <c r="A9" s="8" t="s">
        <v>7</v>
      </c>
      <c r="B9" s="89" t="s">
        <v>864</v>
      </c>
      <c r="C9" s="90" t="n">
        <v>0</v>
      </c>
      <c r="D9" s="10" t="n">
        <f aca="false">E9-C9</f>
        <v>316500</v>
      </c>
      <c r="E9" s="10" t="n">
        <v>316500</v>
      </c>
    </row>
    <row r="10" customFormat="false" ht="15" hidden="false" customHeight="false" outlineLevel="0" collapsed="false">
      <c r="A10" s="8" t="s">
        <v>9</v>
      </c>
      <c r="B10" s="89" t="s">
        <v>865</v>
      </c>
      <c r="C10" s="12" t="n">
        <f aca="false">316500</f>
        <v>316500</v>
      </c>
      <c r="D10" s="10" t="n">
        <f aca="false">E10-C10</f>
        <v>0</v>
      </c>
      <c r="E10" s="10" t="n">
        <v>316500</v>
      </c>
    </row>
    <row r="11" customFormat="false" ht="15" hidden="false" customHeight="false" outlineLevel="0" collapsed="false">
      <c r="A11" s="8" t="s">
        <v>11</v>
      </c>
      <c r="B11" s="89" t="s">
        <v>866</v>
      </c>
      <c r="C11" s="10" t="n">
        <v>616500</v>
      </c>
      <c r="D11" s="10" t="n">
        <f aca="false">E11-C11</f>
        <v>0</v>
      </c>
      <c r="E11" s="10" t="n">
        <v>616500</v>
      </c>
    </row>
    <row r="12" customFormat="false" ht="15" hidden="false" customHeight="false" outlineLevel="0" collapsed="false">
      <c r="A12" s="8" t="s">
        <v>13</v>
      </c>
      <c r="B12" s="89" t="s">
        <v>867</v>
      </c>
      <c r="C12" s="10" t="n">
        <v>316500</v>
      </c>
      <c r="D12" s="10" t="n">
        <f aca="false">E12-C12</f>
        <v>0</v>
      </c>
      <c r="E12" s="10" t="n">
        <v>316500</v>
      </c>
    </row>
    <row r="13" customFormat="false" ht="15" hidden="false" customHeight="false" outlineLevel="0" collapsed="false">
      <c r="A13" s="8" t="s">
        <v>15</v>
      </c>
      <c r="B13" s="9" t="s">
        <v>868</v>
      </c>
      <c r="C13" s="12" t="n">
        <v>0</v>
      </c>
      <c r="D13" s="10" t="n">
        <f aca="false">E13-C13</f>
        <v>316500</v>
      </c>
      <c r="E13" s="10" t="n">
        <v>316500</v>
      </c>
    </row>
    <row r="14" customFormat="false" ht="15" hidden="false" customHeight="false" outlineLevel="0" collapsed="false">
      <c r="A14" s="8" t="s">
        <v>17</v>
      </c>
      <c r="B14" s="89" t="s">
        <v>869</v>
      </c>
      <c r="C14" s="12" t="n">
        <v>316500</v>
      </c>
      <c r="D14" s="10" t="n">
        <f aca="false">E14-C14</f>
        <v>0</v>
      </c>
      <c r="E14" s="10" t="n">
        <v>316500</v>
      </c>
    </row>
    <row r="15" customFormat="false" ht="15" hidden="false" customHeight="false" outlineLevel="0" collapsed="false">
      <c r="A15" s="8" t="s">
        <v>19</v>
      </c>
      <c r="B15" s="89" t="s">
        <v>870</v>
      </c>
      <c r="C15" s="12" t="n">
        <v>316500</v>
      </c>
      <c r="D15" s="10" t="n">
        <f aca="false">E15-C15</f>
        <v>0</v>
      </c>
      <c r="E15" s="10" t="n">
        <v>316500</v>
      </c>
    </row>
    <row r="16" customFormat="false" ht="15" hidden="false" customHeight="false" outlineLevel="0" collapsed="false">
      <c r="A16" s="8" t="s">
        <v>21</v>
      </c>
      <c r="B16" s="9" t="s">
        <v>871</v>
      </c>
      <c r="C16" s="10" t="n">
        <f aca="false">300000+16500</f>
        <v>316500</v>
      </c>
      <c r="D16" s="10" t="n">
        <f aca="false">E16-C16</f>
        <v>0</v>
      </c>
      <c r="E16" s="10" t="n">
        <v>316500</v>
      </c>
    </row>
    <row r="17" customFormat="false" ht="15" hidden="false" customHeight="false" outlineLevel="0" collapsed="false">
      <c r="A17" s="8" t="s">
        <v>23</v>
      </c>
      <c r="B17" s="89" t="s">
        <v>872</v>
      </c>
      <c r="C17" s="10" t="n">
        <v>316500</v>
      </c>
      <c r="D17" s="10" t="n">
        <f aca="false">E17-C17</f>
        <v>0</v>
      </c>
      <c r="E17" s="10" t="n">
        <v>316500</v>
      </c>
    </row>
    <row r="18" customFormat="false" ht="15" hidden="false" customHeight="false" outlineLevel="0" collapsed="false">
      <c r="A18" s="8" t="s">
        <v>25</v>
      </c>
      <c r="B18" s="9" t="s">
        <v>873</v>
      </c>
      <c r="C18" s="10" t="n">
        <v>316500</v>
      </c>
      <c r="D18" s="10" t="n">
        <f aca="false">E18-C18</f>
        <v>0</v>
      </c>
      <c r="E18" s="10" t="n">
        <v>316500</v>
      </c>
    </row>
    <row r="19" customFormat="false" ht="15" hidden="false" customHeight="false" outlineLevel="0" collapsed="false">
      <c r="A19" s="8" t="s">
        <v>27</v>
      </c>
      <c r="B19" s="89" t="s">
        <v>874</v>
      </c>
      <c r="C19" s="10" t="n">
        <f aca="false">317000</f>
        <v>317000</v>
      </c>
      <c r="D19" s="10" t="n">
        <f aca="false">E19-C19</f>
        <v>-500</v>
      </c>
      <c r="E19" s="10" t="n">
        <v>316500</v>
      </c>
    </row>
    <row r="20" customFormat="false" ht="15" hidden="false" customHeight="false" outlineLevel="0" collapsed="false">
      <c r="A20" s="8" t="s">
        <v>29</v>
      </c>
      <c r="B20" s="9" t="s">
        <v>875</v>
      </c>
      <c r="C20" s="10" t="n">
        <v>316500</v>
      </c>
      <c r="D20" s="10" t="n">
        <f aca="false">E20-C20</f>
        <v>0</v>
      </c>
      <c r="E20" s="10" t="n">
        <v>316500</v>
      </c>
    </row>
    <row r="21" customFormat="false" ht="15" hidden="false" customHeight="false" outlineLevel="0" collapsed="false">
      <c r="A21" s="8" t="s">
        <v>31</v>
      </c>
      <c r="B21" s="89" t="s">
        <v>876</v>
      </c>
      <c r="C21" s="12" t="n">
        <v>241500</v>
      </c>
      <c r="D21" s="10" t="n">
        <f aca="false">E21-C21</f>
        <v>0</v>
      </c>
      <c r="E21" s="12" t="n">
        <v>241500</v>
      </c>
    </row>
    <row r="22" customFormat="false" ht="15" hidden="false" customHeight="false" outlineLevel="0" collapsed="false">
      <c r="A22" s="8" t="s">
        <v>33</v>
      </c>
      <c r="B22" s="89" t="s">
        <v>877</v>
      </c>
      <c r="C22" s="10" t="n">
        <f aca="false">160000+156500</f>
        <v>316500</v>
      </c>
      <c r="D22" s="10" t="n">
        <f aca="false">E22-C22</f>
        <v>0</v>
      </c>
      <c r="E22" s="10" t="n">
        <v>316500</v>
      </c>
    </row>
    <row r="23" customFormat="false" ht="15" hidden="false" customHeight="false" outlineLevel="0" collapsed="false">
      <c r="A23" s="8" t="s">
        <v>35</v>
      </c>
      <c r="B23" s="9" t="s">
        <v>878</v>
      </c>
      <c r="C23" s="12" t="n">
        <v>316500</v>
      </c>
      <c r="D23" s="10" t="n">
        <f aca="false">E23-C23</f>
        <v>0</v>
      </c>
      <c r="E23" s="10" t="n">
        <v>316500</v>
      </c>
    </row>
    <row r="24" customFormat="false" ht="15" hidden="false" customHeight="false" outlineLevel="0" collapsed="false">
      <c r="A24" s="8" t="s">
        <v>37</v>
      </c>
      <c r="B24" s="89" t="s">
        <v>879</v>
      </c>
      <c r="C24" s="10" t="n">
        <v>616500</v>
      </c>
      <c r="D24" s="10" t="n">
        <f aca="false">E24-C24</f>
        <v>0</v>
      </c>
      <c r="E24" s="10" t="n">
        <v>616500</v>
      </c>
    </row>
    <row r="25" customFormat="false" ht="15" hidden="false" customHeight="false" outlineLevel="0" collapsed="false">
      <c r="A25" s="8" t="s">
        <v>39</v>
      </c>
      <c r="B25" s="89" t="s">
        <v>880</v>
      </c>
      <c r="C25" s="12" t="n">
        <f aca="false">300000+16500</f>
        <v>316500</v>
      </c>
      <c r="D25" s="10" t="n">
        <f aca="false">E25-C25</f>
        <v>0</v>
      </c>
      <c r="E25" s="10" t="n">
        <v>316500</v>
      </c>
    </row>
    <row r="26" customFormat="false" ht="15" hidden="false" customHeight="false" outlineLevel="0" collapsed="false">
      <c r="A26" s="8" t="s">
        <v>41</v>
      </c>
      <c r="B26" s="9" t="s">
        <v>881</v>
      </c>
      <c r="C26" s="12" t="n">
        <v>0</v>
      </c>
      <c r="D26" s="10" t="n">
        <f aca="false">E26-C26</f>
        <v>316500</v>
      </c>
      <c r="E26" s="10" t="n">
        <v>316500</v>
      </c>
    </row>
    <row r="27" customFormat="false" ht="15" hidden="false" customHeight="false" outlineLevel="0" collapsed="false">
      <c r="A27" s="6" t="s">
        <v>57</v>
      </c>
      <c r="B27" s="6"/>
      <c r="C27" s="7" t="n">
        <f aca="false">SUM(C9:C26)</f>
        <v>5273000</v>
      </c>
      <c r="D27" s="7" t="n">
        <f aca="false">SUM(D9:D26)</f>
        <v>949000</v>
      </c>
      <c r="E27" s="7" t="n">
        <f aca="false">SUM(E9:E26)</f>
        <v>6222000</v>
      </c>
    </row>
    <row r="28" customFormat="false" ht="15" hidden="false" customHeight="false" outlineLevel="0" collapsed="false">
      <c r="A28" s="14"/>
      <c r="B28" s="14"/>
      <c r="C28" s="15"/>
      <c r="D28" s="15"/>
      <c r="E28" s="15"/>
    </row>
    <row r="29" customFormat="false" ht="15" hidden="false" customHeight="false" outlineLevel="0" collapsed="false">
      <c r="A29" s="14"/>
      <c r="B29" s="14"/>
      <c r="C29" s="15"/>
      <c r="D29" s="15"/>
      <c r="E29" s="15"/>
    </row>
    <row r="30" customFormat="false" ht="15" hidden="false" customHeight="false" outlineLevel="0" collapsed="false">
      <c r="A30" s="14"/>
      <c r="B30" s="14"/>
      <c r="C30" s="15"/>
      <c r="D30" s="15"/>
      <c r="E30" s="15"/>
    </row>
    <row r="31" customFormat="false" ht="15" hidden="false" customHeight="false" outlineLevel="0" collapsed="false">
      <c r="A31" s="14"/>
      <c r="B31" s="14"/>
      <c r="C31" s="15"/>
      <c r="D31" s="15"/>
      <c r="E31" s="15"/>
    </row>
    <row r="32" customFormat="false" ht="15" hidden="false" customHeight="false" outlineLevel="0" collapsed="false">
      <c r="A32" s="14"/>
      <c r="B32" s="14"/>
      <c r="C32" s="15"/>
      <c r="D32" s="15"/>
      <c r="E32" s="15"/>
    </row>
    <row r="33" customFormat="false" ht="15" hidden="false" customHeight="false" outlineLevel="0" collapsed="false">
      <c r="A33" s="14"/>
      <c r="B33" s="14"/>
      <c r="C33" s="15"/>
      <c r="D33" s="15"/>
      <c r="E33" s="15"/>
    </row>
    <row r="34" customFormat="false" ht="15" hidden="false" customHeight="false" outlineLevel="0" collapsed="false">
      <c r="A34" s="14"/>
      <c r="B34" s="14"/>
      <c r="C34" s="15"/>
      <c r="D34" s="15"/>
      <c r="E34" s="15"/>
    </row>
    <row r="35" customFormat="false" ht="15" hidden="false" customHeight="false" outlineLevel="0" collapsed="false">
      <c r="A35" s="14"/>
      <c r="B35" s="14"/>
      <c r="C35" s="15"/>
      <c r="D35" s="15"/>
      <c r="E35" s="15"/>
    </row>
    <row r="36" customFormat="false" ht="15" hidden="false" customHeight="false" outlineLevel="0" collapsed="false">
      <c r="A36" s="14"/>
      <c r="B36" s="14"/>
      <c r="C36" s="15"/>
      <c r="D36" s="15"/>
      <c r="E36" s="15"/>
    </row>
    <row r="37" customFormat="false" ht="15" hidden="false" customHeight="false" outlineLevel="0" collapsed="false">
      <c r="A37" s="14"/>
      <c r="B37" s="14"/>
      <c r="C37" s="15"/>
      <c r="D37" s="15"/>
      <c r="E37" s="15"/>
    </row>
    <row r="38" customFormat="false" ht="15" hidden="false" customHeight="false" outlineLevel="0" collapsed="false">
      <c r="A38" s="14"/>
      <c r="B38" s="14"/>
      <c r="C38" s="15"/>
      <c r="D38" s="15"/>
      <c r="E38" s="15"/>
    </row>
    <row r="39" customFormat="false" ht="15" hidden="false" customHeight="false" outlineLevel="0" collapsed="false">
      <c r="A39" s="14"/>
      <c r="B39" s="14"/>
      <c r="C39" s="15"/>
      <c r="D39" s="15"/>
      <c r="E39" s="15"/>
    </row>
    <row r="40" customFormat="false" ht="15" hidden="false" customHeight="false" outlineLevel="0" collapsed="false">
      <c r="A40" s="14"/>
      <c r="B40" s="14"/>
      <c r="C40" s="15"/>
      <c r="D40" s="15"/>
      <c r="E40" s="15"/>
    </row>
    <row r="41" customFormat="false" ht="15" hidden="false" customHeight="false" outlineLevel="0" collapsed="false">
      <c r="A41" s="14"/>
      <c r="B41" s="14"/>
      <c r="C41" s="15"/>
      <c r="D41" s="15"/>
      <c r="E41" s="15"/>
    </row>
    <row r="42" customFormat="false" ht="15" hidden="false" customHeight="false" outlineLevel="0" collapsed="false">
      <c r="A42" s="14"/>
      <c r="B42" s="14"/>
      <c r="C42" s="15"/>
      <c r="D42" s="15"/>
      <c r="E42" s="15"/>
    </row>
    <row r="43" customFormat="false" ht="15" hidden="false" customHeight="false" outlineLevel="0" collapsed="false">
      <c r="A43" s="14"/>
      <c r="B43" s="14"/>
      <c r="C43" s="15"/>
      <c r="D43" s="15"/>
      <c r="E43" s="15"/>
    </row>
    <row r="44" customFormat="false" ht="15" hidden="false" customHeight="false" outlineLevel="0" collapsed="false">
      <c r="A44" s="14"/>
      <c r="B44" s="14"/>
      <c r="C44" s="15"/>
      <c r="D44" s="15"/>
      <c r="E44" s="15"/>
    </row>
    <row r="45" customFormat="false" ht="15" hidden="false" customHeight="false" outlineLevel="0" collapsed="false">
      <c r="A45" s="14"/>
      <c r="B45" s="14"/>
      <c r="C45" s="15"/>
      <c r="D45" s="15"/>
      <c r="E45" s="15"/>
    </row>
  </sheetData>
  <mergeCells count="1">
    <mergeCell ref="A27:B27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H34" activeCellId="0" sqref="H34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7.28"/>
    <col collapsed="false" customWidth="true" hidden="false" outlineLevel="0" max="3" min="3" style="1" width="22.99"/>
    <col collapsed="false" customWidth="true" hidden="false" outlineLevel="0" max="4" min="4" style="1" width="17.7"/>
    <col collapsed="false" customWidth="true" hidden="false" outlineLevel="0" max="5" min="5" style="1" width="16.12"/>
    <col collapsed="false" customWidth="true" hidden="false" outlineLevel="0" max="6" min="6" style="1" width="11.28"/>
  </cols>
  <sheetData>
    <row r="1" customFormat="false" ht="7.5" hidden="false" customHeight="true" outlineLevel="0" collapsed="false"/>
    <row r="2" customFormat="false" ht="7.5" hidden="false" customHeight="true" outlineLevel="0" collapsed="false"/>
    <row r="3" customFormat="false" ht="15" hidden="false" customHeight="false" outlineLevel="0" collapsed="false">
      <c r="A3" s="91" t="s">
        <v>882</v>
      </c>
      <c r="B3" s="92"/>
      <c r="C3" s="92"/>
      <c r="D3" s="92"/>
      <c r="E3" s="92"/>
      <c r="F3" s="92"/>
      <c r="G3" s="92"/>
      <c r="H3" s="92"/>
    </row>
    <row r="4" customFormat="false" ht="15" hidden="false" customHeight="false" outlineLevel="0" collapsed="false">
      <c r="A4" s="91"/>
      <c r="B4" s="92" t="s">
        <v>883</v>
      </c>
      <c r="C4" s="92"/>
      <c r="D4" s="92"/>
      <c r="E4" s="92"/>
      <c r="F4" s="92"/>
      <c r="G4" s="92"/>
      <c r="H4" s="92"/>
    </row>
    <row r="5" customFormat="false" ht="6.75" hidden="false" customHeight="true" outlineLevel="0" collapsed="false"/>
    <row r="6" customFormat="false" ht="23.25" hidden="false" customHeight="true" outlineLevel="0" collapsed="false">
      <c r="A6" s="93" t="s">
        <v>884</v>
      </c>
      <c r="B6" s="94" t="s">
        <v>885</v>
      </c>
      <c r="C6" s="95" t="s">
        <v>886</v>
      </c>
      <c r="D6" s="96" t="s">
        <v>887</v>
      </c>
      <c r="E6" s="93" t="s">
        <v>888</v>
      </c>
      <c r="F6" s="97" t="s">
        <v>889</v>
      </c>
    </row>
    <row r="7" customFormat="false" ht="5.1" hidden="false" customHeight="true" outlineLevel="0" collapsed="false">
      <c r="A7" s="98"/>
      <c r="B7" s="99"/>
      <c r="C7" s="100"/>
      <c r="D7" s="100"/>
      <c r="E7" s="100"/>
      <c r="F7" s="101"/>
    </row>
    <row r="8" customFormat="false" ht="18" hidden="false" customHeight="true" outlineLevel="0" collapsed="false">
      <c r="A8" s="102" t="s">
        <v>890</v>
      </c>
      <c r="B8" s="103" t="n">
        <v>24</v>
      </c>
      <c r="C8" s="104" t="n">
        <f aca="false">PremAn!E33</f>
        <v>10412500</v>
      </c>
      <c r="D8" s="104" t="n">
        <f aca="false">PremAn!C33</f>
        <v>8300500</v>
      </c>
      <c r="E8" s="104" t="n">
        <f aca="false">C8-D8</f>
        <v>2112000</v>
      </c>
      <c r="F8" s="105"/>
      <c r="G8" s="1"/>
    </row>
    <row r="9" customFormat="false" ht="18" hidden="false" customHeight="true" outlineLevel="0" collapsed="false">
      <c r="A9" s="102" t="s">
        <v>891</v>
      </c>
      <c r="B9" s="103" t="n">
        <v>27</v>
      </c>
      <c r="C9" s="104" t="n">
        <f aca="false">DeuxAn!E32</f>
        <v>10996000</v>
      </c>
      <c r="D9" s="104" t="n">
        <f aca="false">DeuxAn!C32</f>
        <v>8090500</v>
      </c>
      <c r="E9" s="104" t="n">
        <f aca="false">C9-D9</f>
        <v>2905500</v>
      </c>
      <c r="F9" s="105"/>
      <c r="G9" s="1"/>
    </row>
    <row r="10" customFormat="false" ht="18" hidden="false" customHeight="true" outlineLevel="0" collapsed="false">
      <c r="A10" s="102" t="s">
        <v>892</v>
      </c>
      <c r="B10" s="103" t="n">
        <v>36</v>
      </c>
      <c r="C10" s="104" t="n">
        <f aca="false">TroisAn!E44</f>
        <v>14994000</v>
      </c>
      <c r="D10" s="104" t="n">
        <f aca="false">TroisAn!C44</f>
        <v>8765000</v>
      </c>
      <c r="E10" s="104" t="n">
        <f aca="false">C10-D10</f>
        <v>6229000</v>
      </c>
      <c r="F10" s="105"/>
      <c r="G10" s="1"/>
    </row>
    <row r="11" customFormat="false" ht="18" hidden="false" customHeight="true" outlineLevel="0" collapsed="false">
      <c r="A11" s="102" t="s">
        <v>893</v>
      </c>
      <c r="B11" s="103" t="n">
        <v>33</v>
      </c>
      <c r="C11" s="104" t="n">
        <f aca="false">QuatrAn!E38</f>
        <v>13744500</v>
      </c>
      <c r="D11" s="104" t="n">
        <f aca="false">QuatrAn!C38</f>
        <v>8425000</v>
      </c>
      <c r="E11" s="104" t="n">
        <f aca="false">C11-D11</f>
        <v>5319500</v>
      </c>
      <c r="F11" s="105"/>
      <c r="G11" s="1"/>
    </row>
    <row r="12" customFormat="false" ht="5.1" hidden="false" customHeight="true" outlineLevel="0" collapsed="false">
      <c r="A12" s="106"/>
      <c r="B12" s="107"/>
      <c r="C12" s="108"/>
      <c r="D12" s="108"/>
      <c r="E12" s="108"/>
      <c r="F12" s="109"/>
      <c r="G12" s="1"/>
    </row>
    <row r="13" customFormat="false" ht="18" hidden="false" customHeight="true" outlineLevel="0" collapsed="false">
      <c r="A13" s="102" t="s">
        <v>894</v>
      </c>
      <c r="B13" s="103" t="n">
        <v>12</v>
      </c>
      <c r="C13" s="104" t="n">
        <f aca="false">BtsGc!E18</f>
        <v>5198000</v>
      </c>
      <c r="D13" s="104" t="n">
        <f aca="false">BtsGc!C18</f>
        <v>3272000</v>
      </c>
      <c r="E13" s="104" t="n">
        <f aca="false">C13-D13</f>
        <v>1926000</v>
      </c>
      <c r="F13" s="105"/>
      <c r="G13" s="1"/>
    </row>
    <row r="14" customFormat="false" ht="18" hidden="false" customHeight="true" outlineLevel="0" collapsed="false">
      <c r="A14" s="102" t="s">
        <v>895</v>
      </c>
      <c r="B14" s="103" t="n">
        <v>32</v>
      </c>
      <c r="C14" s="104" t="n">
        <f aca="false">BtsGc!E57</f>
        <v>6928000</v>
      </c>
      <c r="D14" s="104" t="n">
        <f aca="false">BtsGc!C57</f>
        <v>4446500</v>
      </c>
      <c r="E14" s="104" t="n">
        <f aca="false">C14-D14</f>
        <v>2481500</v>
      </c>
      <c r="F14" s="105"/>
      <c r="G14" s="1"/>
    </row>
    <row r="15" customFormat="false" ht="5.1" hidden="false" customHeight="true" outlineLevel="0" collapsed="false">
      <c r="A15" s="110"/>
      <c r="B15" s="111"/>
      <c r="C15" s="112"/>
      <c r="D15" s="112"/>
      <c r="E15" s="112"/>
      <c r="F15" s="101"/>
      <c r="G15" s="1"/>
    </row>
    <row r="16" customFormat="false" ht="18" hidden="false" customHeight="true" outlineLevel="0" collapsed="false">
      <c r="A16" s="102" t="s">
        <v>896</v>
      </c>
      <c r="B16" s="103" t="n">
        <v>21</v>
      </c>
      <c r="C16" s="104" t="n">
        <f aca="false">PremAn!E94</f>
        <v>8746500</v>
      </c>
      <c r="D16" s="104" t="n">
        <f aca="false">PremAn!C94</f>
        <v>7767000</v>
      </c>
      <c r="E16" s="104" t="n">
        <f aca="false">C16-D16</f>
        <v>979500</v>
      </c>
      <c r="F16" s="105"/>
      <c r="G16" s="1"/>
    </row>
    <row r="17" customFormat="false" ht="18" hidden="false" customHeight="true" outlineLevel="0" collapsed="false">
      <c r="A17" s="102" t="s">
        <v>897</v>
      </c>
      <c r="B17" s="103" t="n">
        <v>11</v>
      </c>
      <c r="C17" s="104" t="n">
        <f aca="false">DeuxAn!E94</f>
        <v>4581500</v>
      </c>
      <c r="D17" s="104" t="n">
        <f aca="false">DeuxAn!C94</f>
        <v>4168500</v>
      </c>
      <c r="E17" s="104" t="n">
        <f aca="false">C17-D17</f>
        <v>413000</v>
      </c>
      <c r="F17" s="105"/>
      <c r="G17" s="1"/>
    </row>
    <row r="18" customFormat="false" ht="18" hidden="false" customHeight="true" outlineLevel="0" collapsed="false">
      <c r="A18" s="102" t="s">
        <v>898</v>
      </c>
      <c r="B18" s="103" t="n">
        <v>11</v>
      </c>
      <c r="C18" s="104" t="n">
        <f aca="false">TroisAn!E112</f>
        <v>4581500</v>
      </c>
      <c r="D18" s="104" t="n">
        <f aca="false">TroisAn!C112</f>
        <v>3848500</v>
      </c>
      <c r="E18" s="104" t="n">
        <f aca="false">C18-D18</f>
        <v>733000</v>
      </c>
      <c r="F18" s="105"/>
      <c r="G18" s="1"/>
    </row>
    <row r="19" customFormat="false" ht="18" hidden="false" customHeight="true" outlineLevel="0" collapsed="false">
      <c r="A19" s="102" t="s">
        <v>899</v>
      </c>
      <c r="B19" s="103" t="n">
        <v>12</v>
      </c>
      <c r="C19" s="104" t="n">
        <f aca="false">QuatrAn!E77</f>
        <v>4998000</v>
      </c>
      <c r="D19" s="104" t="n">
        <f aca="false">QuatrAn!C77</f>
        <v>3382000</v>
      </c>
      <c r="E19" s="104" t="n">
        <f aca="false">C19-D19</f>
        <v>1616000</v>
      </c>
      <c r="F19" s="105"/>
      <c r="G19" s="1"/>
    </row>
    <row r="20" customFormat="false" ht="5.1" hidden="false" customHeight="true" outlineLevel="0" collapsed="false">
      <c r="A20" s="110"/>
      <c r="B20" s="111"/>
      <c r="C20" s="112"/>
      <c r="D20" s="112"/>
      <c r="E20" s="112"/>
      <c r="F20" s="101"/>
      <c r="G20" s="1"/>
    </row>
    <row r="21" customFormat="false" ht="18" hidden="false" customHeight="true" outlineLevel="0" collapsed="false">
      <c r="A21" s="102" t="s">
        <v>900</v>
      </c>
      <c r="B21" s="103" t="n">
        <v>14</v>
      </c>
      <c r="C21" s="104" t="n">
        <f aca="false">PremAn!E119</f>
        <v>5831000</v>
      </c>
      <c r="D21" s="104" t="n">
        <f aca="false">PremAn!C119</f>
        <v>5464500</v>
      </c>
      <c r="E21" s="104" t="n">
        <f aca="false">C21-D21</f>
        <v>366500</v>
      </c>
      <c r="F21" s="105"/>
      <c r="G21" s="1"/>
    </row>
    <row r="22" customFormat="false" ht="18" hidden="false" customHeight="true" outlineLevel="0" collapsed="false">
      <c r="A22" s="102" t="s">
        <v>901</v>
      </c>
      <c r="B22" s="103" t="n">
        <v>21</v>
      </c>
      <c r="C22" s="104" t="n">
        <f aca="false">DeuxAn!E124</f>
        <v>7697000</v>
      </c>
      <c r="D22" s="104" t="n">
        <f aca="false">DeuxAn!C124</f>
        <v>5769500</v>
      </c>
      <c r="E22" s="104" t="n">
        <f aca="false">C22-D22</f>
        <v>1927500</v>
      </c>
      <c r="F22" s="105"/>
      <c r="G22" s="1"/>
    </row>
    <row r="23" customFormat="false" ht="18" hidden="false" customHeight="true" outlineLevel="0" collapsed="false">
      <c r="A23" s="102" t="s">
        <v>902</v>
      </c>
      <c r="B23" s="103" t="n">
        <v>16</v>
      </c>
      <c r="C23" s="104" t="n">
        <f aca="false">TroisAn!E138</f>
        <v>6664000</v>
      </c>
      <c r="D23" s="104" t="n">
        <f aca="false">TroisAn!C138</f>
        <v>4081500</v>
      </c>
      <c r="E23" s="104" t="n">
        <f aca="false">C23-D23</f>
        <v>2582500</v>
      </c>
      <c r="F23" s="105"/>
      <c r="G23" s="1"/>
    </row>
    <row r="24" customFormat="false" ht="18" hidden="false" customHeight="true" outlineLevel="0" collapsed="false">
      <c r="A24" s="102" t="s">
        <v>903</v>
      </c>
      <c r="B24" s="103" t="n">
        <v>19</v>
      </c>
      <c r="C24" s="104" t="n">
        <f aca="false">QuatrAn!E99</f>
        <v>7913500</v>
      </c>
      <c r="D24" s="104" t="n">
        <f aca="false">QuatrAn!C99</f>
        <v>4729500</v>
      </c>
      <c r="E24" s="104" t="n">
        <f aca="false">C24-D24</f>
        <v>3184000</v>
      </c>
      <c r="F24" s="105"/>
      <c r="G24" s="1"/>
    </row>
    <row r="25" customFormat="false" ht="5.1" hidden="false" customHeight="true" outlineLevel="0" collapsed="false">
      <c r="A25" s="113"/>
      <c r="B25" s="110"/>
      <c r="C25" s="112"/>
      <c r="D25" s="112"/>
      <c r="E25" s="112"/>
      <c r="F25" s="101"/>
      <c r="G25" s="1"/>
    </row>
    <row r="26" customFormat="false" ht="18" hidden="false" customHeight="true" outlineLevel="0" collapsed="false">
      <c r="A26" s="102" t="s">
        <v>904</v>
      </c>
      <c r="B26" s="103" t="n">
        <v>14</v>
      </c>
      <c r="C26" s="104" t="n">
        <f aca="false">PremAn!E238</f>
        <v>5831000</v>
      </c>
      <c r="D26" s="104" t="n">
        <f aca="false">PremAn!C238</f>
        <v>4963500</v>
      </c>
      <c r="E26" s="104" t="n">
        <f aca="false">C26-D26</f>
        <v>867500</v>
      </c>
      <c r="F26" s="105"/>
      <c r="G26" s="1"/>
    </row>
    <row r="27" customFormat="false" ht="18" hidden="false" customHeight="true" outlineLevel="0" collapsed="false">
      <c r="A27" s="102" t="s">
        <v>905</v>
      </c>
      <c r="B27" s="103" t="n">
        <v>19</v>
      </c>
      <c r="C27" s="104" t="n">
        <f aca="false">DeuxAn!E264</f>
        <v>7913500</v>
      </c>
      <c r="D27" s="104" t="n">
        <f aca="false">DeuxAn!C264</f>
        <v>6791000</v>
      </c>
      <c r="E27" s="104" t="n">
        <f aca="false">C27-D27</f>
        <v>1122500</v>
      </c>
      <c r="F27" s="105"/>
      <c r="G27" s="1"/>
    </row>
    <row r="28" customFormat="false" ht="18" hidden="false" customHeight="true" outlineLevel="0" collapsed="false">
      <c r="A28" s="102" t="s">
        <v>906</v>
      </c>
      <c r="B28" s="103" t="n">
        <v>20</v>
      </c>
      <c r="C28" s="104" t="e">
        <f aca="false">#REF!</f>
        <v>#REF!</v>
      </c>
      <c r="D28" s="104" t="e">
        <f aca="false">#REF!</f>
        <v>#REF!</v>
      </c>
      <c r="E28" s="104" t="e">
        <f aca="false">C28-D28</f>
        <v>#REF!</v>
      </c>
      <c r="F28" s="114"/>
      <c r="G28" s="1"/>
    </row>
    <row r="29" customFormat="false" ht="5.1" hidden="false" customHeight="true" outlineLevel="0" collapsed="false">
      <c r="A29" s="110"/>
      <c r="B29" s="111"/>
      <c r="C29" s="115" t="n">
        <f aca="false">DeuxAn!E266</f>
        <v>0</v>
      </c>
      <c r="D29" s="112"/>
      <c r="E29" s="116"/>
      <c r="F29" s="101"/>
      <c r="G29" s="1"/>
    </row>
    <row r="30" customFormat="false" ht="18" hidden="false" customHeight="true" outlineLevel="0" collapsed="false">
      <c r="A30" s="102" t="s">
        <v>907</v>
      </c>
      <c r="B30" s="103" t="n">
        <v>18</v>
      </c>
      <c r="C30" s="104" t="n">
        <f aca="false">PremAn!E62</f>
        <v>7497000</v>
      </c>
      <c r="D30" s="104" t="n">
        <f aca="false">PremAn!C62</f>
        <v>6367000</v>
      </c>
      <c r="E30" s="104" t="n">
        <f aca="false">C30-D30</f>
        <v>1130000</v>
      </c>
      <c r="F30" s="105"/>
      <c r="G30" s="1"/>
    </row>
    <row r="31" customFormat="false" ht="18" hidden="false" customHeight="true" outlineLevel="0" collapsed="false">
      <c r="A31" s="102" t="s">
        <v>908</v>
      </c>
      <c r="B31" s="103" t="n">
        <v>23</v>
      </c>
      <c r="C31" s="104" t="n">
        <f aca="false">DeuxAn!E70</f>
        <v>9579500</v>
      </c>
      <c r="D31" s="104" t="n">
        <f aca="false">DeuxAn!C70</f>
        <v>8564000</v>
      </c>
      <c r="E31" s="104" t="n">
        <f aca="false">C31-D31</f>
        <v>1015500</v>
      </c>
      <c r="F31" s="105"/>
      <c r="G31" s="1"/>
    </row>
    <row r="32" customFormat="false" ht="18" hidden="false" customHeight="true" outlineLevel="0" collapsed="false">
      <c r="A32" s="102" t="s">
        <v>909</v>
      </c>
      <c r="B32" s="103" t="n">
        <v>30</v>
      </c>
      <c r="C32" s="104" t="n">
        <f aca="false">TroisAn!E91</f>
        <v>12495000</v>
      </c>
      <c r="D32" s="104" t="n">
        <f aca="false">TroisAn!C91</f>
        <v>10386500</v>
      </c>
      <c r="E32" s="104" t="n">
        <f aca="false">C32-D32</f>
        <v>2108500</v>
      </c>
      <c r="F32" s="105"/>
      <c r="G32" s="1"/>
    </row>
    <row r="33" customFormat="false" ht="18" hidden="false" customHeight="true" outlineLevel="0" collapsed="false">
      <c r="A33" s="102" t="s">
        <v>910</v>
      </c>
      <c r="B33" s="103" t="n">
        <v>22</v>
      </c>
      <c r="C33" s="104" t="n">
        <f aca="false">QuatrAn!E62</f>
        <v>8746500</v>
      </c>
      <c r="D33" s="104" t="n">
        <f aca="false">QuatrAn!C62</f>
        <v>7534000</v>
      </c>
      <c r="E33" s="104" t="n">
        <f aca="false">C33-D33</f>
        <v>1212500</v>
      </c>
      <c r="F33" s="117"/>
      <c r="G33" s="1"/>
    </row>
    <row r="34" customFormat="false" ht="5.1" hidden="false" customHeight="true" outlineLevel="0" collapsed="false">
      <c r="A34" s="99"/>
      <c r="B34" s="118"/>
      <c r="C34" s="100"/>
      <c r="D34" s="100"/>
      <c r="E34" s="100"/>
      <c r="F34" s="101"/>
      <c r="G34" s="1"/>
    </row>
    <row r="35" customFormat="false" ht="18" hidden="false" customHeight="true" outlineLevel="0" collapsed="false">
      <c r="A35" s="102" t="s">
        <v>911</v>
      </c>
      <c r="B35" s="103" t="n">
        <v>33</v>
      </c>
      <c r="C35" s="104" t="n">
        <f aca="false">PremAn!E212</f>
        <v>12911500</v>
      </c>
      <c r="D35" s="104" t="n">
        <f aca="false">PremAn!C212</f>
        <v>11976500</v>
      </c>
      <c r="E35" s="104" t="n">
        <f aca="false">C35-D35</f>
        <v>935000</v>
      </c>
      <c r="F35" s="105"/>
      <c r="G35" s="1"/>
    </row>
    <row r="36" customFormat="false" ht="18" hidden="false" customHeight="true" outlineLevel="0" collapsed="false">
      <c r="A36" s="102" t="s">
        <v>912</v>
      </c>
      <c r="B36" s="103" t="n">
        <v>55</v>
      </c>
      <c r="C36" s="104" t="n">
        <f aca="false">DeuxAn!E235</f>
        <v>23740500</v>
      </c>
      <c r="D36" s="104" t="n">
        <f aca="false">DeuxAn!C235</f>
        <v>21859000</v>
      </c>
      <c r="E36" s="104" t="n">
        <f aca="false">C36-D36</f>
        <v>1881500</v>
      </c>
      <c r="F36" s="105"/>
      <c r="G36" s="1"/>
    </row>
    <row r="37" customFormat="false" ht="18" hidden="false" customHeight="true" outlineLevel="0" collapsed="false">
      <c r="A37" s="102" t="s">
        <v>913</v>
      </c>
      <c r="B37" s="103" t="n">
        <v>52</v>
      </c>
      <c r="C37" s="104" t="n">
        <f aca="false">TroisAn!E252</f>
        <v>21658000</v>
      </c>
      <c r="D37" s="104" t="n">
        <f aca="false">TroisAn!C252</f>
        <v>19406000</v>
      </c>
      <c r="E37" s="104" t="n">
        <f aca="false">C37-D37</f>
        <v>2252000</v>
      </c>
      <c r="F37" s="105"/>
      <c r="G37" s="1"/>
    </row>
    <row r="38" customFormat="false" ht="18" hidden="false" customHeight="true" outlineLevel="0" collapsed="false">
      <c r="A38" s="102" t="s">
        <v>914</v>
      </c>
      <c r="B38" s="103" t="n">
        <v>27</v>
      </c>
      <c r="C38" s="104" t="n">
        <f aca="false">QuatrAn!E152</f>
        <v>13328000</v>
      </c>
      <c r="D38" s="104" t="n">
        <f aca="false">QuatrAn!C152</f>
        <v>10129500</v>
      </c>
      <c r="E38" s="104" t="n">
        <f aca="false">C38-D38</f>
        <v>3198500</v>
      </c>
      <c r="F38" s="105"/>
      <c r="G38" s="1"/>
    </row>
    <row r="39" customFormat="false" ht="5.1" hidden="false" customHeight="true" outlineLevel="0" collapsed="false">
      <c r="A39" s="99"/>
      <c r="B39" s="118"/>
      <c r="C39" s="100"/>
      <c r="D39" s="100"/>
      <c r="E39" s="100"/>
      <c r="F39" s="119"/>
      <c r="G39" s="1"/>
    </row>
    <row r="40" customFormat="false" ht="18" hidden="false" customHeight="true" outlineLevel="0" collapsed="false">
      <c r="A40" s="102" t="s">
        <v>915</v>
      </c>
      <c r="B40" s="103" t="n">
        <v>42</v>
      </c>
      <c r="C40" s="104" t="n">
        <f aca="false">PremAn!E172</f>
        <v>17493000</v>
      </c>
      <c r="D40" s="104" t="n">
        <f aca="false">PremAn!C172</f>
        <v>16394500</v>
      </c>
      <c r="E40" s="104" t="n">
        <f aca="false">C40-D40</f>
        <v>1098500</v>
      </c>
      <c r="F40" s="105"/>
      <c r="G40" s="1"/>
    </row>
    <row r="41" customFormat="false" ht="18" hidden="false" customHeight="true" outlineLevel="0" collapsed="false">
      <c r="A41" s="102" t="s">
        <v>916</v>
      </c>
      <c r="B41" s="103" t="n">
        <v>32</v>
      </c>
      <c r="C41" s="104" t="n">
        <f aca="false">DeuxAn!E167</f>
        <v>13728000</v>
      </c>
      <c r="D41" s="104" t="n">
        <f aca="false">DeuxAn!C167</f>
        <v>11129500</v>
      </c>
      <c r="E41" s="120" t="n">
        <f aca="false">C41-D41</f>
        <v>2598500</v>
      </c>
      <c r="F41" s="105"/>
      <c r="G41" s="1"/>
    </row>
    <row r="42" customFormat="false" ht="18" hidden="false" customHeight="true" outlineLevel="0" collapsed="false">
      <c r="A42" s="102" t="s">
        <v>917</v>
      </c>
      <c r="B42" s="103" t="n">
        <v>36</v>
      </c>
      <c r="C42" s="104" t="n">
        <f aca="false">TroisAn!E184</f>
        <v>14994000</v>
      </c>
      <c r="D42" s="104" t="n">
        <f aca="false">TroisAn!C184</f>
        <v>12316000</v>
      </c>
      <c r="E42" s="120" t="n">
        <f aca="false">C42-D42</f>
        <v>2678000</v>
      </c>
      <c r="F42" s="105"/>
      <c r="G42" s="1"/>
    </row>
    <row r="43" customFormat="false" ht="18" hidden="false" customHeight="true" outlineLevel="0" collapsed="false">
      <c r="A43" s="102" t="s">
        <v>918</v>
      </c>
      <c r="B43" s="121" t="n">
        <v>15</v>
      </c>
      <c r="C43" s="104" t="n">
        <f aca="false">QuatrAn!E117</f>
        <v>6247500</v>
      </c>
      <c r="D43" s="104" t="n">
        <f aca="false">QuatrAn!C117</f>
        <v>5347500</v>
      </c>
      <c r="E43" s="120" t="n">
        <f aca="false">C43-D43</f>
        <v>900000</v>
      </c>
      <c r="F43" s="122"/>
      <c r="G43" s="1"/>
    </row>
    <row r="44" customFormat="false" ht="5.1" hidden="false" customHeight="true" outlineLevel="0" collapsed="false">
      <c r="A44" s="123"/>
      <c r="B44" s="124"/>
      <c r="C44" s="125"/>
      <c r="D44" s="125"/>
      <c r="E44" s="125"/>
      <c r="F44" s="126"/>
      <c r="G44" s="1"/>
    </row>
    <row r="45" customFormat="false" ht="18" hidden="false" customHeight="true" outlineLevel="0" collapsed="false">
      <c r="A45" s="127" t="s">
        <v>919</v>
      </c>
      <c r="B45" s="128" t="n">
        <v>12</v>
      </c>
      <c r="C45" s="120" t="n">
        <f aca="false">PremAn!E260</f>
        <v>4998000</v>
      </c>
      <c r="D45" s="120" t="n">
        <f aca="false">PremAn!C260</f>
        <v>4214500</v>
      </c>
      <c r="E45" s="120" t="n">
        <f aca="false">C45-D45</f>
        <v>783500</v>
      </c>
      <c r="F45" s="129"/>
      <c r="G45" s="1"/>
    </row>
    <row r="46" customFormat="false" ht="18" hidden="false" customHeight="true" outlineLevel="0" collapsed="false">
      <c r="A46" s="127" t="s">
        <v>920</v>
      </c>
      <c r="B46" s="103" t="n">
        <v>10</v>
      </c>
      <c r="C46" s="104" t="n">
        <f aca="false">DeuxAn!E283</f>
        <v>4165000</v>
      </c>
      <c r="D46" s="104" t="n">
        <f aca="false">DeuxAn!C283</f>
        <v>3748500</v>
      </c>
      <c r="E46" s="104" t="n">
        <f aca="false">C46-D46</f>
        <v>416500</v>
      </c>
      <c r="F46" s="105"/>
      <c r="G46" s="1"/>
    </row>
    <row r="47" customFormat="false" ht="18" hidden="false" customHeight="true" outlineLevel="0" collapsed="false">
      <c r="A47" s="127" t="s">
        <v>921</v>
      </c>
      <c r="B47" s="130" t="n">
        <v>10</v>
      </c>
      <c r="C47" s="104" t="n">
        <f aca="false">TroisAn!E273</f>
        <v>4165000</v>
      </c>
      <c r="D47" s="104" t="n">
        <f aca="false">TroisAn!C273</f>
        <v>3117000</v>
      </c>
      <c r="E47" s="104" t="n">
        <f aca="false">C47-D47</f>
        <v>1048000</v>
      </c>
      <c r="F47" s="105"/>
      <c r="G47" s="1"/>
    </row>
    <row r="48" customFormat="false" ht="15" hidden="false" customHeight="false" outlineLevel="0" collapsed="false">
      <c r="A48" s="131" t="s">
        <v>922</v>
      </c>
      <c r="B48" s="132" t="n">
        <f aca="false">SUM(B8:B47)</f>
        <v>759</v>
      </c>
      <c r="C48" s="132" t="e">
        <f aca="false">SUM(C8:C47)</f>
        <v>#REF!</v>
      </c>
      <c r="D48" s="133" t="e">
        <f aca="false">SUM(D8:D47)</f>
        <v>#REF!</v>
      </c>
      <c r="E48" s="132" t="e">
        <f aca="false">SUM(E8:E47)</f>
        <v>#REF!</v>
      </c>
      <c r="F48" s="134" t="e">
        <f aca="false">D48/C48</f>
        <v>#REF!</v>
      </c>
      <c r="H48" s="87"/>
    </row>
    <row r="49" customFormat="false" ht="6.75" hidden="false" customHeight="true" outlineLevel="0" collapsed="false">
      <c r="A49" s="135"/>
      <c r="B49" s="135"/>
      <c r="C49" s="136"/>
      <c r="D49" s="136"/>
      <c r="E49" s="136"/>
      <c r="F49" s="137"/>
    </row>
    <row r="50" customFormat="false" ht="12" hidden="false" customHeight="true" outlineLevel="0" collapsed="false">
      <c r="A50" s="136"/>
      <c r="B50" s="136"/>
      <c r="C50" s="136"/>
      <c r="D50" s="136"/>
      <c r="E50" s="136"/>
      <c r="F50" s="137"/>
      <c r="H50" s="87"/>
    </row>
    <row r="51" customFormat="false" ht="15.75" hidden="false" customHeight="false" outlineLevel="0" collapsed="false">
      <c r="A51" s="135"/>
      <c r="B51" s="135"/>
      <c r="C51" s="136"/>
      <c r="D51" s="136"/>
      <c r="E51" s="136"/>
      <c r="F51" s="137"/>
    </row>
    <row r="52" customFormat="false" ht="15.75" hidden="false" customHeight="false" outlineLevel="0" collapsed="false">
      <c r="A52" s="135"/>
      <c r="B52" s="135"/>
      <c r="C52" s="136"/>
      <c r="D52" s="136"/>
      <c r="E52" s="136"/>
      <c r="F52" s="137"/>
    </row>
    <row r="53" customFormat="false" ht="15.75" hidden="false" customHeight="false" outlineLevel="0" collapsed="false">
      <c r="A53" s="135"/>
      <c r="B53" s="135"/>
      <c r="C53" s="136"/>
      <c r="D53" s="136"/>
      <c r="E53" s="136"/>
      <c r="F53" s="137"/>
    </row>
    <row r="54" customFormat="false" ht="15.75" hidden="false" customHeight="false" outlineLevel="0" collapsed="false">
      <c r="A54" s="135"/>
      <c r="B54" s="135"/>
      <c r="C54" s="136"/>
      <c r="D54" s="136"/>
      <c r="E54" s="136"/>
      <c r="F54" s="137"/>
    </row>
    <row r="55" customFormat="false" ht="15.75" hidden="false" customHeight="false" outlineLevel="0" collapsed="false">
      <c r="A55" s="135"/>
      <c r="B55" s="135"/>
      <c r="C55" s="136"/>
      <c r="D55" s="136"/>
      <c r="E55" s="136"/>
      <c r="F55" s="137"/>
    </row>
    <row r="56" customFormat="false" ht="15.75" hidden="false" customHeight="false" outlineLevel="0" collapsed="false">
      <c r="A56" s="135"/>
      <c r="B56" s="135"/>
      <c r="C56" s="136"/>
      <c r="D56" s="136"/>
      <c r="E56" s="136"/>
      <c r="F56" s="137"/>
    </row>
    <row r="57" customFormat="false" ht="15.75" hidden="false" customHeight="false" outlineLevel="0" collapsed="false">
      <c r="A57" s="135"/>
      <c r="B57" s="135"/>
      <c r="C57" s="136"/>
      <c r="D57" s="136"/>
      <c r="E57" s="136"/>
      <c r="F57" s="137"/>
    </row>
    <row r="58" customFormat="false" ht="15.75" hidden="false" customHeight="false" outlineLevel="0" collapsed="false">
      <c r="A58" s="135"/>
      <c r="B58" s="135"/>
      <c r="C58" s="136"/>
      <c r="D58" s="136"/>
      <c r="E58" s="136"/>
      <c r="F58" s="137"/>
    </row>
    <row r="59" customFormat="false" ht="15.75" hidden="false" customHeight="false" outlineLevel="0" collapsed="false">
      <c r="A59" s="135"/>
      <c r="B59" s="135"/>
      <c r="C59" s="136"/>
      <c r="D59" s="136"/>
      <c r="E59" s="136"/>
      <c r="F59" s="137"/>
    </row>
    <row r="60" customFormat="false" ht="15.75" hidden="false" customHeight="false" outlineLevel="0" collapsed="false">
      <c r="A60" s="135"/>
      <c r="B60" s="135"/>
      <c r="C60" s="136"/>
      <c r="D60" s="136"/>
      <c r="E60" s="136"/>
      <c r="F60" s="137"/>
    </row>
    <row r="61" customFormat="false" ht="15.75" hidden="false" customHeight="false" outlineLevel="0" collapsed="false">
      <c r="A61" s="135"/>
      <c r="B61" s="135"/>
      <c r="C61" s="136"/>
      <c r="D61" s="136"/>
      <c r="E61" s="136"/>
      <c r="F61" s="137"/>
    </row>
    <row r="62" customFormat="false" ht="15.75" hidden="false" customHeight="false" outlineLevel="0" collapsed="false">
      <c r="A62" s="135"/>
      <c r="B62" s="135"/>
      <c r="C62" s="136"/>
      <c r="D62" s="136"/>
      <c r="E62" s="136"/>
      <c r="F62" s="137"/>
    </row>
    <row r="63" customFormat="false" ht="15.75" hidden="false" customHeight="false" outlineLevel="0" collapsed="false">
      <c r="A63" s="135"/>
      <c r="B63" s="135"/>
      <c r="C63" s="136"/>
      <c r="D63" s="136"/>
      <c r="E63" s="136"/>
      <c r="F63" s="137"/>
    </row>
    <row r="64" customFormat="false" ht="15.75" hidden="false" customHeight="false" outlineLevel="0" collapsed="false">
      <c r="A64" s="135"/>
      <c r="B64" s="135"/>
      <c r="C64" s="136"/>
      <c r="D64" s="136"/>
      <c r="E64" s="136"/>
      <c r="F64" s="137"/>
    </row>
    <row r="65" customFormat="false" ht="15.75" hidden="false" customHeight="false" outlineLevel="0" collapsed="false">
      <c r="A65" s="135"/>
      <c r="B65" s="135"/>
      <c r="C65" s="136"/>
      <c r="D65" s="136"/>
      <c r="E65" s="136"/>
      <c r="F65" s="137"/>
    </row>
    <row r="66" customFormat="false" ht="15.75" hidden="false" customHeight="false" outlineLevel="0" collapsed="false">
      <c r="A66" s="135"/>
      <c r="B66" s="135"/>
      <c r="C66" s="136"/>
      <c r="D66" s="136"/>
      <c r="E66" s="136"/>
      <c r="F66" s="137"/>
    </row>
    <row r="67" customFormat="false" ht="15.75" hidden="false" customHeight="false" outlineLevel="0" collapsed="false">
      <c r="A67" s="135"/>
      <c r="B67" s="135"/>
      <c r="C67" s="136"/>
      <c r="D67" s="136"/>
      <c r="E67" s="136"/>
      <c r="F67" s="137"/>
    </row>
    <row r="68" customFormat="false" ht="15.75" hidden="false" customHeight="false" outlineLevel="0" collapsed="false">
      <c r="A68" s="135"/>
      <c r="B68" s="135"/>
      <c r="C68" s="136"/>
      <c r="D68" s="136"/>
      <c r="E68" s="136"/>
      <c r="F68" s="137"/>
    </row>
    <row r="69" customFormat="false" ht="15.75" hidden="false" customHeight="false" outlineLevel="0" collapsed="false">
      <c r="A69" s="135"/>
      <c r="B69" s="135"/>
      <c r="C69" s="136"/>
      <c r="D69" s="136"/>
      <c r="E69" s="136"/>
      <c r="F69" s="137"/>
    </row>
    <row r="70" customFormat="false" ht="15" hidden="false" customHeight="true" outlineLevel="0" collapsed="false">
      <c r="C70" s="136"/>
    </row>
    <row r="71" customFormat="false" ht="15" hidden="false" customHeight="true" outlineLevel="0" collapsed="false">
      <c r="C71" s="87"/>
    </row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.75" hidden="false" customHeight="false" outlineLevel="0" collapsed="false">
      <c r="A80" s="138"/>
      <c r="B80" s="138"/>
      <c r="C80" s="139"/>
      <c r="D80" s="139"/>
      <c r="E80" s="139"/>
    </row>
    <row r="81" customFormat="false" ht="15.75" hidden="false" customHeight="true" outlineLevel="0" collapsed="false"/>
    <row r="82" customFormat="false" ht="15" hidden="false" customHeight="true" outlineLevel="0" collapsed="false"/>
    <row r="83" customFormat="false" ht="12.75" hidden="false" customHeight="false" outlineLevel="0" collapsed="false">
      <c r="C83" s="87"/>
      <c r="D83" s="87"/>
    </row>
    <row r="93" customFormat="false" ht="14.25" hidden="false" customHeight="true" outlineLevel="0" collapsed="false"/>
    <row r="105" customFormat="false" ht="12.75" hidden="false" customHeight="false" outlineLevel="0" collapsed="false">
      <c r="D105" s="87"/>
    </row>
    <row r="106" customFormat="false" ht="15.75" hidden="false" customHeight="false" outlineLevel="0" collapsed="false">
      <c r="D106" s="140"/>
    </row>
    <row r="108" customFormat="false" ht="15" hidden="false" customHeight="false" outlineLevel="0" collapsed="false">
      <c r="C108" s="138"/>
    </row>
    <row r="111" customFormat="false" ht="15" hidden="false" customHeight="false" outlineLevel="0" collapsed="false">
      <c r="C111" s="138"/>
    </row>
    <row r="115" customFormat="false" ht="15" hidden="false" customHeight="false" outlineLevel="0" collapsed="false">
      <c r="C115" s="138"/>
    </row>
    <row r="119" customFormat="false" ht="12.75" hidden="false" customHeight="false" outlineLevel="0" collapsed="false">
      <c r="C119" s="87"/>
    </row>
    <row r="120" customFormat="false" ht="12.75" hidden="false" customHeight="false" outlineLevel="0" collapsed="false">
      <c r="C120" s="87"/>
    </row>
    <row r="121" customFormat="false" ht="12.75" hidden="false" customHeight="false" outlineLevel="0" collapsed="false">
      <c r="C121" s="87"/>
    </row>
    <row r="122" customFormat="false" ht="12.75" hidden="false" customHeight="false" outlineLevel="0" collapsed="false">
      <c r="C122" s="87"/>
    </row>
    <row r="123" customFormat="false" ht="12.75" hidden="false" customHeight="false" outlineLevel="0" collapsed="false">
      <c r="C123" s="87"/>
    </row>
    <row r="124" customFormat="false" ht="12.75" hidden="false" customHeight="false" outlineLevel="0" collapsed="false">
      <c r="C124" s="87"/>
    </row>
    <row r="125" customFormat="false" ht="12.75" hidden="false" customHeight="false" outlineLevel="0" collapsed="false">
      <c r="C125" s="87"/>
    </row>
    <row r="126" customFormat="false" ht="12.75" hidden="false" customHeight="false" outlineLevel="0" collapsed="false">
      <c r="C126" s="87"/>
    </row>
    <row r="127" customFormat="false" ht="12.75" hidden="false" customHeight="false" outlineLevel="0" collapsed="false">
      <c r="C127" s="87"/>
    </row>
    <row r="128" customFormat="false" ht="12.75" hidden="false" customHeight="false" outlineLevel="0" collapsed="false">
      <c r="C128" s="87"/>
    </row>
    <row r="129" customFormat="false" ht="12.75" hidden="false" customHeight="false" outlineLevel="0" collapsed="false">
      <c r="C129" s="87"/>
    </row>
    <row r="130" customFormat="false" ht="12.75" hidden="false" customHeight="false" outlineLevel="0" collapsed="false">
      <c r="C130" s="141"/>
    </row>
    <row r="131" customFormat="false" ht="12.75" hidden="false" customHeight="false" outlineLevel="0" collapsed="false">
      <c r="D131" s="87"/>
    </row>
  </sheetData>
  <printOptions headings="false" gridLines="false" gridLinesSet="true" horizontalCentered="false" verticalCentered="false"/>
  <pageMargins left="0.35" right="0.320138888888889" top="0.220138888888889" bottom="0.45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9.7"/>
    <col collapsed="false" customWidth="true" hidden="false" outlineLevel="0" max="2" min="2" style="1" width="16.84"/>
    <col collapsed="false" customWidth="true" hidden="false" outlineLevel="0" max="3" min="3" style="1" width="16.12"/>
    <col collapsed="false" customWidth="true" hidden="false" outlineLevel="0" max="5" min="4" style="1" width="13.41"/>
    <col collapsed="false" customWidth="true" hidden="false" outlineLevel="0" max="6" min="6" style="1" width="14.28"/>
    <col collapsed="false" customWidth="true" hidden="false" outlineLevel="0" max="8" min="8" style="1" width="15.99"/>
  </cols>
  <sheetData>
    <row r="3" customFormat="false" ht="19.7" hidden="false" customHeight="false" outlineLevel="0" collapsed="false">
      <c r="B3" s="142" t="s">
        <v>923</v>
      </c>
    </row>
    <row r="5" customFormat="false" ht="26.85" hidden="false" customHeight="false" outlineLevel="0" collapsed="false">
      <c r="B5" s="143" t="s">
        <v>924</v>
      </c>
      <c r="C5" s="144" t="s">
        <v>925</v>
      </c>
      <c r="D5" s="144" t="s">
        <v>926</v>
      </c>
      <c r="E5" s="144" t="s">
        <v>927</v>
      </c>
      <c r="F5" s="144" t="s">
        <v>928</v>
      </c>
    </row>
    <row r="6" customFormat="false" ht="25.15" hidden="false" customHeight="true" outlineLevel="0" collapsed="false">
      <c r="B6" s="145" t="s">
        <v>929</v>
      </c>
      <c r="C6" s="146" t="n">
        <v>2697000</v>
      </c>
      <c r="D6" s="147" t="n">
        <v>0</v>
      </c>
      <c r="E6" s="148"/>
      <c r="F6" s="149" t="n">
        <v>570000</v>
      </c>
    </row>
    <row r="7" customFormat="false" ht="25.15" hidden="false" customHeight="true" outlineLevel="0" collapsed="false">
      <c r="B7" s="150" t="s">
        <v>930</v>
      </c>
      <c r="C7" s="151" t="n">
        <v>3859000</v>
      </c>
      <c r="D7" s="152" t="n">
        <v>0</v>
      </c>
      <c r="E7" s="153"/>
      <c r="F7" s="154" t="n">
        <v>225000</v>
      </c>
    </row>
    <row r="8" customFormat="false" ht="25.15" hidden="false" customHeight="true" outlineLevel="0" collapsed="false">
      <c r="B8" s="150" t="s">
        <v>931</v>
      </c>
      <c r="C8" s="151" t="n">
        <v>25899475</v>
      </c>
      <c r="D8" s="152" t="n">
        <v>0</v>
      </c>
      <c r="E8" s="155" t="n">
        <v>12920000</v>
      </c>
      <c r="F8" s="154" t="n">
        <v>34950</v>
      </c>
    </row>
    <row r="9" customFormat="false" ht="25.15" hidden="false" customHeight="true" outlineLevel="0" collapsed="false">
      <c r="B9" s="150" t="s">
        <v>932</v>
      </c>
      <c r="C9" s="151" t="n">
        <v>85232850</v>
      </c>
      <c r="D9" s="151" t="n">
        <v>276500</v>
      </c>
      <c r="E9" s="155" t="n">
        <v>9360000</v>
      </c>
      <c r="F9" s="154" t="n">
        <v>1650</v>
      </c>
    </row>
    <row r="10" customFormat="false" ht="25.15" hidden="false" customHeight="true" outlineLevel="0" collapsed="false">
      <c r="B10" s="150" t="s">
        <v>933</v>
      </c>
      <c r="C10" s="151" t="n">
        <v>5025750</v>
      </c>
      <c r="D10" s="151" t="n">
        <v>300000</v>
      </c>
      <c r="E10" s="155"/>
      <c r="F10" s="154" t="n">
        <v>0</v>
      </c>
    </row>
    <row r="11" customFormat="false" ht="25.15" hidden="false" customHeight="true" outlineLevel="0" collapsed="false">
      <c r="B11" s="150" t="s">
        <v>934</v>
      </c>
      <c r="C11" s="151" t="n">
        <v>6535000</v>
      </c>
      <c r="D11" s="151" t="n">
        <f aca="false">160000+316500+316500+16500+1233000</f>
        <v>2042500</v>
      </c>
      <c r="E11" s="155"/>
      <c r="F11" s="154" t="n">
        <v>17000</v>
      </c>
    </row>
    <row r="12" customFormat="false" ht="25.15" hidden="false" customHeight="true" outlineLevel="0" collapsed="false">
      <c r="B12" s="150" t="s">
        <v>935</v>
      </c>
      <c r="C12" s="151" t="n">
        <v>8683470</v>
      </c>
      <c r="D12" s="151" t="n">
        <f aca="false">316500+316500+156500</f>
        <v>789500</v>
      </c>
      <c r="E12" s="155"/>
      <c r="F12" s="154" t="n">
        <v>0</v>
      </c>
    </row>
    <row r="13" customFormat="false" ht="25.15" hidden="false" customHeight="true" outlineLevel="0" collapsed="false">
      <c r="B13" s="150" t="s">
        <v>936</v>
      </c>
      <c r="C13" s="151" t="n">
        <v>20537646</v>
      </c>
      <c r="D13" s="151" t="n">
        <f aca="false">241500+316500+316500+316500</f>
        <v>1191000</v>
      </c>
      <c r="E13" s="155"/>
      <c r="F13" s="154" t="n">
        <f aca="false">250000+500</f>
        <v>250500</v>
      </c>
    </row>
    <row r="14" customFormat="false" ht="25.15" hidden="false" customHeight="true" outlineLevel="0" collapsed="false">
      <c r="B14" s="150" t="s">
        <v>937</v>
      </c>
      <c r="C14" s="151" t="n">
        <v>45405000</v>
      </c>
      <c r="D14" s="151" t="n">
        <v>0</v>
      </c>
      <c r="E14" s="155"/>
      <c r="F14" s="154" t="n">
        <v>0</v>
      </c>
    </row>
    <row r="15" customFormat="false" ht="25.15" hidden="false" customHeight="true" outlineLevel="0" collapsed="false">
      <c r="B15" s="150" t="s">
        <v>938</v>
      </c>
      <c r="C15" s="151" t="n">
        <v>2773500</v>
      </c>
      <c r="D15" s="151" t="n">
        <v>316500</v>
      </c>
      <c r="E15" s="155"/>
      <c r="F15" s="154" t="n">
        <v>150000</v>
      </c>
    </row>
    <row r="16" customFormat="false" ht="25.15" hidden="false" customHeight="true" outlineLevel="0" collapsed="false">
      <c r="B16" s="150" t="s">
        <v>939</v>
      </c>
      <c r="C16" s="155"/>
      <c r="D16" s="151"/>
      <c r="E16" s="156"/>
      <c r="F16" s="154" t="n">
        <f aca="false">100000+5000000</f>
        <v>5100000</v>
      </c>
    </row>
    <row r="17" customFormat="false" ht="25.15" hidden="false" customHeight="true" outlineLevel="0" collapsed="false">
      <c r="B17" s="150" t="s">
        <v>940</v>
      </c>
      <c r="C17" s="157"/>
      <c r="D17" s="158"/>
      <c r="E17" s="157"/>
      <c r="F17" s="159"/>
    </row>
    <row r="18" customFormat="false" ht="15" hidden="false" customHeight="false" outlineLevel="0" collapsed="false">
      <c r="B18" s="143" t="s">
        <v>57</v>
      </c>
      <c r="C18" s="160" t="n">
        <f aca="false">SUM(C6:C15)</f>
        <v>206648691</v>
      </c>
      <c r="D18" s="160" t="n">
        <f aca="false">SUM(D6:D15)</f>
        <v>4916000</v>
      </c>
      <c r="E18" s="160" t="n">
        <f aca="false">SUM(E6:E15)</f>
        <v>22280000</v>
      </c>
      <c r="F18" s="160" t="n">
        <f aca="false">SUM(F6:F16)</f>
        <v>6349100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2024-12-15T06:34:52Z</dcterms:created>
  <dc:creator/>
  <dc:description/>
  <dc:language>fr-FR</dc:language>
  <cp:lastModifiedBy/>
  <cp:lastPrinted>2010-07-22T00:44:09Z</cp:lastPrinted>
  <dcterms:modified xsi:type="dcterms:W3CDTF">2024-12-23T05:00:12Z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AC7B2C31408748A695C0383F17DB1DEB_12</vt:lpwstr>
  </property>
  <property fmtid="{D5CDD505-2E9C-101B-9397-08002B2CF9AE}" pid="3" name="KSOProductBuildVer">
    <vt:lpwstr>1036-12.2.0.18607</vt:lpwstr>
  </property>
</Properties>
</file>