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_IGNORER_1" sheetId="1" state="visible" r:id="rId3"/>
    <sheet name="LICENCE PRO. 1ère ANNEE" sheetId="2" state="visible" r:id="rId4"/>
    <sheet name="LICENCE PRO. 2è-3è-4è ANNEE" sheetId="3" state="visible" r:id="rId5"/>
    <sheet name="INGENIEUR" sheetId="4" state="visible" r:id="rId6"/>
    <sheet name="A_IGNORER_2" sheetId="5" state="visible" r:id="rId7"/>
    <sheet name="A_IGNORER_3" sheetId="6" state="visible" r:id="rId8"/>
    <sheet name="Feuil2" sheetId="7" state="visible" r:id="rId9"/>
  </sheets>
  <externalReferences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B809" authorId="0">
      <text>
        <r>
          <rPr>
            <sz val="10"/>
            <rFont val="Arial"/>
            <family val="2"/>
          </rPr>
          <t xml:space="preserve">HP:
</t>
        </r>
      </text>
    </comment>
  </commentList>
</comments>
</file>

<file path=xl/sharedStrings.xml><?xml version="1.0" encoding="utf-8"?>
<sst xmlns="http://schemas.openxmlformats.org/spreadsheetml/2006/main" count="1237" uniqueCount="904">
  <si>
    <t xml:space="preserve">LICENCE PROFESSIONNELLE 2014-2015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</si>
  <si>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SCIENCE AGRICOLE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</si>
  <si>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GESTION DE L'ENVIRONNEMENT</t>
    </r>
  </si>
  <si>
    <t xml:space="preserve">1ère Année</t>
  </si>
  <si>
    <t xml:space="preserve">N°</t>
  </si>
  <si>
    <t xml:space="preserve">NOM  ET  PRENOMS</t>
  </si>
  <si>
    <t xml:space="preserve">MONT.TOTAL</t>
  </si>
  <si>
    <t xml:space="preserve">MONT.PAYE</t>
  </si>
  <si>
    <t xml:space="preserve">MONT.DÜ</t>
  </si>
  <si>
    <t xml:space="preserve">ADAMOU I. Badarou</t>
  </si>
  <si>
    <t xml:space="preserve">AGBOTON J. Noëlie</t>
  </si>
  <si>
    <t xml:space="preserve">AGOSSOUKPE Mahugnon Pièrre</t>
  </si>
  <si>
    <t xml:space="preserve">ALASSANE Sahadou</t>
  </si>
  <si>
    <t xml:space="preserve">BAGNAN Ahmed Habib</t>
  </si>
  <si>
    <t xml:space="preserve">BONI I. Landry</t>
  </si>
  <si>
    <t xml:space="preserve">DONOU Hermann Frédéric</t>
  </si>
  <si>
    <t xml:space="preserve">HOUNKPATIN H. Torrentale Salva A.</t>
  </si>
  <si>
    <t xml:space="preserve">LAOUROU O. Jean</t>
  </si>
  <si>
    <t xml:space="preserve">LOKOSSI Franck</t>
  </si>
  <si>
    <t xml:space="preserve">SOSSOU Augustin Romain</t>
  </si>
  <si>
    <t xml:space="preserve">YACOUBOU Sakiratou</t>
  </si>
  <si>
    <t xml:space="preserve">BALANCE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</si>
  <si>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VEGETALE</t>
    </r>
  </si>
  <si>
    <t xml:space="preserve">ABDOULAYE MAMA Eliassou</t>
  </si>
  <si>
    <t xml:space="preserve">ADIBA D. Clément</t>
  </si>
  <si>
    <t xml:space="preserve">AFFO ADAM Abdoul Hakim</t>
  </si>
  <si>
    <t xml:space="preserve">AGBOTON Abigail</t>
  </si>
  <si>
    <t xml:space="preserve">AGBOTOME K. Bertin</t>
  </si>
  <si>
    <t xml:space="preserve">ALIDOU BIAO Affoussatou</t>
  </si>
  <si>
    <t xml:space="preserve">AMOUSSOU Augustine</t>
  </si>
  <si>
    <t xml:space="preserve">ARAYE Ifèdé Eric</t>
  </si>
  <si>
    <t xml:space="preserve">ASSANI Yazid</t>
  </si>
  <si>
    <t xml:space="preserve">BADE A. Hippolyte</t>
  </si>
  <si>
    <t xml:space="preserve">BAH DANMON Alimi</t>
  </si>
  <si>
    <t xml:space="preserve">BAPARAPE Saleck</t>
  </si>
  <si>
    <t xml:space="preserve">BIONAN Sanni Kousséni</t>
  </si>
  <si>
    <t xml:space="preserve">BLENON Thomas </t>
  </si>
  <si>
    <t xml:space="preserve">CHABI Cacabo</t>
  </si>
  <si>
    <t xml:space="preserve">CHABI O. A. Régine</t>
  </si>
  <si>
    <t xml:space="preserve">DESSOUASSI A. G. Bibiane</t>
  </si>
  <si>
    <t xml:space="preserve">DJAGLO G. Ella</t>
  </si>
  <si>
    <t xml:space="preserve">FAGBEDJI D. Pierre</t>
  </si>
  <si>
    <t xml:space="preserve">FANOU Y. Rodolphe</t>
  </si>
  <si>
    <t xml:space="preserve">GAWE Wilfrief</t>
  </si>
  <si>
    <t xml:space="preserve">GBENONCHI Adelphe</t>
  </si>
  <si>
    <t xml:space="preserve">GNAMMI Y. Dieu Donné</t>
  </si>
  <si>
    <t xml:space="preserve">GNONLONFOUN E. Valentin</t>
  </si>
  <si>
    <t xml:space="preserve">GOUNOU Gérard</t>
  </si>
  <si>
    <t xml:space="preserve">HESSOU M. C. Samson</t>
  </si>
  <si>
    <t xml:space="preserve">HOUDE Gratien</t>
  </si>
  <si>
    <t xml:space="preserve">ISSA Hasmi</t>
  </si>
  <si>
    <t xml:space="preserve">ISSIFOU Oumar</t>
  </si>
  <si>
    <t xml:space="preserve">KENALI B. Togbédji</t>
  </si>
  <si>
    <t xml:space="preserve">KOGBEDJI Dieu Donné Y.</t>
  </si>
  <si>
    <t xml:space="preserve">KOGUI GOUNOU Sabi Koto</t>
  </si>
  <si>
    <t xml:space="preserve">KPOGBOZAN A. G. Odile</t>
  </si>
  <si>
    <t xml:space="preserve">LISSANON T. Gabriel</t>
  </si>
  <si>
    <t xml:space="preserve">LOKOSSOU A. Christine</t>
  </si>
  <si>
    <t xml:space="preserve">MAMAN CHABI A. Razack</t>
  </si>
  <si>
    <t xml:space="preserve">NAGOBA S. A. Geofrroy</t>
  </si>
  <si>
    <t xml:space="preserve">NONKOUDJE Assogba</t>
  </si>
  <si>
    <t xml:space="preserve">OROU MERE Y. Waliou</t>
  </si>
  <si>
    <t xml:space="preserve">PEDE W. Sétan</t>
  </si>
  <si>
    <t xml:space="preserve">RAMANOU N. H. Epiphane</t>
  </si>
  <si>
    <t xml:space="preserve">SEGBADJO L. Stanislas</t>
  </si>
  <si>
    <t xml:space="preserve">TIDJANI Clémence T. M.</t>
  </si>
  <si>
    <t xml:space="preserve">YACOUBOU Amidou</t>
  </si>
  <si>
    <t xml:space="preserve">ZATO SALIFOU Nassirou</t>
  </si>
  <si>
    <t xml:space="preserve">ZOHOUNGBOGBO L. C. Silvio</t>
  </si>
  <si>
    <t xml:space="preserve">ZOROBOURAGUI Loukmane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</si>
  <si>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CIVIL</t>
    </r>
  </si>
  <si>
    <t xml:space="preserve">AHIDE Z. Théophile</t>
  </si>
  <si>
    <t xml:space="preserve">AHOUANGANSI Florentin</t>
  </si>
  <si>
    <t xml:space="preserve">AKOFFODJI C. Rostant</t>
  </si>
  <si>
    <t xml:space="preserve">ABD</t>
  </si>
  <si>
    <t xml:space="preserve">ALASSI K. Ghislain</t>
  </si>
  <si>
    <t xml:space="preserve">AMOUSSOU K. Charles</t>
  </si>
  <si>
    <t xml:space="preserve">AYAKPON DON Ulrich</t>
  </si>
  <si>
    <t xml:space="preserve">AVENON Constant</t>
  </si>
  <si>
    <t xml:space="preserve">AYAKPON M. G. Aesène</t>
  </si>
  <si>
    <t xml:space="preserve">AZELOKONON S. O. Amour</t>
  </si>
  <si>
    <t xml:space="preserve">DEGLA T. Martial</t>
  </si>
  <si>
    <t xml:space="preserve">DJIDAHO Moïse</t>
  </si>
  <si>
    <t xml:space="preserve">EDAH Coffi Rose ( redoubl)</t>
  </si>
  <si>
    <t xml:space="preserve">GANDOGO KPATINDE Kévin K.</t>
  </si>
  <si>
    <t xml:space="preserve">GBAHANYASSI Yves Davy</t>
  </si>
  <si>
    <t xml:space="preserve">HANGBE Yvon</t>
  </si>
  <si>
    <t xml:space="preserve">HEDOKINGBE Juste S.</t>
  </si>
  <si>
    <t xml:space="preserve">HOUINSA Dossa Christian</t>
  </si>
  <si>
    <t xml:space="preserve">HOUNSA Sikirou ( redoubl)</t>
  </si>
  <si>
    <t xml:space="preserve">HOUNSOUVI Z. D. Adolphe</t>
  </si>
  <si>
    <t xml:space="preserve">KITI K. C. Claude</t>
  </si>
  <si>
    <t xml:space="preserve">KOMBETO M. Florent (redoubl)</t>
  </si>
  <si>
    <t xml:space="preserve">KPANOU S. Florent</t>
  </si>
  <si>
    <t xml:space="preserve">LOHENTO Donald</t>
  </si>
  <si>
    <t xml:space="preserve">NAMIMA Claver T.</t>
  </si>
  <si>
    <t xml:space="preserve">OROU KOBORO Bachirou</t>
  </si>
  <si>
    <t xml:space="preserve">OUANTA Philippe</t>
  </si>
  <si>
    <t xml:space="preserve">SOTON A. Aimé (redoubl)</t>
  </si>
  <si>
    <t xml:space="preserve">TCHARO Orou (redoubl)</t>
  </si>
  <si>
    <t xml:space="preserve">ZANNOU S. O. Bertrand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</si>
  <si>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ANIMAL</t>
    </r>
  </si>
  <si>
    <t xml:space="preserve">ABOUI Geraud Joanexe</t>
  </si>
  <si>
    <t xml:space="preserve">ADAM Amidou</t>
  </si>
  <si>
    <t xml:space="preserve">AGOLIGAN M. Romaric</t>
  </si>
  <si>
    <t xml:space="preserve">BIO ZATO Lafia</t>
  </si>
  <si>
    <t xml:space="preserve">DJIKINHEDO Elisabeth</t>
  </si>
  <si>
    <t xml:space="preserve">DJITRINOU Marinhos</t>
  </si>
  <si>
    <t xml:space="preserve">GNIMAVO Edwige</t>
  </si>
  <si>
    <t xml:space="preserve">HOUNYOVI Y. Rolande Estelle</t>
  </si>
  <si>
    <t xml:space="preserve">KOBA A. O. Franck</t>
  </si>
  <si>
    <t xml:space="preserve">LAWANI T. Rafiou</t>
  </si>
  <si>
    <t xml:space="preserve">KASSA T. Justin</t>
  </si>
  <si>
    <t xml:space="preserve">GUERRA IBRAHIM Aboubakari</t>
  </si>
  <si>
    <t xml:space="preserve">PEDRO A. Safal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</si>
  <si>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ELECTRIQUE</t>
    </r>
  </si>
  <si>
    <t xml:space="preserve">AHOMLANTO Théophane</t>
  </si>
  <si>
    <t xml:space="preserve">AHONOUHOUN Médard</t>
  </si>
  <si>
    <t xml:space="preserve">AISSOUN ADODIGBE Francis Vivien</t>
  </si>
  <si>
    <t xml:space="preserve">ANIAMBOSSOU Coffi Dénis</t>
  </si>
  <si>
    <t xml:space="preserve">BIO Mantani</t>
  </si>
  <si>
    <t xml:space="preserve">D'ALMEIDA Armand D. Kouassi</t>
  </si>
  <si>
    <t xml:space="preserve">DAVODOUN T. Constantin</t>
  </si>
  <si>
    <t xml:space="preserve">DEGILA Gisèle Francine Alice G.</t>
  </si>
  <si>
    <t xml:space="preserve">GUEDOU Pascal Bernadin</t>
  </si>
  <si>
    <t xml:space="preserve">HOUINDO Guy S.</t>
  </si>
  <si>
    <t xml:space="preserve">HOUNDJO E. C. Cyrille</t>
  </si>
  <si>
    <t xml:space="preserve">HOUNGBADJI Christian Eunis E. T.</t>
  </si>
  <si>
    <t xml:space="preserve">HOUNWANOU ALODJI C. Mathias</t>
  </si>
  <si>
    <t xml:space="preserve">KANGNI I. Jacob F.</t>
  </si>
  <si>
    <t xml:space="preserve">KINKPE Gildas Didier K. V.</t>
  </si>
  <si>
    <t xml:space="preserve">KITIHOUN Michel</t>
  </si>
  <si>
    <t xml:space="preserve">KOTTIN Stanislas G.</t>
  </si>
  <si>
    <t xml:space="preserve">SAÏZONOU Narcisse S.</t>
  </si>
  <si>
    <t xml:space="preserve">SESSOU F. I. Rolande</t>
  </si>
  <si>
    <t xml:space="preserve">SOUNKOTO Vincent Florent</t>
  </si>
  <si>
    <t xml:space="preserve">SOSSOU S. Francis</t>
  </si>
  <si>
    <t xml:space="preserve">TOFFODJI Blaise</t>
  </si>
  <si>
    <t xml:space="preserve">HOUNDETON Joly Gabin</t>
  </si>
  <si>
    <t xml:space="preserve">TOGBE William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</si>
  <si>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HYGIENE ET CONTRÔLE DE QUALITE DES DENREES ALIMENTAIRES</t>
    </r>
  </si>
  <si>
    <t xml:space="preserve">ACHOUKE W. Flora O.</t>
  </si>
  <si>
    <t xml:space="preserve">AGBATCHI Yvette O.A.</t>
  </si>
  <si>
    <t xml:space="preserve">AGOÏNON C. Elisée</t>
  </si>
  <si>
    <t xml:space="preserve">ALLOGNON Laurent</t>
  </si>
  <si>
    <t xml:space="preserve">ALLOGNON René Y. Enassouwan</t>
  </si>
  <si>
    <t xml:space="preserve">ASSANI Mohamed</t>
  </si>
  <si>
    <t xml:space="preserve">BAOUA SADOU Zakiatou</t>
  </si>
  <si>
    <t xml:space="preserve">DEBLEO L. Sylvère</t>
  </si>
  <si>
    <t xml:space="preserve">FAGNISSE A. Fernand</t>
  </si>
  <si>
    <t xml:space="preserve">HOUNTONDJI Nicolas</t>
  </si>
  <si>
    <t xml:space="preserve">KOSSA Juliette</t>
  </si>
  <si>
    <t xml:space="preserve">LEGUEDE K. Jules</t>
  </si>
  <si>
    <t xml:space="preserve">MIGNANWANDE OUSSOU Anselme M.</t>
  </si>
  <si>
    <t xml:space="preserve">MONLIQUI D. Colette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</si>
  <si>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ANALYSES BIOMEDICALES</t>
    </r>
  </si>
  <si>
    <t xml:space="preserve">ADJASSA A. Ruth P.</t>
  </si>
  <si>
    <t xml:space="preserve">AGBANGNAN Moïse M.</t>
  </si>
  <si>
    <t xml:space="preserve">AMETEPE Yaovi Fabius</t>
  </si>
  <si>
    <t xml:space="preserve">AMOUZOUVI K. Elisabeth</t>
  </si>
  <si>
    <t xml:space="preserve">ASSOGBA A. Sandrine</t>
  </si>
  <si>
    <t xml:space="preserve">ASSOUWAN N. Alice</t>
  </si>
  <si>
    <t xml:space="preserve">ATCHOGNON Thérèse</t>
  </si>
  <si>
    <t xml:space="preserve">ATOESSI Laurence</t>
  </si>
  <si>
    <t xml:space="preserve">BAGAN G. Benjamin</t>
  </si>
  <si>
    <t xml:space="preserve">BOKO K Prisca Sena</t>
  </si>
  <si>
    <t xml:space="preserve">BOKOSSA Xavier Dumas Felix.</t>
  </si>
  <si>
    <t xml:space="preserve">CHALLA Anasthasie</t>
  </si>
  <si>
    <t xml:space="preserve">DAZOGBO Stanislas N.</t>
  </si>
  <si>
    <t xml:space="preserve">DEDO A. Sandrine</t>
  </si>
  <si>
    <t xml:space="preserve">DOTOU Assou Pamphile</t>
  </si>
  <si>
    <t xml:space="preserve">EDAH Pauline</t>
  </si>
  <si>
    <t xml:space="preserve">GANYE HESSOU A. Blandine</t>
  </si>
  <si>
    <t xml:space="preserve">HOUNSOU E. Solange</t>
  </si>
  <si>
    <t xml:space="preserve">HOUSSOU M. Marcelle</t>
  </si>
  <si>
    <t xml:space="preserve">KOUTON Blandine M.</t>
  </si>
  <si>
    <t xml:space="preserve">KPEDEHOUNSI C. Alain</t>
  </si>
  <si>
    <t xml:space="preserve">MARTINS Chantal Pascaline</t>
  </si>
  <si>
    <t xml:space="preserve">SAMSON ALBERIC T. Wilfrid</t>
  </si>
  <si>
    <t xml:space="preserve">SEGUE B. Viviane</t>
  </si>
  <si>
    <t xml:space="preserve">SOSSOUKPE AMEDE Priscilla Gisele</t>
  </si>
  <si>
    <t xml:space="preserve">TCHOBO Hervé Yves M. O.</t>
  </si>
  <si>
    <t xml:space="preserve">TUYABA T. Valère</t>
  </si>
  <si>
    <t xml:space="preserve">VODOUNOU M. Arsene Maxime</t>
  </si>
  <si>
    <t xml:space="preserve">WHANNOU Y. Germaine Justine</t>
  </si>
  <si>
    <t xml:space="preserve">YACOUBOU Z</t>
  </si>
  <si>
    <t xml:space="preserve">ZOSSOU S. B. Arnaud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</si>
  <si>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BIO HYGIENNE ET SECURITE SANITAIRE</t>
    </r>
  </si>
  <si>
    <t xml:space="preserve">AGOSSOU N. Prosper</t>
  </si>
  <si>
    <t xml:space="preserve">AKIBOU AKANNI Iliyas</t>
  </si>
  <si>
    <t xml:space="preserve">ARO K. Isabelle</t>
  </si>
  <si>
    <t xml:space="preserve">ASSANKPON Emeline Chantal P.</t>
  </si>
  <si>
    <t xml:space="preserve">ASSOCLE Henriette M.</t>
  </si>
  <si>
    <t xml:space="preserve">AVOHOU Mathieu</t>
  </si>
  <si>
    <t xml:space="preserve">BABADJIHOU S. Françoise F.</t>
  </si>
  <si>
    <t xml:space="preserve">BIO MORA Kassim</t>
  </si>
  <si>
    <t xml:space="preserve">BOKO A. Edouard</t>
  </si>
  <si>
    <t xml:space="preserve">CAPO CHICHI Edouard Norbert</t>
  </si>
  <si>
    <t xml:space="preserve">DJEHOUNKPETE L. Paul</t>
  </si>
  <si>
    <t xml:space="preserve">FATON H. Clément</t>
  </si>
  <si>
    <t xml:space="preserve">GLELE-MELE G.T.Franck Comlan</t>
  </si>
  <si>
    <t xml:space="preserve">HOSSOU Noukpo</t>
  </si>
  <si>
    <t xml:space="preserve">HOUNSOU Ghislaine Sylvie S.</t>
  </si>
  <si>
    <t xml:space="preserve">NOUAGOVI Firmine E.</t>
  </si>
  <si>
    <t xml:space="preserve">OKE S. Olivier</t>
  </si>
  <si>
    <t xml:space="preserve">SEFOUNON Richard</t>
  </si>
  <si>
    <t xml:space="preserve">TAMEGNON Bertille</t>
  </si>
  <si>
    <t xml:space="preserve">TOKPANOU K. Hubert Carbel</t>
  </si>
  <si>
    <t xml:space="preserve">TOVIDE Dona Alphonsine</t>
  </si>
  <si>
    <t xml:space="preserve">ZINSOU Michel</t>
  </si>
  <si>
    <t xml:space="preserve">ZOGBLATIN Celestin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</si>
  <si>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GEOMETRE TOPOGRAPHE</t>
    </r>
  </si>
  <si>
    <t xml:space="preserve">ALITAKOUN B.D. Emmanuel</t>
  </si>
  <si>
    <t xml:space="preserve">ANANI Charles Lebon</t>
  </si>
  <si>
    <t xml:space="preserve">HOUANKOUN O.C. Emmanuel</t>
  </si>
  <si>
    <t xml:space="preserve">HOUINSA Dominique A.M.</t>
  </si>
  <si>
    <t xml:space="preserve">KOUCHOELO N. Tobias</t>
  </si>
  <si>
    <t xml:space="preserve">LANIYINOU Robert</t>
  </si>
  <si>
    <t xml:space="preserve">SEDJRO Gérard</t>
  </si>
  <si>
    <t xml:space="preserve">SETOSSI Severin</t>
  </si>
  <si>
    <t xml:space="preserve">2ème Année</t>
  </si>
  <si>
    <t xml:space="preserve">AGBATO Gouvidé Aurel G.</t>
  </si>
  <si>
    <t xml:space="preserve">AGONKPO Arnaud Boris</t>
  </si>
  <si>
    <t xml:space="preserve">AHOKIIN Codjo Bertin</t>
  </si>
  <si>
    <t xml:space="preserve">ASSOUMANOU IMOROU AbdeL A. A.</t>
  </si>
  <si>
    <t xml:space="preserve">AYINON Sètondé Mireille</t>
  </si>
  <si>
    <t xml:space="preserve">BIAO Dieudonné Eloïme</t>
  </si>
  <si>
    <t xml:space="preserve">DJINAHIN Felicien</t>
  </si>
  <si>
    <t xml:space="preserve">DJOUBALI Jeannot</t>
  </si>
  <si>
    <t xml:space="preserve">ENDEMI MORAT SERO Taïrou R.</t>
  </si>
  <si>
    <t xml:space="preserve">KASSA FANOUVI C. Benoit</t>
  </si>
  <si>
    <t xml:space="preserve">KASSIN Akochayé Ibitoyé Barthélémy</t>
  </si>
  <si>
    <t xml:space="preserve">SERO Abdel-Fadel (redoubl)</t>
  </si>
  <si>
    <t xml:space="preserve">SOSSOUHOUNTO Ibrahima Satarou</t>
  </si>
  <si>
    <t xml:space="preserve">ZALE Sabi Stasnislas</t>
  </si>
  <si>
    <t xml:space="preserve">ZAMMASSOU Y. Prudence</t>
  </si>
  <si>
    <t xml:space="preserve">3ème Année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</si>
  <si>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GESTION DE L'ENVIRONNEMENT</t>
    </r>
  </si>
  <si>
    <t xml:space="preserve">NOM ET PRENOMS</t>
  </si>
  <si>
    <t xml:space="preserve">ABEL  SERIKI Yaî Dick Georges</t>
  </si>
  <si>
    <t xml:space="preserve">ADEOSSI Job</t>
  </si>
  <si>
    <t xml:space="preserve">AGBENGA Gbinsa Moussa</t>
  </si>
  <si>
    <t xml:space="preserve">AHOUANGAN Montcho Raoul</t>
  </si>
  <si>
    <t xml:space="preserve">AHOUANSE Mèvognon Marcel</t>
  </si>
  <si>
    <t xml:space="preserve">ALIHOU - ABOU Ibrahim</t>
  </si>
  <si>
    <t xml:space="preserve">AMADOU SANNI Alidou</t>
  </si>
  <si>
    <t xml:space="preserve">ASSANI Abodounrin Roger Ayouba</t>
  </si>
  <si>
    <t xml:space="preserve">ATANNON Arnaud Dieudonné Sonagnon</t>
  </si>
  <si>
    <t xml:space="preserve">AVOHA Honoré</t>
  </si>
  <si>
    <t xml:space="preserve">BIO ADAM Dado Souaîba</t>
  </si>
  <si>
    <t xml:space="preserve">BONSE Abdel - Aziz</t>
  </si>
  <si>
    <t xml:space="preserve">CAKPO Alfred Jeannot Codjo</t>
  </si>
  <si>
    <t xml:space="preserve">DEGUENONVO Fréjust Ulrich Yélian M.</t>
  </si>
  <si>
    <t xml:space="preserve">DOSSOU Manassé</t>
  </si>
  <si>
    <t xml:space="preserve">GANZO Coovi Fabrice</t>
  </si>
  <si>
    <t xml:space="preserve">HOUNDEGLA Sètchémè Anges A.</t>
  </si>
  <si>
    <t xml:space="preserve">HOUNGBO Laz</t>
  </si>
  <si>
    <t xml:space="preserve">KINIGBE Charles Galbert</t>
  </si>
  <si>
    <t xml:space="preserve">KOLANI N. Archille (redoubl)</t>
  </si>
  <si>
    <t xml:space="preserve">KOUMASSA Akogbé Lauriano M. K.</t>
  </si>
  <si>
    <t xml:space="preserve">lokossou Edjrossè Gladys</t>
  </si>
  <si>
    <t xml:space="preserve">METO Cocou Frédéric</t>
  </si>
  <si>
    <t xml:space="preserve">SAKA SEIDOU Sayouti</t>
  </si>
  <si>
    <t xml:space="preserve">SEHONOU Aimé</t>
  </si>
  <si>
    <t xml:space="preserve">SOULE BONI Adidjatou</t>
  </si>
  <si>
    <t xml:space="preserve">LICENCE PROFESSIONNELLE 2013-2014</t>
  </si>
  <si>
    <t xml:space="preserve">4ème Année</t>
  </si>
  <si>
    <t xml:space="preserve">ADEDODJA Adéchinan Prudence</t>
  </si>
  <si>
    <t xml:space="preserve">AGBASSOU Coffi Dominique</t>
  </si>
  <si>
    <t xml:space="preserve">AGLINGO Comlan Cyriaque</t>
  </si>
  <si>
    <t xml:space="preserve">AÏTCHEOU Yénanzé Pascal</t>
  </si>
  <si>
    <t xml:space="preserve">AKAKPOVI Agossou Jacques</t>
  </si>
  <si>
    <t xml:space="preserve">ALLOGNON Boniface</t>
  </si>
  <si>
    <t xml:space="preserve">ALLOHOUTADE Kinhodé Paul</t>
  </si>
  <si>
    <t xml:space="preserve">ARIGBO Ellé Raoul</t>
  </si>
  <si>
    <t xml:space="preserve">ARRE Hubert</t>
  </si>
  <si>
    <t xml:space="preserve">AZIAGLO Renoeud Arcadius</t>
  </si>
  <si>
    <t xml:space="preserve">BANI SAMARI Amadou</t>
  </si>
  <si>
    <t xml:space="preserve">BIAOU Joseph Yves</t>
  </si>
  <si>
    <t xml:space="preserve">DAKE Victor</t>
  </si>
  <si>
    <t xml:space="preserve">DANSOU Tanlodjou Antonin</t>
  </si>
  <si>
    <t xml:space="preserve">DEGUENON  Eder Segla</t>
  </si>
  <si>
    <t xml:space="preserve">ENDEMI MORAT  Rockayatou</t>
  </si>
  <si>
    <t xml:space="preserve">HESSOU Coffi Albert</t>
  </si>
  <si>
    <t xml:space="preserve">IBRAHIMA Moustafa</t>
  </si>
  <si>
    <t xml:space="preserve">ISSA Alassane</t>
  </si>
  <si>
    <t xml:space="preserve">KEKE Mahudo Marcel</t>
  </si>
  <si>
    <t xml:space="preserve">KOLANI NAMBIMA Archille</t>
  </si>
  <si>
    <t xml:space="preserve">LEGBAGAH Houétchékpo Sèna</t>
  </si>
  <si>
    <t xml:space="preserve">LOMPO Sanni</t>
  </si>
  <si>
    <t xml:space="preserve">MALENOU Nestor</t>
  </si>
  <si>
    <t xml:space="preserve">MEDEHOU Vigninou Gérard Mechelga</t>
  </si>
  <si>
    <t xml:space="preserve">MEGNIKPA  Frésus Sonagnon Lionel</t>
  </si>
  <si>
    <t xml:space="preserve">MIKINHOUESSE N. Henri-Joël</t>
  </si>
  <si>
    <t xml:space="preserve">OBOSSOU Agniwo Eugene</t>
  </si>
  <si>
    <t xml:space="preserve">OKE Cella Mireille</t>
  </si>
  <si>
    <t xml:space="preserve">SAWE Aboudou Wassiou</t>
  </si>
  <si>
    <t xml:space="preserve">YAOVI Enagnon Arsene Euloge</t>
  </si>
  <si>
    <t xml:space="preserve">ZENONTIN H Franck  S</t>
  </si>
  <si>
    <t xml:space="preserve">ZOBLIKPO Missihoun Romuald</t>
  </si>
  <si>
    <t xml:space="preserve">ZODIBLA Raymond</t>
  </si>
  <si>
    <t xml:space="preserve">AGASSOUNON Eyonkpon Samson M.</t>
  </si>
  <si>
    <t xml:space="preserve">AGOUGOU Ehuzu Kossi Ghislain</t>
  </si>
  <si>
    <t xml:space="preserve">AHONONGA Noël Comlan</t>
  </si>
  <si>
    <t xml:space="preserve">AMOUSSOUGA Sêdjro Arnaud Gildas</t>
  </si>
  <si>
    <t xml:space="preserve">ASSAN AOUDOU Abdoudou Malick</t>
  </si>
  <si>
    <t xml:space="preserve">AVOGBE Germain</t>
  </si>
  <si>
    <t xml:space="preserve">BAGRI B. Christ</t>
  </si>
  <si>
    <t xml:space="preserve">BOUKARI S. Samoussiyatou (redoubl)</t>
  </si>
  <si>
    <t xml:space="preserve">DANSOU Abdel Bachirou (redoubl)</t>
  </si>
  <si>
    <t xml:space="preserve">DAVOU Géofroid Gérard Mathieu</t>
  </si>
  <si>
    <t xml:space="preserve">DOKOTO SAKA Gniré Zouhératou</t>
  </si>
  <si>
    <t xml:space="preserve">DOVONON Adonis Romaric N.</t>
  </si>
  <si>
    <t xml:space="preserve">FELIHO Bonaventure Sèdjro</t>
  </si>
  <si>
    <t xml:space="preserve">GAHOUE M. Moudjibou (redoubl)</t>
  </si>
  <si>
    <t xml:space="preserve">GUEDOU Imelle</t>
  </si>
  <si>
    <t xml:space="preserve">GUERRA Amina</t>
  </si>
  <si>
    <t xml:space="preserve">HESSA Evarisre</t>
  </si>
  <si>
    <t xml:space="preserve">MADJIDE Akuavi Odile</t>
  </si>
  <si>
    <t xml:space="preserve">VITODIGNI Adjimon Ambroise</t>
  </si>
  <si>
    <t xml:space="preserve">ZALE Vilonnou Lauriano</t>
  </si>
  <si>
    <t xml:space="preserve">ZIME Safiatou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</si>
  <si>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VEGETALE</t>
    </r>
  </si>
  <si>
    <t xml:space="preserve">ADANLAO Marthe</t>
  </si>
  <si>
    <t xml:space="preserve">ADJAOKE Laïfoya Bonaventure</t>
  </si>
  <si>
    <t xml:space="preserve">ADJOVI A.M. Dorodès (redoubl)</t>
  </si>
  <si>
    <t xml:space="preserve">AGBADJI Fidèle</t>
  </si>
  <si>
    <t xml:space="preserve">AGBESSI Dossou Bertrand</t>
  </si>
  <si>
    <t xml:space="preserve">AGNONDO TOSSA Mèmèvègni jérémie</t>
  </si>
  <si>
    <t xml:space="preserve">AGUENOU Gilles</t>
  </si>
  <si>
    <t xml:space="preserve">ALFA MAMA Mouhibatou</t>
  </si>
  <si>
    <t xml:space="preserve">ASSOU Amètognonnou Claude Martin</t>
  </si>
  <si>
    <t xml:space="preserve">BADOU Parfait</t>
  </si>
  <si>
    <t xml:space="preserve">BANDIRI Orou Gani Darius</t>
  </si>
  <si>
    <t xml:space="preserve">BEKOU Ironou Romuald</t>
  </si>
  <si>
    <t xml:space="preserve">BISSIRIOU Bassitou Olatoundji A.</t>
  </si>
  <si>
    <t xml:space="preserve">DANGOU Mouniratou (redoubl)</t>
  </si>
  <si>
    <t xml:space="preserve">DRAMANE Azimou</t>
  </si>
  <si>
    <t xml:space="preserve">EDAH Frédéric (redoubl)</t>
  </si>
  <si>
    <t xml:space="preserve">GNAN BAMOI Emmanuel</t>
  </si>
  <si>
    <t xml:space="preserve">HOUNKPE Arnaud Ghislain Mahussi</t>
  </si>
  <si>
    <t xml:space="preserve">KANOUSSOU Malossé Léonel</t>
  </si>
  <si>
    <t xml:space="preserve">KENOU A. Jérodé</t>
  </si>
  <si>
    <t xml:space="preserve">KIAROU Pascal</t>
  </si>
  <si>
    <t xml:space="preserve">KINDJINOU Sessinou Rollant</t>
  </si>
  <si>
    <t xml:space="preserve">KORA YOROU Doué</t>
  </si>
  <si>
    <t xml:space="preserve">MAYABA B. Richard (redoubl)</t>
  </si>
  <si>
    <t xml:space="preserve">MEDJOGBE Fidèle Chimène</t>
  </si>
  <si>
    <t xml:space="preserve">MIKPON Yessito Blandine</t>
  </si>
  <si>
    <t xml:space="preserve">MOUTOUAMA Dorcasse Yébokô</t>
  </si>
  <si>
    <t xml:space="preserve">OUSMANE IBRAHIMA Souléîmane</t>
  </si>
  <si>
    <t xml:space="preserve">SALAMI Latifou</t>
  </si>
  <si>
    <t xml:space="preserve">SOMASSE Mèlonou Eli Rodrigue</t>
  </si>
  <si>
    <t xml:space="preserve">TENGUE Daniel Djidjoho</t>
  </si>
  <si>
    <t xml:space="preserve">ABALO Kouassi José Vivan</t>
  </si>
  <si>
    <t xml:space="preserve">ADANDONON AGBETO Victorin</t>
  </si>
  <si>
    <t xml:space="preserve">ADIMI Oladouni Gédéon</t>
  </si>
  <si>
    <t xml:space="preserve">ALLOGNI Patrice Stéphane</t>
  </si>
  <si>
    <t xml:space="preserve">ATCHOHOUNDO Bernard</t>
  </si>
  <si>
    <t xml:space="preserve">BAH BOCCO GOUSSEYO Abdel Aziz</t>
  </si>
  <si>
    <t xml:space="preserve">BAKARY Ludwig Faîçal Bakiye</t>
  </si>
  <si>
    <t xml:space="preserve">BIAO Ayowolé Akossiwa Bénédicta</t>
  </si>
  <si>
    <t xml:space="preserve">CHAFFA Adénikè Honorine</t>
  </si>
  <si>
    <t xml:space="preserve">DAGBETO Dossa Samuel</t>
  </si>
  <si>
    <t xml:space="preserve">DANNON Finagnon Oscar</t>
  </si>
  <si>
    <t xml:space="preserve">DJIKPESSE Cossi Raoul Wilfrid</t>
  </si>
  <si>
    <t xml:space="preserve">EZIN Anne Marie</t>
  </si>
  <si>
    <t xml:space="preserve">GBEMAVO Z. Florent</t>
  </si>
  <si>
    <t xml:space="preserve">GBEMAVO Edouard</t>
  </si>
  <si>
    <t xml:space="preserve">GBEMENOU Elidja Tachégnon Romaric</t>
  </si>
  <si>
    <t xml:space="preserve">GUIDIGAN Casimir Olivier Dèfodji</t>
  </si>
  <si>
    <t xml:space="preserve">HADEKON Ascension Sèkloka </t>
  </si>
  <si>
    <t xml:space="preserve">KOTOLI Nadjahath Médégnonmi</t>
  </si>
  <si>
    <t xml:space="preserve">KOUAGOU Agnes</t>
  </si>
  <si>
    <t xml:space="preserve">KOUDJANGNIHOUE Judith</t>
  </si>
  <si>
    <t xml:space="preserve">MOUMOUNI BELLO Magidou</t>
  </si>
  <si>
    <t xml:space="preserve">MOUSSA Salem</t>
  </si>
  <si>
    <t xml:space="preserve">MOUSSA Sanni Romain</t>
  </si>
  <si>
    <t xml:space="preserve">N'TCHA Kouagou Vivien</t>
  </si>
  <si>
    <t xml:space="preserve">NOUATIN B. Ménadèle Fréjus Raoul</t>
  </si>
  <si>
    <t xml:space="preserve">OUDO M. Raymond</t>
  </si>
  <si>
    <t xml:space="preserve">SABI DESSIGUI Gnon Gani</t>
  </si>
  <si>
    <t xml:space="preserve">SAKI Lapouassa Gauthier</t>
  </si>
  <si>
    <t xml:space="preserve"> </t>
  </si>
  <si>
    <t xml:space="preserve">SALAMI OSSENI Soulé</t>
  </si>
  <si>
    <t xml:space="preserve">SEWANOU Jésuwamin Fifonsi Pascaline</t>
  </si>
  <si>
    <t xml:space="preserve">SIMBIA Cristophe Okpati</t>
  </si>
  <si>
    <t xml:space="preserve">MONTCHO Bignon Yvette Caroline</t>
  </si>
  <si>
    <t xml:space="preserve">WANTCHEKON M. Lucresse Innocencia</t>
  </si>
  <si>
    <t xml:space="preserve">SOULE Mohamadou</t>
  </si>
  <si>
    <t xml:space="preserve">ADANDE Sourou Gérard</t>
  </si>
  <si>
    <t xml:space="preserve">ADITI H. Gaël (redoubl)</t>
  </si>
  <si>
    <t xml:space="preserve">AGBANA Kossi Augustin</t>
  </si>
  <si>
    <t xml:space="preserve">AGBOKONI C. Julien</t>
  </si>
  <si>
    <t xml:space="preserve">ALITONOU B. Arcadius Luc</t>
  </si>
  <si>
    <t xml:space="preserve">ALAVO A. Gérard (redoubl)</t>
  </si>
  <si>
    <t xml:space="preserve">ASSOGBA Yvon</t>
  </si>
  <si>
    <t xml:space="preserve">BATOKO ISSAKA Issa</t>
  </si>
  <si>
    <t xml:space="preserve">BIAOU B. Rodrigue E. (redoubl)</t>
  </si>
  <si>
    <t xml:space="preserve">BINOÏ Vivien Mawounou</t>
  </si>
  <si>
    <t xml:space="preserve">CHABI SIDI W. Azedine</t>
  </si>
  <si>
    <t xml:space="preserve">COMLAN C. Virgile</t>
  </si>
  <si>
    <t xml:space="preserve">DANHOUEGNON Dègla Syvestre</t>
  </si>
  <si>
    <t xml:space="preserve">DANSI Paulin (redoubl)</t>
  </si>
  <si>
    <t xml:space="preserve">DJEDOHOUN Albert</t>
  </si>
  <si>
    <t xml:space="preserve">DOSSOU Théophile</t>
  </si>
  <si>
    <t xml:space="preserve">EZOUN Sunday (redoubl)</t>
  </si>
  <si>
    <t xml:space="preserve">GAMBA Abdel Wahidi</t>
  </si>
  <si>
    <t xml:space="preserve">GANGAN Félicien</t>
  </si>
  <si>
    <t xml:space="preserve">GNIMADI Sèmèvo Arsène Elie</t>
  </si>
  <si>
    <t xml:space="preserve">GODONOU E. Oscar</t>
  </si>
  <si>
    <t xml:space="preserve">abd</t>
  </si>
  <si>
    <t xml:space="preserve">GOUNOUDE Nontchégbèhin Hébert O.</t>
  </si>
  <si>
    <t xml:space="preserve">HOUEGBELO G. T. Felix</t>
  </si>
  <si>
    <t xml:space="preserve">LIKPO S. Alphonse Herman (redoubl)</t>
  </si>
  <si>
    <t xml:space="preserve">LISSASSI M. Achille E.</t>
  </si>
  <si>
    <t xml:space="preserve">MESSANH Aude Grégoire</t>
  </si>
  <si>
    <t xml:space="preserve">NICO Kadukpè Roméo</t>
  </si>
  <si>
    <t xml:space="preserve">OWO-ETCHO Bonê Firmine</t>
  </si>
  <si>
    <t xml:space="preserve">SETONDJI Tamègnon Mariano</t>
  </si>
  <si>
    <t xml:space="preserve">YEMEZIN Comlan François-Xavier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</si>
  <si>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CIVIL</t>
    </r>
  </si>
  <si>
    <t xml:space="preserve">ACHIMI Massaoudou Fèmi</t>
  </si>
  <si>
    <t xml:space="preserve">ADAM CHABI Dardaye Nonsou</t>
  </si>
  <si>
    <t xml:space="preserve">ADOKO Kami Renaud Magloire</t>
  </si>
  <si>
    <t xml:space="preserve">AGBOGNIHOUE Bidossessi Parfait</t>
  </si>
  <si>
    <t xml:space="preserve">AGBOHOUTO Edmond F. (redoubl)</t>
  </si>
  <si>
    <t xml:space="preserve">AGLOSSI Expédie Esékiel</t>
  </si>
  <si>
    <t xml:space="preserve">AHOUEDOKE Olouwafèmi Emmanuel</t>
  </si>
  <si>
    <t xml:space="preserve">ALLE Viannez Géraud Gabriel</t>
  </si>
  <si>
    <t xml:space="preserve">APITHY Serges (redoubl)</t>
  </si>
  <si>
    <t xml:space="preserve">AZONNAWE Monhéloki Enaboua</t>
  </si>
  <si>
    <t xml:space="preserve">BAGRI Euloge Slim</t>
  </si>
  <si>
    <t xml:space="preserve">CAKPO Antoine Raoul (redoubl)</t>
  </si>
  <si>
    <t xml:space="preserve">GANSE Codjo Wenceslas</t>
  </si>
  <si>
    <t xml:space="preserve">GBAGUIDA Martin</t>
  </si>
  <si>
    <t xml:space="preserve">GBAGUIDI T. Sosthène (redoubl)</t>
  </si>
  <si>
    <t xml:space="preserve">GOUASSANGNI Cohovi Hodonou Rémy</t>
  </si>
  <si>
    <t xml:space="preserve">GUEDOU Yélingnan Hifranc Oscar</t>
  </si>
  <si>
    <t xml:space="preserve">HADOMIHOU Sègnègnon Bienvenue</t>
  </si>
  <si>
    <t xml:space="preserve">HODONOU Agossou Arsène</t>
  </si>
  <si>
    <t xml:space="preserve">HOUESSOU ADINGBAN Théophile M.</t>
  </si>
  <si>
    <t xml:space="preserve">KEDE Amangbégnon Marc</t>
  </si>
  <si>
    <t xml:space="preserve">N'PO T. N'DAH Antoine</t>
  </si>
  <si>
    <t xml:space="preserve">TCHADJA Essotinah Romaric</t>
  </si>
  <si>
    <t xml:space="preserve">TOSSOU Emile</t>
  </si>
  <si>
    <t xml:space="preserve">VODOUNOU Emery Vignon (redoubl)</t>
  </si>
  <si>
    <t xml:space="preserve">ADJAGBA Magloire</t>
  </si>
  <si>
    <t xml:space="preserve">ADJARO Malick</t>
  </si>
  <si>
    <t xml:space="preserve">ADJOKPO Armos</t>
  </si>
  <si>
    <t xml:space="preserve">AFIOME Aurel G. A</t>
  </si>
  <si>
    <t xml:space="preserve">AGBESSI Fignanon Serge</t>
  </si>
  <si>
    <t xml:space="preserve">AïNA Michel </t>
  </si>
  <si>
    <t xml:space="preserve">MAIRIE COT</t>
  </si>
  <si>
    <t xml:space="preserve">AKOTCHEOU Sèwlan Peter Davy</t>
  </si>
  <si>
    <t xml:space="preserve">AKPATA Cyrille Fernand Adékanlé</t>
  </si>
  <si>
    <t xml:space="preserve">AMOUSSOU Sènakpon Jacob</t>
  </si>
  <si>
    <t xml:space="preserve">ASSANKPON Valery Tugdual Ernest</t>
  </si>
  <si>
    <t xml:space="preserve">ASSOGBA yves</t>
  </si>
  <si>
    <t xml:space="preserve">BALLO Dominique</t>
  </si>
  <si>
    <t xml:space="preserve">DINANLON Henri</t>
  </si>
  <si>
    <t xml:space="preserve">DOSSOU A. Sèdjro Puril Guénolé</t>
  </si>
  <si>
    <t xml:space="preserve">DOSSOU Daniel</t>
  </si>
  <si>
    <t xml:space="preserve">FOLY Etienne Athanase</t>
  </si>
  <si>
    <t xml:space="preserve">GBAGUIDI Hounyovi Jean</t>
  </si>
  <si>
    <t xml:space="preserve">GNANSOUNOU Finangnon Désiré</t>
  </si>
  <si>
    <t xml:space="preserve">HOUNNOU Kouessi Vincent Winseslas</t>
  </si>
  <si>
    <t xml:space="preserve">HOUNTONDJI TCHEGNON Armel A.</t>
  </si>
  <si>
    <t xml:space="preserve">HOUNTONON Ferdinand</t>
  </si>
  <si>
    <t xml:space="preserve">HOUNZANDJI Sègbégnon D.Charles B.</t>
  </si>
  <si>
    <t xml:space="preserve">KAKANAKOU Fernand</t>
  </si>
  <si>
    <t xml:space="preserve">KOUDJE Constant</t>
  </si>
  <si>
    <t xml:space="preserve">KPEDJO Métogbé Mahugon Aristide</t>
  </si>
  <si>
    <t xml:space="preserve">LOKONON Vignonce</t>
  </si>
  <si>
    <t xml:space="preserve">OROU BATA Florentine Ganni- Gado</t>
  </si>
  <si>
    <t xml:space="preserve">QUENUM Yves Arnaud</t>
  </si>
  <si>
    <t xml:space="preserve">SODJINOU Kuessi Nestor</t>
  </si>
  <si>
    <t xml:space="preserve">SOKEGBE Janvier Ulrich</t>
  </si>
  <si>
    <t xml:space="preserve">SOLAGNI Labi Tchèkpè Thierry</t>
  </si>
  <si>
    <t xml:space="preserve">SOUMAILA Alilou Abdel K</t>
  </si>
  <si>
    <t xml:space="preserve">TAMADAHO Sèhou Noé Ulrich</t>
  </si>
  <si>
    <t xml:space="preserve">YATAKPO O. R. Comlan G.</t>
  </si>
  <si>
    <t xml:space="preserve">AGNISSE K. Magloire</t>
  </si>
  <si>
    <t xml:space="preserve">BANDEIRA Gbéïgbéna Kodjo Angelo</t>
  </si>
  <si>
    <t xml:space="preserve">HOUMAVO T. Mathias</t>
  </si>
  <si>
    <t xml:space="preserve">HOUMAVO Wilfried Rolland C.</t>
  </si>
  <si>
    <t xml:space="preserve">HOUNKPOSSO A, Janvier</t>
  </si>
  <si>
    <t xml:space="preserve">KOUHOSSOUNON Florence Adjoavi</t>
  </si>
  <si>
    <t xml:space="preserve">OGOUDINA Vianou Germain</t>
  </si>
  <si>
    <t xml:space="preserve">OLOUKOTOUN Parfait</t>
  </si>
  <si>
    <t xml:space="preserve">SEDAMI Sègbédji Bertrand</t>
  </si>
  <si>
    <t xml:space="preserve">SEDJRO Bonaventure Joël</t>
  </si>
  <si>
    <t xml:space="preserve">SEGNON Carlos Carmel G.</t>
  </si>
  <si>
    <t xml:space="preserve">TELLA Comlan Stanislas Odjoladé L.</t>
  </si>
  <si>
    <t xml:space="preserve">TOGUI-LOGUI Vladimira Chimène</t>
  </si>
  <si>
    <t xml:space="preserve">VIERA Mouléro Fidèl Cécil</t>
  </si>
  <si>
    <t xml:space="preserve">ZINZINDOHOUE Mahouwètin Tobi S.</t>
  </si>
  <si>
    <t xml:space="preserve">3ème année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</si>
  <si>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ELECTRIQUE</t>
    </r>
  </si>
  <si>
    <t xml:space="preserve">ADIKPETO Kocou Luc</t>
  </si>
  <si>
    <t xml:space="preserve">ADJOVI Arnaud M.</t>
  </si>
  <si>
    <t xml:space="preserve">AHOSSOUHE Zaïki Wilfrid Mètotongi</t>
  </si>
  <si>
    <t xml:space="preserve">APOVO Affodoté Lionnel Patrick</t>
  </si>
  <si>
    <t xml:space="preserve">ATTISSO Koffi Mawuli</t>
  </si>
  <si>
    <t xml:space="preserve">CHANCOUIN Romaric Souin Sèdjro N.</t>
  </si>
  <si>
    <t xml:space="preserve">DOSSA Vèdéssè Constantin</t>
  </si>
  <si>
    <t xml:space="preserve">HOUESSOU Adéfounsi Gildas Félicien</t>
  </si>
  <si>
    <t xml:space="preserve">YETONGBE Félix</t>
  </si>
  <si>
    <t xml:space="preserve">4ème année</t>
  </si>
  <si>
    <t xml:space="preserve">AGONSANOU Houétchéou Fiacre</t>
  </si>
  <si>
    <t xml:space="preserve">AKOTOMEY S. Rodrigue</t>
  </si>
  <si>
    <t xml:space="preserve">BOKO Nonvité Narcisse</t>
  </si>
  <si>
    <t xml:space="preserve">DOHOU Gérard Benoit Comlan</t>
  </si>
  <si>
    <t xml:space="preserve">GBOHOUN A Armel Martial</t>
  </si>
  <si>
    <t xml:space="preserve">HOUNDIN Amédée Jonas</t>
  </si>
  <si>
    <t xml:space="preserve">KELEHOUN Adanmado Marcellin</t>
  </si>
  <si>
    <t xml:space="preserve">SEDAMI Codjo Jacques</t>
  </si>
  <si>
    <t xml:space="preserve">SESSOU Jérome</t>
  </si>
  <si>
    <t xml:space="preserve">ZONON Wilfrid Brice</t>
  </si>
  <si>
    <t xml:space="preserve">ADJOU Abraham Hervé T.</t>
  </si>
  <si>
    <t xml:space="preserve">AHOUISSOU Mesmin Maurille</t>
  </si>
  <si>
    <t xml:space="preserve">ALINGO TOHIO C. S.Bruce</t>
  </si>
  <si>
    <t xml:space="preserve">ANAGO Jules. Coffi Nouwou</t>
  </si>
  <si>
    <t xml:space="preserve">BLAKA Ulrich Samuel</t>
  </si>
  <si>
    <t xml:space="preserve">BOUBAKAR Mêgnon Rolland R.</t>
  </si>
  <si>
    <t xml:space="preserve">DEGNON Ansavi</t>
  </si>
  <si>
    <t xml:space="preserve">DOGBLE Ablavi Edwige</t>
  </si>
  <si>
    <t xml:space="preserve">FIOGBE Prudencio</t>
  </si>
  <si>
    <t xml:space="preserve">HOUNKANLIN Achille C. O.</t>
  </si>
  <si>
    <t xml:space="preserve">HOUNMONDJI Djahou Elie</t>
  </si>
  <si>
    <t xml:space="preserve">HOUNZINME Gbêtondji Edmond</t>
  </si>
  <si>
    <t xml:space="preserve">IDRISSOU Sakinatou</t>
  </si>
  <si>
    <t xml:space="preserve">KOUKOU Missinwa</t>
  </si>
  <si>
    <t xml:space="preserve">LAWIN Eustache Pierre R. A.</t>
  </si>
  <si>
    <t xml:space="preserve">MAHOUNON Véronique Avotchékpo L.</t>
  </si>
  <si>
    <t xml:space="preserve">NOUNAGNON F. Gilles Ernest</t>
  </si>
  <si>
    <t xml:space="preserve">PLOGOUN Crépine</t>
  </si>
  <si>
    <t xml:space="preserve">SAGBO Akomabou Sylvestre</t>
  </si>
  <si>
    <t xml:space="preserve">SAYO ISSA Tamala</t>
  </si>
  <si>
    <t xml:space="preserve">SEKPON Selligbena Patricia N.</t>
  </si>
  <si>
    <t xml:space="preserve">SEWADE Alex</t>
  </si>
  <si>
    <t xml:space="preserve">SIMBIA Lucie N'Koua</t>
  </si>
  <si>
    <t xml:space="preserve">SOSSOU Alowamon Pélagie</t>
  </si>
  <si>
    <t xml:space="preserve">,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</si>
  <si>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HYGIENE ET CONTRÔLE DE QUALITE DES DENREES ALIMENTAIRES</t>
    </r>
  </si>
  <si>
    <t xml:space="preserve">ADOVI Tonami Jean Carlos</t>
  </si>
  <si>
    <t xml:space="preserve">ALFA GAMBARI Karimatou</t>
  </si>
  <si>
    <t xml:space="preserve">AVADEME Hounsou Léopold</t>
  </si>
  <si>
    <t xml:space="preserve">AYETITON Maroufou</t>
  </si>
  <si>
    <t xml:space="preserve">BELLO Djelilatou</t>
  </si>
  <si>
    <t xml:space="preserve">DEGBO S Elodie</t>
  </si>
  <si>
    <t xml:space="preserve">GBAGUIDI Sêwanou Cesaire Gratien</t>
  </si>
  <si>
    <t xml:space="preserve">GOUNOU N'GOBI OROU Bonigui</t>
  </si>
  <si>
    <t xml:space="preserve">IBRAHIMA M. MOUF</t>
  </si>
  <si>
    <t xml:space="preserve">KAKANAKOU Orémus Christ-Marie S</t>
  </si>
  <si>
    <t xml:space="preserve">MAMA SANNI Moutaïrou</t>
  </si>
  <si>
    <t xml:space="preserve">MAMA GAMBARI Malick</t>
  </si>
  <si>
    <t xml:space="preserve">MOUSSA Aboudou Djèlili</t>
  </si>
  <si>
    <t xml:space="preserve">N'VENIHOUNDE HOUANNADE Gilbert</t>
  </si>
  <si>
    <t xml:space="preserve">NACCIMENTO Paul Patrick</t>
  </si>
  <si>
    <t xml:space="preserve">SAHOSSI Baï Chantal Colomb</t>
  </si>
  <si>
    <t xml:space="preserve">SEMADEGBE Kuessi Jérôme</t>
  </si>
  <si>
    <t xml:space="preserve">SOUSSIA Joël </t>
  </si>
  <si>
    <t xml:space="preserve">TOGBE Apélété Gaspard</t>
  </si>
  <si>
    <t xml:space="preserve">TOSSA Kouessi Charbel</t>
  </si>
  <si>
    <t xml:space="preserve">ADANHO Adjouavi Hermyonne Laurinda</t>
  </si>
  <si>
    <t xml:space="preserve">AKPOVO Roméo Hospice Finagnon</t>
  </si>
  <si>
    <t xml:space="preserve">AMOU Brigitte Adjoavi</t>
  </si>
  <si>
    <t xml:space="preserve">AMOUZOU Christophe</t>
  </si>
  <si>
    <t xml:space="preserve">DANTONKA Fawaaze</t>
  </si>
  <si>
    <t xml:space="preserve">DOSSA Sétondji Paul Fançois</t>
  </si>
  <si>
    <t xml:space="preserve">DOUDJI Darius</t>
  </si>
  <si>
    <t xml:space="preserve">ERIOLA Olounto Olivier</t>
  </si>
  <si>
    <t xml:space="preserve">ESSE Damienne Zinhoué</t>
  </si>
  <si>
    <t xml:space="preserve">GBAGUIDI  Sélonhan ARMEL</t>
  </si>
  <si>
    <t xml:space="preserve">GNELE  Bai Dodji Laurenda Carmen</t>
  </si>
  <si>
    <t xml:space="preserve">IMOROU Sani</t>
  </si>
  <si>
    <t xml:space="preserve">MEHOBA BENOIT Agnès</t>
  </si>
  <si>
    <t xml:space="preserve">TOI A Epiphania B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</si>
  <si>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ANALYSE BIOMEDICALE</t>
    </r>
  </si>
  <si>
    <t xml:space="preserve">ABATTY Estelle Ida</t>
  </si>
  <si>
    <t xml:space="preserve">ADELAKOUN Chegun Honoré</t>
  </si>
  <si>
    <t xml:space="preserve">ADIMI Nadine Yéba</t>
  </si>
  <si>
    <t xml:space="preserve">ADJIDOWE Sourou Firmin</t>
  </si>
  <si>
    <t xml:space="preserve">ADJOVI Christiane Raymonde</t>
  </si>
  <si>
    <t xml:space="preserve">ADOGBO-MEDAGBE Sèdami F.H. Luc</t>
  </si>
  <si>
    <t xml:space="preserve">ADOHOUNBLESSI Bastide</t>
  </si>
  <si>
    <t xml:space="preserve">AGBANGNANOU Y. D. Ulrich</t>
  </si>
  <si>
    <t xml:space="preserve">AGNILA Soumaïla</t>
  </si>
  <si>
    <t xml:space="preserve">AGUIDISSOU Armel Edgar Koffi</t>
  </si>
  <si>
    <t xml:space="preserve">AHOGNI Gustave</t>
  </si>
  <si>
    <t xml:space="preserve">AHOLOUKPE Huguette Houéfa Irène</t>
  </si>
  <si>
    <t xml:space="preserve">AKIBOU Maroufou Irénée</t>
  </si>
  <si>
    <t xml:space="preserve">AKPODE Sèmèvo Benoît</t>
  </si>
  <si>
    <t xml:space="preserve">ALLABI Sessi Rachel Yolande</t>
  </si>
  <si>
    <t xml:space="preserve">ALLODOHOUNDE Bernard</t>
  </si>
  <si>
    <t xml:space="preserve">AMAVI ANOUVI Pelula Firmine</t>
  </si>
  <si>
    <t xml:space="preserve">APOVO Zinsou Jean Hervé</t>
  </si>
  <si>
    <t xml:space="preserve">ARAYE Okpè Abadjayé Evelyne</t>
  </si>
  <si>
    <t xml:space="preserve">AREKPA Karamatou</t>
  </si>
  <si>
    <t xml:space="preserve">ASSANI Saïdath</t>
  </si>
  <si>
    <t xml:space="preserve">ASSOGBA Bessan Jean</t>
  </si>
  <si>
    <t xml:space="preserve">ASSOGBA Monlou Claudine</t>
  </si>
  <si>
    <t xml:space="preserve">ATANHLOUETO Bricette Ayaba</t>
  </si>
  <si>
    <t xml:space="preserve">BADAROU Fataî Djidjoho</t>
  </si>
  <si>
    <t xml:space="preserve">BANCOLE Makandjou-Ola E. Marie-N.</t>
  </si>
  <si>
    <t xml:space="preserve">BIAOU Chabi Ibidonni David</t>
  </si>
  <si>
    <t xml:space="preserve">BIO YERIMA Kora</t>
  </si>
  <si>
    <t xml:space="preserve">BOLEAN Sourou Thierry</t>
  </si>
  <si>
    <t xml:space="preserve">BOTON Rolland Harold Elias D.</t>
  </si>
  <si>
    <t xml:space="preserve">CAPO-CHICHI Florentin César</t>
  </si>
  <si>
    <t xml:space="preserve">CHADARE Augias Olougbemi</t>
  </si>
  <si>
    <t xml:space="preserve">CHOGOLOU Cyriaque</t>
  </si>
  <si>
    <t xml:space="preserve">DAGBA Afifonsi Roselyne Liliane</t>
  </si>
  <si>
    <t xml:space="preserve">DAGBA Angèle</t>
  </si>
  <si>
    <t xml:space="preserve">DAGBA Gabin</t>
  </si>
  <si>
    <t xml:space="preserve">DANVI Ogoudegnon Jacques</t>
  </si>
  <si>
    <t xml:space="preserve">DOFONSOUHOU Toundé Florent</t>
  </si>
  <si>
    <t xml:space="preserve">DOFONWAKOU Yénalin Marcelin</t>
  </si>
  <si>
    <t xml:space="preserve">DOSSOU-TOGBE John-Ross</t>
  </si>
  <si>
    <t xml:space="preserve">ENIANLOKO Yaya Delphine</t>
  </si>
  <si>
    <t xml:space="preserve">ESSOUN Oyéwolé Wassi</t>
  </si>
  <si>
    <t xml:space="preserve">EZIN Wilfried</t>
  </si>
  <si>
    <t xml:space="preserve">FAMBO Machel</t>
  </si>
  <si>
    <t xml:space="preserve">FANDOHAN Antoine</t>
  </si>
  <si>
    <t xml:space="preserve">FATOUMBI Lorette Saîda M.</t>
  </si>
  <si>
    <t xml:space="preserve">FAYALO Comlan Gilbert</t>
  </si>
  <si>
    <t xml:space="preserve">GAUTHO CLAUDINE Hermine A.</t>
  </si>
  <si>
    <t xml:space="preserve">GBETOLPANOU Jean-Baptiste R.</t>
  </si>
  <si>
    <t xml:space="preserve">GERARD NANA Aïchatou</t>
  </si>
  <si>
    <t xml:space="preserve">GNINOU Nicaise</t>
  </si>
  <si>
    <t xml:space="preserve">GNONHOUE Clorinde</t>
  </si>
  <si>
    <t xml:space="preserve">GNONLONFIN DOHOU Wilfried M.</t>
  </si>
  <si>
    <t xml:space="preserve">GOUSSI Mariette</t>
  </si>
  <si>
    <t xml:space="preserve">HAMIDOU Yaya Koladé</t>
  </si>
  <si>
    <t xml:space="preserve">HOUNDAYI Sylvie Enagnon</t>
  </si>
  <si>
    <t xml:space="preserve">HOUNKANRIN Yéyinou Hombéline</t>
  </si>
  <si>
    <t xml:space="preserve">HOUNKPONOU Sègla Raoul R.</t>
  </si>
  <si>
    <t xml:space="preserve">KAGBO Cosme</t>
  </si>
  <si>
    <t xml:space="preserve">KANGBETO Clotaire Clovis Claude</t>
  </si>
  <si>
    <t xml:space="preserve">KIKISSAGBE Wanvêmi Honorine</t>
  </si>
  <si>
    <t xml:space="preserve">KIOSSOU Romaric</t>
  </si>
  <si>
    <t xml:space="preserve">KOTTO Sonagnon Augustin A.</t>
  </si>
  <si>
    <t xml:space="preserve">KOUASSI Melkior Yaovi</t>
  </si>
  <si>
    <t xml:space="preserve">KPEKOU Tossou Cyriaque</t>
  </si>
  <si>
    <t xml:space="preserve">KPODJEDO Yéhomè Jeanne</t>
  </si>
  <si>
    <t xml:space="preserve">KPOZE Rodrigue Justin Sètchégbé</t>
  </si>
  <si>
    <t xml:space="preserve">LANIKPEKOUN Nafiou-Olakou Désiré</t>
  </si>
  <si>
    <t xml:space="preserve">LANTEYI G. S. Michel</t>
  </si>
  <si>
    <t xml:space="preserve">LOUMEDJINON Frank</t>
  </si>
  <si>
    <t xml:space="preserve">MAHINOU Cossi Eliace</t>
  </si>
  <si>
    <t xml:space="preserve">MAKPONSE Afiavi Houénafa Esther O.</t>
  </si>
  <si>
    <t xml:space="preserve">MALENOU Dieu-donné</t>
  </si>
  <si>
    <t xml:space="preserve">MEVODJO Pascaline Akovognon</t>
  </si>
  <si>
    <t xml:space="preserve">MONTEIRO Amamath Aïda</t>
  </si>
  <si>
    <t xml:space="preserve">NATABOU Olandé Christiane</t>
  </si>
  <si>
    <t xml:space="preserve">NOUAGOVI Marcellin H. Dieudonné</t>
  </si>
  <si>
    <t xml:space="preserve">ODO Yaba Charlotte</t>
  </si>
  <si>
    <t xml:space="preserve">OGOUMOUIWA Innocent</t>
  </si>
  <si>
    <t xml:space="preserve">OKE Alfred Juste</t>
  </si>
  <si>
    <t xml:space="preserve">OLADIKPO Bella Honorine Titibla</t>
  </si>
  <si>
    <t xml:space="preserve">OSSENI Mombereola Taliatou</t>
  </si>
  <si>
    <t xml:space="preserve">PARAÏSO Abdou Raïmi Alladé</t>
  </si>
  <si>
    <t xml:space="preserve">QUENUM Sèdjro Ella Gildas</t>
  </si>
  <si>
    <t xml:space="preserve">SABI CISSE F. Séîdou</t>
  </si>
  <si>
    <t xml:space="preserve">SALISSOU Ali Faroundine</t>
  </si>
  <si>
    <t xml:space="preserve">SAOSSI Dèhouégnon Paul</t>
  </si>
  <si>
    <t xml:space="preserve">SIANOU Houénagnon Antoine</t>
  </si>
  <si>
    <t xml:space="preserve">SOMAKPO Félicienne</t>
  </si>
  <si>
    <t xml:space="preserve">SOUKPO Dossou Jean-Marie</t>
  </si>
  <si>
    <t xml:space="preserve">TCHINCOUN Ayawovi</t>
  </si>
  <si>
    <t xml:space="preserve">TOKPANOU Médard Nounagnon</t>
  </si>
  <si>
    <t xml:space="preserve">TOKPO W. Nicephore</t>
  </si>
  <si>
    <t xml:space="preserve">TOLLO Pulcherie Claire</t>
  </si>
  <si>
    <t xml:space="preserve">WOROU OLOU Frédéric</t>
  </si>
  <si>
    <t xml:space="preserve">YESSOUFOU Aziz Akanni</t>
  </si>
  <si>
    <t xml:space="preserve">ZODOME Pélagie</t>
  </si>
  <si>
    <t xml:space="preserve">ZOHOU Bruno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</si>
  <si>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ANIMALE</t>
    </r>
  </si>
  <si>
    <t xml:space="preserve">ABDOULAYE Rashidi</t>
  </si>
  <si>
    <t xml:space="preserve">ALIOU Mikdar</t>
  </si>
  <si>
    <t xml:space="preserve">AMOUSSA Madinatou Dohonou</t>
  </si>
  <si>
    <t xml:space="preserve">CHITOU NAFIOU Nadjimou</t>
  </si>
  <si>
    <t xml:space="preserve">DAFIA-YAROU gounou Zimé H.</t>
  </si>
  <si>
    <t xml:space="preserve">ELECHO Abibola Abdoul Raïmy</t>
  </si>
  <si>
    <t xml:space="preserve">ENOUHERAN Mondoukpè Hermionne</t>
  </si>
  <si>
    <t xml:space="preserve">GBAGUIDI V. Posidius (redoubl)</t>
  </si>
  <si>
    <t xml:space="preserve">GOUNOU LAFIA K. Boniface (redoubl)</t>
  </si>
  <si>
    <t xml:space="preserve">KODJA Mirtha</t>
  </si>
  <si>
    <t xml:space="preserve">KOUAKANOU Donaldo Beaugelais</t>
  </si>
  <si>
    <t xml:space="preserve">MIGAN Marizouk Arèmou</t>
  </si>
  <si>
    <t xml:space="preserve">TOHOUN Cossi Hervé Marc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</si>
  <si>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PRODUCTION ANIMALE</t>
    </r>
  </si>
  <si>
    <t xml:space="preserve">ADOUKONOU Codjo Roland Baudoin</t>
  </si>
  <si>
    <t xml:space="preserve">AGOSSOU Médéssè Augustin</t>
  </si>
  <si>
    <t xml:space="preserve"> ALLADAYE Victorin</t>
  </si>
  <si>
    <t xml:space="preserve">ASSANI Farid Kolawolé</t>
  </si>
  <si>
    <t xml:space="preserve">BORO SOULE Aliou</t>
  </si>
  <si>
    <t xml:space="preserve">BOURAI José Antonio</t>
  </si>
  <si>
    <t xml:space="preserve">CHABI O. Ismaël</t>
  </si>
  <si>
    <t xml:space="preserve">GONGUE Abou</t>
  </si>
  <si>
    <t xml:space="preserve">HOUMBADE Comlan Emmanuel</t>
  </si>
  <si>
    <t xml:space="preserve">HOUNKPATIN Faustin Comlan</t>
  </si>
  <si>
    <t xml:space="preserve">MEDEGAN Mêtchédé Christian B.</t>
  </si>
  <si>
    <t xml:space="preserve">MONRA Séïdou</t>
  </si>
  <si>
    <t xml:space="preserve">SAGBOHAN E. H. Oméga ei Sadate</t>
  </si>
  <si>
    <t xml:space="preserve">SOGLOHOUN Pascal Yaovi</t>
  </si>
  <si>
    <t xml:space="preserve">YABI Oyédégbin Moïse</t>
  </si>
  <si>
    <t xml:space="preserve">YEHOUENOU Sèdjro Joseph</t>
  </si>
  <si>
    <t xml:space="preserve">ADJAHOUHOUE Cyriaque</t>
  </si>
  <si>
    <t xml:space="preserve">AGBODJANTO Jean</t>
  </si>
  <si>
    <t xml:space="preserve">AGBODO Michel</t>
  </si>
  <si>
    <t xml:space="preserve">ALLAVO Christelle Arnaude</t>
  </si>
  <si>
    <t xml:space="preserve">AMAVI Adakou Gratienne Viviane</t>
  </si>
  <si>
    <t xml:space="preserve">AMINOU Maziath Françoise</t>
  </si>
  <si>
    <t xml:space="preserve">BOGNINOU Gilles</t>
  </si>
  <si>
    <t xml:space="preserve">BOTON Dohèto Christian</t>
  </si>
  <si>
    <t xml:space="preserve">HOUNTONDJI Codjo Ignace</t>
  </si>
  <si>
    <t xml:space="preserve">KANTY Asséréhou Roland Bienvenu</t>
  </si>
  <si>
    <t xml:space="preserve">KASSA Tongambori Jérôme</t>
  </si>
  <si>
    <t xml:space="preserve">KOUMAGNON Lamidi</t>
  </si>
  <si>
    <t xml:space="preserve">LOVENOU Alphonsine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</si>
  <si>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GEOMETRE TOPOGRAPHE</t>
    </r>
  </si>
  <si>
    <t xml:space="preserve">ADJAHINI Abliba Arsène Fiacre</t>
  </si>
  <si>
    <t xml:space="preserve">ADJOKANNOU Quentin Koffi</t>
  </si>
  <si>
    <t xml:space="preserve">AFOUDA Malé Charles</t>
  </si>
  <si>
    <t xml:space="preserve">AHOLOU Tankpinou Sèna Victorin</t>
  </si>
  <si>
    <t xml:space="preserve">AHOUANADI Dètondji Olivier</t>
  </si>
  <si>
    <t xml:space="preserve">AKABASSI-TOGAN Mêtognon A.</t>
  </si>
  <si>
    <t xml:space="preserve">ASSOGBA Dèdènou Tindo Prudencio</t>
  </si>
  <si>
    <t xml:space="preserve">AKAMBI A. Chakour B.</t>
  </si>
  <si>
    <t xml:space="preserve">DANHAZOUN Sètondji Euloge</t>
  </si>
  <si>
    <t xml:space="preserve">DETONDJI Yémonho Midoché</t>
  </si>
  <si>
    <t xml:space="preserve">DJESSOU Djima Randal</t>
  </si>
  <si>
    <t xml:space="preserve">DOSSOU Akouègnikan Fabrice</t>
  </si>
  <si>
    <t xml:space="preserve">DOSSOU Dénis Ogouchinan</t>
  </si>
  <si>
    <t xml:space="preserve">FAGLA MEDEGAN Bignon</t>
  </si>
  <si>
    <t xml:space="preserve">FIOGBE Epiphane</t>
  </si>
  <si>
    <t xml:space="preserve">FOLLY Houéssou Félix</t>
  </si>
  <si>
    <t xml:space="preserve">GANSA Marc</t>
  </si>
  <si>
    <t xml:space="preserve">HOUNWANOU Yélian Fernand</t>
  </si>
  <si>
    <t xml:space="preserve">KAKPO Gildas</t>
  </si>
  <si>
    <t xml:space="preserve">KOKOUVI AYI Bertrand Modeste O.</t>
  </si>
  <si>
    <t xml:space="preserve">KPAKPA SOGLO Gratien H.</t>
  </si>
  <si>
    <t xml:space="preserve">KPELOUSSI Olivier</t>
  </si>
  <si>
    <t xml:space="preserve">LEKOYO M. Hippolyte</t>
  </si>
  <si>
    <t xml:space="preserve">MIVEDE Houégninou Olivier</t>
  </si>
  <si>
    <t xml:space="preserve">NOUHOTO Félix</t>
  </si>
  <si>
    <t xml:space="preserve">ALI RAMATH ABEKE</t>
  </si>
  <si>
    <t xml:space="preserve">VIVENAGBO Landry Cokou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</si>
  <si>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GEOMETRE TOPOGRAPHE </t>
    </r>
  </si>
  <si>
    <t xml:space="preserve">ABOU Sakaryaou</t>
  </si>
  <si>
    <t xml:space="preserve">DO REGO Augias Fresnel</t>
  </si>
  <si>
    <t xml:space="preserve">GARBA Fouléra</t>
  </si>
  <si>
    <t xml:space="preserve">NONFON Kossi Angélino</t>
  </si>
  <si>
    <t xml:space="preserve">ZOUNMATOUN Yétonhou Romain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</si>
  <si>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MAINTENANCE INDUSTRIELLE</t>
    </r>
  </si>
  <si>
    <t xml:space="preserve">ADJAHOTO Tchégnihandé Mario E.</t>
  </si>
  <si>
    <t xml:space="preserve">ADANGUEDE F. Zinsou Damien</t>
  </si>
  <si>
    <t xml:space="preserve">AHANTO Rodrigue M. (redoubl)</t>
  </si>
  <si>
    <t xml:space="preserve">BIWINTON Aristide W.</t>
  </si>
  <si>
    <t xml:space="preserve">DJOKPE Mahunan Enorc Prudencio H.</t>
  </si>
  <si>
    <t xml:space="preserve">GANYE A. Damien (redoubl)</t>
  </si>
  <si>
    <t xml:space="preserve">HINGLO Mèssomon Elvis</t>
  </si>
  <si>
    <t xml:space="preserve">HOUNGBEDJI H. Roland (redoubl)</t>
  </si>
  <si>
    <t xml:space="preserve">HOUNSINOU M. Vera-Cruz Whiliace</t>
  </si>
  <si>
    <t xml:space="preserve">MI 3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</si>
  <si>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MAINTENANCE INDUSTRIELLE</t>
    </r>
  </si>
  <si>
    <t xml:space="preserve">BONI Abdoulaye</t>
  </si>
  <si>
    <t xml:space="preserve">GBAGUIDI Corette Sonia A.</t>
  </si>
  <si>
    <t xml:space="preserve">GNONHOUE T. A. Joseph</t>
  </si>
  <si>
    <t xml:space="preserve">HESSOU Kokou Castro</t>
  </si>
  <si>
    <t xml:space="preserve">HOUNSOU SEIVE Hermann Mahoussi</t>
  </si>
  <si>
    <t xml:space="preserve">QUENUM Mahutin Elisée Hervé</t>
  </si>
  <si>
    <t xml:space="preserve">SAVI Djidjoho Fructueux</t>
  </si>
  <si>
    <t xml:space="preserve">TELLA OSSE Obafèmi David</t>
  </si>
  <si>
    <t xml:space="preserve">TOSSOU Ménonma Eric</t>
  </si>
  <si>
    <t xml:space="preserve">MI 4</t>
  </si>
  <si>
    <t xml:space="preserve">AGOSSOU Désiré Honoré Y,</t>
  </si>
  <si>
    <t xml:space="preserve">ALLOGNON Innocent Yélingnan</t>
  </si>
  <si>
    <t xml:space="preserve">AMOUSSOUGA Zannou Rodolphe</t>
  </si>
  <si>
    <t xml:space="preserve">ATCHA Coffi Daniel</t>
  </si>
  <si>
    <t xml:space="preserve">CAPO CHICHI Sètondji Hermus Gildas</t>
  </si>
  <si>
    <t xml:space="preserve">FINGBE Roland</t>
  </si>
  <si>
    <t xml:space="preserve">HOUNSINOU Norbert</t>
  </si>
  <si>
    <t xml:space="preserve">KOUMAPLE Olivié Hihéloto</t>
  </si>
  <si>
    <t xml:space="preserve">LANI YONOU Adéolou Arthur Muller</t>
  </si>
  <si>
    <t xml:space="preserve">SEGBEDJI Kuassi jean</t>
  </si>
  <si>
    <t xml:space="preserve">TONOUDE Comlan Marius</t>
  </si>
  <si>
    <t xml:space="preserve">GR 3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</si>
  <si>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RURAL</t>
    </r>
  </si>
  <si>
    <t xml:space="preserve">AHAMIDE Yves Tolofon</t>
  </si>
  <si>
    <t xml:space="preserve">AHOMLANTO Arthur S. Henricot Sonagnon</t>
  </si>
  <si>
    <t xml:space="preserve">BAGUIRI TAMOU Bio Guio</t>
  </si>
  <si>
    <t xml:space="preserve">DAHATO Honoré</t>
  </si>
  <si>
    <t xml:space="preserve">DANMADO Cocou Serge</t>
  </si>
  <si>
    <t xml:space="preserve">DOMINGO Mathilde Denise H.</t>
  </si>
  <si>
    <t xml:space="preserve">DOSSA Didier</t>
  </si>
  <si>
    <t xml:space="preserve">FIHOUNDE Aristide Kokou</t>
  </si>
  <si>
    <t xml:space="preserve">HOUESSIONON Iltas Johanès</t>
  </si>
  <si>
    <t xml:space="preserve">HOUNKANRIN Zéphirin</t>
  </si>
  <si>
    <t xml:space="preserve">KASSOUIN Assana</t>
  </si>
  <si>
    <t xml:space="preserve">KOUVEGLO Sourou Jean-Paul M.P.</t>
  </si>
  <si>
    <t xml:space="preserve">SASSOU Adotévi Jean-Vincent</t>
  </si>
  <si>
    <t xml:space="preserve">SEHOMI Comlanvi Gintonsou</t>
  </si>
  <si>
    <t xml:space="preserve">GR 4</t>
  </si>
  <si>
    <t xml:space="preserve">AKIYO Ichola Hubert Alain</t>
  </si>
  <si>
    <t xml:space="preserve">DAKE Dossou Romuald</t>
  </si>
  <si>
    <t xml:space="preserve">GODJI Zinsou Cosme</t>
  </si>
  <si>
    <t xml:space="preserve">OROU GONGON Mamadou</t>
  </si>
  <si>
    <t xml:space="preserve">SEKPE Gbénadé Nazaire Josias</t>
  </si>
  <si>
    <t xml:space="preserve">                                                                                                                                                                                                                       </t>
  </si>
  <si>
    <t xml:space="preserve">INGENIEUR GEOMETRE TOPOGRAPHE 2014-2015</t>
  </si>
  <si>
    <t xml:space="preserve">ABOKI Senami Satingo Emmanuel</t>
  </si>
  <si>
    <t xml:space="preserve">ADJAHO Nathalie</t>
  </si>
  <si>
    <t xml:space="preserve">AFORA Kéda K. Myrianne Josée</t>
  </si>
  <si>
    <t xml:space="preserve">AHLOUMESSOU Codjo Amadin</t>
  </si>
  <si>
    <t xml:space="preserve">AHOYA-AKPODE Yélian Renaud</t>
  </si>
  <si>
    <t xml:space="preserve">AIZO Christelle Marie-Agathe D.</t>
  </si>
  <si>
    <t xml:space="preserve">AKOWANOU Robert</t>
  </si>
  <si>
    <t xml:space="preserve">ALLAGBE Benjamin</t>
  </si>
  <si>
    <t xml:space="preserve">ALLASSANE Aboudou S. Boladji</t>
  </si>
  <si>
    <t xml:space="preserve">BALOGOUN Amanian Hervé</t>
  </si>
  <si>
    <t xml:space="preserve">CODJIA Vital Christian</t>
  </si>
  <si>
    <t xml:space="preserve">DJEDOKANSI Cyprien</t>
  </si>
  <si>
    <t xml:space="preserve">DOVONON Togbédji Nicodème</t>
  </si>
  <si>
    <t xml:space="preserve">GODO Yénoukoumè Sylvain</t>
  </si>
  <si>
    <t xml:space="preserve">GONCALVES Octaviano</t>
  </si>
  <si>
    <t xml:space="preserve">HOUNDADJO Edmond</t>
  </si>
  <si>
    <t xml:space="preserve">HOUNKANRIN Fiacre Pérince F.</t>
  </si>
  <si>
    <t xml:space="preserve">HOUNKPE Coffi Roger Modeste</t>
  </si>
  <si>
    <t xml:space="preserve">KIKI SENA Samson</t>
  </si>
  <si>
    <t xml:space="preserve">LAWSON Hypolyte A. A. I.</t>
  </si>
  <si>
    <t xml:space="preserve">MEBOUNOU Codjo Claude</t>
  </si>
  <si>
    <t xml:space="preserve">RADJI Abel Rasack</t>
  </si>
  <si>
    <t xml:space="preserve">SOSSOU Matinkpon Alexandre</t>
  </si>
  <si>
    <t xml:space="preserve">TCHEGNONSI B. Bienvenu Parmenas</t>
  </si>
  <si>
    <t xml:space="preserve">TONOUKOIN Codjo Francis</t>
  </si>
  <si>
    <t xml:space="preserve">ZOFFOUN Nounagnon Firmin</t>
  </si>
  <si>
    <t xml:space="preserve">ZOUNLI Yélian Olivier</t>
  </si>
  <si>
    <t xml:space="preserve">   RECAPITULATIF DES RECETTES PAR FILIERS AU TITRE DE 2014-2015</t>
  </si>
  <si>
    <t xml:space="preserve">                                                                                                                    </t>
  </si>
  <si>
    <t xml:space="preserve">Fait le 27 Décembre 2016</t>
  </si>
  <si>
    <t xml:space="preserve">FILIERES / ANNEE</t>
  </si>
  <si>
    <t xml:space="preserve">Eff.</t>
  </si>
  <si>
    <t xml:space="preserve">RECETTE ATTENDUE</t>
  </si>
  <si>
    <t xml:space="preserve">RECOUVRE</t>
  </si>
  <si>
    <t xml:space="preserve">RESTE</t>
  </si>
  <si>
    <t xml:space="preserve">TAUX</t>
  </si>
  <si>
    <t xml:space="preserve">G.C 1</t>
  </si>
  <si>
    <t xml:space="preserve">G.C 2</t>
  </si>
  <si>
    <t xml:space="preserve">G.C 3</t>
  </si>
  <si>
    <t xml:space="preserve">G.C 4</t>
  </si>
  <si>
    <t xml:space="preserve">G.E 1</t>
  </si>
  <si>
    <t xml:space="preserve">G.E 2</t>
  </si>
  <si>
    <t xml:space="preserve">G.E 3</t>
  </si>
  <si>
    <t xml:space="preserve">G.E 4</t>
  </si>
  <si>
    <t xml:space="preserve">HCQDA 1</t>
  </si>
  <si>
    <t xml:space="preserve">HCQDA 2</t>
  </si>
  <si>
    <t xml:space="preserve">HCQDA 3</t>
  </si>
  <si>
    <t xml:space="preserve">HCQDA 4</t>
  </si>
  <si>
    <t xml:space="preserve">G.R 3</t>
  </si>
  <si>
    <t xml:space="preserve">G.R 4</t>
  </si>
  <si>
    <t xml:space="preserve">P.A1</t>
  </si>
  <si>
    <t xml:space="preserve">P.A 2</t>
  </si>
  <si>
    <t xml:space="preserve">P.A 3</t>
  </si>
  <si>
    <t xml:space="preserve">P.A 4</t>
  </si>
  <si>
    <t xml:space="preserve">P.V 1</t>
  </si>
  <si>
    <t xml:space="preserve">P.V 2</t>
  </si>
  <si>
    <t xml:space="preserve">P.V 3</t>
  </si>
  <si>
    <t xml:space="preserve">P.V 4</t>
  </si>
  <si>
    <t xml:space="preserve">Env. 1</t>
  </si>
  <si>
    <t xml:space="preserve">Env. 2</t>
  </si>
  <si>
    <t xml:space="preserve">Env. 3</t>
  </si>
  <si>
    <t xml:space="preserve">Env. 4</t>
  </si>
  <si>
    <t xml:space="preserve">M. I 2</t>
  </si>
  <si>
    <t xml:space="preserve">M. I 3</t>
  </si>
  <si>
    <t xml:space="preserve">M I.4</t>
  </si>
  <si>
    <t xml:space="preserve">BHSS1</t>
  </si>
  <si>
    <t xml:space="preserve">ABM1</t>
  </si>
  <si>
    <t xml:space="preserve">ABM2</t>
  </si>
  <si>
    <t xml:space="preserve">GT1</t>
  </si>
  <si>
    <t xml:space="preserve">GT2</t>
  </si>
  <si>
    <t xml:space="preserve">GT3</t>
  </si>
  <si>
    <t xml:space="preserve">TOTAL:  </t>
  </si>
  <si>
    <t xml:space="preserve">                     </t>
  </si>
  <si>
    <t xml:space="preserve">      RECETTES GLOBALES DE 2015</t>
  </si>
  <si>
    <t xml:space="preserve">Mois</t>
  </si>
  <si>
    <t xml:space="preserve">Formation à Distance </t>
  </si>
  <si>
    <t xml:space="preserve">Formation continue</t>
  </si>
  <si>
    <t xml:space="preserve">Autre Recettes</t>
  </si>
  <si>
    <t xml:space="preserve">Janvier</t>
  </si>
  <si>
    <t xml:space="preserve">Février</t>
  </si>
  <si>
    <t xml:space="preserve">Mars 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</si>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</sst>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General"/>
    <numFmt numFmtId="167" formatCode="0.00"/>
    <numFmt numFmtId="168" formatCode="0\ %"/>
    <numFmt numFmtId="169" formatCode="0.00\ %"/>
  </numFmts>
  <fonts count="5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4"/>
      <color theme="1"/>
      <name val="Elephant"/>
      <family val="0"/>
      <charset val="134"/>
    </font>
    <font>
      <sz val="12"/>
      <color theme="1"/>
      <name val="Arial"/>
      <family val="0"/>
      <charset val="134"/>
    </font>
    <font>
      <sz val="12"/>
      <color theme="1"/>
      <name val="comic"/>
      <family val="0"/>
      <charset val="134"/>
    </font>
    <font>
      <b val="true"/>
      <sz val="12"/>
      <color theme="1"/>
      <name val="comic"/>
      <family val="0"/>
      <charset val="134"/>
    </font>
    <font>
      <b val="true"/>
      <i val="true"/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b val="true"/>
      <u val="single"/>
      <sz val="12"/>
      <color theme="1"/>
      <name val="comic"/>
      <family val="0"/>
      <charset val="134"/>
    </font>
    <font>
      <b val="true"/>
      <sz val="12"/>
      <color theme="1"/>
      <name val="Albertus MT Lt"/>
      <family val="0"/>
      <charset val="134"/>
    </font>
    <font>
      <b val="true"/>
      <sz val="12"/>
      <color theme="1"/>
      <name val="Arial Narrow"/>
      <family val="0"/>
      <charset val="134"/>
    </font>
    <font>
      <b val="true"/>
      <sz val="12"/>
      <color theme="1"/>
      <name val="Arial Narrow"/>
      <family val="0"/>
      <charset val="1"/>
    </font>
    <font>
      <b val="true"/>
      <sz val="12"/>
      <color rgb="FF00B050"/>
      <name val="Arial Narrow"/>
      <family val="0"/>
      <charset val="1"/>
    </font>
    <font>
      <b val="true"/>
      <sz val="12"/>
      <color rgb="FFC00000"/>
      <name val="Arial Narrow"/>
      <family val="0"/>
      <charset val="1"/>
    </font>
    <font>
      <b val="true"/>
      <sz val="12"/>
      <color rgb="FFFF0000"/>
      <name val="Arial Narrow"/>
      <family val="0"/>
      <charset val="1"/>
    </font>
    <font>
      <sz val="12"/>
      <color theme="1"/>
      <name val="Arial Narrow"/>
      <family val="0"/>
      <charset val="134"/>
    </font>
    <font>
      <sz val="12"/>
      <color theme="1"/>
      <name val="Calibri"/>
      <family val="0"/>
      <charset val="134"/>
    </font>
    <font>
      <sz val="12"/>
      <name val="Arial Narrow"/>
      <family val="0"/>
      <charset val="134"/>
    </font>
    <font>
      <sz val="14"/>
      <color theme="1"/>
      <name val="Aharoni"/>
      <family val="0"/>
      <charset val="177"/>
    </font>
    <font>
      <b val="true"/>
      <sz val="12"/>
      <color rgb="FF00B050"/>
      <name val="Calibri"/>
      <family val="0"/>
      <charset val="134"/>
    </font>
    <font>
      <b val="true"/>
      <sz val="12"/>
      <color rgb="FFC00000"/>
      <name val="Calibri"/>
      <family val="0"/>
      <charset val="134"/>
    </font>
    <font>
      <b val="true"/>
      <sz val="12"/>
      <color rgb="FFFF0000"/>
      <name val="Calibri"/>
      <family val="0"/>
      <charset val="134"/>
    </font>
    <font>
      <b val="true"/>
      <sz val="12"/>
      <color rgb="FFFF0000"/>
      <name val="Arial Narrow"/>
      <family val="0"/>
      <charset val="134"/>
    </font>
    <font>
      <sz val="12"/>
      <name val="Calibri"/>
      <family val="0"/>
      <charset val="134"/>
    </font>
    <font>
      <sz val="12"/>
      <color rgb="FFFF0000"/>
      <name val="Calibri"/>
      <family val="0"/>
      <charset val="134"/>
    </font>
    <font>
      <b val="true"/>
      <sz val="12"/>
      <color rgb="FF00B050"/>
      <name val="Arial Narrow"/>
      <family val="0"/>
      <charset val="134"/>
    </font>
    <font>
      <b val="true"/>
      <sz val="12"/>
      <color rgb="FFC00000"/>
      <name val="Arial Narrow"/>
      <family val="0"/>
      <charset val="134"/>
    </font>
    <font>
      <b val="true"/>
      <i val="true"/>
      <sz val="14"/>
      <color theme="1"/>
      <name val="Calibri"/>
      <family val="0"/>
      <charset val="134"/>
    </font>
    <font>
      <b val="true"/>
      <u val="single"/>
      <sz val="12"/>
      <color theme="1"/>
      <name val="Calibri"/>
      <family val="0"/>
      <charset val="134"/>
    </font>
    <font>
      <b val="true"/>
      <sz val="12"/>
      <color rgb="FF002060"/>
      <name val="Arial Narrow"/>
      <family val="0"/>
      <charset val="134"/>
    </font>
    <font>
      <sz val="10"/>
      <color theme="1"/>
      <name val="Calibri"/>
      <family val="0"/>
      <charset val="134"/>
    </font>
    <font>
      <b val="true"/>
      <sz val="14"/>
      <color theme="1"/>
      <name val="Aharoni"/>
      <family val="0"/>
      <charset val="177"/>
    </font>
    <font>
      <b val="true"/>
      <sz val="14"/>
      <color rgb="FF00B050"/>
      <name val="Calibri"/>
      <family val="0"/>
      <charset val="134"/>
    </font>
    <font>
      <b val="true"/>
      <sz val="14"/>
      <color rgb="FF002060"/>
      <name val="Calibri"/>
      <family val="0"/>
      <charset val="134"/>
    </font>
    <font>
      <b val="true"/>
      <sz val="14"/>
      <color rgb="FFFF0000"/>
      <name val="Calibri"/>
      <family val="0"/>
      <charset val="134"/>
    </font>
    <font>
      <sz val="9"/>
      <color theme="1"/>
      <name val="Calibri"/>
      <family val="0"/>
      <charset val="134"/>
    </font>
    <font>
      <b val="true"/>
      <sz val="16"/>
      <color theme="1"/>
      <name val="Aharoni"/>
      <family val="0"/>
      <charset val="177"/>
    </font>
    <font>
      <sz val="11"/>
      <name val="Calibri"/>
      <family val="0"/>
      <charset val="134"/>
    </font>
    <font>
      <b val="true"/>
      <sz val="16"/>
      <color theme="1"/>
      <name val="Calibri"/>
      <family val="0"/>
      <charset val="134"/>
    </font>
    <font>
      <i val="true"/>
      <sz val="12"/>
      <color theme="1"/>
      <name val="Calibri"/>
      <family val="0"/>
      <charset val="134"/>
    </font>
    <font>
      <b val="true"/>
      <sz val="12"/>
      <color theme="1" tint="0.2499"/>
      <name val="Arial Narrow"/>
      <family val="0"/>
      <charset val="134"/>
    </font>
    <font>
      <sz val="9"/>
      <name val="Calibri"/>
      <family val="0"/>
      <charset val="134"/>
    </font>
    <font>
      <sz val="10"/>
      <name val="Arial"/>
      <family val="2"/>
    </font>
    <font>
      <sz val="12"/>
      <color theme="1"/>
      <name val="Elephant"/>
      <family val="0"/>
      <charset val="134"/>
    </font>
    <font>
      <b val="true"/>
      <sz val="11"/>
      <name val="Albertus MT Lt"/>
      <family val="0"/>
      <charset val="134"/>
    </font>
    <font>
      <b val="true"/>
      <sz val="12"/>
      <name val="Baskerville Old Face"/>
      <family val="0"/>
      <charset val="134"/>
    </font>
    <font>
      <b val="true"/>
      <sz val="12"/>
      <name val="Albertus MT Lt"/>
      <family val="0"/>
      <charset val="134"/>
    </font>
    <font>
      <b val="true"/>
      <sz val="10"/>
      <name val="Albertus MT Lt"/>
      <family val="0"/>
      <charset val="134"/>
    </font>
    <font>
      <b val="true"/>
      <sz val="10"/>
      <color theme="7" tint="0.5999"/>
      <name val="Albertus MT Lt"/>
      <family val="0"/>
      <charset val="134"/>
    </font>
    <font>
      <b val="true"/>
      <sz val="11"/>
      <color theme="1"/>
      <name val="Calibri"/>
      <family val="0"/>
      <charset val="134"/>
    </font>
    <font>
      <b val="true"/>
      <sz val="10"/>
      <color theme="7" tint="0.3999"/>
      <name val="Albertus MT Lt"/>
      <family val="0"/>
      <charset val="134"/>
    </font>
    <font>
      <b val="true"/>
      <sz val="12"/>
      <name val="Arial"/>
      <family val="0"/>
      <charset val="134"/>
    </font>
    <font>
      <b val="true"/>
      <sz val="16"/>
      <name val="Arial"/>
      <family val="0"/>
      <charset val="134"/>
    </font>
    <font>
      <sz val="12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D9D9D9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slantDashDot"/>
      <right style="slantDashDot"/>
      <top style="slantDashDot"/>
      <bottom style="slantDashDot"/>
      <diagonal/>
    </border>
    <border diagonalUp="false" diagonalDown="false">
      <left style="slantDashDot"/>
      <right style="dashed"/>
      <top style="slantDashDot"/>
      <bottom style="dashed"/>
      <diagonal/>
    </border>
    <border diagonalUp="false" diagonalDown="false">
      <left style="dashed"/>
      <right style="dashed"/>
      <top style="slantDashDot"/>
      <bottom style="dashed"/>
      <diagonal/>
    </border>
    <border diagonalUp="false" diagonalDown="false">
      <left style="slantDashDot"/>
      <right style="dashed"/>
      <top style="dashed"/>
      <bottom style="dashed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dashed"/>
      <right/>
      <top style="dashed"/>
      <bottom style="dashed"/>
      <diagonal/>
    </border>
    <border diagonalUp="false" diagonalDown="false">
      <left style="dashed"/>
      <right style="dashed"/>
      <top/>
      <bottom style="slantDashDot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2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3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4" fillId="0" borderId="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3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9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2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3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2" borderId="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4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2" borderId="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3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0" fillId="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0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9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9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0" fillId="0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1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1" fillId="4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2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0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0" fillId="4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0" fillId="4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9" fillId="4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0" fillId="4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0" fillId="4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3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3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3" fillId="4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0" fillId="2" borderId="2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4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9" fillId="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9" fillId="0" borderId="1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4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4" fillId="0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0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6" fillId="0" borderId="3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4" fillId="0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6" fillId="0" borderId="3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6" fillId="0" borderId="3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6" fillId="0" borderId="4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4" fillId="0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4" fillId="0" borderId="34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'LICENCE PRO. 1ère ANNEE'!$B$121:$B$126</c:f>
              <c:strCache>
                <c:ptCount val="1"/>
                <c:pt idx="0">
                  <c:v>LICENCE PROFESSIONNELLE 2014-2015 Option: PRODUCTION ANIMAL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'LICENCE PRO. 1ère ANNEE'!$A$127:$A$141</c:f>
              <c:strCache>
                <c:ptCount val="15"/>
                <c:pt idx="0">
                  <c:v>N°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/>
                </c:pt>
              </c:strCache>
            </c:strRef>
          </c:cat>
          <c:val>
            <c:numRef>
              <c:f>'LICENCE PRO. 1ère ANNEE'!$B$127:$B$141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tx>
            <c:strRef>
              <c:f>'LICENCE PRO. 1ère ANNEE'!$C$121:$C$126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'LICENCE PRO. 1ère ANNEE'!$A$127:$A$141</c:f>
              <c:strCache>
                <c:ptCount val="15"/>
                <c:pt idx="0">
                  <c:v>N°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/>
                </c:pt>
              </c:strCache>
            </c:strRef>
          </c:cat>
          <c:val>
            <c:numRef>
              <c:f>'LICENCE PRO. 1ère ANNEE'!$C$127:$C$141</c:f>
              <c:numCache>
                <c:formatCode>#,##0</c:formatCode>
                <c:ptCount val="15"/>
                <c:pt idx="1">
                  <c:v>416500</c:v>
                </c:pt>
                <c:pt idx="2">
                  <c:v>416500</c:v>
                </c:pt>
                <c:pt idx="3">
                  <c:v>416500</c:v>
                </c:pt>
                <c:pt idx="4">
                  <c:v>416500</c:v>
                </c:pt>
                <c:pt idx="5">
                  <c:v>416500</c:v>
                </c:pt>
                <c:pt idx="6">
                  <c:v>416500</c:v>
                </c:pt>
                <c:pt idx="7">
                  <c:v>416500</c:v>
                </c:pt>
                <c:pt idx="8">
                  <c:v>416500</c:v>
                </c:pt>
                <c:pt idx="9">
                  <c:v>416500</c:v>
                </c:pt>
                <c:pt idx="10">
                  <c:v>416500</c:v>
                </c:pt>
                <c:pt idx="11">
                  <c:v>416500</c:v>
                </c:pt>
                <c:pt idx="12">
                  <c:v>416500</c:v>
                </c:pt>
                <c:pt idx="13">
                  <c:v>416500</c:v>
                </c:pt>
                <c:pt idx="14">
                  <c:v>5414500</c:v>
                </c:pt>
              </c:numCache>
            </c:numRef>
          </c:val>
        </c:ser>
        <c:ser>
          <c:idx val="2"/>
          <c:order val="2"/>
          <c:tx>
            <c:strRef>
              <c:f>'LICENCE PRO. 1ère ANNEE'!$D$121:$D$126</c:f>
              <c:strCache>
                <c:ptCount val="1"/>
                <c:pt idx="0">
                  <c:v>1ère Année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'LICENCE PRO. 1ère ANNEE'!$A$127:$A$141</c:f>
              <c:strCache>
                <c:ptCount val="15"/>
                <c:pt idx="0">
                  <c:v>N°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/>
                </c:pt>
              </c:strCache>
            </c:strRef>
          </c:cat>
          <c:val>
            <c:numRef>
              <c:f>'LICENCE PRO. 1ère ANNEE'!$D$127:$D$141</c:f>
              <c:numCache>
                <c:formatCode>#,##0</c:formatCode>
                <c:ptCount val="15"/>
                <c:pt idx="1">
                  <c:v>417000</c:v>
                </c:pt>
                <c:pt idx="2">
                  <c:v>416500</c:v>
                </c:pt>
                <c:pt idx="3">
                  <c:v>416500</c:v>
                </c:pt>
                <c:pt idx="4">
                  <c:v>417000</c:v>
                </c:pt>
                <c:pt idx="5">
                  <c:v>416500</c:v>
                </c:pt>
                <c:pt idx="6">
                  <c:v>416500</c:v>
                </c:pt>
                <c:pt idx="7">
                  <c:v>416500</c:v>
                </c:pt>
                <c:pt idx="8">
                  <c:v>416500</c:v>
                </c:pt>
                <c:pt idx="9">
                  <c:v>416500</c:v>
                </c:pt>
                <c:pt idx="10">
                  <c:v>416500</c:v>
                </c:pt>
                <c:pt idx="11">
                  <c:v>416500</c:v>
                </c:pt>
                <c:pt idx="12">
                  <c:v>416500</c:v>
                </c:pt>
                <c:pt idx="13">
                  <c:v>416500</c:v>
                </c:pt>
                <c:pt idx="14">
                  <c:v>5415500</c:v>
                </c:pt>
              </c:numCache>
            </c:numRef>
          </c:val>
        </c:ser>
        <c:ser>
          <c:idx val="3"/>
          <c:order val="3"/>
          <c:tx>
            <c:strRef>
              <c:f>'LICENCE PRO. 1ère ANNEE'!$E$121:$E$126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'LICENCE PRO. 1ère ANNEE'!$A$127:$A$141</c:f>
              <c:strCache>
                <c:ptCount val="15"/>
                <c:pt idx="0">
                  <c:v>N°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/>
                </c:pt>
              </c:strCache>
            </c:strRef>
          </c:cat>
          <c:val>
            <c:numRef>
              <c:f>'LICENCE PRO. 1ère ANNEE'!$E$127:$E$141</c:f>
              <c:numCache>
                <c:formatCode>#,##0</c:formatCode>
                <c:ptCount val="15"/>
                <c:pt idx="1">
                  <c:v>-500</c:v>
                </c:pt>
                <c:pt idx="2">
                  <c:v>0</c:v>
                </c:pt>
                <c:pt idx="3">
                  <c:v>0</c:v>
                </c:pt>
                <c:pt idx="4">
                  <c:v>-500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</c:v>
                </c:pt>
              </c:numCache>
            </c:numRef>
          </c:val>
        </c:ser>
        <c:gapWidth val="150"/>
        <c:overlap val="0"/>
        <c:axId val="50624613"/>
        <c:axId val="62734616"/>
      </c:barChart>
      <c:catAx>
        <c:axId val="506246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62734616"/>
        <c:crosses val="autoZero"/>
        <c:auto val="1"/>
        <c:lblAlgn val="ctr"/>
        <c:lblOffset val="100"/>
        <c:noMultiLvlLbl val="0"/>
      </c:catAx>
      <c:valAx>
        <c:axId val="62734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062461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374760</xdr:colOff>
      <xdr:row>31</xdr:row>
      <xdr:rowOff>163440</xdr:rowOff>
    </xdr:to>
    <xdr:graphicFrame>
      <xdr:nvGraphicFramePr>
        <xdr:cNvPr id="0" name="Graphique 1"/>
        <xdr:cNvGraphicFramePr/>
      </xdr:nvGraphicFramePr>
      <xdr:xfrm>
        <a:off x="0" y="0"/>
        <a:ext cx="9802080" cy="60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C:/Users/TIC04/AppData/Roaming/Microsoft/Excel/Effectif%20%202010%20-%202011%20Modifi&#233;%20le%2026%20mars%202012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mAn"/>
      <sheetName val="DeuxAn"/>
      <sheetName val="TroisAn"/>
      <sheetName val="QuatrAn"/>
      <sheetName val="BtsGc"/>
      <sheetName val="Ingénieurs"/>
      <sheetName val="Récap"/>
      <sheetName val="RECTTE GLOBALE 201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30" colorId="64" zoomScale="110" zoomScaleNormal="110" zoomScalePageLayoutView="100" workbookViewId="0">
      <selection pane="topLeft" activeCell="A1" activeCellId="0" sqref="A1"/>
    </sheetView>
  </sheetViews>
  <sheetFormatPr defaultColWidth="10.28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1048576"/>
  <sheetViews>
    <sheetView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I301" activeCellId="0" sqref="I301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86"/>
    <col collapsed="false" customWidth="true" hidden="false" outlineLevel="0" max="2" min="2" style="1" width="31.71"/>
    <col collapsed="false" customWidth="true" hidden="false" outlineLevel="0" max="3" min="3" style="1" width="16.14"/>
    <col collapsed="false" customWidth="true" hidden="false" outlineLevel="0" max="4" min="4" style="1" width="12.43"/>
    <col collapsed="false" customWidth="true" hidden="false" outlineLevel="0" max="5" min="5" style="1" width="12.71"/>
    <col collapsed="false" customWidth="true" hidden="false" outlineLevel="0" max="16384" min="16377" style="0" width="11.53"/>
  </cols>
  <sheetData>
    <row r="3" customFormat="false" ht="17.35" hidden="false" customHeight="false" outlineLevel="0" collapsed="false">
      <c r="A3" s="2"/>
      <c r="B3" s="2" t="s">
        <v>0</v>
      </c>
    </row>
    <row r="5" customFormat="false" ht="17.25" hidden="false" customHeight="false" outlineLevel="0" collapsed="false">
      <c r="B5" s="3" t="s">
        <v>1</v>
      </c>
    </row>
    <row r="8" customFormat="false" ht="17.25" hidden="false" customHeight="false" outlineLevel="0" collapsed="false">
      <c r="B8" s="4" t="s">
        <v>2</v>
      </c>
      <c r="D8" s="5" t="s">
        <v>3</v>
      </c>
    </row>
    <row r="10" customFormat="false" ht="15" hidden="false" customHeight="false" outlineLevel="0" collapsed="false">
      <c r="A10" s="6" t="s">
        <v>4</v>
      </c>
      <c r="B10" s="7" t="s">
        <v>5</v>
      </c>
      <c r="C10" s="8" t="s">
        <v>6</v>
      </c>
      <c r="D10" s="9" t="s">
        <v>7</v>
      </c>
      <c r="E10" s="10" t="s">
        <v>8</v>
      </c>
    </row>
    <row r="11" customFormat="false" ht="15" hidden="false" customHeight="false" outlineLevel="0" collapsed="false">
      <c r="A11" s="1" t="n">
        <v>1</v>
      </c>
      <c r="B11" s="11" t="s">
        <v>9</v>
      </c>
      <c r="C11" s="12" t="n">
        <v>416500</v>
      </c>
      <c r="D11" s="12" t="n">
        <f aca="false">100000+316000+500</f>
        <v>416500</v>
      </c>
      <c r="E11" s="13" t="n">
        <f aca="false">C11-D11</f>
        <v>0</v>
      </c>
    </row>
    <row r="12" customFormat="false" ht="15" hidden="false" customHeight="false" outlineLevel="0" collapsed="false">
      <c r="A12" s="14" t="n">
        <v>2</v>
      </c>
      <c r="B12" s="11" t="s">
        <v>10</v>
      </c>
      <c r="C12" s="12" t="n">
        <v>416500</v>
      </c>
      <c r="D12" s="12" t="n">
        <f aca="false">250000+166500</f>
        <v>416500</v>
      </c>
      <c r="E12" s="13" t="n">
        <f aca="false">C12-D12</f>
        <v>0</v>
      </c>
    </row>
    <row r="13" customFormat="false" ht="15" hidden="false" customHeight="false" outlineLevel="0" collapsed="false">
      <c r="A13" s="14" t="n">
        <v>3</v>
      </c>
      <c r="B13" s="11" t="s">
        <v>11</v>
      </c>
      <c r="C13" s="12" t="n">
        <v>416500</v>
      </c>
      <c r="D13" s="12" t="n">
        <f aca="false">200000+100000+116500</f>
        <v>416500</v>
      </c>
      <c r="E13" s="13" t="n">
        <f aca="false">C13-D13</f>
        <v>0</v>
      </c>
    </row>
    <row r="14" customFormat="false" ht="15" hidden="false" customHeight="false" outlineLevel="0" collapsed="false">
      <c r="A14" s="14" t="n">
        <v>4</v>
      </c>
      <c r="B14" s="11" t="s">
        <v>12</v>
      </c>
      <c r="C14" s="12" t="n">
        <v>416500</v>
      </c>
      <c r="D14" s="12" t="n">
        <f aca="false">150000+100000+166500</f>
        <v>416500</v>
      </c>
      <c r="E14" s="13" t="n">
        <f aca="false">C14-D14</f>
        <v>0</v>
      </c>
    </row>
    <row r="15" customFormat="false" ht="15" hidden="false" customHeight="false" outlineLevel="0" collapsed="false">
      <c r="A15" s="14" t="n">
        <v>5</v>
      </c>
      <c r="B15" s="11" t="s">
        <v>13</v>
      </c>
      <c r="C15" s="12" t="n">
        <v>416500</v>
      </c>
      <c r="D15" s="12" t="n">
        <f aca="false">200000+150000+70000</f>
        <v>420000</v>
      </c>
      <c r="E15" s="13" t="n">
        <f aca="false">C15-D15</f>
        <v>-3500</v>
      </c>
    </row>
    <row r="16" customFormat="false" ht="15" hidden="false" customHeight="false" outlineLevel="0" collapsed="false">
      <c r="A16" s="14" t="n">
        <v>6</v>
      </c>
      <c r="B16" s="15" t="s">
        <v>14</v>
      </c>
      <c r="C16" s="12" t="n">
        <v>416500</v>
      </c>
      <c r="D16" s="12" t="n">
        <f aca="false">100000</f>
        <v>100000</v>
      </c>
      <c r="E16" s="13" t="n">
        <f aca="false">C16-D16</f>
        <v>316500</v>
      </c>
    </row>
    <row r="17" customFormat="false" ht="15" hidden="false" customHeight="false" outlineLevel="0" collapsed="false">
      <c r="A17" s="14" t="n">
        <v>7</v>
      </c>
      <c r="B17" s="11" t="s">
        <v>15</v>
      </c>
      <c r="C17" s="12" t="n">
        <v>416500</v>
      </c>
      <c r="D17" s="12" t="n">
        <f aca="false">120000+100000+150000+46500</f>
        <v>416500</v>
      </c>
      <c r="E17" s="13" t="n">
        <f aca="false">C17-D17</f>
        <v>0</v>
      </c>
    </row>
    <row r="18" customFormat="false" ht="15" hidden="false" customHeight="false" outlineLevel="0" collapsed="false">
      <c r="A18" s="14" t="n">
        <v>8</v>
      </c>
      <c r="B18" s="11" t="s">
        <v>16</v>
      </c>
      <c r="C18" s="12" t="n">
        <v>416500</v>
      </c>
      <c r="D18" s="12" t="n">
        <f aca="false">210000+130000+76000+500</f>
        <v>416500</v>
      </c>
      <c r="E18" s="13" t="n">
        <f aca="false">C18-D18</f>
        <v>0</v>
      </c>
    </row>
    <row r="19" customFormat="false" ht="15" hidden="false" customHeight="false" outlineLevel="0" collapsed="false">
      <c r="A19" s="14" t="n">
        <v>9</v>
      </c>
      <c r="B19" s="11" t="s">
        <v>17</v>
      </c>
      <c r="C19" s="12" t="n">
        <v>416500</v>
      </c>
      <c r="D19" s="12" t="n">
        <f aca="false">217500+100000+99000</f>
        <v>416500</v>
      </c>
      <c r="E19" s="13" t="n">
        <f aca="false">C19-D19</f>
        <v>0</v>
      </c>
    </row>
    <row r="20" customFormat="false" ht="15" hidden="false" customHeight="false" outlineLevel="0" collapsed="false">
      <c r="A20" s="14" t="n">
        <v>10</v>
      </c>
      <c r="B20" s="16" t="s">
        <v>18</v>
      </c>
      <c r="C20" s="12" t="n">
        <v>416500</v>
      </c>
      <c r="D20" s="12" t="n">
        <f aca="false">200000+116500</f>
        <v>316500</v>
      </c>
      <c r="E20" s="13" t="n">
        <f aca="false">C20-D20</f>
        <v>100000</v>
      </c>
    </row>
    <row r="21" customFormat="false" ht="15" hidden="false" customHeight="false" outlineLevel="0" collapsed="false">
      <c r="A21" s="14" t="n">
        <v>11</v>
      </c>
      <c r="B21" s="11" t="s">
        <v>19</v>
      </c>
      <c r="C21" s="12" t="n">
        <v>416500</v>
      </c>
      <c r="D21" s="12" t="n">
        <f aca="false">216500+100000+100000</f>
        <v>416500</v>
      </c>
      <c r="E21" s="13" t="n">
        <f aca="false">C21-D21</f>
        <v>0</v>
      </c>
    </row>
    <row r="22" customFormat="false" ht="15" hidden="false" customHeight="false" outlineLevel="0" collapsed="false">
      <c r="A22" s="14" t="n">
        <v>12</v>
      </c>
      <c r="B22" s="11" t="s">
        <v>20</v>
      </c>
      <c r="C22" s="12" t="n">
        <v>416500</v>
      </c>
      <c r="D22" s="12" t="n">
        <f aca="false">150000+166500+100000</f>
        <v>416500</v>
      </c>
      <c r="E22" s="13" t="n">
        <f aca="false">C22-D22</f>
        <v>0</v>
      </c>
    </row>
    <row r="23" customFormat="false" ht="17.35" hidden="false" customHeight="false" outlineLevel="0" collapsed="false">
      <c r="A23" s="17"/>
      <c r="B23" s="18" t="s">
        <v>21</v>
      </c>
      <c r="C23" s="19" t="n">
        <f aca="false">SUM(C11:C22)</f>
        <v>4998000</v>
      </c>
      <c r="D23" s="20" t="n">
        <f aca="false">SUM(D11:D22)</f>
        <v>4585000</v>
      </c>
      <c r="E23" s="21" t="n">
        <f aca="false">SUM(E11:E22)</f>
        <v>413000</v>
      </c>
    </row>
    <row r="27" customFormat="false" ht="17.35" hidden="false" customHeight="false" outlineLevel="0" collapsed="false">
      <c r="A27" s="22"/>
      <c r="B27" s="2" t="s">
        <v>0</v>
      </c>
    </row>
    <row r="28" customFormat="false" ht="15" hidden="false" customHeight="false" outlineLevel="0" collapsed="false">
      <c r="A28" s="22"/>
    </row>
    <row r="29" customFormat="false" ht="15" hidden="false" customHeight="false" outlineLevel="0" collapsed="false">
      <c r="A29" s="22"/>
    </row>
    <row r="30" customFormat="false" ht="17.25" hidden="false" customHeight="false" outlineLevel="0" collapsed="false">
      <c r="A30" s="22"/>
      <c r="B30" s="4" t="s">
        <v>22</v>
      </c>
      <c r="D30" s="5" t="s">
        <v>3</v>
      </c>
    </row>
    <row r="31" customFormat="false" ht="15" hidden="false" customHeight="false" outlineLevel="0" collapsed="false">
      <c r="A31" s="22"/>
    </row>
    <row r="32" customFormat="false" ht="15" hidden="false" customHeight="false" outlineLevel="0" collapsed="false">
      <c r="A32" s="6" t="s">
        <v>4</v>
      </c>
      <c r="B32" s="7" t="s">
        <v>5</v>
      </c>
      <c r="C32" s="8" t="s">
        <v>6</v>
      </c>
      <c r="D32" s="9" t="s">
        <v>7</v>
      </c>
      <c r="E32" s="10" t="s">
        <v>8</v>
      </c>
    </row>
    <row r="33" customFormat="false" ht="15" hidden="false" customHeight="false" outlineLevel="0" collapsed="false">
      <c r="A33" s="14" t="n">
        <v>1</v>
      </c>
      <c r="B33" s="23" t="s">
        <v>23</v>
      </c>
      <c r="C33" s="12" t="n">
        <v>416500</v>
      </c>
      <c r="D33" s="12" t="n">
        <f aca="false">216500+200000</f>
        <v>416500</v>
      </c>
      <c r="E33" s="13" t="n">
        <f aca="false">C33-D33</f>
        <v>0</v>
      </c>
    </row>
    <row r="34" customFormat="false" ht="15" hidden="false" customHeight="false" outlineLevel="0" collapsed="false">
      <c r="A34" s="14" t="n">
        <v>2</v>
      </c>
      <c r="B34" s="11" t="s">
        <v>24</v>
      </c>
      <c r="C34" s="12" t="n">
        <v>416500</v>
      </c>
      <c r="D34" s="12" t="n">
        <f aca="false">150000+66500+25000+100000+75000</f>
        <v>416500</v>
      </c>
      <c r="E34" s="13" t="n">
        <f aca="false">C34-D34</f>
        <v>0</v>
      </c>
    </row>
    <row r="35" customFormat="false" ht="15" hidden="false" customHeight="false" outlineLevel="0" collapsed="false">
      <c r="A35" s="14" t="n">
        <v>3</v>
      </c>
      <c r="B35" s="11" t="s">
        <v>25</v>
      </c>
      <c r="C35" s="12" t="n">
        <v>416500</v>
      </c>
      <c r="D35" s="12" t="n">
        <f aca="false">220000+500+175000+21000</f>
        <v>416500</v>
      </c>
      <c r="E35" s="13" t="n">
        <f aca="false">C35-D35</f>
        <v>0</v>
      </c>
    </row>
    <row r="36" customFormat="false" ht="15" hidden="false" customHeight="false" outlineLevel="0" collapsed="false">
      <c r="A36" s="14" t="n">
        <v>4</v>
      </c>
      <c r="B36" s="11" t="s">
        <v>26</v>
      </c>
      <c r="C36" s="12" t="n">
        <v>416500</v>
      </c>
      <c r="D36" s="12" t="n">
        <f aca="false">150000+80000+186000+500</f>
        <v>416500</v>
      </c>
      <c r="E36" s="13" t="n">
        <f aca="false">C36-D36</f>
        <v>0</v>
      </c>
    </row>
    <row r="37" customFormat="false" ht="15" hidden="false" customHeight="false" outlineLevel="0" collapsed="false">
      <c r="A37" s="14" t="n">
        <v>5</v>
      </c>
      <c r="B37" s="11" t="s">
        <v>27</v>
      </c>
      <c r="C37" s="12" t="n">
        <v>416500</v>
      </c>
      <c r="D37" s="12" t="n">
        <f aca="false">220000+196000+500</f>
        <v>416500</v>
      </c>
      <c r="E37" s="13" t="n">
        <f aca="false">C37-D37</f>
        <v>0</v>
      </c>
    </row>
    <row r="38" customFormat="false" ht="15" hidden="false" customHeight="false" outlineLevel="0" collapsed="false">
      <c r="A38" s="14" t="n">
        <v>6</v>
      </c>
      <c r="B38" s="11" t="s">
        <v>28</v>
      </c>
      <c r="C38" s="12" t="n">
        <v>416500</v>
      </c>
      <c r="D38" s="12" t="n">
        <f aca="false">100000+100000+200000+16500</f>
        <v>416500</v>
      </c>
      <c r="E38" s="13" t="n">
        <f aca="false">C38-D38</f>
        <v>0</v>
      </c>
    </row>
    <row r="39" customFormat="false" ht="15" hidden="false" customHeight="false" outlineLevel="0" collapsed="false">
      <c r="A39" s="14" t="n">
        <v>7</v>
      </c>
      <c r="B39" s="11" t="s">
        <v>29</v>
      </c>
      <c r="C39" s="12" t="n">
        <v>416500</v>
      </c>
      <c r="D39" s="12" t="n">
        <f aca="false">216000+200500</f>
        <v>416500</v>
      </c>
      <c r="E39" s="13" t="n">
        <f aca="false">C39-D39</f>
        <v>0</v>
      </c>
    </row>
    <row r="40" customFormat="false" ht="15" hidden="false" customHeight="false" outlineLevel="0" collapsed="false">
      <c r="A40" s="14" t="n">
        <v>8</v>
      </c>
      <c r="B40" s="11" t="s">
        <v>30</v>
      </c>
      <c r="C40" s="12" t="n">
        <v>416500</v>
      </c>
      <c r="D40" s="12" t="n">
        <f aca="false">150000+50000+100000+60000+56500</f>
        <v>416500</v>
      </c>
      <c r="E40" s="13" t="n">
        <f aca="false">C40-D40</f>
        <v>0</v>
      </c>
    </row>
    <row r="41" customFormat="false" ht="15" hidden="false" customHeight="false" outlineLevel="0" collapsed="false">
      <c r="A41" s="14" t="n">
        <v>9</v>
      </c>
      <c r="B41" s="11" t="s">
        <v>31</v>
      </c>
      <c r="C41" s="12" t="n">
        <v>416500</v>
      </c>
      <c r="D41" s="12" t="n">
        <f aca="false">100000+60000+51000+120000+85000+500</f>
        <v>416500</v>
      </c>
      <c r="E41" s="13" t="n">
        <f aca="false">C41-D41</f>
        <v>0</v>
      </c>
    </row>
    <row r="42" customFormat="false" ht="15" hidden="false" customHeight="false" outlineLevel="0" collapsed="false">
      <c r="A42" s="14" t="n">
        <v>10</v>
      </c>
      <c r="B42" s="11" t="s">
        <v>32</v>
      </c>
      <c r="C42" s="12" t="n">
        <v>416500</v>
      </c>
      <c r="D42" s="12" t="n">
        <f aca="false">216000+200000+500</f>
        <v>416500</v>
      </c>
      <c r="E42" s="13" t="n">
        <f aca="false">C42-D42</f>
        <v>0</v>
      </c>
    </row>
    <row r="43" customFormat="false" ht="15" hidden="false" customHeight="false" outlineLevel="0" collapsed="false">
      <c r="A43" s="14" t="n">
        <v>11</v>
      </c>
      <c r="B43" s="11" t="s">
        <v>33</v>
      </c>
      <c r="C43" s="12" t="n">
        <v>416500</v>
      </c>
      <c r="D43" s="12" t="n">
        <f aca="false">216000+200000</f>
        <v>416000</v>
      </c>
      <c r="E43" s="13" t="n">
        <f aca="false">C43-D43</f>
        <v>500</v>
      </c>
    </row>
    <row r="44" customFormat="false" ht="15" hidden="false" customHeight="false" outlineLevel="0" collapsed="false">
      <c r="A44" s="14" t="n">
        <v>12</v>
      </c>
      <c r="B44" s="11" t="s">
        <v>34</v>
      </c>
      <c r="C44" s="12" t="n">
        <v>416500</v>
      </c>
      <c r="D44" s="12" t="n">
        <f aca="false">216000+200000+500</f>
        <v>416500</v>
      </c>
      <c r="E44" s="13" t="n">
        <f aca="false">C44-D44</f>
        <v>0</v>
      </c>
    </row>
    <row r="45" customFormat="false" ht="15" hidden="false" customHeight="false" outlineLevel="0" collapsed="false">
      <c r="A45" s="14" t="n">
        <v>13</v>
      </c>
      <c r="B45" s="11" t="s">
        <v>35</v>
      </c>
      <c r="C45" s="12" t="n">
        <v>416500</v>
      </c>
      <c r="D45" s="12" t="n">
        <f aca="false">216500+200000</f>
        <v>416500</v>
      </c>
      <c r="E45" s="13" t="n">
        <f aca="false">C45-D45</f>
        <v>0</v>
      </c>
    </row>
    <row r="46" customFormat="false" ht="15" hidden="false" customHeight="false" outlineLevel="0" collapsed="false">
      <c r="A46" s="14" t="n">
        <v>14</v>
      </c>
      <c r="B46" s="11" t="s">
        <v>36</v>
      </c>
      <c r="C46" s="12" t="n">
        <v>416500</v>
      </c>
      <c r="D46" s="12" t="n">
        <f aca="false">100000+100000+216500</f>
        <v>416500</v>
      </c>
      <c r="E46" s="13" t="n">
        <f aca="false">C46-D46</f>
        <v>0</v>
      </c>
    </row>
    <row r="47" customFormat="false" ht="15" hidden="false" customHeight="false" outlineLevel="0" collapsed="false">
      <c r="A47" s="14" t="n">
        <v>15</v>
      </c>
      <c r="B47" s="11" t="s">
        <v>37</v>
      </c>
      <c r="C47" s="12" t="n">
        <v>416500</v>
      </c>
      <c r="D47" s="12" t="n">
        <f aca="false">250000+166500</f>
        <v>416500</v>
      </c>
      <c r="E47" s="13" t="n">
        <f aca="false">C47-D47</f>
        <v>0</v>
      </c>
    </row>
    <row r="48" customFormat="false" ht="15" hidden="false" customHeight="false" outlineLevel="0" collapsed="false">
      <c r="A48" s="14" t="n">
        <v>16</v>
      </c>
      <c r="B48" s="11" t="s">
        <v>38</v>
      </c>
      <c r="C48" s="12" t="n">
        <v>416500</v>
      </c>
      <c r="D48" s="12" t="n">
        <f aca="false">416500</f>
        <v>416500</v>
      </c>
      <c r="E48" s="13" t="n">
        <f aca="false">C48-D48</f>
        <v>0</v>
      </c>
    </row>
    <row r="49" customFormat="false" ht="15" hidden="false" customHeight="false" outlineLevel="0" collapsed="false">
      <c r="A49" s="14" t="n">
        <v>17</v>
      </c>
      <c r="B49" s="11" t="s">
        <v>39</v>
      </c>
      <c r="C49" s="12" t="n">
        <v>416500</v>
      </c>
      <c r="D49" s="12" t="n">
        <f aca="false">216500+100000+100000</f>
        <v>416500</v>
      </c>
      <c r="E49" s="13" t="n">
        <f aca="false">C49-D49</f>
        <v>0</v>
      </c>
    </row>
    <row r="50" customFormat="false" ht="15" hidden="false" customHeight="false" outlineLevel="0" collapsed="false">
      <c r="A50" s="14" t="n">
        <v>18</v>
      </c>
      <c r="B50" s="11" t="s">
        <v>40</v>
      </c>
      <c r="C50" s="12" t="n">
        <v>416500</v>
      </c>
      <c r="D50" s="12" t="n">
        <f aca="false">216500+180000+20000</f>
        <v>416500</v>
      </c>
      <c r="E50" s="13" t="n">
        <f aca="false">C50-D50</f>
        <v>0</v>
      </c>
    </row>
    <row r="51" customFormat="false" ht="15" hidden="false" customHeight="false" outlineLevel="0" collapsed="false">
      <c r="A51" s="14" t="n">
        <v>19</v>
      </c>
      <c r="B51" s="11" t="s">
        <v>41</v>
      </c>
      <c r="C51" s="12" t="n">
        <v>416500</v>
      </c>
      <c r="D51" s="12" t="n">
        <f aca="false">116500+110000+190000</f>
        <v>416500</v>
      </c>
      <c r="E51" s="13" t="n">
        <f aca="false">C51-D51</f>
        <v>0</v>
      </c>
    </row>
    <row r="52" customFormat="false" ht="15" hidden="false" customHeight="false" outlineLevel="0" collapsed="false">
      <c r="A52" s="24" t="n">
        <v>20</v>
      </c>
      <c r="B52" s="11" t="s">
        <v>42</v>
      </c>
      <c r="C52" s="12" t="n">
        <v>416500</v>
      </c>
      <c r="D52" s="12" t="n">
        <f aca="false">356000+60000+500</f>
        <v>416500</v>
      </c>
      <c r="E52" s="13" t="n">
        <f aca="false">C52-D52</f>
        <v>0</v>
      </c>
    </row>
    <row r="53" customFormat="false" ht="15" hidden="false" customHeight="false" outlineLevel="0" collapsed="false">
      <c r="A53" s="14" t="n">
        <v>21</v>
      </c>
      <c r="B53" s="11" t="s">
        <v>43</v>
      </c>
      <c r="C53" s="12" t="n">
        <v>416500</v>
      </c>
      <c r="D53" s="12" t="n">
        <f aca="false">100000+50000+150000+116500</f>
        <v>416500</v>
      </c>
      <c r="E53" s="13" t="n">
        <f aca="false">C53-D53</f>
        <v>0</v>
      </c>
    </row>
    <row r="54" customFormat="false" ht="15" hidden="false" customHeight="false" outlineLevel="0" collapsed="false">
      <c r="A54" s="14" t="n">
        <v>22</v>
      </c>
      <c r="B54" s="11" t="s">
        <v>44</v>
      </c>
      <c r="C54" s="12" t="n">
        <v>416500</v>
      </c>
      <c r="D54" s="12" t="n">
        <f aca="false">416000+500</f>
        <v>416500</v>
      </c>
      <c r="E54" s="13" t="n">
        <f aca="false">C54-D54</f>
        <v>0</v>
      </c>
    </row>
    <row r="55" customFormat="false" ht="15" hidden="false" customHeight="false" outlineLevel="0" collapsed="false">
      <c r="A55" s="14" t="n">
        <v>23</v>
      </c>
      <c r="B55" s="11" t="s">
        <v>45</v>
      </c>
      <c r="C55" s="12" t="n">
        <v>416500</v>
      </c>
      <c r="D55" s="12" t="n">
        <f aca="false">216000+216000</f>
        <v>432000</v>
      </c>
      <c r="E55" s="13" t="n">
        <f aca="false">C55-D55</f>
        <v>-15500</v>
      </c>
    </row>
    <row r="56" customFormat="false" ht="15" hidden="false" customHeight="false" outlineLevel="0" collapsed="false">
      <c r="A56" s="14" t="n">
        <v>24</v>
      </c>
      <c r="B56" s="11" t="s">
        <v>46</v>
      </c>
      <c r="C56" s="12" t="n">
        <v>416500</v>
      </c>
      <c r="D56" s="12" t="n">
        <f aca="false">100000+116000</f>
        <v>216000</v>
      </c>
      <c r="E56" s="13" t="n">
        <f aca="false">C56-D56</f>
        <v>200500</v>
      </c>
    </row>
    <row r="57" customFormat="false" ht="15" hidden="false" customHeight="false" outlineLevel="0" collapsed="false">
      <c r="A57" s="14" t="n">
        <v>25</v>
      </c>
      <c r="B57" s="11" t="s">
        <v>47</v>
      </c>
      <c r="C57" s="12" t="n">
        <v>416500</v>
      </c>
      <c r="D57" s="12" t="n">
        <f aca="false">100000+120000+196500</f>
        <v>416500</v>
      </c>
      <c r="E57" s="13" t="n">
        <f aca="false">C57-D57</f>
        <v>0</v>
      </c>
    </row>
    <row r="58" customFormat="false" ht="15" hidden="false" customHeight="false" outlineLevel="0" collapsed="false">
      <c r="A58" s="14" t="n">
        <v>26</v>
      </c>
      <c r="B58" s="11" t="s">
        <v>48</v>
      </c>
      <c r="C58" s="12" t="n">
        <v>416500</v>
      </c>
      <c r="D58" s="12" t="n">
        <f aca="false">400000+16500</f>
        <v>416500</v>
      </c>
      <c r="E58" s="13" t="n">
        <f aca="false">C58-D58</f>
        <v>0</v>
      </c>
    </row>
    <row r="59" customFormat="false" ht="15" hidden="false" customHeight="false" outlineLevel="0" collapsed="false">
      <c r="A59" s="14" t="n">
        <v>27</v>
      </c>
      <c r="B59" s="11" t="s">
        <v>49</v>
      </c>
      <c r="C59" s="12" t="n">
        <v>416500</v>
      </c>
      <c r="D59" s="12" t="n">
        <v>416500</v>
      </c>
      <c r="E59" s="13" t="n">
        <f aca="false">C59-D59</f>
        <v>0</v>
      </c>
    </row>
    <row r="60" customFormat="false" ht="15" hidden="false" customHeight="false" outlineLevel="0" collapsed="false">
      <c r="A60" s="14" t="n">
        <v>28</v>
      </c>
      <c r="B60" s="11" t="s">
        <v>50</v>
      </c>
      <c r="C60" s="12" t="n">
        <v>416500</v>
      </c>
      <c r="D60" s="12" t="n">
        <f aca="false">216500+200000</f>
        <v>416500</v>
      </c>
      <c r="E60" s="13" t="n">
        <f aca="false">C60-D60</f>
        <v>0</v>
      </c>
    </row>
    <row r="61" customFormat="false" ht="15" hidden="false" customHeight="false" outlineLevel="0" collapsed="false">
      <c r="A61" s="14" t="n">
        <v>29</v>
      </c>
      <c r="B61" s="11" t="s">
        <v>51</v>
      </c>
      <c r="C61" s="12" t="n">
        <v>416500</v>
      </c>
      <c r="D61" s="12" t="n">
        <f aca="false">50000+50000+100000+216000+500</f>
        <v>416500</v>
      </c>
      <c r="E61" s="13" t="n">
        <f aca="false">C61-D61</f>
        <v>0</v>
      </c>
    </row>
    <row r="62" customFormat="false" ht="15" hidden="false" customHeight="false" outlineLevel="0" collapsed="false">
      <c r="A62" s="14" t="n">
        <v>30</v>
      </c>
      <c r="B62" s="11" t="s">
        <v>52</v>
      </c>
      <c r="C62" s="12" t="n">
        <v>416500</v>
      </c>
      <c r="D62" s="12" t="n">
        <f aca="false">100000+116500+200000</f>
        <v>416500</v>
      </c>
      <c r="E62" s="13" t="n">
        <f aca="false">C62-D62</f>
        <v>0</v>
      </c>
    </row>
    <row r="63" customFormat="false" ht="15" hidden="false" customHeight="false" outlineLevel="0" collapsed="false">
      <c r="A63" s="14" t="n">
        <v>31</v>
      </c>
      <c r="B63" s="11" t="s">
        <v>53</v>
      </c>
      <c r="C63" s="12" t="n">
        <v>416500</v>
      </c>
      <c r="D63" s="12" t="n">
        <f aca="false">215000+200000+1500</f>
        <v>416500</v>
      </c>
      <c r="E63" s="13" t="n">
        <f aca="false">C63-D63</f>
        <v>0</v>
      </c>
    </row>
    <row r="64" customFormat="false" ht="15" hidden="false" customHeight="false" outlineLevel="0" collapsed="false">
      <c r="A64" s="14" t="n">
        <v>32</v>
      </c>
      <c r="B64" s="11" t="s">
        <v>54</v>
      </c>
      <c r="C64" s="12" t="n">
        <v>416500</v>
      </c>
      <c r="D64" s="12" t="n">
        <f aca="false">216500+200000</f>
        <v>416500</v>
      </c>
      <c r="E64" s="13" t="n">
        <f aca="false">C64-D64</f>
        <v>0</v>
      </c>
    </row>
    <row r="65" customFormat="false" ht="15" hidden="false" customHeight="false" outlineLevel="0" collapsed="false">
      <c r="A65" s="14" t="n">
        <v>33</v>
      </c>
      <c r="B65" s="11" t="s">
        <v>55</v>
      </c>
      <c r="C65" s="12" t="n">
        <v>416500</v>
      </c>
      <c r="D65" s="12" t="n">
        <f aca="false">100000+100000+100000+100000+16500</f>
        <v>416500</v>
      </c>
      <c r="E65" s="13" t="n">
        <f aca="false">C65-D65</f>
        <v>0</v>
      </c>
    </row>
    <row r="66" customFormat="false" ht="15" hidden="false" customHeight="false" outlineLevel="0" collapsed="false">
      <c r="A66" s="14" t="n">
        <v>34</v>
      </c>
      <c r="B66" s="11" t="s">
        <v>56</v>
      </c>
      <c r="C66" s="12" t="n">
        <v>416500</v>
      </c>
      <c r="D66" s="12" t="n">
        <f aca="false">217000+3000+196500</f>
        <v>416500</v>
      </c>
      <c r="E66" s="13" t="n">
        <f aca="false">C66-D66</f>
        <v>0</v>
      </c>
    </row>
    <row r="67" customFormat="false" ht="15" hidden="false" customHeight="false" outlineLevel="0" collapsed="false">
      <c r="A67" s="14" t="n">
        <v>35</v>
      </c>
      <c r="B67" s="11" t="s">
        <v>57</v>
      </c>
      <c r="C67" s="12" t="n">
        <v>416500</v>
      </c>
      <c r="D67" s="12" t="n">
        <f aca="false">217500+99000+100000</f>
        <v>416500</v>
      </c>
      <c r="E67" s="13" t="n">
        <f aca="false">C67-D67</f>
        <v>0</v>
      </c>
    </row>
    <row r="68" customFormat="false" ht="15" hidden="false" customHeight="false" outlineLevel="0" collapsed="false">
      <c r="A68" s="14" t="n">
        <v>36</v>
      </c>
      <c r="B68" s="11" t="s">
        <v>58</v>
      </c>
      <c r="C68" s="12" t="n">
        <v>416500</v>
      </c>
      <c r="D68" s="12" t="n">
        <f aca="false">100000+216500+100000</f>
        <v>416500</v>
      </c>
      <c r="E68" s="13" t="n">
        <f aca="false">C68-D68</f>
        <v>0</v>
      </c>
    </row>
    <row r="69" customFormat="false" ht="15" hidden="false" customHeight="false" outlineLevel="0" collapsed="false">
      <c r="A69" s="14" t="n">
        <v>37</v>
      </c>
      <c r="B69" s="11" t="s">
        <v>59</v>
      </c>
      <c r="C69" s="12" t="n">
        <v>416500</v>
      </c>
      <c r="D69" s="12" t="n">
        <f aca="false">216000</f>
        <v>216000</v>
      </c>
      <c r="E69" s="13" t="n">
        <f aca="false">C69-D69</f>
        <v>200500</v>
      </c>
    </row>
    <row r="70" customFormat="false" ht="15" hidden="false" customHeight="false" outlineLevel="0" collapsed="false">
      <c r="A70" s="14" t="n">
        <v>38</v>
      </c>
      <c r="B70" s="11" t="s">
        <v>60</v>
      </c>
      <c r="C70" s="12" t="n">
        <v>416500</v>
      </c>
      <c r="D70" s="12" t="n">
        <f aca="false">100000+200000+116500</f>
        <v>416500</v>
      </c>
      <c r="E70" s="13" t="n">
        <f aca="false">C70-D70</f>
        <v>0</v>
      </c>
    </row>
    <row r="71" customFormat="false" ht="15" hidden="false" customHeight="false" outlineLevel="0" collapsed="false">
      <c r="A71" s="14" t="n">
        <v>39</v>
      </c>
      <c r="B71" s="11" t="s">
        <v>61</v>
      </c>
      <c r="C71" s="12" t="n">
        <v>416500</v>
      </c>
      <c r="D71" s="12" t="n">
        <f aca="false">216500+100000+100000</f>
        <v>416500</v>
      </c>
      <c r="E71" s="13" t="n">
        <f aca="false">C71-D71</f>
        <v>0</v>
      </c>
    </row>
    <row r="72" customFormat="false" ht="15" hidden="false" customHeight="false" outlineLevel="0" collapsed="false">
      <c r="A72" s="14" t="n">
        <v>40</v>
      </c>
      <c r="B72" s="11" t="s">
        <v>62</v>
      </c>
      <c r="C72" s="12" t="n">
        <v>416500</v>
      </c>
      <c r="D72" s="12" t="n">
        <f aca="false">216000</f>
        <v>216000</v>
      </c>
      <c r="E72" s="13" t="n">
        <f aca="false">C72-D72</f>
        <v>200500</v>
      </c>
    </row>
    <row r="73" customFormat="false" ht="15" hidden="false" customHeight="false" outlineLevel="0" collapsed="false">
      <c r="A73" s="14" t="n">
        <v>41</v>
      </c>
      <c r="B73" s="11" t="s">
        <v>63</v>
      </c>
      <c r="C73" s="12" t="n">
        <v>416500</v>
      </c>
      <c r="D73" s="12" t="n">
        <f aca="false">216000+100000</f>
        <v>316000</v>
      </c>
      <c r="E73" s="13" t="n">
        <f aca="false">C73-D73</f>
        <v>100500</v>
      </c>
    </row>
    <row r="74" customFormat="false" ht="15" hidden="false" customHeight="false" outlineLevel="0" collapsed="false">
      <c r="A74" s="14" t="n">
        <v>42</v>
      </c>
      <c r="B74" s="11" t="s">
        <v>64</v>
      </c>
      <c r="C74" s="12" t="n">
        <v>416500</v>
      </c>
      <c r="D74" s="12" t="n">
        <f aca="false">150000+40000+60000+100000+26500+40000</f>
        <v>416500</v>
      </c>
      <c r="E74" s="13" t="n">
        <f aca="false">C74-D74</f>
        <v>0</v>
      </c>
    </row>
    <row r="75" customFormat="false" ht="15" hidden="false" customHeight="false" outlineLevel="0" collapsed="false">
      <c r="A75" s="14" t="n">
        <v>43</v>
      </c>
      <c r="B75" s="25" t="s">
        <v>65</v>
      </c>
      <c r="C75" s="12" t="n">
        <v>416500</v>
      </c>
      <c r="D75" s="26" t="n">
        <f aca="false">220000+50000+146000+500</f>
        <v>416500</v>
      </c>
      <c r="E75" s="13" t="n">
        <f aca="false">C75-D75</f>
        <v>0</v>
      </c>
    </row>
    <row r="76" customFormat="false" ht="15" hidden="false" customHeight="false" outlineLevel="0" collapsed="false">
      <c r="A76" s="14" t="n">
        <v>44</v>
      </c>
      <c r="B76" s="11" t="s">
        <v>66</v>
      </c>
      <c r="C76" s="12" t="n">
        <v>416500</v>
      </c>
      <c r="D76" s="12" t="n">
        <f aca="false">216500+130000+70000</f>
        <v>416500</v>
      </c>
      <c r="E76" s="13" t="n">
        <f aca="false">C76-D76</f>
        <v>0</v>
      </c>
    </row>
    <row r="77" customFormat="false" ht="15" hidden="false" customHeight="false" outlineLevel="0" collapsed="false">
      <c r="A77" s="14" t="n">
        <v>45</v>
      </c>
      <c r="B77" s="11" t="s">
        <v>67</v>
      </c>
      <c r="C77" s="12" t="n">
        <v>416500</v>
      </c>
      <c r="D77" s="12" t="n">
        <f aca="false">416500</f>
        <v>416500</v>
      </c>
      <c r="E77" s="13" t="n">
        <f aca="false">C77-D77</f>
        <v>0</v>
      </c>
    </row>
    <row r="78" customFormat="false" ht="15" hidden="false" customHeight="false" outlineLevel="0" collapsed="false">
      <c r="A78" s="14" t="n">
        <v>46</v>
      </c>
      <c r="B78" s="11" t="s">
        <v>68</v>
      </c>
      <c r="C78" s="12" t="n">
        <v>416500</v>
      </c>
      <c r="D78" s="12" t="n">
        <f aca="false">60000</f>
        <v>60000</v>
      </c>
      <c r="E78" s="13" t="n">
        <f aca="false">C78-D78</f>
        <v>356500</v>
      </c>
    </row>
    <row r="79" customFormat="false" ht="15" hidden="false" customHeight="false" outlineLevel="0" collapsed="false">
      <c r="A79" s="14" t="n">
        <v>47</v>
      </c>
      <c r="B79" s="11" t="s">
        <v>69</v>
      </c>
      <c r="C79" s="12" t="n">
        <v>416500</v>
      </c>
      <c r="D79" s="12" t="n">
        <f aca="false">416000+500</f>
        <v>416500</v>
      </c>
      <c r="E79" s="13" t="n">
        <f aca="false">C79-D79</f>
        <v>0</v>
      </c>
    </row>
    <row r="80" customFormat="false" ht="17.35" hidden="false" customHeight="false" outlineLevel="0" collapsed="false">
      <c r="A80" s="14"/>
      <c r="B80" s="18" t="s">
        <v>21</v>
      </c>
      <c r="C80" s="19" t="n">
        <f aca="false">SUM(C33:C79)</f>
        <v>19575500</v>
      </c>
      <c r="D80" s="20" t="n">
        <f aca="false">SUM(D33:D79)</f>
        <v>18532000</v>
      </c>
      <c r="E80" s="13" t="n">
        <f aca="false">C80-D80</f>
        <v>1043500</v>
      </c>
    </row>
    <row r="81" customFormat="false" ht="15" hidden="false" customHeight="false" outlineLevel="0" collapsed="false">
      <c r="A81" s="24"/>
    </row>
    <row r="83" customFormat="false" ht="17.35" hidden="false" customHeight="false" outlineLevel="0" collapsed="false">
      <c r="B83" s="2" t="s">
        <v>0</v>
      </c>
      <c r="C83" s="2"/>
    </row>
    <row r="85" customFormat="false" ht="15" hidden="false" customHeight="false" outlineLevel="0" collapsed="false">
      <c r="A85" s="22"/>
    </row>
    <row r="86" customFormat="false" ht="17.25" hidden="false" customHeight="false" outlineLevel="0" collapsed="false">
      <c r="A86" s="22"/>
      <c r="B86" s="4" t="s">
        <v>70</v>
      </c>
      <c r="D86" s="5" t="s">
        <v>3</v>
      </c>
    </row>
    <row r="87" customFormat="false" ht="15" hidden="false" customHeight="false" outlineLevel="0" collapsed="false">
      <c r="A87" s="22"/>
    </row>
    <row r="88" customFormat="false" ht="15" hidden="false" customHeight="false" outlineLevel="0" collapsed="false">
      <c r="A88" s="6" t="s">
        <v>4</v>
      </c>
      <c r="B88" s="7" t="s">
        <v>5</v>
      </c>
      <c r="C88" s="8" t="s">
        <v>6</v>
      </c>
      <c r="D88" s="9" t="s">
        <v>7</v>
      </c>
      <c r="E88" s="27" t="s">
        <v>8</v>
      </c>
    </row>
    <row r="89" customFormat="false" ht="15" hidden="false" customHeight="false" outlineLevel="0" collapsed="false">
      <c r="A89" s="14" t="n">
        <v>1</v>
      </c>
      <c r="B89" s="16" t="s">
        <v>71</v>
      </c>
      <c r="C89" s="12" t="n">
        <v>416500</v>
      </c>
      <c r="D89" s="28" t="n">
        <f aca="false">216500+200000</f>
        <v>416500</v>
      </c>
      <c r="E89" s="13" t="n">
        <f aca="false">C89-D89</f>
        <v>0</v>
      </c>
    </row>
    <row r="90" customFormat="false" ht="15" hidden="false" customHeight="false" outlineLevel="0" collapsed="false">
      <c r="A90" s="29" t="n">
        <v>2</v>
      </c>
      <c r="B90" s="16" t="s">
        <v>72</v>
      </c>
      <c r="C90" s="12" t="n">
        <v>416500</v>
      </c>
      <c r="D90" s="28" t="n">
        <f aca="false">50000+80000</f>
        <v>130000</v>
      </c>
      <c r="E90" s="13" t="n">
        <f aca="false">C90-D90</f>
        <v>286500</v>
      </c>
    </row>
    <row r="91" customFormat="false" ht="15" hidden="false" customHeight="false" outlineLevel="0" collapsed="false">
      <c r="A91" s="29" t="n">
        <v>3</v>
      </c>
      <c r="B91" s="16" t="s">
        <v>73</v>
      </c>
      <c r="C91" s="12" t="s">
        <v>74</v>
      </c>
      <c r="D91" s="28" t="n">
        <f aca="false">150000+50000+16500</f>
        <v>216500</v>
      </c>
      <c r="E91" s="13" t="s">
        <v>74</v>
      </c>
    </row>
    <row r="92" customFormat="false" ht="15" hidden="false" customHeight="false" outlineLevel="0" collapsed="false">
      <c r="A92" s="29" t="n">
        <v>4</v>
      </c>
      <c r="B92" s="16" t="s">
        <v>75</v>
      </c>
      <c r="C92" s="12" t="n">
        <v>416500</v>
      </c>
      <c r="D92" s="28" t="n">
        <f aca="false">216000</f>
        <v>216000</v>
      </c>
      <c r="E92" s="13" t="n">
        <f aca="false">C92-D92</f>
        <v>200500</v>
      </c>
    </row>
    <row r="93" customFormat="false" ht="15" hidden="false" customHeight="false" outlineLevel="0" collapsed="false">
      <c r="A93" s="14" t="n">
        <v>5</v>
      </c>
      <c r="B93" s="16" t="s">
        <v>76</v>
      </c>
      <c r="C93" s="12" t="n">
        <v>416500</v>
      </c>
      <c r="D93" s="28" t="n">
        <f aca="false">216500+40000</f>
        <v>256500</v>
      </c>
      <c r="E93" s="13" t="n">
        <f aca="false">C93-D93</f>
        <v>160000</v>
      </c>
    </row>
    <row r="94" customFormat="false" ht="15" hidden="false" customHeight="false" outlineLevel="0" collapsed="false">
      <c r="A94" s="14" t="n">
        <v>7</v>
      </c>
      <c r="B94" s="16" t="s">
        <v>77</v>
      </c>
      <c r="C94" s="12" t="n">
        <v>416500</v>
      </c>
      <c r="D94" s="28" t="n">
        <f aca="false">216500+200000</f>
        <v>416500</v>
      </c>
      <c r="E94" s="13" t="n">
        <f aca="false">C94-D94</f>
        <v>0</v>
      </c>
    </row>
    <row r="95" customFormat="false" ht="15" hidden="false" customHeight="false" outlineLevel="0" collapsed="false">
      <c r="A95" s="14" t="n">
        <v>8</v>
      </c>
      <c r="B95" s="16" t="s">
        <v>78</v>
      </c>
      <c r="C95" s="12" t="n">
        <v>416500</v>
      </c>
      <c r="D95" s="28" t="n">
        <f aca="false">150000+50000+100000+50000+50000</f>
        <v>400000</v>
      </c>
      <c r="E95" s="13" t="n">
        <f aca="false">C95-D95</f>
        <v>16500</v>
      </c>
    </row>
    <row r="96" customFormat="false" ht="15" hidden="false" customHeight="false" outlineLevel="0" collapsed="false">
      <c r="A96" s="14" t="n">
        <v>9</v>
      </c>
      <c r="B96" s="16" t="s">
        <v>79</v>
      </c>
      <c r="C96" s="12" t="n">
        <v>416500</v>
      </c>
      <c r="D96" s="28" t="n">
        <f aca="false">216500+100000+100000</f>
        <v>416500</v>
      </c>
      <c r="E96" s="13" t="n">
        <f aca="false">C96-D96</f>
        <v>0</v>
      </c>
    </row>
    <row r="97" customFormat="false" ht="15" hidden="false" customHeight="false" outlineLevel="0" collapsed="false">
      <c r="A97" s="14" t="n">
        <v>10</v>
      </c>
      <c r="B97" s="16" t="s">
        <v>80</v>
      </c>
      <c r="C97" s="12" t="n">
        <v>416500</v>
      </c>
      <c r="D97" s="28" t="n">
        <f aca="false">216500+200000</f>
        <v>416500</v>
      </c>
      <c r="E97" s="13" t="n">
        <f aca="false">C97-D97</f>
        <v>0</v>
      </c>
    </row>
    <row r="98" customFormat="false" ht="15" hidden="false" customHeight="false" outlineLevel="0" collapsed="false">
      <c r="A98" s="14" t="n">
        <v>11</v>
      </c>
      <c r="B98" s="16" t="s">
        <v>81</v>
      </c>
      <c r="C98" s="12" t="n">
        <v>416500</v>
      </c>
      <c r="D98" s="28" t="n">
        <f aca="false">390000</f>
        <v>390000</v>
      </c>
      <c r="E98" s="13" t="n">
        <f aca="false">C98-D98</f>
        <v>26500</v>
      </c>
    </row>
    <row r="99" customFormat="false" ht="15" hidden="false" customHeight="false" outlineLevel="0" collapsed="false">
      <c r="A99" s="14" t="n">
        <v>12</v>
      </c>
      <c r="B99" s="16" t="s">
        <v>82</v>
      </c>
      <c r="C99" s="12" t="n">
        <v>416500</v>
      </c>
      <c r="D99" s="28" t="n">
        <f aca="false">200000+167000+49500</f>
        <v>416500</v>
      </c>
      <c r="E99" s="13" t="n">
        <f aca="false">C99-D99</f>
        <v>0</v>
      </c>
    </row>
    <row r="100" customFormat="false" ht="15" hidden="false" customHeight="false" outlineLevel="0" collapsed="false">
      <c r="A100" s="14" t="n">
        <v>13</v>
      </c>
      <c r="B100" s="16" t="s">
        <v>83</v>
      </c>
      <c r="C100" s="12" t="n">
        <v>416500</v>
      </c>
      <c r="D100" s="28" t="n">
        <f aca="false">100000+100000+216500</f>
        <v>416500</v>
      </c>
      <c r="E100" s="13" t="n">
        <f aca="false">C100-D100</f>
        <v>0</v>
      </c>
    </row>
    <row r="101" customFormat="false" ht="15" hidden="false" customHeight="false" outlineLevel="0" collapsed="false">
      <c r="A101" s="14" t="n">
        <v>14</v>
      </c>
      <c r="B101" s="16" t="s">
        <v>84</v>
      </c>
      <c r="C101" s="12" t="n">
        <v>416500</v>
      </c>
      <c r="D101" s="28" t="n">
        <f aca="false">250000</f>
        <v>250000</v>
      </c>
      <c r="E101" s="13" t="n">
        <f aca="false">C101-D101</f>
        <v>166500</v>
      </c>
    </row>
    <row r="102" customFormat="false" ht="15" hidden="false" customHeight="false" outlineLevel="0" collapsed="false">
      <c r="A102" s="14" t="n">
        <v>15</v>
      </c>
      <c r="B102" s="16" t="s">
        <v>85</v>
      </c>
      <c r="C102" s="12" t="n">
        <v>416500</v>
      </c>
      <c r="D102" s="28" t="n">
        <f aca="false">216500+100000+100500</f>
        <v>417000</v>
      </c>
      <c r="E102" s="13" t="n">
        <f aca="false">C102-D102</f>
        <v>-500</v>
      </c>
    </row>
    <row r="103" customFormat="false" ht="15" hidden="false" customHeight="false" outlineLevel="0" collapsed="false">
      <c r="A103" s="14" t="n">
        <v>16</v>
      </c>
      <c r="B103" s="16" t="s">
        <v>86</v>
      </c>
      <c r="C103" s="12" t="n">
        <v>416500</v>
      </c>
      <c r="D103" s="28" t="n">
        <f aca="false">216500</f>
        <v>216500</v>
      </c>
      <c r="E103" s="13" t="n">
        <f aca="false">C103-D103</f>
        <v>200000</v>
      </c>
    </row>
    <row r="104" customFormat="false" ht="15" hidden="false" customHeight="false" outlineLevel="0" collapsed="false">
      <c r="A104" s="14" t="n">
        <v>17</v>
      </c>
      <c r="B104" s="16" t="s">
        <v>87</v>
      </c>
      <c r="C104" s="12" t="n">
        <v>416500</v>
      </c>
      <c r="D104" s="28" t="n">
        <f aca="false">200000+216500</f>
        <v>416500</v>
      </c>
      <c r="E104" s="13" t="n">
        <f aca="false">C104-D104</f>
        <v>0</v>
      </c>
    </row>
    <row r="105" customFormat="false" ht="15" hidden="false" customHeight="false" outlineLevel="0" collapsed="false">
      <c r="A105" s="14" t="n">
        <v>18</v>
      </c>
      <c r="B105" s="16" t="s">
        <v>88</v>
      </c>
      <c r="C105" s="12" t="n">
        <v>416500</v>
      </c>
      <c r="D105" s="28" t="n">
        <f aca="false">216500+170000+30000</f>
        <v>416500</v>
      </c>
      <c r="E105" s="13" t="n">
        <f aca="false">C105-D105</f>
        <v>0</v>
      </c>
    </row>
    <row r="106" customFormat="false" ht="15" hidden="false" customHeight="false" outlineLevel="0" collapsed="false">
      <c r="A106" s="14" t="n">
        <v>19</v>
      </c>
      <c r="B106" s="16" t="s">
        <v>89</v>
      </c>
      <c r="C106" s="12" t="n">
        <v>416500</v>
      </c>
      <c r="D106" s="28"/>
      <c r="E106" s="13" t="n">
        <v>416500</v>
      </c>
    </row>
    <row r="107" customFormat="false" ht="15" hidden="false" customHeight="false" outlineLevel="0" collapsed="false">
      <c r="A107" s="14" t="n">
        <v>20</v>
      </c>
      <c r="B107" s="16" t="s">
        <v>90</v>
      </c>
      <c r="C107" s="12" t="n">
        <v>416500</v>
      </c>
      <c r="D107" s="28" t="n">
        <f aca="false">216500+200000</f>
        <v>416500</v>
      </c>
      <c r="E107" s="13" t="n">
        <f aca="false">C107-D107</f>
        <v>0</v>
      </c>
    </row>
    <row r="108" customFormat="false" ht="15" hidden="false" customHeight="false" outlineLevel="0" collapsed="false">
      <c r="A108" s="14" t="n">
        <v>21</v>
      </c>
      <c r="B108" s="16" t="s">
        <v>91</v>
      </c>
      <c r="C108" s="12" t="n">
        <v>416500</v>
      </c>
      <c r="D108" s="28" t="n">
        <f aca="false">200000+216500</f>
        <v>416500</v>
      </c>
      <c r="E108" s="13" t="n">
        <f aca="false">C108-D108</f>
        <v>0</v>
      </c>
    </row>
    <row r="109" customFormat="false" ht="15" hidden="false" customHeight="false" outlineLevel="0" collapsed="false">
      <c r="A109" s="14" t="n">
        <v>22</v>
      </c>
      <c r="B109" s="16" t="s">
        <v>92</v>
      </c>
      <c r="C109" s="12" t="n">
        <v>416500</v>
      </c>
      <c r="D109" s="28"/>
      <c r="E109" s="13" t="n">
        <v>416500</v>
      </c>
    </row>
    <row r="110" customFormat="false" ht="15" hidden="false" customHeight="false" outlineLevel="0" collapsed="false">
      <c r="A110" s="14" t="n">
        <v>23</v>
      </c>
      <c r="B110" s="16" t="s">
        <v>93</v>
      </c>
      <c r="C110" s="12" t="n">
        <v>416500</v>
      </c>
      <c r="D110" s="28" t="n">
        <f aca="false">200000+166000</f>
        <v>366000</v>
      </c>
      <c r="E110" s="13" t="n">
        <f aca="false">C110-D110</f>
        <v>50500</v>
      </c>
    </row>
    <row r="111" customFormat="false" ht="15" hidden="false" customHeight="false" outlineLevel="0" collapsed="false">
      <c r="A111" s="14" t="n">
        <v>24</v>
      </c>
      <c r="B111" s="16" t="s">
        <v>94</v>
      </c>
      <c r="C111" s="12" t="n">
        <v>416500</v>
      </c>
      <c r="D111" s="30" t="n">
        <f aca="false">100000+70000</f>
        <v>170000</v>
      </c>
      <c r="E111" s="13" t="n">
        <f aca="false">C111-D111</f>
        <v>246500</v>
      </c>
    </row>
    <row r="112" customFormat="false" ht="15" hidden="false" customHeight="false" outlineLevel="0" collapsed="false">
      <c r="A112" s="14" t="n">
        <v>25</v>
      </c>
      <c r="B112" s="16" t="s">
        <v>95</v>
      </c>
      <c r="C112" s="12" t="n">
        <v>416500</v>
      </c>
      <c r="D112" s="28" t="n">
        <f aca="false">100000+116500+100000+100000</f>
        <v>416500</v>
      </c>
      <c r="E112" s="13" t="n">
        <f aca="false">C112-D112</f>
        <v>0</v>
      </c>
    </row>
    <row r="113" customFormat="false" ht="15" hidden="false" customHeight="false" outlineLevel="0" collapsed="false">
      <c r="A113" s="14" t="n">
        <v>26</v>
      </c>
      <c r="B113" s="16" t="s">
        <v>96</v>
      </c>
      <c r="C113" s="12" t="n">
        <v>416500</v>
      </c>
      <c r="D113" s="28" t="n">
        <f aca="false">216500+100000+100000</f>
        <v>416500</v>
      </c>
      <c r="E113" s="13" t="n">
        <f aca="false">C113-D113</f>
        <v>0</v>
      </c>
    </row>
    <row r="114" customFormat="false" ht="15" hidden="false" customHeight="false" outlineLevel="0" collapsed="false">
      <c r="A114" s="14" t="n">
        <v>27</v>
      </c>
      <c r="B114" s="16" t="s">
        <v>97</v>
      </c>
      <c r="C114" s="12" t="n">
        <v>616500</v>
      </c>
      <c r="D114" s="28" t="n">
        <f aca="false">416500+183500+13000+3500</f>
        <v>616500</v>
      </c>
      <c r="E114" s="13" t="n">
        <f aca="false">C114-D114</f>
        <v>0</v>
      </c>
    </row>
    <row r="115" customFormat="false" ht="15" hidden="false" customHeight="false" outlineLevel="0" collapsed="false">
      <c r="A115" s="14" t="n">
        <v>28</v>
      </c>
      <c r="B115" s="16" t="s">
        <v>98</v>
      </c>
      <c r="C115" s="12" t="n">
        <v>416500</v>
      </c>
      <c r="D115" s="28" t="n">
        <f aca="false">300000+116500</f>
        <v>416500</v>
      </c>
      <c r="E115" s="13" t="n">
        <f aca="false">C115-D115</f>
        <v>0</v>
      </c>
    </row>
    <row r="116" customFormat="false" ht="15" hidden="false" customHeight="false" outlineLevel="0" collapsed="false">
      <c r="A116" s="14" t="n">
        <v>29</v>
      </c>
      <c r="B116" s="16" t="s">
        <v>99</v>
      </c>
      <c r="C116" s="12" t="n">
        <v>416500</v>
      </c>
      <c r="D116" s="28" t="n">
        <f aca="false">150000</f>
        <v>150000</v>
      </c>
      <c r="E116" s="13" t="n">
        <f aca="false">C116-D116</f>
        <v>266500</v>
      </c>
    </row>
    <row r="117" customFormat="false" ht="15" hidden="false" customHeight="false" outlineLevel="0" collapsed="false">
      <c r="A117" s="14" t="n">
        <v>30</v>
      </c>
      <c r="B117" s="16" t="s">
        <v>100</v>
      </c>
      <c r="C117" s="12" t="n">
        <v>416500</v>
      </c>
      <c r="D117" s="28" t="n">
        <f aca="false">150000+266000</f>
        <v>416000</v>
      </c>
      <c r="E117" s="13" t="n">
        <f aca="false">C117-D117</f>
        <v>500</v>
      </c>
    </row>
    <row r="118" customFormat="false" ht="17.35" hidden="false" customHeight="false" outlineLevel="0" collapsed="false">
      <c r="A118" s="14"/>
      <c r="B118" s="18" t="s">
        <v>21</v>
      </c>
      <c r="C118" s="19" t="n">
        <f aca="false">SUM(C89:C117)</f>
        <v>11862000</v>
      </c>
      <c r="D118" s="20" t="n">
        <f aca="false">SUM(D89:D117)</f>
        <v>9625500</v>
      </c>
      <c r="E118" s="21" t="n">
        <f aca="false">SUM(E89:E117)</f>
        <v>2453000</v>
      </c>
    </row>
    <row r="119" customFormat="false" ht="17.35" hidden="false" customHeight="false" outlineLevel="0" collapsed="false">
      <c r="B119" s="31"/>
      <c r="C119" s="32"/>
      <c r="D119" s="33"/>
      <c r="E119" s="34"/>
    </row>
    <row r="120" customFormat="false" ht="17.35" hidden="false" customHeight="false" outlineLevel="0" collapsed="false">
      <c r="B120" s="31"/>
      <c r="C120" s="32"/>
      <c r="D120" s="33"/>
      <c r="E120" s="34"/>
    </row>
    <row r="121" customFormat="false" ht="17.35" hidden="false" customHeight="false" outlineLevel="0" collapsed="false">
      <c r="A121" s="22"/>
      <c r="B121" s="2" t="s">
        <v>0</v>
      </c>
    </row>
    <row r="122" customFormat="false" ht="17.35" hidden="false" customHeight="false" outlineLevel="0" collapsed="false">
      <c r="A122" s="35"/>
    </row>
    <row r="123" customFormat="false" ht="15" hidden="false" customHeight="false" outlineLevel="0" collapsed="false">
      <c r="A123" s="22"/>
    </row>
    <row r="124" customFormat="false" ht="17.25" hidden="false" customHeight="false" outlineLevel="0" collapsed="false">
      <c r="A124" s="22"/>
      <c r="B124" s="4" t="s">
        <v>101</v>
      </c>
    </row>
    <row r="125" customFormat="false" ht="15" hidden="false" customHeight="false" outlineLevel="0" collapsed="false">
      <c r="A125" s="22"/>
      <c r="D125" s="5" t="s">
        <v>3</v>
      </c>
    </row>
    <row r="126" customFormat="false" ht="15" hidden="false" customHeight="false" outlineLevel="0" collapsed="false">
      <c r="A126" s="22"/>
    </row>
    <row r="127" customFormat="false" ht="15" hidden="false" customHeight="false" outlineLevel="0" collapsed="false">
      <c r="A127" s="6" t="s">
        <v>4</v>
      </c>
      <c r="B127" s="7" t="s">
        <v>5</v>
      </c>
      <c r="C127" s="8" t="s">
        <v>6</v>
      </c>
      <c r="D127" s="9" t="s">
        <v>7</v>
      </c>
      <c r="E127" s="27" t="s">
        <v>8</v>
      </c>
    </row>
    <row r="128" customFormat="false" ht="15" hidden="false" customHeight="false" outlineLevel="0" collapsed="false">
      <c r="A128" s="36" t="n">
        <v>1</v>
      </c>
      <c r="B128" s="37" t="s">
        <v>102</v>
      </c>
      <c r="C128" s="12" t="n">
        <v>416500</v>
      </c>
      <c r="D128" s="12" t="n">
        <f aca="false">200000+201000+16000</f>
        <v>417000</v>
      </c>
      <c r="E128" s="13" t="n">
        <f aca="false">C128-D128</f>
        <v>-500</v>
      </c>
    </row>
    <row r="129" customFormat="false" ht="15" hidden="false" customHeight="false" outlineLevel="0" collapsed="false">
      <c r="A129" s="29" t="n">
        <v>2</v>
      </c>
      <c r="B129" s="38" t="s">
        <v>103</v>
      </c>
      <c r="C129" s="12" t="n">
        <v>416500</v>
      </c>
      <c r="D129" s="12" t="n">
        <f aca="false">200000+216500</f>
        <v>416500</v>
      </c>
      <c r="E129" s="13" t="n">
        <f aca="false">C129-D129</f>
        <v>0</v>
      </c>
    </row>
    <row r="130" customFormat="false" ht="15" hidden="false" customHeight="false" outlineLevel="0" collapsed="false">
      <c r="A130" s="14" t="n">
        <v>3</v>
      </c>
      <c r="B130" s="11" t="s">
        <v>104</v>
      </c>
      <c r="C130" s="12" t="n">
        <v>416500</v>
      </c>
      <c r="D130" s="12" t="n">
        <f aca="false">216000+200500</f>
        <v>416500</v>
      </c>
      <c r="E130" s="13" t="n">
        <f aca="false">C130-D130</f>
        <v>0</v>
      </c>
    </row>
    <row r="131" customFormat="false" ht="15" hidden="false" customHeight="false" outlineLevel="0" collapsed="false">
      <c r="A131" s="14" t="n">
        <v>4</v>
      </c>
      <c r="B131" s="11" t="s">
        <v>105</v>
      </c>
      <c r="C131" s="12" t="n">
        <v>416500</v>
      </c>
      <c r="D131" s="12" t="n">
        <f aca="false">75000+125000+150000+20000+47000</f>
        <v>417000</v>
      </c>
      <c r="E131" s="13" t="n">
        <f aca="false">C131-D131</f>
        <v>-500</v>
      </c>
    </row>
    <row r="132" customFormat="false" ht="15" hidden="false" customHeight="false" outlineLevel="0" collapsed="false">
      <c r="A132" s="29" t="n">
        <v>5</v>
      </c>
      <c r="B132" s="11" t="s">
        <v>106</v>
      </c>
      <c r="C132" s="12" t="n">
        <v>416500</v>
      </c>
      <c r="D132" s="12" t="n">
        <f aca="false">200000+150000+66500</f>
        <v>416500</v>
      </c>
      <c r="E132" s="13" t="n">
        <f aca="false">C132-D132</f>
        <v>0</v>
      </c>
    </row>
    <row r="133" customFormat="false" ht="15" hidden="false" customHeight="false" outlineLevel="0" collapsed="false">
      <c r="A133" s="29" t="n">
        <v>6</v>
      </c>
      <c r="B133" s="11" t="s">
        <v>107</v>
      </c>
      <c r="C133" s="12" t="n">
        <v>416500</v>
      </c>
      <c r="D133" s="12" t="n">
        <f aca="false">200000+150000+66500</f>
        <v>416500</v>
      </c>
      <c r="E133" s="13" t="n">
        <f aca="false">C133-D133</f>
        <v>0</v>
      </c>
    </row>
    <row r="134" customFormat="false" ht="15" hidden="false" customHeight="false" outlineLevel="0" collapsed="false">
      <c r="A134" s="29" t="n">
        <v>7</v>
      </c>
      <c r="B134" s="11" t="s">
        <v>108</v>
      </c>
      <c r="C134" s="12" t="n">
        <v>416500</v>
      </c>
      <c r="D134" s="12" t="n">
        <f aca="false">216500+200000</f>
        <v>416500</v>
      </c>
      <c r="E134" s="13" t="n">
        <f aca="false">C134-D134</f>
        <v>0</v>
      </c>
    </row>
    <row r="135" customFormat="false" ht="15" hidden="false" customHeight="false" outlineLevel="0" collapsed="false">
      <c r="A135" s="29" t="n">
        <v>8</v>
      </c>
      <c r="B135" s="11" t="s">
        <v>109</v>
      </c>
      <c r="C135" s="12" t="n">
        <v>416500</v>
      </c>
      <c r="D135" s="12" t="n">
        <f aca="false">216500+200000</f>
        <v>416500</v>
      </c>
      <c r="E135" s="13" t="n">
        <f aca="false">C135-D135</f>
        <v>0</v>
      </c>
    </row>
    <row r="136" customFormat="false" ht="15" hidden="false" customHeight="false" outlineLevel="0" collapsed="false">
      <c r="A136" s="29" t="n">
        <v>9</v>
      </c>
      <c r="B136" s="11" t="s">
        <v>110</v>
      </c>
      <c r="C136" s="12" t="n">
        <v>416500</v>
      </c>
      <c r="D136" s="12" t="n">
        <f aca="false">200000+216000+500</f>
        <v>416500</v>
      </c>
      <c r="E136" s="13" t="n">
        <f aca="false">C136-D136</f>
        <v>0</v>
      </c>
    </row>
    <row r="137" customFormat="false" ht="15" hidden="false" customHeight="false" outlineLevel="0" collapsed="false">
      <c r="A137" s="29" t="n">
        <v>10</v>
      </c>
      <c r="B137" s="11" t="s">
        <v>111</v>
      </c>
      <c r="C137" s="12" t="n">
        <v>416500</v>
      </c>
      <c r="D137" s="12" t="n">
        <f aca="false">200000+216500</f>
        <v>416500</v>
      </c>
      <c r="E137" s="13" t="n">
        <f aca="false">C137-D137</f>
        <v>0</v>
      </c>
    </row>
    <row r="138" customFormat="false" ht="15" hidden="false" customHeight="false" outlineLevel="0" collapsed="false">
      <c r="A138" s="29" t="n">
        <v>11</v>
      </c>
      <c r="B138" s="11" t="s">
        <v>112</v>
      </c>
      <c r="C138" s="12" t="n">
        <v>416500</v>
      </c>
      <c r="D138" s="12" t="n">
        <f aca="false">200000+100000+116500</f>
        <v>416500</v>
      </c>
      <c r="E138" s="13" t="n">
        <f aca="false">C138-D138</f>
        <v>0</v>
      </c>
    </row>
    <row r="139" customFormat="false" ht="15" hidden="false" customHeight="false" outlineLevel="0" collapsed="false">
      <c r="A139" s="29" t="n">
        <v>12</v>
      </c>
      <c r="B139" s="16" t="s">
        <v>113</v>
      </c>
      <c r="C139" s="12" t="n">
        <v>416500</v>
      </c>
      <c r="D139" s="12" t="n">
        <f aca="false">216500+100000+100000</f>
        <v>416500</v>
      </c>
      <c r="E139" s="13" t="n">
        <f aca="false">C139-D139</f>
        <v>0</v>
      </c>
    </row>
    <row r="140" customFormat="false" ht="15" hidden="false" customHeight="false" outlineLevel="0" collapsed="false">
      <c r="A140" s="14" t="n">
        <v>13</v>
      </c>
      <c r="B140" s="11" t="s">
        <v>114</v>
      </c>
      <c r="C140" s="12" t="n">
        <v>416500</v>
      </c>
      <c r="D140" s="12" t="n">
        <f aca="false">200000+16500+200000</f>
        <v>416500</v>
      </c>
      <c r="E140" s="13" t="n">
        <f aca="false">C140-D140</f>
        <v>0</v>
      </c>
    </row>
    <row r="141" customFormat="false" ht="17.35" hidden="false" customHeight="false" outlineLevel="0" collapsed="false">
      <c r="A141" s="17"/>
      <c r="B141" s="18" t="s">
        <v>21</v>
      </c>
      <c r="C141" s="19" t="n">
        <f aca="false">SUM(C128:C140)</f>
        <v>5414500</v>
      </c>
      <c r="D141" s="20" t="n">
        <f aca="false">SUM(D128:D140)</f>
        <v>5415500</v>
      </c>
      <c r="E141" s="21" t="n">
        <f aca="false">SUM(E128:E140)</f>
        <v>-1000</v>
      </c>
    </row>
    <row r="142" customFormat="false" ht="17.35" hidden="false" customHeight="false" outlineLevel="0" collapsed="false">
      <c r="A142" s="39"/>
      <c r="B142" s="31"/>
      <c r="C142" s="32"/>
      <c r="D142" s="33"/>
      <c r="E142" s="34"/>
    </row>
    <row r="143" customFormat="false" ht="15" hidden="false" customHeight="false" outlineLevel="0" collapsed="false">
      <c r="A143" s="39"/>
    </row>
    <row r="144" customFormat="false" ht="17.35" hidden="false" customHeight="false" outlineLevel="0" collapsed="false">
      <c r="A144" s="22"/>
      <c r="B144" s="2" t="s">
        <v>0</v>
      </c>
    </row>
    <row r="145" customFormat="false" ht="17.35" hidden="false" customHeight="false" outlineLevel="0" collapsed="false">
      <c r="A145" s="35"/>
    </row>
    <row r="146" customFormat="false" ht="15" hidden="false" customHeight="false" outlineLevel="0" collapsed="false">
      <c r="A146" s="22"/>
    </row>
    <row r="147" customFormat="false" ht="17.25" hidden="false" customHeight="false" outlineLevel="0" collapsed="false">
      <c r="A147" s="22"/>
      <c r="B147" s="4" t="s">
        <v>115</v>
      </c>
    </row>
    <row r="148" customFormat="false" ht="15" hidden="false" customHeight="false" outlineLevel="0" collapsed="false">
      <c r="A148" s="22"/>
      <c r="D148" s="5" t="s">
        <v>3</v>
      </c>
    </row>
    <row r="149" customFormat="false" ht="15" hidden="false" customHeight="false" outlineLevel="0" collapsed="false">
      <c r="A149" s="22"/>
    </row>
    <row r="150" customFormat="false" ht="15" hidden="false" customHeight="false" outlineLevel="0" collapsed="false">
      <c r="A150" s="6" t="s">
        <v>4</v>
      </c>
      <c r="B150" s="7" t="s">
        <v>5</v>
      </c>
      <c r="C150" s="8" t="s">
        <v>6</v>
      </c>
      <c r="D150" s="9" t="s">
        <v>7</v>
      </c>
      <c r="E150" s="27" t="s">
        <v>8</v>
      </c>
    </row>
    <row r="151" customFormat="false" ht="15" hidden="false" customHeight="false" outlineLevel="0" collapsed="false">
      <c r="A151" s="1" t="n">
        <v>1</v>
      </c>
      <c r="B151" s="11" t="s">
        <v>116</v>
      </c>
      <c r="C151" s="12" t="n">
        <v>416500</v>
      </c>
      <c r="D151" s="12"/>
      <c r="E151" s="13" t="n">
        <f aca="false">C151-D151</f>
        <v>416500</v>
      </c>
    </row>
    <row r="152" customFormat="false" ht="15" hidden="false" customHeight="false" outlineLevel="0" collapsed="false">
      <c r="A152" s="1" t="n">
        <v>2</v>
      </c>
      <c r="B152" s="11" t="s">
        <v>117</v>
      </c>
      <c r="C152" s="12" t="n">
        <v>416500</v>
      </c>
      <c r="D152" s="12" t="n">
        <f aca="false">200000+216000+500</f>
        <v>416500</v>
      </c>
      <c r="E152" s="13" t="n">
        <f aca="false">C152-D152</f>
        <v>0</v>
      </c>
    </row>
    <row r="153" customFormat="false" ht="15" hidden="false" customHeight="false" outlineLevel="0" collapsed="false">
      <c r="A153" s="14" t="n">
        <v>3</v>
      </c>
      <c r="B153" s="11" t="s">
        <v>118</v>
      </c>
      <c r="C153" s="12" t="n">
        <v>416500</v>
      </c>
      <c r="D153" s="12" t="n">
        <f aca="false">150000+66500+200000</f>
        <v>416500</v>
      </c>
      <c r="E153" s="13" t="n">
        <f aca="false">C153-D153</f>
        <v>0</v>
      </c>
    </row>
    <row r="154" customFormat="false" ht="15" hidden="false" customHeight="false" outlineLevel="0" collapsed="false">
      <c r="A154" s="29" t="n">
        <v>4</v>
      </c>
      <c r="B154" s="11" t="s">
        <v>119</v>
      </c>
      <c r="C154" s="12" t="n">
        <v>416500</v>
      </c>
      <c r="D154" s="12" t="n">
        <f aca="false">216000+100000+100500</f>
        <v>416500</v>
      </c>
      <c r="E154" s="13" t="n">
        <f aca="false">C154-D154</f>
        <v>0</v>
      </c>
    </row>
    <row r="155" customFormat="false" ht="15" hidden="false" customHeight="false" outlineLevel="0" collapsed="false">
      <c r="A155" s="14" t="n">
        <v>5</v>
      </c>
      <c r="B155" s="38" t="s">
        <v>120</v>
      </c>
      <c r="C155" s="12" t="n">
        <v>416500</v>
      </c>
      <c r="D155" s="12" t="n">
        <f aca="false">216500+170000+30000</f>
        <v>416500</v>
      </c>
      <c r="E155" s="13" t="n">
        <f aca="false">C155-D155</f>
        <v>0</v>
      </c>
    </row>
    <row r="156" customFormat="false" ht="15" hidden="false" customHeight="false" outlineLevel="0" collapsed="false">
      <c r="A156" s="29" t="n">
        <v>6</v>
      </c>
      <c r="B156" s="11" t="s">
        <v>121</v>
      </c>
      <c r="C156" s="12" t="n">
        <v>416500</v>
      </c>
      <c r="D156" s="12" t="n">
        <f aca="false">217000+200000</f>
        <v>417000</v>
      </c>
      <c r="E156" s="13" t="n">
        <f aca="false">C156-D156</f>
        <v>-500</v>
      </c>
    </row>
    <row r="157" customFormat="false" ht="15" hidden="false" customHeight="false" outlineLevel="0" collapsed="false">
      <c r="A157" s="29" t="n">
        <v>7</v>
      </c>
      <c r="B157" s="38" t="s">
        <v>122</v>
      </c>
      <c r="C157" s="12" t="n">
        <v>416500</v>
      </c>
      <c r="D157" s="12" t="n">
        <f aca="false">400000+16500</f>
        <v>416500</v>
      </c>
      <c r="E157" s="13" t="n">
        <f aca="false">C157-D157</f>
        <v>0</v>
      </c>
    </row>
    <row r="158" customFormat="false" ht="15" hidden="false" customHeight="false" outlineLevel="0" collapsed="false">
      <c r="A158" s="14" t="n">
        <v>8</v>
      </c>
      <c r="B158" s="11" t="s">
        <v>123</v>
      </c>
      <c r="C158" s="12" t="n">
        <v>416500</v>
      </c>
      <c r="D158" s="12" t="n">
        <f aca="false">416500</f>
        <v>416500</v>
      </c>
      <c r="E158" s="13" t="n">
        <f aca="false">C158-D158</f>
        <v>0</v>
      </c>
    </row>
    <row r="159" customFormat="false" ht="15" hidden="false" customHeight="false" outlineLevel="0" collapsed="false">
      <c r="A159" s="29" t="n">
        <v>9</v>
      </c>
      <c r="B159" s="11" t="s">
        <v>124</v>
      </c>
      <c r="C159" s="12" t="n">
        <v>416500</v>
      </c>
      <c r="D159" s="12" t="n">
        <f aca="false">200000+216500</f>
        <v>416500</v>
      </c>
      <c r="E159" s="13" t="n">
        <f aca="false">C159-D159</f>
        <v>0</v>
      </c>
    </row>
    <row r="160" customFormat="false" ht="15" hidden="false" customHeight="false" outlineLevel="0" collapsed="false">
      <c r="A160" s="29" t="n">
        <v>10</v>
      </c>
      <c r="B160" s="11" t="s">
        <v>125</v>
      </c>
      <c r="C160" s="12" t="n">
        <v>416500</v>
      </c>
      <c r="D160" s="12" t="n">
        <f aca="false">210000+150000+56500</f>
        <v>416500</v>
      </c>
      <c r="E160" s="13" t="n">
        <f aca="false">C160-D160</f>
        <v>0</v>
      </c>
    </row>
    <row r="161" customFormat="false" ht="15" hidden="false" customHeight="false" outlineLevel="0" collapsed="false">
      <c r="A161" s="14" t="n">
        <v>11</v>
      </c>
      <c r="B161" s="11" t="s">
        <v>126</v>
      </c>
      <c r="C161" s="12" t="n">
        <v>416500</v>
      </c>
      <c r="D161" s="12" t="n">
        <f aca="false">220000+200000</f>
        <v>420000</v>
      </c>
      <c r="E161" s="13" t="n">
        <f aca="false">C161-D161</f>
        <v>-3500</v>
      </c>
    </row>
    <row r="162" customFormat="false" ht="15" hidden="false" customHeight="false" outlineLevel="0" collapsed="false">
      <c r="A162" s="40" t="n">
        <v>12</v>
      </c>
      <c r="B162" s="11" t="s">
        <v>127</v>
      </c>
      <c r="C162" s="12" t="n">
        <v>416500</v>
      </c>
      <c r="D162" s="12" t="n">
        <f aca="false">100000+116500+100000+100000</f>
        <v>416500</v>
      </c>
      <c r="E162" s="13" t="n">
        <f aca="false">C162-D162</f>
        <v>0</v>
      </c>
    </row>
    <row r="163" customFormat="false" ht="15" hidden="false" customHeight="false" outlineLevel="0" collapsed="false">
      <c r="A163" s="14" t="n">
        <v>13</v>
      </c>
      <c r="B163" s="11" t="s">
        <v>128</v>
      </c>
      <c r="C163" s="12" t="n">
        <v>416500</v>
      </c>
      <c r="D163" s="12" t="n">
        <f aca="false">216500+100000+100000</f>
        <v>416500</v>
      </c>
      <c r="E163" s="13" t="n">
        <f aca="false">C163-D163</f>
        <v>0</v>
      </c>
    </row>
    <row r="164" customFormat="false" ht="15" hidden="false" customHeight="false" outlineLevel="0" collapsed="false">
      <c r="A164" s="29" t="n">
        <v>14</v>
      </c>
      <c r="B164" s="11" t="s">
        <v>129</v>
      </c>
      <c r="C164" s="12" t="n">
        <v>416500</v>
      </c>
      <c r="D164" s="12" t="n">
        <f aca="false">100000+1500+15000+100000+200000</f>
        <v>416500</v>
      </c>
      <c r="E164" s="13" t="n">
        <f aca="false">C164-D164</f>
        <v>0</v>
      </c>
    </row>
    <row r="165" customFormat="false" ht="15" hidden="false" customHeight="false" outlineLevel="0" collapsed="false">
      <c r="A165" s="14" t="n">
        <v>15</v>
      </c>
      <c r="B165" s="11" t="s">
        <v>130</v>
      </c>
      <c r="C165" s="12" t="n">
        <v>416500</v>
      </c>
      <c r="D165" s="12" t="n">
        <f aca="false">216000+90000+110500</f>
        <v>416500</v>
      </c>
      <c r="E165" s="13" t="n">
        <f aca="false">C165-D165</f>
        <v>0</v>
      </c>
    </row>
    <row r="166" customFormat="false" ht="15" hidden="false" customHeight="false" outlineLevel="0" collapsed="false">
      <c r="A166" s="40" t="n">
        <v>16</v>
      </c>
      <c r="B166" s="11" t="s">
        <v>131</v>
      </c>
      <c r="C166" s="12" t="n">
        <v>416500</v>
      </c>
      <c r="D166" s="12" t="n">
        <f aca="false">220000+200000</f>
        <v>420000</v>
      </c>
      <c r="E166" s="13" t="n">
        <f aca="false">C166-D166</f>
        <v>-3500</v>
      </c>
    </row>
    <row r="167" customFormat="false" ht="15" hidden="false" customHeight="false" outlineLevel="0" collapsed="false">
      <c r="A167" s="29" t="n">
        <v>17</v>
      </c>
      <c r="B167" s="11" t="s">
        <v>132</v>
      </c>
      <c r="C167" s="12" t="n">
        <v>416500</v>
      </c>
      <c r="D167" s="12" t="n">
        <f aca="false">215000+201500</f>
        <v>416500</v>
      </c>
      <c r="E167" s="13" t="n">
        <f aca="false">C167-D167</f>
        <v>0</v>
      </c>
    </row>
    <row r="168" customFormat="false" ht="15" hidden="false" customHeight="false" outlineLevel="0" collapsed="false">
      <c r="A168" s="14" t="n">
        <v>18</v>
      </c>
      <c r="B168" s="11" t="s">
        <v>133</v>
      </c>
      <c r="C168" s="12" t="n">
        <v>416500</v>
      </c>
      <c r="D168" s="12" t="n">
        <f aca="false">200000+130000+86500</f>
        <v>416500</v>
      </c>
      <c r="E168" s="13" t="n">
        <f aca="false">C168-D168</f>
        <v>0</v>
      </c>
    </row>
    <row r="169" customFormat="false" ht="15" hidden="false" customHeight="false" outlineLevel="0" collapsed="false">
      <c r="A169" s="14" t="n">
        <v>19</v>
      </c>
      <c r="B169" s="11" t="s">
        <v>134</v>
      </c>
      <c r="C169" s="12" t="n">
        <v>416500</v>
      </c>
      <c r="D169" s="12" t="n">
        <f aca="false">216000+200000+500</f>
        <v>416500</v>
      </c>
      <c r="E169" s="13" t="n">
        <f aca="false">C169-D169</f>
        <v>0</v>
      </c>
    </row>
    <row r="170" customFormat="false" ht="15" hidden="false" customHeight="false" outlineLevel="0" collapsed="false">
      <c r="A170" s="14" t="n">
        <v>20</v>
      </c>
      <c r="B170" s="11" t="s">
        <v>135</v>
      </c>
      <c r="C170" s="12" t="n">
        <v>416500</v>
      </c>
      <c r="D170" s="12" t="n">
        <f aca="false">216000+200000+500</f>
        <v>416500</v>
      </c>
      <c r="E170" s="13" t="n">
        <f aca="false">C170-D170</f>
        <v>0</v>
      </c>
    </row>
    <row r="171" customFormat="false" ht="15" hidden="false" customHeight="false" outlineLevel="0" collapsed="false">
      <c r="A171" s="14" t="n">
        <v>21</v>
      </c>
      <c r="B171" s="38" t="s">
        <v>136</v>
      </c>
      <c r="C171" s="12" t="n">
        <v>416500</v>
      </c>
      <c r="D171" s="12" t="n">
        <f aca="false">100000+100000+100000+50000+66500</f>
        <v>416500</v>
      </c>
      <c r="E171" s="13" t="n">
        <f aca="false">C171-D171</f>
        <v>0</v>
      </c>
    </row>
    <row r="172" customFormat="false" ht="15" hidden="false" customHeight="false" outlineLevel="0" collapsed="false">
      <c r="A172" s="14" t="n">
        <v>22</v>
      </c>
      <c r="B172" s="38" t="s">
        <v>137</v>
      </c>
      <c r="C172" s="12" t="n">
        <v>416500</v>
      </c>
      <c r="D172" s="12" t="n">
        <f aca="false">216000+150000+50500</f>
        <v>416500</v>
      </c>
      <c r="E172" s="13" t="n">
        <f aca="false">C172-D172</f>
        <v>0</v>
      </c>
    </row>
    <row r="173" customFormat="false" ht="15" hidden="false" customHeight="false" outlineLevel="0" collapsed="false">
      <c r="A173" s="14" t="n">
        <v>23</v>
      </c>
      <c r="B173" s="38" t="s">
        <v>138</v>
      </c>
      <c r="C173" s="12" t="n">
        <v>416500</v>
      </c>
      <c r="D173" s="12" t="n">
        <f aca="false">50000+10000</f>
        <v>60000</v>
      </c>
      <c r="E173" s="13" t="n">
        <f aca="false">C173-D173</f>
        <v>356500</v>
      </c>
    </row>
    <row r="174" customFormat="false" ht="15" hidden="false" customHeight="false" outlineLevel="0" collapsed="false">
      <c r="A174" s="14" t="n">
        <v>24</v>
      </c>
      <c r="B174" s="11" t="s">
        <v>139</v>
      </c>
      <c r="C174" s="12" t="n">
        <v>416500</v>
      </c>
      <c r="D174" s="12" t="n">
        <f aca="false">220000</f>
        <v>220000</v>
      </c>
      <c r="E174" s="13" t="n">
        <f aca="false">C174-D174</f>
        <v>196500</v>
      </c>
    </row>
    <row r="175" customFormat="false" ht="17.35" hidden="false" customHeight="false" outlineLevel="0" collapsed="false">
      <c r="A175" s="17"/>
      <c r="B175" s="18" t="s">
        <v>21</v>
      </c>
      <c r="C175" s="19" t="n">
        <f aca="false">SUM(C151:C174)</f>
        <v>9996000</v>
      </c>
      <c r="D175" s="20" t="n">
        <f aca="false">SUM(D151:D174)</f>
        <v>9034000</v>
      </c>
      <c r="E175" s="21" t="n">
        <f aca="false">SUM(E151:E174)</f>
        <v>962000</v>
      </c>
    </row>
    <row r="177" customFormat="false" ht="17.35" hidden="false" customHeight="false" outlineLevel="0" collapsed="false">
      <c r="B177" s="2" t="s">
        <v>0</v>
      </c>
    </row>
    <row r="178" customFormat="false" ht="15" hidden="false" customHeight="false" outlineLevel="0" collapsed="false">
      <c r="A178" s="22"/>
    </row>
    <row r="179" customFormat="false" ht="15" hidden="false" customHeight="false" outlineLevel="0" collapsed="false">
      <c r="A179" s="22"/>
    </row>
    <row r="180" customFormat="false" ht="17.25" hidden="false" customHeight="false" outlineLevel="0" collapsed="false">
      <c r="A180" s="22"/>
      <c r="B180" s="4" t="s">
        <v>140</v>
      </c>
    </row>
    <row r="181" customFormat="false" ht="15" hidden="false" customHeight="false" outlineLevel="0" collapsed="false">
      <c r="A181" s="22"/>
      <c r="E181" s="5" t="s">
        <v>3</v>
      </c>
    </row>
    <row r="182" customFormat="false" ht="15" hidden="false" customHeight="false" outlineLevel="0" collapsed="false">
      <c r="A182" s="22"/>
    </row>
    <row r="183" customFormat="false" ht="15" hidden="false" customHeight="false" outlineLevel="0" collapsed="false">
      <c r="A183" s="6" t="s">
        <v>4</v>
      </c>
      <c r="B183" s="7" t="s">
        <v>5</v>
      </c>
      <c r="C183" s="8" t="s">
        <v>6</v>
      </c>
      <c r="D183" s="9" t="s">
        <v>7</v>
      </c>
      <c r="E183" s="27" t="s">
        <v>8</v>
      </c>
    </row>
    <row r="184" customFormat="false" ht="15" hidden="false" customHeight="false" outlineLevel="0" collapsed="false">
      <c r="A184" s="14" t="n">
        <v>1</v>
      </c>
      <c r="B184" s="11" t="s">
        <v>141</v>
      </c>
      <c r="C184" s="12" t="n">
        <v>416500</v>
      </c>
      <c r="D184" s="12" t="n">
        <f aca="false">216500+200000</f>
        <v>416500</v>
      </c>
      <c r="E184" s="13" t="n">
        <f aca="false">C184-D184</f>
        <v>0</v>
      </c>
    </row>
    <row r="185" customFormat="false" ht="15" hidden="false" customHeight="false" outlineLevel="0" collapsed="false">
      <c r="A185" s="14" t="n">
        <v>2</v>
      </c>
      <c r="B185" s="11" t="s">
        <v>142</v>
      </c>
      <c r="C185" s="12" t="n">
        <v>416500</v>
      </c>
      <c r="D185" s="12" t="n">
        <f aca="false">250000+166500</f>
        <v>416500</v>
      </c>
      <c r="E185" s="13" t="n">
        <f aca="false">C185-D185</f>
        <v>0</v>
      </c>
    </row>
    <row r="186" customFormat="false" ht="15" hidden="false" customHeight="false" outlineLevel="0" collapsed="false">
      <c r="A186" s="24" t="n">
        <v>3</v>
      </c>
      <c r="B186" s="11" t="s">
        <v>143</v>
      </c>
      <c r="C186" s="12" t="n">
        <v>416500</v>
      </c>
      <c r="D186" s="12" t="n">
        <f aca="false">216000+100000+50000+50500</f>
        <v>416500</v>
      </c>
      <c r="E186" s="13" t="n">
        <f aca="false">C186-D186</f>
        <v>0</v>
      </c>
    </row>
    <row r="187" customFormat="false" ht="15" hidden="false" customHeight="false" outlineLevel="0" collapsed="false">
      <c r="A187" s="14" t="n">
        <v>4</v>
      </c>
      <c r="B187" s="11" t="s">
        <v>144</v>
      </c>
      <c r="C187" s="12" t="n">
        <v>416500</v>
      </c>
      <c r="D187" s="12" t="n">
        <f aca="false">200000+216000</f>
        <v>416000</v>
      </c>
      <c r="E187" s="13" t="n">
        <f aca="false">C187-D187</f>
        <v>500</v>
      </c>
    </row>
    <row r="188" customFormat="false" ht="15" hidden="false" customHeight="false" outlineLevel="0" collapsed="false">
      <c r="A188" s="14" t="n">
        <v>5</v>
      </c>
      <c r="B188" s="11" t="s">
        <v>145</v>
      </c>
      <c r="C188" s="12" t="n">
        <v>416500</v>
      </c>
      <c r="D188" s="12" t="n">
        <f aca="false">100000+50000+40000+110000+116500</f>
        <v>416500</v>
      </c>
      <c r="E188" s="13" t="n">
        <f aca="false">C188-D188</f>
        <v>0</v>
      </c>
    </row>
    <row r="189" customFormat="false" ht="15" hidden="false" customHeight="false" outlineLevel="0" collapsed="false">
      <c r="A189" s="14" t="n">
        <v>6</v>
      </c>
      <c r="B189" s="11" t="s">
        <v>146</v>
      </c>
      <c r="C189" s="12" t="n">
        <v>416500</v>
      </c>
      <c r="D189" s="12" t="n">
        <f aca="false">100000+100000+200000+16500</f>
        <v>416500</v>
      </c>
      <c r="E189" s="13" t="n">
        <f aca="false">C189-D189</f>
        <v>0</v>
      </c>
    </row>
    <row r="190" customFormat="false" ht="15" hidden="false" customHeight="false" outlineLevel="0" collapsed="false">
      <c r="A190" s="14" t="n">
        <v>7</v>
      </c>
      <c r="B190" s="11" t="s">
        <v>147</v>
      </c>
      <c r="C190" s="12" t="n">
        <v>416500</v>
      </c>
      <c r="D190" s="12" t="n">
        <f aca="false">150000+266000+500</f>
        <v>416500</v>
      </c>
      <c r="E190" s="13" t="n">
        <f aca="false">C190-D190</f>
        <v>0</v>
      </c>
    </row>
    <row r="191" customFormat="false" ht="15" hidden="false" customHeight="false" outlineLevel="0" collapsed="false">
      <c r="A191" s="14" t="n">
        <v>8</v>
      </c>
      <c r="B191" s="11" t="s">
        <v>148</v>
      </c>
      <c r="C191" s="12" t="n">
        <v>416500</v>
      </c>
      <c r="D191" s="12" t="n">
        <f aca="false">100000+100000+100000+50000+66500</f>
        <v>416500</v>
      </c>
      <c r="E191" s="13" t="n">
        <f aca="false">C191-D191</f>
        <v>0</v>
      </c>
    </row>
    <row r="192" customFormat="false" ht="15" hidden="false" customHeight="false" outlineLevel="0" collapsed="false">
      <c r="A192" s="14" t="n">
        <v>9</v>
      </c>
      <c r="B192" s="38" t="s">
        <v>149</v>
      </c>
      <c r="C192" s="12" t="n">
        <v>416500</v>
      </c>
      <c r="D192" s="12" t="n">
        <f aca="false">200500+216000</f>
        <v>416500</v>
      </c>
      <c r="E192" s="13" t="n">
        <f aca="false">C192-D192</f>
        <v>0</v>
      </c>
    </row>
    <row r="193" customFormat="false" ht="15" hidden="false" customHeight="false" outlineLevel="0" collapsed="false">
      <c r="A193" s="14" t="n">
        <v>10</v>
      </c>
      <c r="B193" s="41" t="s">
        <v>150</v>
      </c>
      <c r="C193" s="12" t="n">
        <v>416500</v>
      </c>
      <c r="D193" s="26" t="n">
        <f aca="false">216500+80000+120000</f>
        <v>416500</v>
      </c>
      <c r="E193" s="13" t="n">
        <f aca="false">C193-D193</f>
        <v>0</v>
      </c>
    </row>
    <row r="194" customFormat="false" ht="15" hidden="false" customHeight="false" outlineLevel="0" collapsed="false">
      <c r="A194" s="14" t="n">
        <v>11</v>
      </c>
      <c r="B194" s="25" t="s">
        <v>151</v>
      </c>
      <c r="C194" s="12" t="n">
        <v>416500</v>
      </c>
      <c r="D194" s="26" t="n">
        <f aca="false">216500+200000</f>
        <v>416500</v>
      </c>
      <c r="E194" s="13" t="n">
        <f aca="false">C194-D194</f>
        <v>0</v>
      </c>
    </row>
    <row r="195" customFormat="false" ht="15" hidden="false" customHeight="false" outlineLevel="0" collapsed="false">
      <c r="A195" s="14" t="n">
        <v>12</v>
      </c>
      <c r="B195" s="25" t="s">
        <v>152</v>
      </c>
      <c r="C195" s="12" t="n">
        <v>416500</v>
      </c>
      <c r="D195" s="26" t="n">
        <f aca="false">225000+190500+1000</f>
        <v>416500</v>
      </c>
      <c r="E195" s="13" t="n">
        <f aca="false">C195-D195</f>
        <v>0</v>
      </c>
    </row>
    <row r="196" customFormat="false" ht="15" hidden="false" customHeight="false" outlineLevel="0" collapsed="false">
      <c r="A196" s="14" t="n">
        <v>13</v>
      </c>
      <c r="B196" s="25" t="s">
        <v>153</v>
      </c>
      <c r="C196" s="12" t="n">
        <v>416500</v>
      </c>
      <c r="D196" s="26" t="n">
        <f aca="false">216500+140000+60000</f>
        <v>416500</v>
      </c>
      <c r="E196" s="13" t="n">
        <f aca="false">C196-D196</f>
        <v>0</v>
      </c>
    </row>
    <row r="197" customFormat="false" ht="15" hidden="false" customHeight="false" outlineLevel="0" collapsed="false">
      <c r="A197" s="14" t="n">
        <v>14</v>
      </c>
      <c r="B197" s="25" t="s">
        <v>154</v>
      </c>
      <c r="C197" s="12" t="n">
        <v>416500</v>
      </c>
      <c r="D197" s="26" t="n">
        <f aca="false">200000+216000+500</f>
        <v>416500</v>
      </c>
      <c r="E197" s="13" t="n">
        <f aca="false">C197-D197</f>
        <v>0</v>
      </c>
    </row>
    <row r="198" customFormat="false" ht="17.35" hidden="false" customHeight="false" outlineLevel="0" collapsed="false">
      <c r="A198" s="14"/>
      <c r="B198" s="18" t="s">
        <v>21</v>
      </c>
      <c r="C198" s="19" t="n">
        <f aca="false">SUM(C184:C197)</f>
        <v>5831000</v>
      </c>
      <c r="D198" s="20" t="n">
        <f aca="false">SUM(D184:D197)</f>
        <v>5830500</v>
      </c>
      <c r="E198" s="21" t="n">
        <f aca="false">SUM(E184:E197)</f>
        <v>500</v>
      </c>
    </row>
    <row r="200" customFormat="false" ht="17.35" hidden="false" customHeight="false" outlineLevel="0" collapsed="false">
      <c r="A200" s="22"/>
      <c r="B200" s="2" t="s">
        <v>0</v>
      </c>
    </row>
    <row r="201" customFormat="false" ht="17.35" hidden="false" customHeight="false" outlineLevel="0" collapsed="false">
      <c r="A201" s="35"/>
    </row>
    <row r="202" customFormat="false" ht="15" hidden="false" customHeight="false" outlineLevel="0" collapsed="false">
      <c r="A202" s="22"/>
    </row>
    <row r="203" customFormat="false" ht="17.25" hidden="false" customHeight="false" outlineLevel="0" collapsed="false">
      <c r="A203" s="22"/>
      <c r="B203" s="4" t="s">
        <v>155</v>
      </c>
    </row>
    <row r="204" customFormat="false" ht="15" hidden="false" customHeight="false" outlineLevel="0" collapsed="false">
      <c r="A204" s="22"/>
      <c r="D204" s="5" t="s">
        <v>3</v>
      </c>
    </row>
    <row r="205" customFormat="false" ht="15" hidden="false" customHeight="false" outlineLevel="0" collapsed="false">
      <c r="A205" s="22"/>
    </row>
    <row r="206" customFormat="false" ht="15" hidden="false" customHeight="false" outlineLevel="0" collapsed="false">
      <c r="A206" s="6" t="s">
        <v>4</v>
      </c>
      <c r="B206" s="7" t="s">
        <v>5</v>
      </c>
      <c r="C206" s="8" t="s">
        <v>6</v>
      </c>
      <c r="D206" s="9" t="s">
        <v>7</v>
      </c>
      <c r="E206" s="27" t="s">
        <v>8</v>
      </c>
    </row>
    <row r="207" customFormat="false" ht="15" hidden="false" customHeight="false" outlineLevel="0" collapsed="false">
      <c r="A207" s="29" t="n">
        <v>1</v>
      </c>
      <c r="B207" s="11" t="s">
        <v>156</v>
      </c>
      <c r="C207" s="12" t="n">
        <v>416500</v>
      </c>
      <c r="D207" s="12" t="n">
        <f aca="false">216500+200000</f>
        <v>416500</v>
      </c>
      <c r="E207" s="13" t="n">
        <f aca="false">C207-D207</f>
        <v>0</v>
      </c>
    </row>
    <row r="208" customFormat="false" ht="15" hidden="false" customHeight="false" outlineLevel="0" collapsed="false">
      <c r="A208" s="14" t="n">
        <v>2</v>
      </c>
      <c r="B208" s="11" t="s">
        <v>157</v>
      </c>
      <c r="C208" s="12" t="n">
        <v>416500</v>
      </c>
      <c r="D208" s="12" t="n">
        <f aca="false">216500+200000</f>
        <v>416500</v>
      </c>
      <c r="E208" s="13" t="n">
        <f aca="false">C208-D208</f>
        <v>0</v>
      </c>
    </row>
    <row r="209" customFormat="false" ht="15" hidden="false" customHeight="false" outlineLevel="0" collapsed="false">
      <c r="A209" s="14" t="n">
        <v>3</v>
      </c>
      <c r="B209" s="11" t="s">
        <v>158</v>
      </c>
      <c r="C209" s="12" t="n">
        <v>416500</v>
      </c>
      <c r="D209" s="12" t="n">
        <f aca="false">204000+212000+500</f>
        <v>416500</v>
      </c>
      <c r="E209" s="13" t="n">
        <f aca="false">C209-D209</f>
        <v>0</v>
      </c>
    </row>
    <row r="210" customFormat="false" ht="15" hidden="false" customHeight="false" outlineLevel="0" collapsed="false">
      <c r="A210" s="29" t="n">
        <v>4</v>
      </c>
      <c r="B210" s="11" t="s">
        <v>159</v>
      </c>
      <c r="C210" s="12" t="n">
        <v>416500</v>
      </c>
      <c r="D210" s="12" t="n">
        <f aca="false">210000+209000</f>
        <v>419000</v>
      </c>
      <c r="E210" s="13" t="n">
        <f aca="false">C210-D210</f>
        <v>-2500</v>
      </c>
    </row>
    <row r="211" customFormat="false" ht="15" hidden="false" customHeight="false" outlineLevel="0" collapsed="false">
      <c r="A211" s="14" t="n">
        <v>5</v>
      </c>
      <c r="B211" s="11" t="s">
        <v>160</v>
      </c>
      <c r="C211" s="12" t="n">
        <v>416500</v>
      </c>
      <c r="D211" s="12" t="n">
        <f aca="false">216500+200000</f>
        <v>416500</v>
      </c>
      <c r="E211" s="13" t="n">
        <f aca="false">C211-D211</f>
        <v>0</v>
      </c>
    </row>
    <row r="212" customFormat="false" ht="15" hidden="false" customHeight="false" outlineLevel="0" collapsed="false">
      <c r="A212" s="29" t="n">
        <v>6</v>
      </c>
      <c r="B212" s="11" t="s">
        <v>161</v>
      </c>
      <c r="C212" s="12" t="n">
        <v>416500</v>
      </c>
      <c r="D212" s="12" t="n">
        <f aca="false">200000+116000+50000+50500</f>
        <v>416500</v>
      </c>
      <c r="E212" s="13" t="n">
        <f aca="false">C212-D212</f>
        <v>0</v>
      </c>
    </row>
    <row r="213" customFormat="false" ht="15" hidden="false" customHeight="false" outlineLevel="0" collapsed="false">
      <c r="A213" s="14" t="n">
        <v>7</v>
      </c>
      <c r="B213" s="11" t="s">
        <v>162</v>
      </c>
      <c r="C213" s="12" t="n">
        <v>416500</v>
      </c>
      <c r="D213" s="12" t="n">
        <f aca="false">350000+66000+500</f>
        <v>416500</v>
      </c>
      <c r="E213" s="13" t="n">
        <f aca="false">C213-D213</f>
        <v>0</v>
      </c>
    </row>
    <row r="214" customFormat="false" ht="15" hidden="false" customHeight="false" outlineLevel="0" collapsed="false">
      <c r="A214" s="40" t="n">
        <v>8</v>
      </c>
      <c r="B214" s="11" t="s">
        <v>163</v>
      </c>
      <c r="C214" s="12" t="n">
        <v>416500</v>
      </c>
      <c r="D214" s="12" t="n">
        <f aca="false">216500+200000</f>
        <v>416500</v>
      </c>
      <c r="E214" s="13" t="n">
        <f aca="false">C214-D214</f>
        <v>0</v>
      </c>
    </row>
    <row r="215" customFormat="false" ht="15" hidden="false" customHeight="false" outlineLevel="0" collapsed="false">
      <c r="A215" s="29" t="n">
        <v>9</v>
      </c>
      <c r="B215" s="11" t="s">
        <v>164</v>
      </c>
      <c r="C215" s="12" t="n">
        <v>416500</v>
      </c>
      <c r="D215" s="12" t="n">
        <f aca="false">220000+196000+500</f>
        <v>416500</v>
      </c>
      <c r="E215" s="13" t="n">
        <f aca="false">C215-D215</f>
        <v>0</v>
      </c>
    </row>
    <row r="216" customFormat="false" ht="15" hidden="false" customHeight="false" outlineLevel="0" collapsed="false">
      <c r="A216" s="14" t="n">
        <v>10</v>
      </c>
      <c r="B216" s="11" t="s">
        <v>165</v>
      </c>
      <c r="C216" s="12" t="n">
        <v>416500</v>
      </c>
      <c r="D216" s="12" t="n">
        <f aca="false">400000+16500</f>
        <v>416500</v>
      </c>
      <c r="E216" s="13" t="n">
        <f aca="false">C216-D216</f>
        <v>0</v>
      </c>
    </row>
    <row r="217" customFormat="false" ht="15" hidden="false" customHeight="false" outlineLevel="0" collapsed="false">
      <c r="A217" s="29" t="n">
        <v>11</v>
      </c>
      <c r="B217" s="11" t="s">
        <v>166</v>
      </c>
      <c r="C217" s="12" t="n">
        <v>416500</v>
      </c>
      <c r="D217" s="12" t="n">
        <f aca="false">200000+216500</f>
        <v>416500</v>
      </c>
      <c r="E217" s="13" t="n">
        <f aca="false">C217-D217</f>
        <v>0</v>
      </c>
    </row>
    <row r="218" customFormat="false" ht="15" hidden="false" customHeight="false" outlineLevel="0" collapsed="false">
      <c r="A218" s="14" t="n">
        <v>12</v>
      </c>
      <c r="B218" s="11" t="s">
        <v>167</v>
      </c>
      <c r="C218" s="12" t="n">
        <v>416500</v>
      </c>
      <c r="D218" s="12" t="n">
        <f aca="false">300000+116500</f>
        <v>416500</v>
      </c>
      <c r="E218" s="13" t="n">
        <f aca="false">C218-D218</f>
        <v>0</v>
      </c>
    </row>
    <row r="219" customFormat="false" ht="15" hidden="false" customHeight="false" outlineLevel="0" collapsed="false">
      <c r="A219" s="14" t="n">
        <v>13</v>
      </c>
      <c r="B219" s="11" t="s">
        <v>168</v>
      </c>
      <c r="C219" s="12" t="n">
        <v>416500</v>
      </c>
      <c r="D219" s="12" t="n">
        <f aca="false">166500+50000+200500</f>
        <v>417000</v>
      </c>
      <c r="E219" s="13" t="n">
        <f aca="false">C219-D219</f>
        <v>-500</v>
      </c>
    </row>
    <row r="220" customFormat="false" ht="15" hidden="false" customHeight="false" outlineLevel="0" collapsed="false">
      <c r="A220" s="40" t="n">
        <v>14</v>
      </c>
      <c r="B220" s="11" t="s">
        <v>169</v>
      </c>
      <c r="C220" s="12" t="n">
        <v>416500</v>
      </c>
      <c r="D220" s="12" t="n">
        <f aca="false">216500+200000</f>
        <v>416500</v>
      </c>
      <c r="E220" s="13" t="n">
        <f aca="false">C220-D220</f>
        <v>0</v>
      </c>
    </row>
    <row r="221" customFormat="false" ht="15" hidden="false" customHeight="false" outlineLevel="0" collapsed="false">
      <c r="A221" s="40" t="n">
        <v>15</v>
      </c>
      <c r="B221" s="11" t="s">
        <v>170</v>
      </c>
      <c r="C221" s="12" t="n">
        <v>416500</v>
      </c>
      <c r="D221" s="12" t="n">
        <f aca="false">216500+200000</f>
        <v>416500</v>
      </c>
      <c r="E221" s="13" t="n">
        <f aca="false">C221-D221</f>
        <v>0</v>
      </c>
    </row>
    <row r="222" customFormat="false" ht="15" hidden="false" customHeight="false" outlineLevel="0" collapsed="false">
      <c r="A222" s="40" t="n">
        <v>16</v>
      </c>
      <c r="B222" s="11" t="s">
        <v>171</v>
      </c>
      <c r="C222" s="12" t="n">
        <v>416500</v>
      </c>
      <c r="D222" s="12" t="n">
        <f aca="false">216500+100000+100000</f>
        <v>416500</v>
      </c>
      <c r="E222" s="13" t="n">
        <f aca="false">C222-D222</f>
        <v>0</v>
      </c>
    </row>
    <row r="223" customFormat="false" ht="15" hidden="false" customHeight="false" outlineLevel="0" collapsed="false">
      <c r="A223" s="40" t="n">
        <v>17</v>
      </c>
      <c r="B223" s="11" t="s">
        <v>172</v>
      </c>
      <c r="C223" s="12" t="n">
        <v>416500</v>
      </c>
      <c r="D223" s="12" t="n">
        <f aca="false">216500+200000</f>
        <v>416500</v>
      </c>
      <c r="E223" s="13" t="n">
        <f aca="false">C223-D223</f>
        <v>0</v>
      </c>
    </row>
    <row r="224" customFormat="false" ht="15" hidden="false" customHeight="false" outlineLevel="0" collapsed="false">
      <c r="A224" s="40" t="n">
        <v>18</v>
      </c>
      <c r="B224" s="11" t="s">
        <v>173</v>
      </c>
      <c r="C224" s="12" t="n">
        <v>416500</v>
      </c>
      <c r="D224" s="12" t="n">
        <f aca="false">200000+216000+500</f>
        <v>416500</v>
      </c>
      <c r="E224" s="13" t="n">
        <f aca="false">C224-D224</f>
        <v>0</v>
      </c>
    </row>
    <row r="225" customFormat="false" ht="15" hidden="false" customHeight="false" outlineLevel="0" collapsed="false">
      <c r="A225" s="40" t="n">
        <v>19</v>
      </c>
      <c r="B225" s="11" t="s">
        <v>174</v>
      </c>
      <c r="C225" s="12" t="n">
        <v>416500</v>
      </c>
      <c r="D225" s="12" t="n">
        <f aca="false">216500+200000</f>
        <v>416500</v>
      </c>
      <c r="E225" s="13" t="n">
        <f aca="false">C225-D225</f>
        <v>0</v>
      </c>
    </row>
    <row r="226" customFormat="false" ht="15" hidden="false" customHeight="false" outlineLevel="0" collapsed="false">
      <c r="A226" s="40" t="n">
        <v>20</v>
      </c>
      <c r="B226" s="11" t="s">
        <v>175</v>
      </c>
      <c r="C226" s="12" t="n">
        <v>416500</v>
      </c>
      <c r="D226" s="12" t="n">
        <f aca="false">100000+100000+50000+166500</f>
        <v>416500</v>
      </c>
      <c r="E226" s="13" t="n">
        <f aca="false">C226-D226</f>
        <v>0</v>
      </c>
    </row>
    <row r="227" customFormat="false" ht="15" hidden="false" customHeight="false" outlineLevel="0" collapsed="false">
      <c r="A227" s="40" t="n">
        <v>21</v>
      </c>
      <c r="B227" s="11" t="s">
        <v>176</v>
      </c>
      <c r="C227" s="12" t="n">
        <v>416500</v>
      </c>
      <c r="D227" s="12" t="n">
        <f aca="false">216500+200000</f>
        <v>416500</v>
      </c>
      <c r="E227" s="13" t="n">
        <f aca="false">C227-D227</f>
        <v>0</v>
      </c>
    </row>
    <row r="228" customFormat="false" ht="15" hidden="false" customHeight="false" outlineLevel="0" collapsed="false">
      <c r="A228" s="40" t="n">
        <v>22</v>
      </c>
      <c r="B228" s="11" t="s">
        <v>177</v>
      </c>
      <c r="C228" s="12" t="n">
        <v>416500</v>
      </c>
      <c r="D228" s="12" t="n">
        <f aca="false">416500</f>
        <v>416500</v>
      </c>
      <c r="E228" s="13" t="n">
        <f aca="false">C228-D228</f>
        <v>0</v>
      </c>
    </row>
    <row r="229" customFormat="false" ht="15" hidden="false" customHeight="false" outlineLevel="0" collapsed="false">
      <c r="A229" s="40" t="n">
        <v>23</v>
      </c>
      <c r="B229" s="11" t="s">
        <v>178</v>
      </c>
      <c r="C229" s="12" t="n">
        <v>416500</v>
      </c>
      <c r="D229" s="12" t="n">
        <f aca="false">216500+100000+100000</f>
        <v>416500</v>
      </c>
      <c r="E229" s="13" t="n">
        <f aca="false">C229-D229</f>
        <v>0</v>
      </c>
    </row>
    <row r="230" customFormat="false" ht="15" hidden="false" customHeight="false" outlineLevel="0" collapsed="false">
      <c r="A230" s="40" t="n">
        <v>24</v>
      </c>
      <c r="B230" s="11" t="s">
        <v>179</v>
      </c>
      <c r="C230" s="12" t="n">
        <v>416500</v>
      </c>
      <c r="D230" s="12" t="n">
        <f aca="false">216000+200000+500</f>
        <v>416500</v>
      </c>
      <c r="E230" s="13" t="n">
        <f aca="false">C230-D230</f>
        <v>0</v>
      </c>
    </row>
    <row r="231" customFormat="false" ht="15" hidden="false" customHeight="false" outlineLevel="0" collapsed="false">
      <c r="A231" s="14" t="n">
        <v>25</v>
      </c>
      <c r="B231" s="11" t="s">
        <v>180</v>
      </c>
      <c r="C231" s="12" t="n">
        <v>416500</v>
      </c>
      <c r="D231" s="12" t="n">
        <f aca="false">216000+200000+500</f>
        <v>416500</v>
      </c>
      <c r="E231" s="13" t="n">
        <f aca="false">C231-D231</f>
        <v>0</v>
      </c>
    </row>
    <row r="232" customFormat="false" ht="15" hidden="false" customHeight="false" outlineLevel="0" collapsed="false">
      <c r="A232" s="14" t="n">
        <v>26</v>
      </c>
      <c r="B232" s="11" t="s">
        <v>181</v>
      </c>
      <c r="C232" s="12" t="n">
        <v>416500</v>
      </c>
      <c r="D232" s="12" t="n">
        <f aca="false">216500+200000</f>
        <v>416500</v>
      </c>
      <c r="E232" s="13" t="n">
        <f aca="false">C232-D232</f>
        <v>0</v>
      </c>
    </row>
    <row r="233" customFormat="false" ht="15" hidden="false" customHeight="false" outlineLevel="0" collapsed="false">
      <c r="A233" s="14" t="n">
        <v>27</v>
      </c>
      <c r="B233" s="11" t="s">
        <v>182</v>
      </c>
      <c r="C233" s="12" t="n">
        <v>416500</v>
      </c>
      <c r="D233" s="12" t="n">
        <f aca="false">150000+50000+50000+95000+71500</f>
        <v>416500</v>
      </c>
      <c r="E233" s="13" t="n">
        <f aca="false">C233-D233</f>
        <v>0</v>
      </c>
    </row>
    <row r="234" customFormat="false" ht="15" hidden="false" customHeight="false" outlineLevel="0" collapsed="false">
      <c r="A234" s="14" t="n">
        <v>29</v>
      </c>
      <c r="B234" s="11" t="s">
        <v>183</v>
      </c>
      <c r="C234" s="12" t="n">
        <v>416500</v>
      </c>
      <c r="D234" s="12" t="n">
        <f aca="false">220000+60000+100000+36000+500</f>
        <v>416500</v>
      </c>
      <c r="E234" s="13" t="n">
        <f aca="false">C234-D234</f>
        <v>0</v>
      </c>
    </row>
    <row r="235" customFormat="false" ht="15" hidden="false" customHeight="false" outlineLevel="0" collapsed="false">
      <c r="A235" s="14" t="n">
        <v>30</v>
      </c>
      <c r="B235" s="11" t="s">
        <v>184</v>
      </c>
      <c r="C235" s="12" t="n">
        <v>416500</v>
      </c>
      <c r="D235" s="12" t="n">
        <f aca="false">200000+216000+500</f>
        <v>416500</v>
      </c>
      <c r="E235" s="13" t="n">
        <f aca="false">C235-D235</f>
        <v>0</v>
      </c>
    </row>
    <row r="236" customFormat="false" ht="15" hidden="false" customHeight="false" outlineLevel="0" collapsed="false">
      <c r="A236" s="14" t="n">
        <v>31</v>
      </c>
      <c r="B236" s="11" t="s">
        <v>185</v>
      </c>
      <c r="C236" s="12" t="n">
        <v>416500</v>
      </c>
      <c r="D236" s="12" t="n">
        <f aca="false">416000+500</f>
        <v>416500</v>
      </c>
      <c r="E236" s="13" t="n">
        <f aca="false">C236-D236</f>
        <v>0</v>
      </c>
    </row>
    <row r="237" customFormat="false" ht="15" hidden="false" customHeight="false" outlineLevel="0" collapsed="false">
      <c r="A237" s="14" t="n">
        <v>32</v>
      </c>
      <c r="B237" s="38" t="s">
        <v>186</v>
      </c>
      <c r="C237" s="12" t="n">
        <v>416500</v>
      </c>
      <c r="D237" s="12" t="n">
        <f aca="false">300000+116000+500</f>
        <v>416500</v>
      </c>
      <c r="E237" s="13" t="n">
        <f aca="false">C237-D237</f>
        <v>0</v>
      </c>
    </row>
    <row r="238" customFormat="false" ht="17.35" hidden="false" customHeight="false" outlineLevel="0" collapsed="false">
      <c r="A238" s="17"/>
      <c r="B238" s="18" t="s">
        <v>21</v>
      </c>
      <c r="C238" s="19" t="n">
        <f aca="false">SUM(C207:C237)</f>
        <v>12911500</v>
      </c>
      <c r="D238" s="20" t="n">
        <f aca="false">SUM(D207:D237)</f>
        <v>12914500</v>
      </c>
      <c r="E238" s="21" t="n">
        <f aca="false">SUM(E207:E237)</f>
        <v>-3000</v>
      </c>
    </row>
    <row r="239" customFormat="false" ht="17.35" hidden="false" customHeight="false" outlineLevel="0" collapsed="false">
      <c r="B239" s="31"/>
      <c r="C239" s="32"/>
      <c r="D239" s="33"/>
      <c r="E239" s="34"/>
    </row>
    <row r="240" customFormat="false" ht="17.35" hidden="false" customHeight="false" outlineLevel="0" collapsed="false">
      <c r="A240" s="22"/>
      <c r="B240" s="2" t="s">
        <v>0</v>
      </c>
    </row>
    <row r="241" customFormat="false" ht="17.35" hidden="false" customHeight="false" outlineLevel="0" collapsed="false">
      <c r="A241" s="35"/>
    </row>
    <row r="242" customFormat="false" ht="15" hidden="false" customHeight="false" outlineLevel="0" collapsed="false">
      <c r="A242" s="22"/>
    </row>
    <row r="243" customFormat="false" ht="17.25" hidden="false" customHeight="false" outlineLevel="0" collapsed="false">
      <c r="A243" s="22"/>
      <c r="B243" s="4" t="s">
        <v>187</v>
      </c>
    </row>
    <row r="244" customFormat="false" ht="15" hidden="false" customHeight="false" outlineLevel="0" collapsed="false">
      <c r="A244" s="22"/>
      <c r="D244" s="5" t="s">
        <v>3</v>
      </c>
    </row>
    <row r="245" customFormat="false" ht="15" hidden="false" customHeight="false" outlineLevel="0" collapsed="false">
      <c r="A245" s="22"/>
    </row>
    <row r="246" customFormat="false" ht="15" hidden="false" customHeight="false" outlineLevel="0" collapsed="false">
      <c r="A246" s="6" t="s">
        <v>4</v>
      </c>
      <c r="B246" s="7" t="s">
        <v>5</v>
      </c>
      <c r="C246" s="8" t="s">
        <v>6</v>
      </c>
      <c r="D246" s="9" t="s">
        <v>7</v>
      </c>
      <c r="E246" s="27" t="s">
        <v>8</v>
      </c>
    </row>
    <row r="247" customFormat="false" ht="15" hidden="false" customHeight="false" outlineLevel="0" collapsed="false">
      <c r="A247" s="14" t="n">
        <v>1</v>
      </c>
      <c r="B247" s="11" t="s">
        <v>188</v>
      </c>
      <c r="C247" s="12" t="n">
        <v>416500</v>
      </c>
      <c r="D247" s="12" t="n">
        <f aca="false">116000+100000+200500</f>
        <v>416500</v>
      </c>
      <c r="E247" s="13" t="n">
        <f aca="false">C247-D247</f>
        <v>0</v>
      </c>
    </row>
    <row r="248" customFormat="false" ht="15" hidden="false" customHeight="false" outlineLevel="0" collapsed="false">
      <c r="A248" s="29" t="n">
        <v>2</v>
      </c>
      <c r="B248" s="11" t="s">
        <v>189</v>
      </c>
      <c r="C248" s="12" t="n">
        <v>416500</v>
      </c>
      <c r="D248" s="12" t="n">
        <f aca="false">216500+200000</f>
        <v>416500</v>
      </c>
      <c r="E248" s="13" t="n">
        <f aca="false">C248-D248</f>
        <v>0</v>
      </c>
    </row>
    <row r="249" customFormat="false" ht="15" hidden="false" customHeight="false" outlineLevel="0" collapsed="false">
      <c r="A249" s="14" t="n">
        <v>3</v>
      </c>
      <c r="B249" s="11" t="s">
        <v>190</v>
      </c>
      <c r="C249" s="12" t="n">
        <v>416500</v>
      </c>
      <c r="D249" s="12" t="n">
        <f aca="false">216000+200000+500</f>
        <v>416500</v>
      </c>
      <c r="E249" s="13" t="n">
        <f aca="false">C249-D249</f>
        <v>0</v>
      </c>
    </row>
    <row r="250" customFormat="false" ht="15" hidden="false" customHeight="false" outlineLevel="0" collapsed="false">
      <c r="A250" s="29" t="n">
        <v>4</v>
      </c>
      <c r="B250" s="11" t="s">
        <v>191</v>
      </c>
      <c r="C250" s="12" t="n">
        <v>416500</v>
      </c>
      <c r="D250" s="12" t="n">
        <f aca="false">216000+198500+2000</f>
        <v>416500</v>
      </c>
      <c r="E250" s="13" t="n">
        <f aca="false">C250-D250</f>
        <v>0</v>
      </c>
    </row>
    <row r="251" customFormat="false" ht="15" hidden="false" customHeight="false" outlineLevel="0" collapsed="false">
      <c r="A251" s="14" t="n">
        <v>5</v>
      </c>
      <c r="B251" s="11" t="s">
        <v>192</v>
      </c>
      <c r="C251" s="12" t="n">
        <v>416500</v>
      </c>
      <c r="D251" s="12" t="n">
        <f aca="false">216500+200000</f>
        <v>416500</v>
      </c>
      <c r="E251" s="13" t="n">
        <f aca="false">C251-D251</f>
        <v>0</v>
      </c>
    </row>
    <row r="252" customFormat="false" ht="15" hidden="false" customHeight="false" outlineLevel="0" collapsed="false">
      <c r="A252" s="29" t="n">
        <v>6</v>
      </c>
      <c r="B252" s="11" t="s">
        <v>193</v>
      </c>
      <c r="C252" s="12" t="n">
        <v>416500</v>
      </c>
      <c r="D252" s="12" t="n">
        <f aca="false">216000+200500</f>
        <v>416500</v>
      </c>
      <c r="E252" s="13" t="n">
        <f aca="false">C252-D252</f>
        <v>0</v>
      </c>
    </row>
    <row r="253" customFormat="false" ht="15" hidden="false" customHeight="false" outlineLevel="0" collapsed="false">
      <c r="A253" s="14" t="n">
        <v>7</v>
      </c>
      <c r="B253" s="11" t="s">
        <v>194</v>
      </c>
      <c r="C253" s="12" t="n">
        <v>416500</v>
      </c>
      <c r="D253" s="12" t="n">
        <f aca="false">216500+200000</f>
        <v>416500</v>
      </c>
      <c r="E253" s="13" t="n">
        <f aca="false">C253-D253</f>
        <v>0</v>
      </c>
    </row>
    <row r="254" customFormat="false" ht="15" hidden="false" customHeight="false" outlineLevel="0" collapsed="false">
      <c r="A254" s="29" t="n">
        <v>8</v>
      </c>
      <c r="B254" s="11" t="s">
        <v>195</v>
      </c>
      <c r="C254" s="12" t="n">
        <v>416500</v>
      </c>
      <c r="D254" s="12" t="n">
        <f aca="false">200000+216000+500</f>
        <v>416500</v>
      </c>
      <c r="E254" s="13" t="n">
        <f aca="false">C254-D254</f>
        <v>0</v>
      </c>
    </row>
    <row r="255" customFormat="false" ht="15" hidden="false" customHeight="false" outlineLevel="0" collapsed="false">
      <c r="A255" s="14" t="n">
        <v>9</v>
      </c>
      <c r="B255" s="11" t="s">
        <v>196</v>
      </c>
      <c r="C255" s="12" t="n">
        <v>416500</v>
      </c>
      <c r="D255" s="12" t="n">
        <f aca="false">216000+40000+160500</f>
        <v>416500</v>
      </c>
      <c r="E255" s="13" t="n">
        <f aca="false">C255-D255</f>
        <v>0</v>
      </c>
    </row>
    <row r="256" customFormat="false" ht="15" hidden="false" customHeight="false" outlineLevel="0" collapsed="false">
      <c r="A256" s="29" t="n">
        <v>10</v>
      </c>
      <c r="B256" s="11" t="s">
        <v>197</v>
      </c>
      <c r="C256" s="12" t="n">
        <v>416500</v>
      </c>
      <c r="D256" s="12" t="n">
        <f aca="false">216000+100500+100000</f>
        <v>416500</v>
      </c>
      <c r="E256" s="13" t="n">
        <f aca="false">C256-D256</f>
        <v>0</v>
      </c>
    </row>
    <row r="257" customFormat="false" ht="15" hidden="false" customHeight="false" outlineLevel="0" collapsed="false">
      <c r="A257" s="14" t="n">
        <v>11</v>
      </c>
      <c r="B257" s="11" t="s">
        <v>198</v>
      </c>
      <c r="C257" s="12" t="n">
        <v>416500</v>
      </c>
      <c r="D257" s="12" t="n">
        <f aca="false">200000+216000+500</f>
        <v>416500</v>
      </c>
      <c r="E257" s="13" t="n">
        <f aca="false">C257-D257</f>
        <v>0</v>
      </c>
    </row>
    <row r="258" customFormat="false" ht="15" hidden="false" customHeight="false" outlineLevel="0" collapsed="false">
      <c r="A258" s="40" t="n">
        <v>12</v>
      </c>
      <c r="B258" s="11" t="s">
        <v>199</v>
      </c>
      <c r="C258" s="12" t="n">
        <v>416500</v>
      </c>
      <c r="D258" s="12" t="n">
        <f aca="false">216000+200000+500</f>
        <v>416500</v>
      </c>
      <c r="E258" s="13" t="n">
        <f aca="false">C258-D258</f>
        <v>0</v>
      </c>
    </row>
    <row r="259" customFormat="false" ht="15" hidden="false" customHeight="false" outlineLevel="0" collapsed="false">
      <c r="A259" s="29" t="n">
        <v>13</v>
      </c>
      <c r="B259" s="11" t="s">
        <v>200</v>
      </c>
      <c r="C259" s="12" t="n">
        <v>416500</v>
      </c>
      <c r="D259" s="12" t="n">
        <f aca="false">216000+100000+100500</f>
        <v>416500</v>
      </c>
      <c r="E259" s="13" t="n">
        <f aca="false">C259-D259</f>
        <v>0</v>
      </c>
    </row>
    <row r="260" customFormat="false" ht="15" hidden="false" customHeight="false" outlineLevel="0" collapsed="false">
      <c r="A260" s="14" t="n">
        <v>14</v>
      </c>
      <c r="B260" s="11" t="s">
        <v>201</v>
      </c>
      <c r="C260" s="12" t="n">
        <v>416500</v>
      </c>
      <c r="D260" s="12" t="n">
        <f aca="false">216000+100000+100500</f>
        <v>416500</v>
      </c>
      <c r="E260" s="13" t="n">
        <f aca="false">C260-D260</f>
        <v>0</v>
      </c>
    </row>
    <row r="261" customFormat="false" ht="15" hidden="false" customHeight="false" outlineLevel="0" collapsed="false">
      <c r="A261" s="40" t="n">
        <v>15</v>
      </c>
      <c r="B261" s="11" t="s">
        <v>202</v>
      </c>
      <c r="C261" s="12" t="n">
        <v>416500</v>
      </c>
      <c r="D261" s="12" t="n">
        <f aca="false">216000+150000+50500</f>
        <v>416500</v>
      </c>
      <c r="E261" s="13" t="n">
        <f aca="false">C261-D261</f>
        <v>0</v>
      </c>
    </row>
    <row r="262" customFormat="false" ht="15" hidden="false" customHeight="false" outlineLevel="0" collapsed="false">
      <c r="A262" s="40" t="n">
        <v>16</v>
      </c>
      <c r="B262" s="11" t="s">
        <v>203</v>
      </c>
      <c r="C262" s="12" t="n">
        <v>416500</v>
      </c>
      <c r="D262" s="12" t="n">
        <f aca="false">220000+196000+500</f>
        <v>416500</v>
      </c>
      <c r="E262" s="13" t="n">
        <f aca="false">C262-D262</f>
        <v>0</v>
      </c>
    </row>
    <row r="263" customFormat="false" ht="15" hidden="false" customHeight="false" outlineLevel="0" collapsed="false">
      <c r="A263" s="40" t="n">
        <v>17</v>
      </c>
      <c r="B263" s="11" t="s">
        <v>204</v>
      </c>
      <c r="C263" s="12" t="n">
        <v>416500</v>
      </c>
      <c r="D263" s="12" t="n">
        <f aca="false">200500+216000</f>
        <v>416500</v>
      </c>
      <c r="E263" s="13" t="n">
        <f aca="false">C263-D263</f>
        <v>0</v>
      </c>
    </row>
    <row r="264" customFormat="false" ht="15" hidden="false" customHeight="false" outlineLevel="0" collapsed="false">
      <c r="A264" s="40" t="n">
        <v>18</v>
      </c>
      <c r="B264" s="11" t="s">
        <v>205</v>
      </c>
      <c r="C264" s="12" t="n">
        <v>416500</v>
      </c>
      <c r="D264" s="12" t="n">
        <f aca="false">216000+200500</f>
        <v>416500</v>
      </c>
      <c r="E264" s="13" t="n">
        <f aca="false">C264-D264</f>
        <v>0</v>
      </c>
    </row>
    <row r="265" customFormat="false" ht="15" hidden="false" customHeight="false" outlineLevel="0" collapsed="false">
      <c r="A265" s="40" t="n">
        <v>19</v>
      </c>
      <c r="B265" s="11" t="s">
        <v>206</v>
      </c>
      <c r="C265" s="12" t="n">
        <v>416500</v>
      </c>
      <c r="D265" s="12" t="n">
        <f aca="false">216000+200500</f>
        <v>416500</v>
      </c>
      <c r="E265" s="13" t="n">
        <f aca="false">C265-D265</f>
        <v>0</v>
      </c>
    </row>
    <row r="266" customFormat="false" ht="15" hidden="false" customHeight="false" outlineLevel="0" collapsed="false">
      <c r="A266" s="40" t="n">
        <v>20</v>
      </c>
      <c r="B266" s="11" t="s">
        <v>207</v>
      </c>
      <c r="C266" s="12" t="n">
        <v>416500</v>
      </c>
      <c r="D266" s="12" t="n">
        <f aca="false">100000+100500+216000</f>
        <v>416500</v>
      </c>
      <c r="E266" s="13" t="n">
        <f aca="false">C266-D266</f>
        <v>0</v>
      </c>
    </row>
    <row r="267" customFormat="false" ht="15" hidden="false" customHeight="false" outlineLevel="0" collapsed="false">
      <c r="A267" s="40" t="n">
        <v>21</v>
      </c>
      <c r="B267" s="11" t="s">
        <v>208</v>
      </c>
      <c r="C267" s="12" t="n">
        <v>416500</v>
      </c>
      <c r="D267" s="12" t="n">
        <f aca="false">216500+200000</f>
        <v>416500</v>
      </c>
      <c r="E267" s="13" t="n">
        <f aca="false">C267-D267</f>
        <v>0</v>
      </c>
    </row>
    <row r="268" customFormat="false" ht="15" hidden="false" customHeight="false" outlineLevel="0" collapsed="false">
      <c r="A268" s="40" t="n">
        <v>22</v>
      </c>
      <c r="B268" s="11" t="s">
        <v>209</v>
      </c>
      <c r="C268" s="12" t="n">
        <v>416500</v>
      </c>
      <c r="D268" s="12" t="n">
        <f aca="false">216000+200000+500</f>
        <v>416500</v>
      </c>
      <c r="E268" s="13" t="n">
        <f aca="false">C268-D268</f>
        <v>0</v>
      </c>
    </row>
    <row r="269" customFormat="false" ht="15" hidden="false" customHeight="false" outlineLevel="0" collapsed="false">
      <c r="A269" s="40" t="n">
        <v>23</v>
      </c>
      <c r="B269" s="11" t="s">
        <v>210</v>
      </c>
      <c r="C269" s="12" t="n">
        <v>416500</v>
      </c>
      <c r="D269" s="12" t="n">
        <f aca="false">216000+200500</f>
        <v>416500</v>
      </c>
      <c r="E269" s="13" t="n">
        <f aca="false">C269-D269</f>
        <v>0</v>
      </c>
    </row>
    <row r="270" customFormat="false" ht="17.35" hidden="false" customHeight="false" outlineLevel="0" collapsed="false">
      <c r="A270" s="17"/>
      <c r="B270" s="18" t="s">
        <v>21</v>
      </c>
      <c r="C270" s="19" t="n">
        <f aca="false">SUM(C247:C269)</f>
        <v>9579500</v>
      </c>
      <c r="D270" s="20" t="n">
        <f aca="false">SUM(D247:D269)</f>
        <v>9579500</v>
      </c>
      <c r="E270" s="21" t="n">
        <f aca="false">SUM(E247:E269)</f>
        <v>0</v>
      </c>
    </row>
    <row r="271" customFormat="false" ht="15" hidden="false" customHeight="false" outlineLevel="0" collapsed="false">
      <c r="A271" s="24"/>
    </row>
    <row r="274" customFormat="false" ht="17.35" hidden="false" customHeight="false" outlineLevel="0" collapsed="false">
      <c r="A274" s="22"/>
      <c r="B274" s="2" t="s">
        <v>0</v>
      </c>
    </row>
    <row r="275" customFormat="false" ht="17.35" hidden="false" customHeight="false" outlineLevel="0" collapsed="false">
      <c r="A275" s="35"/>
    </row>
    <row r="276" customFormat="false" ht="15" hidden="false" customHeight="false" outlineLevel="0" collapsed="false">
      <c r="A276" s="22"/>
    </row>
    <row r="277" customFormat="false" ht="17.25" hidden="false" customHeight="false" outlineLevel="0" collapsed="false">
      <c r="A277" s="22"/>
      <c r="B277" s="4" t="s">
        <v>211</v>
      </c>
    </row>
    <row r="278" customFormat="false" ht="15" hidden="false" customHeight="false" outlineLevel="0" collapsed="false">
      <c r="A278" s="22"/>
      <c r="D278" s="5" t="s">
        <v>3</v>
      </c>
    </row>
    <row r="279" customFormat="false" ht="15" hidden="false" customHeight="false" outlineLevel="0" collapsed="false">
      <c r="A279" s="22"/>
    </row>
    <row r="280" customFormat="false" ht="15" hidden="false" customHeight="false" outlineLevel="0" collapsed="false">
      <c r="A280" s="6" t="s">
        <v>4</v>
      </c>
      <c r="B280" s="7" t="s">
        <v>5</v>
      </c>
      <c r="C280" s="8" t="s">
        <v>6</v>
      </c>
      <c r="D280" s="9" t="s">
        <v>7</v>
      </c>
      <c r="E280" s="27" t="s">
        <v>8</v>
      </c>
    </row>
    <row r="281" customFormat="false" ht="15" hidden="false" customHeight="false" outlineLevel="0" collapsed="false">
      <c r="A281" s="29" t="n">
        <v>1</v>
      </c>
      <c r="B281" s="11" t="s">
        <v>212</v>
      </c>
      <c r="C281" s="12" t="n">
        <v>416500</v>
      </c>
      <c r="D281" s="12" t="n">
        <f aca="false">100000</f>
        <v>100000</v>
      </c>
      <c r="E281" s="13" t="n">
        <f aca="false">C281-D281</f>
        <v>316500</v>
      </c>
    </row>
    <row r="282" customFormat="false" ht="15" hidden="false" customHeight="false" outlineLevel="0" collapsed="false">
      <c r="A282" s="14" t="n">
        <v>2</v>
      </c>
      <c r="B282" s="11" t="s">
        <v>213</v>
      </c>
      <c r="C282" s="12" t="n">
        <v>416500</v>
      </c>
      <c r="D282" s="12" t="n">
        <f aca="false">200000+216000+500</f>
        <v>416500</v>
      </c>
      <c r="E282" s="13" t="n">
        <f aca="false">C282-D282</f>
        <v>0</v>
      </c>
    </row>
    <row r="283" customFormat="false" ht="15" hidden="false" customHeight="false" outlineLevel="0" collapsed="false">
      <c r="A283" s="29" t="n">
        <v>3</v>
      </c>
      <c r="B283" s="11" t="s">
        <v>214</v>
      </c>
      <c r="C283" s="12" t="n">
        <v>416500</v>
      </c>
      <c r="D283" s="12" t="n">
        <f aca="false">200000+216000</f>
        <v>416000</v>
      </c>
      <c r="E283" s="13" t="n">
        <f aca="false">C283-D283</f>
        <v>500</v>
      </c>
    </row>
    <row r="284" customFormat="false" ht="15" hidden="false" customHeight="false" outlineLevel="0" collapsed="false">
      <c r="A284" s="29" t="n">
        <v>4</v>
      </c>
      <c r="B284" s="11" t="s">
        <v>215</v>
      </c>
      <c r="C284" s="12" t="n">
        <v>416500</v>
      </c>
      <c r="D284" s="12" t="n">
        <f aca="false">100000+116500</f>
        <v>216500</v>
      </c>
      <c r="E284" s="13" t="n">
        <f aca="false">C284-D284</f>
        <v>200000</v>
      </c>
    </row>
    <row r="285" customFormat="false" ht="15" hidden="false" customHeight="false" outlineLevel="0" collapsed="false">
      <c r="A285" s="14" t="n">
        <v>5</v>
      </c>
      <c r="B285" s="11" t="s">
        <v>216</v>
      </c>
      <c r="C285" s="12" t="n">
        <v>416500</v>
      </c>
      <c r="D285" s="12" t="n">
        <f aca="false">216500+200000</f>
        <v>416500</v>
      </c>
      <c r="E285" s="13" t="n">
        <f aca="false">C285-D285</f>
        <v>0</v>
      </c>
    </row>
    <row r="286" customFormat="false" ht="15" hidden="false" customHeight="false" outlineLevel="0" collapsed="false">
      <c r="A286" s="40" t="n">
        <v>6</v>
      </c>
      <c r="B286" s="11" t="s">
        <v>217</v>
      </c>
      <c r="C286" s="12" t="n">
        <v>416500</v>
      </c>
      <c r="D286" s="12"/>
      <c r="E286" s="13" t="n">
        <f aca="false">C286-D286</f>
        <v>416500</v>
      </c>
    </row>
    <row r="287" customFormat="false" ht="15" hidden="false" customHeight="false" outlineLevel="0" collapsed="false">
      <c r="A287" s="29" t="n">
        <v>7</v>
      </c>
      <c r="B287" s="11" t="s">
        <v>218</v>
      </c>
      <c r="C287" s="12" t="n">
        <v>416500</v>
      </c>
      <c r="D287" s="12" t="n">
        <f aca="false">216500+100000+100000</f>
        <v>416500</v>
      </c>
      <c r="E287" s="13" t="n">
        <f aca="false">C287-D287</f>
        <v>0</v>
      </c>
    </row>
    <row r="288" customFormat="false" ht="15" hidden="false" customHeight="false" outlineLevel="0" collapsed="false">
      <c r="A288" s="14" t="n">
        <v>8</v>
      </c>
      <c r="B288" s="11" t="s">
        <v>219</v>
      </c>
      <c r="C288" s="12" t="n">
        <v>416500</v>
      </c>
      <c r="D288" s="12" t="n">
        <f aca="false">100000+100000+100000+100000+16500</f>
        <v>416500</v>
      </c>
      <c r="E288" s="13" t="n">
        <f aca="false">C288-D288</f>
        <v>0</v>
      </c>
    </row>
    <row r="289" customFormat="false" ht="17.35" hidden="false" customHeight="false" outlineLevel="0" collapsed="false">
      <c r="A289" s="17"/>
      <c r="B289" s="18" t="s">
        <v>21</v>
      </c>
      <c r="C289" s="19" t="n">
        <f aca="false">SUM(C281:C288)</f>
        <v>3332000</v>
      </c>
      <c r="D289" s="20" t="n">
        <f aca="false">SUM(D281:D288)</f>
        <v>2398500</v>
      </c>
      <c r="E289" s="21" t="n">
        <f aca="false">SUM(E281:E288)</f>
        <v>933500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789" colorId="64" zoomScale="100" zoomScaleNormal="100" zoomScalePageLayoutView="100" workbookViewId="0">
      <selection pane="topLeft" activeCell="G831" activeCellId="0" sqref="G831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34.57"/>
    <col collapsed="false" customWidth="true" hidden="false" outlineLevel="0" max="3" min="3" style="1" width="13.71"/>
    <col collapsed="false" customWidth="true" hidden="false" outlineLevel="0" max="4" min="4" style="1" width="14.43"/>
    <col collapsed="false" customWidth="true" hidden="false" outlineLevel="0" max="5" min="5" style="1" width="15.85"/>
    <col collapsed="false" customWidth="true" hidden="false" outlineLevel="0" max="16384" min="16333" style="0" width="11.53"/>
  </cols>
  <sheetData>
    <row r="2" customFormat="false" ht="17.35" hidden="false" customHeight="false" outlineLevel="0" collapsed="false">
      <c r="A2" s="2"/>
      <c r="B2" s="2" t="s">
        <v>0</v>
      </c>
    </row>
    <row r="4" customFormat="false" ht="17.25" hidden="false" customHeight="false" outlineLevel="0" collapsed="false">
      <c r="B4" s="3" t="s">
        <v>1</v>
      </c>
    </row>
    <row r="7" customFormat="false" ht="17.25" hidden="false" customHeight="false" outlineLevel="0" collapsed="false">
      <c r="B7" s="4" t="s">
        <v>2</v>
      </c>
      <c r="D7" s="5" t="s">
        <v>220</v>
      </c>
    </row>
    <row r="9" customFormat="false" ht="15" hidden="false" customHeight="false" outlineLevel="0" collapsed="false">
      <c r="A9" s="6" t="s">
        <v>4</v>
      </c>
      <c r="B9" s="42" t="s">
        <v>5</v>
      </c>
      <c r="C9" s="43" t="s">
        <v>6</v>
      </c>
      <c r="D9" s="44" t="s">
        <v>7</v>
      </c>
      <c r="E9" s="27" t="s">
        <v>8</v>
      </c>
    </row>
    <row r="10" customFormat="false" ht="15" hidden="false" customHeight="false" outlineLevel="0" collapsed="false">
      <c r="A10" s="1" t="n">
        <v>1</v>
      </c>
      <c r="B10" s="11" t="s">
        <v>221</v>
      </c>
      <c r="C10" s="12" t="n">
        <v>416500</v>
      </c>
      <c r="D10" s="12" t="n">
        <f aca="false">100000+100000+216500</f>
        <v>416500</v>
      </c>
      <c r="E10" s="13" t="n">
        <f aca="false">C10-D10</f>
        <v>0</v>
      </c>
    </row>
    <row r="11" customFormat="false" ht="15" hidden="false" customHeight="false" outlineLevel="0" collapsed="false">
      <c r="A11" s="14" t="n">
        <v>2</v>
      </c>
      <c r="B11" s="11" t="s">
        <v>222</v>
      </c>
      <c r="C11" s="12" t="n">
        <v>416500</v>
      </c>
      <c r="D11" s="12" t="n">
        <f aca="false">150000+50000+216500</f>
        <v>416500</v>
      </c>
      <c r="E11" s="13" t="n">
        <f aca="false">C11-D11</f>
        <v>0</v>
      </c>
    </row>
    <row r="12" customFormat="false" ht="15" hidden="false" customHeight="false" outlineLevel="0" collapsed="false">
      <c r="A12" s="14" t="n">
        <v>3</v>
      </c>
      <c r="B12" s="11" t="s">
        <v>223</v>
      </c>
      <c r="C12" s="12" t="n">
        <v>416500</v>
      </c>
      <c r="D12" s="12" t="n">
        <f aca="false">150000+266500</f>
        <v>416500</v>
      </c>
      <c r="E12" s="13" t="n">
        <f aca="false">C12-D12</f>
        <v>0</v>
      </c>
    </row>
    <row r="13" customFormat="false" ht="15" hidden="false" customHeight="false" outlineLevel="0" collapsed="false">
      <c r="A13" s="14" t="n">
        <v>4</v>
      </c>
      <c r="B13" s="11" t="s">
        <v>224</v>
      </c>
      <c r="C13" s="12" t="n">
        <v>416500</v>
      </c>
      <c r="D13" s="12" t="n">
        <f aca="false">216500+100000+100000</f>
        <v>416500</v>
      </c>
      <c r="E13" s="13" t="n">
        <f aca="false">C13-D13</f>
        <v>0</v>
      </c>
    </row>
    <row r="14" customFormat="false" ht="15" hidden="false" customHeight="false" outlineLevel="0" collapsed="false">
      <c r="A14" s="14" t="n">
        <v>5</v>
      </c>
      <c r="B14" s="11" t="s">
        <v>225</v>
      </c>
      <c r="C14" s="12" t="n">
        <v>416500</v>
      </c>
      <c r="D14" s="12" t="n">
        <f aca="false">100000+116500+200000</f>
        <v>416500</v>
      </c>
      <c r="E14" s="13" t="n">
        <f aca="false">C14-D14</f>
        <v>0</v>
      </c>
    </row>
    <row r="15" customFormat="false" ht="15" hidden="false" customHeight="false" outlineLevel="0" collapsed="false">
      <c r="A15" s="14" t="n">
        <v>6</v>
      </c>
      <c r="B15" s="11" t="s">
        <v>226</v>
      </c>
      <c r="C15" s="12" t="n">
        <v>416500</v>
      </c>
      <c r="D15" s="12" t="n">
        <v>300000</v>
      </c>
      <c r="E15" s="13" t="n">
        <f aca="false">C15-D15</f>
        <v>116500</v>
      </c>
    </row>
    <row r="16" customFormat="false" ht="15" hidden="false" customHeight="false" outlineLevel="0" collapsed="false">
      <c r="A16" s="14" t="n">
        <v>7</v>
      </c>
      <c r="B16" s="11" t="s">
        <v>227</v>
      </c>
      <c r="C16" s="12" t="n">
        <v>416500</v>
      </c>
      <c r="D16" s="12" t="n">
        <f aca="false">100000+200000+100000+16500</f>
        <v>416500</v>
      </c>
      <c r="E16" s="13" t="n">
        <f aca="false">C16-D16</f>
        <v>0</v>
      </c>
    </row>
    <row r="17" customFormat="false" ht="15" hidden="false" customHeight="false" outlineLevel="0" collapsed="false">
      <c r="A17" s="14" t="n">
        <v>8</v>
      </c>
      <c r="B17" s="11" t="s">
        <v>228</v>
      </c>
      <c r="C17" s="12" t="n">
        <v>416500</v>
      </c>
      <c r="D17" s="12" t="n">
        <f aca="false">100000+100000+216500</f>
        <v>416500</v>
      </c>
      <c r="E17" s="13" t="n">
        <f aca="false">C17-D17</f>
        <v>0</v>
      </c>
    </row>
    <row r="18" customFormat="false" ht="15" hidden="false" customHeight="false" outlineLevel="0" collapsed="false">
      <c r="A18" s="14" t="n">
        <v>9</v>
      </c>
      <c r="B18" s="11" t="s">
        <v>229</v>
      </c>
      <c r="C18" s="12" t="n">
        <v>416500</v>
      </c>
      <c r="D18" s="12" t="n">
        <f aca="false">116500+200000+100000</f>
        <v>416500</v>
      </c>
      <c r="E18" s="13" t="n">
        <f aca="false">C18-D18</f>
        <v>0</v>
      </c>
    </row>
    <row r="19" customFormat="false" ht="15" hidden="false" customHeight="false" outlineLevel="0" collapsed="false">
      <c r="A19" s="14" t="n">
        <v>10</v>
      </c>
      <c r="B19" s="11" t="s">
        <v>230</v>
      </c>
      <c r="C19" s="12" t="n">
        <v>416500</v>
      </c>
      <c r="D19" s="12" t="n">
        <f aca="false">100000</f>
        <v>100000</v>
      </c>
      <c r="E19" s="13" t="n">
        <f aca="false">C19-D19</f>
        <v>316500</v>
      </c>
    </row>
    <row r="20" customFormat="false" ht="15" hidden="false" customHeight="false" outlineLevel="0" collapsed="false">
      <c r="A20" s="14" t="n">
        <v>11</v>
      </c>
      <c r="B20" s="11" t="s">
        <v>231</v>
      </c>
      <c r="C20" s="12" t="n">
        <v>416500</v>
      </c>
      <c r="D20" s="12" t="n">
        <f aca="false">50000+150000</f>
        <v>200000</v>
      </c>
      <c r="E20" s="13" t="n">
        <f aca="false">C20-D20</f>
        <v>216500</v>
      </c>
    </row>
    <row r="21" customFormat="false" ht="15" hidden="false" customHeight="false" outlineLevel="0" collapsed="false">
      <c r="A21" s="14" t="n">
        <v>12</v>
      </c>
      <c r="B21" s="11" t="s">
        <v>232</v>
      </c>
      <c r="C21" s="12" t="n">
        <v>416500</v>
      </c>
      <c r="D21" s="12"/>
      <c r="E21" s="13" t="n">
        <f aca="false">C21-D21</f>
        <v>416500</v>
      </c>
    </row>
    <row r="22" customFormat="false" ht="15" hidden="false" customHeight="false" outlineLevel="0" collapsed="false">
      <c r="A22" s="14" t="n">
        <v>13</v>
      </c>
      <c r="B22" s="11" t="s">
        <v>233</v>
      </c>
      <c r="C22" s="12" t="n">
        <v>416500</v>
      </c>
      <c r="D22" s="12" t="n">
        <f aca="false">22500+150000</f>
        <v>172500</v>
      </c>
      <c r="E22" s="13" t="n">
        <f aca="false">C22-D22</f>
        <v>244000</v>
      </c>
    </row>
    <row r="23" customFormat="false" ht="15" hidden="false" customHeight="false" outlineLevel="0" collapsed="false">
      <c r="A23" s="14" t="n">
        <v>14</v>
      </c>
      <c r="B23" s="11" t="s">
        <v>234</v>
      </c>
      <c r="C23" s="12" t="n">
        <v>416500</v>
      </c>
      <c r="D23" s="12" t="n">
        <f aca="false">100000+200000+116500</f>
        <v>416500</v>
      </c>
      <c r="E23" s="13" t="n">
        <f aca="false">C23-D23</f>
        <v>0</v>
      </c>
    </row>
    <row r="24" customFormat="false" ht="15" hidden="false" customHeight="false" outlineLevel="0" collapsed="false">
      <c r="A24" s="14" t="n">
        <v>15</v>
      </c>
      <c r="B24" s="11" t="s">
        <v>235</v>
      </c>
      <c r="C24" s="12" t="n">
        <v>416500</v>
      </c>
      <c r="D24" s="12" t="n">
        <f aca="false">53500+110000+253000</f>
        <v>416500</v>
      </c>
      <c r="E24" s="13" t="n">
        <f aca="false">C24-D24</f>
        <v>0</v>
      </c>
    </row>
    <row r="25" customFormat="false" ht="17.35" hidden="false" customHeight="false" outlineLevel="0" collapsed="false">
      <c r="A25" s="17"/>
      <c r="B25" s="18" t="s">
        <v>21</v>
      </c>
      <c r="C25" s="19" t="n">
        <v>4998000</v>
      </c>
      <c r="D25" s="20" t="n">
        <f aca="false">SUM(D10:D24)</f>
        <v>4937500</v>
      </c>
      <c r="E25" s="21" t="n">
        <f aca="false">SUM(E10:E24)</f>
        <v>1310000</v>
      </c>
    </row>
    <row r="26" customFormat="false" ht="17.35" hidden="false" customHeight="false" outlineLevel="0" collapsed="false">
      <c r="B26" s="31"/>
      <c r="C26" s="32"/>
      <c r="D26" s="33"/>
      <c r="E26" s="34"/>
    </row>
    <row r="27" customFormat="false" ht="17.35" hidden="false" customHeight="false" outlineLevel="0" collapsed="false">
      <c r="B27" s="31"/>
      <c r="C27" s="32"/>
      <c r="D27" s="33"/>
      <c r="E27" s="34"/>
    </row>
    <row r="28" customFormat="false" ht="17.35" hidden="false" customHeight="false" outlineLevel="0" collapsed="false">
      <c r="B28" s="31"/>
      <c r="C28" s="32"/>
      <c r="D28" s="33"/>
      <c r="E28" s="34"/>
    </row>
    <row r="29" customFormat="false" ht="17.35" hidden="false" customHeight="false" outlineLevel="0" collapsed="false">
      <c r="A29" s="2"/>
      <c r="B29" s="2" t="s">
        <v>0</v>
      </c>
    </row>
    <row r="30" customFormat="false" ht="17.35" hidden="false" customHeight="false" outlineLevel="0" collapsed="false">
      <c r="B30" s="31"/>
      <c r="C30" s="32"/>
      <c r="D30" s="33"/>
      <c r="E30" s="34"/>
    </row>
    <row r="31" customFormat="false" ht="17.25" hidden="false" customHeight="false" outlineLevel="0" collapsed="false">
      <c r="B31" s="3" t="s">
        <v>1</v>
      </c>
    </row>
    <row r="32" customFormat="false" ht="17.35" hidden="false" customHeight="false" outlineLevel="0" collapsed="false">
      <c r="B32" s="31"/>
      <c r="C32" s="32"/>
      <c r="D32" s="33"/>
      <c r="E32" s="34"/>
    </row>
    <row r="33" customFormat="false" ht="17.35" hidden="false" customHeight="false" outlineLevel="0" collapsed="false">
      <c r="B33" s="45" t="s">
        <v>236</v>
      </c>
    </row>
    <row r="34" customFormat="false" ht="15" hidden="false" customHeight="false" outlineLevel="0" collapsed="false">
      <c r="B34" s="4" t="s">
        <v>237</v>
      </c>
    </row>
    <row r="36" customFormat="false" ht="15" hidden="false" customHeight="false" outlineLevel="0" collapsed="false">
      <c r="A36" s="46" t="s">
        <v>4</v>
      </c>
      <c r="B36" s="47" t="s">
        <v>238</v>
      </c>
      <c r="C36" s="43" t="s">
        <v>6</v>
      </c>
      <c r="D36" s="48" t="s">
        <v>7</v>
      </c>
      <c r="E36" s="27" t="s">
        <v>8</v>
      </c>
    </row>
    <row r="37" customFormat="false" ht="15" hidden="false" customHeight="false" outlineLevel="0" collapsed="false">
      <c r="A37" s="49" t="n">
        <v>1</v>
      </c>
      <c r="B37" s="50" t="s">
        <v>239</v>
      </c>
      <c r="C37" s="51" t="n">
        <v>416500</v>
      </c>
      <c r="D37" s="51" t="n">
        <f aca="false">120000</f>
        <v>120000</v>
      </c>
      <c r="E37" s="52" t="n">
        <f aca="false">C37-D37</f>
        <v>296500</v>
      </c>
    </row>
    <row r="38" customFormat="false" ht="15" hidden="false" customHeight="false" outlineLevel="0" collapsed="false">
      <c r="A38" s="49" t="n">
        <v>2</v>
      </c>
      <c r="B38" s="50" t="s">
        <v>240</v>
      </c>
      <c r="C38" s="51" t="n">
        <v>416500</v>
      </c>
      <c r="D38" s="51" t="n">
        <f aca="false">103500+80000+70000+163000</f>
        <v>416500</v>
      </c>
      <c r="E38" s="52" t="n">
        <f aca="false">C38-D38</f>
        <v>0</v>
      </c>
    </row>
    <row r="39" customFormat="false" ht="15" hidden="false" customHeight="false" outlineLevel="0" collapsed="false">
      <c r="A39" s="53" t="n">
        <v>3</v>
      </c>
      <c r="B39" s="50" t="s">
        <v>241</v>
      </c>
      <c r="C39" s="51" t="n">
        <v>416500</v>
      </c>
      <c r="D39" s="51" t="n">
        <f aca="false">83500</f>
        <v>83500</v>
      </c>
      <c r="E39" s="52" t="n">
        <f aca="false">C39-D39</f>
        <v>333000</v>
      </c>
    </row>
    <row r="40" customFormat="false" ht="15" hidden="false" customHeight="false" outlineLevel="0" collapsed="false">
      <c r="A40" s="49" t="n">
        <v>4</v>
      </c>
      <c r="B40" s="50" t="s">
        <v>242</v>
      </c>
      <c r="C40" s="51" t="n">
        <v>416500</v>
      </c>
      <c r="D40" s="51" t="n">
        <f aca="false">316000+100500</f>
        <v>416500</v>
      </c>
      <c r="E40" s="52" t="n">
        <f aca="false">C40-D40</f>
        <v>0</v>
      </c>
    </row>
    <row r="41" customFormat="false" ht="15" hidden="false" customHeight="false" outlineLevel="0" collapsed="false">
      <c r="A41" s="49" t="n">
        <v>5</v>
      </c>
      <c r="B41" s="54" t="s">
        <v>243</v>
      </c>
      <c r="C41" s="51" t="n">
        <v>416500</v>
      </c>
      <c r="D41" s="51" t="n">
        <f aca="false">99500+317500</f>
        <v>417000</v>
      </c>
      <c r="E41" s="52" t="n">
        <f aca="false">C41-D41</f>
        <v>-500</v>
      </c>
    </row>
    <row r="42" customFormat="false" ht="15" hidden="false" customHeight="false" outlineLevel="0" collapsed="false">
      <c r="A42" s="49" t="n">
        <v>6</v>
      </c>
      <c r="B42" s="50" t="s">
        <v>244</v>
      </c>
      <c r="C42" s="51" t="n">
        <v>416500</v>
      </c>
      <c r="D42" s="51" t="n">
        <f aca="false">200000+116500+50000+50000</f>
        <v>416500</v>
      </c>
      <c r="E42" s="52" t="n">
        <f aca="false">C42-D42</f>
        <v>0</v>
      </c>
    </row>
    <row r="43" customFormat="false" ht="15" hidden="false" customHeight="false" outlineLevel="0" collapsed="false">
      <c r="A43" s="49" t="n">
        <v>7</v>
      </c>
      <c r="B43" s="50" t="s">
        <v>245</v>
      </c>
      <c r="C43" s="51" t="n">
        <v>416500</v>
      </c>
      <c r="D43" s="51" t="n">
        <f aca="false">100000+25000+16000+200000+75500</f>
        <v>416500</v>
      </c>
      <c r="E43" s="52" t="n">
        <f aca="false">C43-D43</f>
        <v>0</v>
      </c>
    </row>
    <row r="44" customFormat="false" ht="15" hidden="false" customHeight="false" outlineLevel="0" collapsed="false">
      <c r="A44" s="49" t="n">
        <v>8</v>
      </c>
      <c r="B44" s="50" t="s">
        <v>246</v>
      </c>
      <c r="C44" s="51" t="n">
        <v>416500</v>
      </c>
      <c r="D44" s="51" t="n">
        <f aca="false">100500+100000+216000</f>
        <v>416500</v>
      </c>
      <c r="E44" s="52" t="n">
        <f aca="false">C44-D44</f>
        <v>0</v>
      </c>
    </row>
    <row r="45" customFormat="false" ht="15" hidden="false" customHeight="false" outlineLevel="0" collapsed="false">
      <c r="A45" s="49" t="n">
        <v>9</v>
      </c>
      <c r="B45" s="50" t="s">
        <v>247</v>
      </c>
      <c r="C45" s="51" t="n">
        <v>416500</v>
      </c>
      <c r="D45" s="51"/>
      <c r="E45" s="52" t="n">
        <f aca="false">C45-D45</f>
        <v>416500</v>
      </c>
    </row>
    <row r="46" customFormat="false" ht="15" hidden="false" customHeight="false" outlineLevel="0" collapsed="false">
      <c r="A46" s="49" t="n">
        <v>10</v>
      </c>
      <c r="B46" s="50" t="s">
        <v>248</v>
      </c>
      <c r="C46" s="51" t="n">
        <v>416500</v>
      </c>
      <c r="D46" s="51" t="n">
        <f aca="false">416500</f>
        <v>416500</v>
      </c>
      <c r="E46" s="52" t="n">
        <f aca="false">C46-D46</f>
        <v>0</v>
      </c>
    </row>
    <row r="47" customFormat="false" ht="15" hidden="false" customHeight="false" outlineLevel="0" collapsed="false">
      <c r="A47" s="49" t="n">
        <v>11</v>
      </c>
      <c r="B47" s="50" t="s">
        <v>249</v>
      </c>
      <c r="C47" s="51" t="n">
        <v>416500</v>
      </c>
      <c r="D47" s="51" t="n">
        <f aca="false">4500+170000+242000</f>
        <v>416500</v>
      </c>
      <c r="E47" s="52" t="n">
        <f aca="false">C47-D47</f>
        <v>0</v>
      </c>
    </row>
    <row r="48" customFormat="false" ht="15" hidden="false" customHeight="false" outlineLevel="0" collapsed="false">
      <c r="A48" s="49" t="n">
        <v>12</v>
      </c>
      <c r="B48" s="50" t="s">
        <v>250</v>
      </c>
      <c r="C48" s="51" t="n">
        <v>416500</v>
      </c>
      <c r="D48" s="51"/>
      <c r="E48" s="52" t="n">
        <f aca="false">C48-D48</f>
        <v>416500</v>
      </c>
    </row>
    <row r="49" customFormat="false" ht="15" hidden="false" customHeight="false" outlineLevel="0" collapsed="false">
      <c r="A49" s="49" t="n">
        <v>13</v>
      </c>
      <c r="B49" s="50" t="s">
        <v>251</v>
      </c>
      <c r="C49" s="51" t="n">
        <v>416500</v>
      </c>
      <c r="D49" s="51" t="n">
        <f aca="false">50500+40000+230000</f>
        <v>320500</v>
      </c>
      <c r="E49" s="52" t="n">
        <f aca="false">C49-D49</f>
        <v>96000</v>
      </c>
    </row>
    <row r="50" customFormat="false" ht="15" hidden="false" customHeight="false" outlineLevel="0" collapsed="false">
      <c r="A50" s="49" t="n">
        <v>14</v>
      </c>
      <c r="B50" s="50" t="s">
        <v>252</v>
      </c>
      <c r="C50" s="51" t="n">
        <v>416500</v>
      </c>
      <c r="D50" s="51"/>
      <c r="E50" s="52" t="n">
        <f aca="false">C50-D50</f>
        <v>416500</v>
      </c>
    </row>
    <row r="51" customFormat="false" ht="15" hidden="false" customHeight="false" outlineLevel="0" collapsed="false">
      <c r="A51" s="49" t="n">
        <v>15</v>
      </c>
      <c r="B51" s="50" t="s">
        <v>253</v>
      </c>
      <c r="C51" s="51" t="n">
        <v>416500</v>
      </c>
      <c r="D51" s="51" t="n">
        <f aca="false">216500+200000</f>
        <v>416500</v>
      </c>
      <c r="E51" s="52" t="n">
        <f aca="false">C51-D51</f>
        <v>0</v>
      </c>
    </row>
    <row r="52" customFormat="false" ht="15" hidden="false" customHeight="false" outlineLevel="0" collapsed="false">
      <c r="A52" s="49" t="n">
        <v>16</v>
      </c>
      <c r="B52" s="50" t="s">
        <v>254</v>
      </c>
      <c r="C52" s="51" t="n">
        <v>416500</v>
      </c>
      <c r="D52" s="51" t="n">
        <f aca="false">100000+100000+100000+50000+66500</f>
        <v>416500</v>
      </c>
      <c r="E52" s="52" t="n">
        <f aca="false">C52-D52</f>
        <v>0</v>
      </c>
    </row>
    <row r="53" customFormat="false" ht="15" hidden="false" customHeight="false" outlineLevel="0" collapsed="false">
      <c r="A53" s="49" t="n">
        <v>17</v>
      </c>
      <c r="B53" s="50" t="s">
        <v>255</v>
      </c>
      <c r="C53" s="51" t="n">
        <v>416500</v>
      </c>
      <c r="D53" s="51" t="n">
        <f aca="false">50000+366500</f>
        <v>416500</v>
      </c>
      <c r="E53" s="52" t="n">
        <f aca="false">C53-D53</f>
        <v>0</v>
      </c>
    </row>
    <row r="54" customFormat="false" ht="15" hidden="false" customHeight="false" outlineLevel="0" collapsed="false">
      <c r="A54" s="49" t="n">
        <v>18</v>
      </c>
      <c r="B54" s="50" t="s">
        <v>256</v>
      </c>
      <c r="C54" s="51" t="n">
        <v>416500</v>
      </c>
      <c r="D54" s="51" t="n">
        <f aca="false">300000+116500</f>
        <v>416500</v>
      </c>
      <c r="E54" s="52" t="n">
        <f aca="false">C54-D54</f>
        <v>0</v>
      </c>
    </row>
    <row r="55" customFormat="false" ht="15" hidden="false" customHeight="false" outlineLevel="0" collapsed="false">
      <c r="A55" s="49" t="n">
        <v>19</v>
      </c>
      <c r="B55" s="50" t="s">
        <v>257</v>
      </c>
      <c r="C55" s="51" t="n">
        <v>416500</v>
      </c>
      <c r="D55" s="51" t="n">
        <f aca="false">200000</f>
        <v>200000</v>
      </c>
      <c r="E55" s="52" t="n">
        <f aca="false">C55-D55</f>
        <v>216500</v>
      </c>
    </row>
    <row r="56" customFormat="false" ht="15" hidden="false" customHeight="false" outlineLevel="0" collapsed="false">
      <c r="A56" s="49" t="n">
        <v>20</v>
      </c>
      <c r="B56" s="50" t="s">
        <v>258</v>
      </c>
      <c r="C56" s="51" t="n">
        <v>416500</v>
      </c>
      <c r="D56" s="51"/>
      <c r="E56" s="52" t="n">
        <f aca="false">C56-D56</f>
        <v>416500</v>
      </c>
    </row>
    <row r="57" customFormat="false" ht="15" hidden="false" customHeight="false" outlineLevel="0" collapsed="false">
      <c r="A57" s="49" t="n">
        <v>21</v>
      </c>
      <c r="B57" s="50" t="s">
        <v>259</v>
      </c>
      <c r="C57" s="51" t="n">
        <v>416500</v>
      </c>
      <c r="D57" s="51" t="n">
        <f aca="false">54000+100000+160500</f>
        <v>314500</v>
      </c>
      <c r="E57" s="52" t="n">
        <f aca="false">C57-D57</f>
        <v>102000</v>
      </c>
    </row>
    <row r="58" customFormat="false" ht="15" hidden="false" customHeight="false" outlineLevel="0" collapsed="false">
      <c r="A58" s="49" t="n">
        <v>22</v>
      </c>
      <c r="B58" s="54" t="s">
        <v>260</v>
      </c>
      <c r="C58" s="51" t="n">
        <v>416500</v>
      </c>
      <c r="D58" s="51" t="n">
        <f aca="false">100000+50000+266500</f>
        <v>416500</v>
      </c>
      <c r="E58" s="52" t="n">
        <f aca="false">C58-D58</f>
        <v>0</v>
      </c>
    </row>
    <row r="59" customFormat="false" ht="15" hidden="false" customHeight="false" outlineLevel="0" collapsed="false">
      <c r="A59" s="49" t="n">
        <v>23</v>
      </c>
      <c r="B59" s="55" t="s">
        <v>261</v>
      </c>
      <c r="C59" s="51" t="n">
        <v>416500</v>
      </c>
      <c r="D59" s="51" t="n">
        <f aca="false">250000+164500+2000</f>
        <v>416500</v>
      </c>
      <c r="E59" s="52" t="n">
        <f aca="false">C59-D59</f>
        <v>0</v>
      </c>
    </row>
    <row r="60" customFormat="false" ht="15" hidden="false" customHeight="false" outlineLevel="0" collapsed="false">
      <c r="A60" s="49" t="n">
        <v>24</v>
      </c>
      <c r="B60" s="50" t="s">
        <v>262</v>
      </c>
      <c r="C60" s="51" t="n">
        <v>416500</v>
      </c>
      <c r="D60" s="51" t="n">
        <f aca="false">100000</f>
        <v>100000</v>
      </c>
      <c r="E60" s="52" t="n">
        <f aca="false">C60-D60</f>
        <v>316500</v>
      </c>
    </row>
    <row r="61" customFormat="false" ht="15" hidden="false" customHeight="false" outlineLevel="0" collapsed="false">
      <c r="A61" s="49" t="n">
        <v>25</v>
      </c>
      <c r="B61" s="50" t="s">
        <v>263</v>
      </c>
      <c r="C61" s="51" t="n">
        <v>416500</v>
      </c>
      <c r="D61" s="51" t="n">
        <f aca="false">116500+100000+100000+100000</f>
        <v>416500</v>
      </c>
      <c r="E61" s="52" t="n">
        <f aca="false">C61-D61</f>
        <v>0</v>
      </c>
    </row>
    <row r="62" customFormat="false" ht="15" hidden="false" customHeight="false" outlineLevel="0" collapsed="false">
      <c r="A62" s="49" t="n">
        <v>26</v>
      </c>
      <c r="B62" s="50" t="s">
        <v>264</v>
      </c>
      <c r="C62" s="51" t="n">
        <v>416500</v>
      </c>
      <c r="D62" s="51" t="n">
        <f aca="false">200000+216500</f>
        <v>416500</v>
      </c>
      <c r="E62" s="52" t="n">
        <f aca="false">C62-D62</f>
        <v>0</v>
      </c>
    </row>
    <row r="63" customFormat="false" ht="17.35" hidden="false" customHeight="false" outlineLevel="0" collapsed="false">
      <c r="A63" s="49"/>
      <c r="B63" s="56" t="s">
        <v>21</v>
      </c>
      <c r="C63" s="57" t="n">
        <f aca="false">SUM(C37:C62)</f>
        <v>10829000</v>
      </c>
      <c r="D63" s="58" t="n">
        <f aca="false">SUM(D37:D62)</f>
        <v>7803000</v>
      </c>
      <c r="E63" s="59" t="n">
        <f aca="false">SUM(E37:E62)</f>
        <v>3026000</v>
      </c>
    </row>
    <row r="64" customFormat="false" ht="17.35" hidden="false" customHeight="false" outlineLevel="0" collapsed="false">
      <c r="A64" s="60"/>
      <c r="B64" s="31"/>
      <c r="C64" s="32"/>
      <c r="D64" s="33"/>
      <c r="E64" s="34"/>
    </row>
    <row r="65" customFormat="false" ht="17.35" hidden="false" customHeight="false" outlineLevel="0" collapsed="false">
      <c r="A65" s="60"/>
      <c r="B65" s="31"/>
      <c r="C65" s="32"/>
      <c r="D65" s="33"/>
      <c r="E65" s="34"/>
    </row>
    <row r="66" customFormat="false" ht="17.35" hidden="false" customHeight="false" outlineLevel="0" collapsed="false">
      <c r="A66" s="61"/>
      <c r="B66" s="2" t="s">
        <v>265</v>
      </c>
    </row>
    <row r="67" customFormat="false" ht="15" hidden="false" customHeight="false" outlineLevel="0" collapsed="false">
      <c r="A67" s="53"/>
    </row>
    <row r="68" customFormat="false" ht="17.25" hidden="false" customHeight="false" outlineLevel="0" collapsed="false">
      <c r="A68" s="53"/>
      <c r="B68" s="3" t="s">
        <v>1</v>
      </c>
    </row>
    <row r="69" customFormat="false" ht="15" hidden="false" customHeight="false" outlineLevel="0" collapsed="false">
      <c r="A69" s="53"/>
    </row>
    <row r="70" customFormat="false" ht="17.35" hidden="false" customHeight="false" outlineLevel="0" collapsed="false">
      <c r="A70" s="53"/>
      <c r="B70" s="45" t="s">
        <v>266</v>
      </c>
    </row>
    <row r="71" customFormat="false" ht="15" hidden="false" customHeight="false" outlineLevel="0" collapsed="false">
      <c r="A71" s="53"/>
      <c r="B71" s="4" t="s">
        <v>237</v>
      </c>
    </row>
    <row r="72" customFormat="false" ht="15" hidden="false" customHeight="false" outlineLevel="0" collapsed="false">
      <c r="A72" s="53"/>
    </row>
    <row r="73" customFormat="false" ht="15" hidden="false" customHeight="false" outlineLevel="0" collapsed="false">
      <c r="A73" s="46" t="s">
        <v>4</v>
      </c>
      <c r="B73" s="47" t="s">
        <v>238</v>
      </c>
      <c r="C73" s="43" t="s">
        <v>6</v>
      </c>
      <c r="D73" s="48" t="s">
        <v>7</v>
      </c>
      <c r="E73" s="27" t="s">
        <v>8</v>
      </c>
    </row>
    <row r="74" customFormat="false" ht="15" hidden="false" customHeight="false" outlineLevel="0" collapsed="false">
      <c r="A74" s="49" t="n">
        <v>1</v>
      </c>
      <c r="B74" s="50" t="s">
        <v>267</v>
      </c>
      <c r="C74" s="51" t="n">
        <v>416500</v>
      </c>
      <c r="D74" s="51"/>
      <c r="E74" s="52" t="n">
        <f aca="false">C74-D74</f>
        <v>416500</v>
      </c>
    </row>
    <row r="75" customFormat="false" ht="15" hidden="false" customHeight="false" outlineLevel="0" collapsed="false">
      <c r="A75" s="49" t="n">
        <v>2</v>
      </c>
      <c r="B75" s="50" t="s">
        <v>268</v>
      </c>
      <c r="C75" s="51" t="n">
        <v>416500</v>
      </c>
      <c r="D75" s="51" t="n">
        <v>416500</v>
      </c>
      <c r="E75" s="52" t="n">
        <f aca="false">C75-D75</f>
        <v>0</v>
      </c>
    </row>
    <row r="76" customFormat="false" ht="15" hidden="false" customHeight="false" outlineLevel="0" collapsed="false">
      <c r="A76" s="49" t="n">
        <v>3</v>
      </c>
      <c r="B76" s="50" t="s">
        <v>269</v>
      </c>
      <c r="C76" s="51" t="n">
        <v>416500</v>
      </c>
      <c r="D76" s="51"/>
      <c r="E76" s="52" t="n">
        <f aca="false">C76-D76</f>
        <v>416500</v>
      </c>
    </row>
    <row r="77" customFormat="false" ht="15" hidden="false" customHeight="false" outlineLevel="0" collapsed="false">
      <c r="A77" s="49" t="n">
        <v>4</v>
      </c>
      <c r="B77" s="50" t="s">
        <v>270</v>
      </c>
      <c r="C77" s="51" t="n">
        <v>416500</v>
      </c>
      <c r="D77" s="51" t="n">
        <f aca="false">416000+500</f>
        <v>416500</v>
      </c>
      <c r="E77" s="52" t="n">
        <f aca="false">C77-D77</f>
        <v>0</v>
      </c>
    </row>
    <row r="78" customFormat="false" ht="15" hidden="false" customHeight="false" outlineLevel="0" collapsed="false">
      <c r="A78" s="49" t="n">
        <v>5</v>
      </c>
      <c r="B78" s="50" t="s">
        <v>271</v>
      </c>
      <c r="C78" s="51" t="n">
        <v>416500</v>
      </c>
      <c r="D78" s="51" t="n">
        <f aca="false">500+150000+100000+100000+66000</f>
        <v>416500</v>
      </c>
      <c r="E78" s="52" t="n">
        <f aca="false">C78-D78</f>
        <v>0</v>
      </c>
    </row>
    <row r="79" customFormat="false" ht="15" hidden="false" customHeight="false" outlineLevel="0" collapsed="false">
      <c r="A79" s="49" t="n">
        <v>6</v>
      </c>
      <c r="B79" s="62" t="s">
        <v>272</v>
      </c>
      <c r="C79" s="51" t="n">
        <v>416500</v>
      </c>
      <c r="D79" s="51"/>
      <c r="E79" s="52" t="n">
        <f aca="false">C79-D79</f>
        <v>416500</v>
      </c>
    </row>
    <row r="80" customFormat="false" ht="15" hidden="false" customHeight="false" outlineLevel="0" collapsed="false">
      <c r="A80" s="49" t="n">
        <v>7</v>
      </c>
      <c r="B80" s="50" t="s">
        <v>273</v>
      </c>
      <c r="C80" s="51" t="n">
        <v>416500</v>
      </c>
      <c r="D80" s="51"/>
      <c r="E80" s="52" t="n">
        <f aca="false">C80-D80</f>
        <v>416500</v>
      </c>
    </row>
    <row r="81" customFormat="false" ht="15" hidden="false" customHeight="false" outlineLevel="0" collapsed="false">
      <c r="A81" s="60" t="n">
        <v>8</v>
      </c>
      <c r="B81" s="50" t="s">
        <v>274</v>
      </c>
      <c r="C81" s="51" t="n">
        <v>416500</v>
      </c>
      <c r="D81" s="51"/>
      <c r="E81" s="52" t="n">
        <f aca="false">C81-D81</f>
        <v>416500</v>
      </c>
    </row>
    <row r="82" customFormat="false" ht="15" hidden="false" customHeight="false" outlineLevel="0" collapsed="false">
      <c r="A82" s="49" t="n">
        <v>9</v>
      </c>
      <c r="B82" s="50" t="s">
        <v>275</v>
      </c>
      <c r="C82" s="51" t="n">
        <v>416500</v>
      </c>
      <c r="D82" s="51"/>
      <c r="E82" s="52" t="n">
        <f aca="false">C82-D82</f>
        <v>416500</v>
      </c>
    </row>
    <row r="83" customFormat="false" ht="15" hidden="false" customHeight="false" outlineLevel="0" collapsed="false">
      <c r="A83" s="49" t="n">
        <v>10</v>
      </c>
      <c r="B83" s="50" t="s">
        <v>276</v>
      </c>
      <c r="C83" s="51" t="n">
        <v>416500</v>
      </c>
      <c r="D83" s="51"/>
      <c r="E83" s="52" t="n">
        <f aca="false">C83-D83</f>
        <v>416500</v>
      </c>
    </row>
    <row r="84" customFormat="false" ht="15" hidden="false" customHeight="false" outlineLevel="0" collapsed="false">
      <c r="A84" s="49" t="n">
        <v>11</v>
      </c>
      <c r="B84" s="50" t="s">
        <v>277</v>
      </c>
      <c r="C84" s="51" t="n">
        <v>416500</v>
      </c>
      <c r="D84" s="51" t="n">
        <f aca="false">100000</f>
        <v>100000</v>
      </c>
      <c r="E84" s="52" t="n">
        <f aca="false">C84-D84</f>
        <v>316500</v>
      </c>
    </row>
    <row r="85" customFormat="false" ht="15" hidden="false" customHeight="false" outlineLevel="0" collapsed="false">
      <c r="A85" s="49" t="n">
        <v>12</v>
      </c>
      <c r="B85" s="50" t="s">
        <v>278</v>
      </c>
      <c r="C85" s="51" t="n">
        <v>416500</v>
      </c>
      <c r="D85" s="51" t="n">
        <f aca="false">100000+316500</f>
        <v>416500</v>
      </c>
      <c r="E85" s="52" t="n">
        <f aca="false">C85-D85</f>
        <v>0</v>
      </c>
    </row>
    <row r="86" customFormat="false" ht="15" hidden="false" customHeight="false" outlineLevel="0" collapsed="false">
      <c r="A86" s="49" t="n">
        <v>13</v>
      </c>
      <c r="B86" s="50" t="s">
        <v>279</v>
      </c>
      <c r="C86" s="51" t="n">
        <v>416500</v>
      </c>
      <c r="D86" s="51" t="n">
        <f aca="false">100000+313000+3500</f>
        <v>416500</v>
      </c>
      <c r="E86" s="52" t="n">
        <f aca="false">C86-D86</f>
        <v>0</v>
      </c>
    </row>
    <row r="87" customFormat="false" ht="15" hidden="false" customHeight="false" outlineLevel="0" collapsed="false">
      <c r="A87" s="49" t="n">
        <v>14</v>
      </c>
      <c r="B87" s="50" t="s">
        <v>280</v>
      </c>
      <c r="C87" s="51" t="n">
        <v>416500</v>
      </c>
      <c r="D87" s="51" t="n">
        <f aca="false">115500+200000+100500+500</f>
        <v>416500</v>
      </c>
      <c r="E87" s="52" t="n">
        <f aca="false">C87-D87</f>
        <v>0</v>
      </c>
    </row>
    <row r="88" customFormat="false" ht="15" hidden="false" customHeight="false" outlineLevel="0" collapsed="false">
      <c r="A88" s="49" t="n">
        <v>15</v>
      </c>
      <c r="B88" s="50" t="s">
        <v>281</v>
      </c>
      <c r="C88" s="51" t="n">
        <v>416500</v>
      </c>
      <c r="D88" s="51"/>
      <c r="E88" s="52" t="n">
        <f aca="false">C88-D88</f>
        <v>416500</v>
      </c>
    </row>
    <row r="89" customFormat="false" ht="15" hidden="false" customHeight="false" outlineLevel="0" collapsed="false">
      <c r="A89" s="49" t="n">
        <v>16</v>
      </c>
      <c r="B89" s="50" t="s">
        <v>282</v>
      </c>
      <c r="C89" s="51" t="n">
        <v>416500</v>
      </c>
      <c r="D89" s="51" t="n">
        <f aca="false">100000+100000+216500</f>
        <v>416500</v>
      </c>
      <c r="E89" s="52" t="n">
        <f aca="false">C89-D89</f>
        <v>0</v>
      </c>
    </row>
    <row r="90" customFormat="false" ht="15" hidden="false" customHeight="false" outlineLevel="0" collapsed="false">
      <c r="A90" s="49" t="n">
        <v>17</v>
      </c>
      <c r="B90" s="50" t="s">
        <v>283</v>
      </c>
      <c r="C90" s="51" t="n">
        <v>416500</v>
      </c>
      <c r="D90" s="51" t="n">
        <f aca="false">266000+150000+500</f>
        <v>416500</v>
      </c>
      <c r="E90" s="52" t="n">
        <f aca="false">C90-D90</f>
        <v>0</v>
      </c>
    </row>
    <row r="91" customFormat="false" ht="15" hidden="false" customHeight="false" outlineLevel="0" collapsed="false">
      <c r="A91" s="49" t="n">
        <v>18</v>
      </c>
      <c r="B91" s="50" t="s">
        <v>284</v>
      </c>
      <c r="C91" s="51" t="n">
        <v>416500</v>
      </c>
      <c r="D91" s="51" t="n">
        <f aca="false">100000+316500</f>
        <v>416500</v>
      </c>
      <c r="E91" s="52" t="n">
        <f aca="false">C91-D91</f>
        <v>0</v>
      </c>
    </row>
    <row r="92" customFormat="false" ht="15" hidden="false" customHeight="false" outlineLevel="0" collapsed="false">
      <c r="A92" s="49" t="n">
        <v>19</v>
      </c>
      <c r="B92" s="50" t="s">
        <v>285</v>
      </c>
      <c r="C92" s="51" t="n">
        <v>416500</v>
      </c>
      <c r="D92" s="51" t="n">
        <f aca="false">116500+300000</f>
        <v>416500</v>
      </c>
      <c r="E92" s="52" t="n">
        <f aca="false">C92-D92</f>
        <v>0</v>
      </c>
    </row>
    <row r="93" customFormat="false" ht="15" hidden="false" customHeight="false" outlineLevel="0" collapsed="false">
      <c r="A93" s="49" t="n">
        <v>20</v>
      </c>
      <c r="B93" s="50" t="s">
        <v>286</v>
      </c>
      <c r="C93" s="51" t="n">
        <v>416500</v>
      </c>
      <c r="D93" s="51" t="n">
        <f aca="false">2000</f>
        <v>2000</v>
      </c>
      <c r="E93" s="52" t="n">
        <f aca="false">C93-D93</f>
        <v>414500</v>
      </c>
    </row>
    <row r="94" customFormat="false" ht="15" hidden="false" customHeight="false" outlineLevel="0" collapsed="false">
      <c r="A94" s="49" t="n">
        <v>21</v>
      </c>
      <c r="B94" s="50" t="s">
        <v>287</v>
      </c>
      <c r="C94" s="51" t="n">
        <v>416500</v>
      </c>
      <c r="D94" s="51"/>
      <c r="E94" s="52" t="n">
        <f aca="false">C94-D94</f>
        <v>416500</v>
      </c>
    </row>
    <row r="95" customFormat="false" ht="15" hidden="false" customHeight="false" outlineLevel="0" collapsed="false">
      <c r="A95" s="49" t="n">
        <v>22</v>
      </c>
      <c r="B95" s="50" t="s">
        <v>288</v>
      </c>
      <c r="C95" s="51" t="n">
        <v>416500</v>
      </c>
      <c r="D95" s="51" t="n">
        <f aca="false">350000+66500</f>
        <v>416500</v>
      </c>
      <c r="E95" s="52" t="n">
        <f aca="false">C95-D95</f>
        <v>0</v>
      </c>
    </row>
    <row r="96" customFormat="false" ht="15" hidden="false" customHeight="false" outlineLevel="0" collapsed="false">
      <c r="A96" s="49" t="n">
        <v>23</v>
      </c>
      <c r="B96" s="50" t="s">
        <v>289</v>
      </c>
      <c r="C96" s="51" t="n">
        <v>416500</v>
      </c>
      <c r="D96" s="51" t="n">
        <v>416500</v>
      </c>
      <c r="E96" s="52" t="n">
        <f aca="false">C96-D96</f>
        <v>0</v>
      </c>
    </row>
    <row r="97" customFormat="false" ht="15" hidden="false" customHeight="false" outlineLevel="0" collapsed="false">
      <c r="A97" s="49" t="n">
        <v>24</v>
      </c>
      <c r="B97" s="55" t="s">
        <v>290</v>
      </c>
      <c r="C97" s="51" t="n">
        <v>416500</v>
      </c>
      <c r="D97" s="51" t="n">
        <f aca="false">393500+23000</f>
        <v>416500</v>
      </c>
      <c r="E97" s="52" t="n">
        <f aca="false">C97-D97</f>
        <v>0</v>
      </c>
    </row>
    <row r="98" customFormat="false" ht="15" hidden="false" customHeight="false" outlineLevel="0" collapsed="false">
      <c r="A98" s="49" t="n">
        <v>25</v>
      </c>
      <c r="B98" s="50" t="s">
        <v>291</v>
      </c>
      <c r="C98" s="51" t="n">
        <v>416500</v>
      </c>
      <c r="D98" s="51" t="n">
        <f aca="false">151000+500+255000+10000</f>
        <v>416500</v>
      </c>
      <c r="E98" s="52" t="n">
        <f aca="false">C98-D98</f>
        <v>0</v>
      </c>
    </row>
    <row r="99" customFormat="false" ht="15" hidden="false" customHeight="false" outlineLevel="0" collapsed="false">
      <c r="A99" s="49" t="n">
        <v>26</v>
      </c>
      <c r="B99" s="50" t="s">
        <v>292</v>
      </c>
      <c r="C99" s="51" t="n">
        <v>416500</v>
      </c>
      <c r="D99" s="51"/>
      <c r="E99" s="52" t="n">
        <f aca="false">C99-D99</f>
        <v>416500</v>
      </c>
    </row>
    <row r="100" customFormat="false" ht="15" hidden="false" customHeight="false" outlineLevel="0" collapsed="false">
      <c r="A100" s="49" t="n">
        <v>27</v>
      </c>
      <c r="B100" s="50" t="s">
        <v>293</v>
      </c>
      <c r="C100" s="51" t="n">
        <v>416500</v>
      </c>
      <c r="D100" s="51" t="n">
        <f aca="false">200000+216500</f>
        <v>416500</v>
      </c>
      <c r="E100" s="52" t="n">
        <f aca="false">C100-D100</f>
        <v>0</v>
      </c>
    </row>
    <row r="101" customFormat="false" ht="15" hidden="false" customHeight="false" outlineLevel="0" collapsed="false">
      <c r="A101" s="49" t="n">
        <v>28</v>
      </c>
      <c r="B101" s="55" t="s">
        <v>294</v>
      </c>
      <c r="C101" s="51" t="n">
        <v>416500</v>
      </c>
      <c r="D101" s="51" t="n">
        <v>416500</v>
      </c>
      <c r="E101" s="52" t="n">
        <f aca="false">C101-D101</f>
        <v>0</v>
      </c>
    </row>
    <row r="102" customFormat="false" ht="15" hidden="false" customHeight="false" outlineLevel="0" collapsed="false">
      <c r="A102" s="49" t="n">
        <v>29</v>
      </c>
      <c r="B102" s="50" t="s">
        <v>295</v>
      </c>
      <c r="C102" s="51" t="n">
        <v>416500</v>
      </c>
      <c r="D102" s="51" t="n">
        <f aca="false">116500+300000</f>
        <v>416500</v>
      </c>
      <c r="E102" s="52" t="n">
        <f aca="false">C102-D102</f>
        <v>0</v>
      </c>
    </row>
    <row r="103" customFormat="false" ht="15" hidden="false" customHeight="false" outlineLevel="0" collapsed="false">
      <c r="A103" s="49" t="n">
        <v>30</v>
      </c>
      <c r="B103" s="50" t="s">
        <v>296</v>
      </c>
      <c r="C103" s="51" t="n">
        <v>416500</v>
      </c>
      <c r="D103" s="51"/>
      <c r="E103" s="52" t="n">
        <f aca="false">C103-D103</f>
        <v>416500</v>
      </c>
    </row>
    <row r="104" customFormat="false" ht="15" hidden="false" customHeight="false" outlineLevel="0" collapsed="false">
      <c r="A104" s="49" t="n">
        <v>31</v>
      </c>
      <c r="B104" s="55" t="s">
        <v>297</v>
      </c>
      <c r="C104" s="51" t="n">
        <v>416500</v>
      </c>
      <c r="D104" s="51" t="n">
        <f aca="false">92000+100000+50000+100000+50000+24500</f>
        <v>416500</v>
      </c>
      <c r="E104" s="52" t="n">
        <f aca="false">C104-D104</f>
        <v>0</v>
      </c>
    </row>
    <row r="105" customFormat="false" ht="15" hidden="false" customHeight="false" outlineLevel="0" collapsed="false">
      <c r="A105" s="49" t="n">
        <v>32</v>
      </c>
      <c r="B105" s="50" t="s">
        <v>298</v>
      </c>
      <c r="C105" s="51" t="n">
        <v>416500</v>
      </c>
      <c r="D105" s="51" t="n">
        <f aca="false">100000+130000+500+186000</f>
        <v>416500</v>
      </c>
      <c r="E105" s="52" t="n">
        <f aca="false">C105-D105</f>
        <v>0</v>
      </c>
    </row>
    <row r="106" customFormat="false" ht="15" hidden="false" customHeight="false" outlineLevel="0" collapsed="false">
      <c r="A106" s="49" t="n">
        <v>33</v>
      </c>
      <c r="B106" s="50" t="s">
        <v>299</v>
      </c>
      <c r="C106" s="51" t="n">
        <v>416500</v>
      </c>
      <c r="D106" s="51" t="n">
        <f aca="false">180000+236500</f>
        <v>416500</v>
      </c>
      <c r="E106" s="52" t="n">
        <f aca="false">C106-D106</f>
        <v>0</v>
      </c>
    </row>
    <row r="107" customFormat="false" ht="15" hidden="false" customHeight="false" outlineLevel="0" collapsed="false">
      <c r="A107" s="49" t="n">
        <v>34</v>
      </c>
      <c r="B107" s="50" t="s">
        <v>300</v>
      </c>
      <c r="C107" s="51" t="n">
        <v>416500</v>
      </c>
      <c r="D107" s="51" t="n">
        <f aca="false">100000+316500</f>
        <v>416500</v>
      </c>
      <c r="E107" s="52" t="n">
        <f aca="false">C107-D107</f>
        <v>0</v>
      </c>
    </row>
    <row r="108" customFormat="false" ht="17.35" hidden="false" customHeight="false" outlineLevel="0" collapsed="false">
      <c r="A108" s="49"/>
      <c r="B108" s="56" t="s">
        <v>21</v>
      </c>
      <c r="C108" s="57" t="n">
        <f aca="false">SUM(C74:C107)</f>
        <v>14161000</v>
      </c>
      <c r="D108" s="58" t="n">
        <f aca="false">SUM(D74:D107)</f>
        <v>8848500</v>
      </c>
      <c r="E108" s="59" t="n">
        <f aca="false">SUM(E74:E107)</f>
        <v>5312500</v>
      </c>
    </row>
    <row r="109" customFormat="false" ht="17.35" hidden="false" customHeight="false" outlineLevel="0" collapsed="false">
      <c r="B109" s="31"/>
      <c r="C109" s="32"/>
      <c r="D109" s="33"/>
      <c r="E109" s="34"/>
    </row>
    <row r="110" customFormat="false" ht="17.35" hidden="false" customHeight="false" outlineLevel="0" collapsed="false">
      <c r="B110" s="31"/>
      <c r="C110" s="32"/>
      <c r="D110" s="33"/>
      <c r="E110" s="34"/>
    </row>
    <row r="111" customFormat="false" ht="17.35" hidden="false" customHeight="false" outlineLevel="0" collapsed="false">
      <c r="B111" s="31"/>
      <c r="C111" s="32"/>
      <c r="D111" s="33"/>
      <c r="E111" s="34"/>
    </row>
    <row r="112" customFormat="false" ht="17.35" hidden="false" customHeight="false" outlineLevel="0" collapsed="false">
      <c r="B112" s="31"/>
      <c r="C112" s="32"/>
      <c r="D112" s="33"/>
      <c r="E112" s="34"/>
    </row>
    <row r="116" customFormat="false" ht="17.35" hidden="false" customHeight="false" outlineLevel="0" collapsed="false">
      <c r="A116" s="22"/>
      <c r="B116" s="2" t="s">
        <v>0</v>
      </c>
    </row>
    <row r="117" customFormat="false" ht="15" hidden="false" customHeight="false" outlineLevel="0" collapsed="false">
      <c r="A117" s="22"/>
    </row>
    <row r="118" customFormat="false" ht="15" hidden="false" customHeight="false" outlineLevel="0" collapsed="false">
      <c r="A118" s="22"/>
    </row>
    <row r="119" customFormat="false" ht="17.25" hidden="false" customHeight="false" outlineLevel="0" collapsed="false">
      <c r="A119" s="22"/>
      <c r="B119" s="4" t="s">
        <v>22</v>
      </c>
      <c r="D119" s="5" t="s">
        <v>220</v>
      </c>
    </row>
    <row r="120" customFormat="false" ht="15" hidden="false" customHeight="false" outlineLevel="0" collapsed="false">
      <c r="A120" s="22"/>
    </row>
    <row r="121" customFormat="false" ht="15" hidden="false" customHeight="false" outlineLevel="0" collapsed="false">
      <c r="A121" s="6" t="s">
        <v>4</v>
      </c>
      <c r="B121" s="42" t="s">
        <v>5</v>
      </c>
      <c r="C121" s="43" t="s">
        <v>6</v>
      </c>
      <c r="D121" s="44" t="s">
        <v>7</v>
      </c>
      <c r="E121" s="27" t="s">
        <v>8</v>
      </c>
    </row>
    <row r="122" customFormat="false" ht="15" hidden="false" customHeight="false" outlineLevel="0" collapsed="false">
      <c r="A122" s="14" t="n">
        <v>1</v>
      </c>
      <c r="B122" s="23" t="s">
        <v>301</v>
      </c>
      <c r="C122" s="12" t="n">
        <v>416500</v>
      </c>
      <c r="D122" s="12" t="n">
        <f aca="false">80000+80000+50000+206500</f>
        <v>416500</v>
      </c>
      <c r="E122" s="13" t="n">
        <f aca="false">C122-D122</f>
        <v>0</v>
      </c>
    </row>
    <row r="123" customFormat="false" ht="15" hidden="false" customHeight="false" outlineLevel="0" collapsed="false">
      <c r="A123" s="14" t="n">
        <v>2</v>
      </c>
      <c r="B123" s="11" t="s">
        <v>302</v>
      </c>
      <c r="C123" s="12" t="n">
        <v>416500</v>
      </c>
      <c r="D123" s="12" t="n">
        <f aca="false">210000+60000+146500</f>
        <v>416500</v>
      </c>
      <c r="E123" s="13" t="n">
        <f aca="false">C123-D123</f>
        <v>0</v>
      </c>
    </row>
    <row r="124" customFormat="false" ht="15" hidden="false" customHeight="false" outlineLevel="0" collapsed="false">
      <c r="A124" s="14" t="n">
        <v>3</v>
      </c>
      <c r="B124" s="11" t="s">
        <v>303</v>
      </c>
      <c r="C124" s="12" t="n">
        <v>416500</v>
      </c>
      <c r="D124" s="12" t="n">
        <f aca="false">49500+60000+200000+90000+17000</f>
        <v>416500</v>
      </c>
      <c r="E124" s="13" t="n">
        <f aca="false">C124-D124</f>
        <v>0</v>
      </c>
    </row>
    <row r="125" customFormat="false" ht="15" hidden="false" customHeight="false" outlineLevel="0" collapsed="false">
      <c r="A125" s="14" t="n">
        <v>4</v>
      </c>
      <c r="B125" s="11" t="s">
        <v>304</v>
      </c>
      <c r="C125" s="12" t="n">
        <v>416500</v>
      </c>
      <c r="D125" s="12" t="n">
        <f aca="false">415000+1500</f>
        <v>416500</v>
      </c>
      <c r="E125" s="13" t="n">
        <f aca="false">C125-D125</f>
        <v>0</v>
      </c>
    </row>
    <row r="126" customFormat="false" ht="15" hidden="false" customHeight="false" outlineLevel="0" collapsed="false">
      <c r="A126" s="14" t="n">
        <v>5</v>
      </c>
      <c r="B126" s="11" t="s">
        <v>305</v>
      </c>
      <c r="C126" s="12" t="n">
        <v>416500</v>
      </c>
      <c r="D126" s="12" t="n">
        <f aca="false">100000+90000+226500</f>
        <v>416500</v>
      </c>
      <c r="E126" s="13" t="n">
        <f aca="false">C126-D126</f>
        <v>0</v>
      </c>
    </row>
    <row r="127" customFormat="false" ht="15" hidden="false" customHeight="false" outlineLevel="0" collapsed="false">
      <c r="A127" s="14" t="n">
        <v>6</v>
      </c>
      <c r="B127" s="11" t="s">
        <v>306</v>
      </c>
      <c r="C127" s="12" t="n">
        <v>416500</v>
      </c>
      <c r="D127" s="12" t="n">
        <f aca="false">116500+150000+75000+75000</f>
        <v>416500</v>
      </c>
      <c r="E127" s="13" t="n">
        <f aca="false">C127-D127</f>
        <v>0</v>
      </c>
    </row>
    <row r="128" customFormat="false" ht="15" hidden="false" customHeight="false" outlineLevel="0" collapsed="false">
      <c r="A128" s="14" t="n">
        <v>7</v>
      </c>
      <c r="B128" s="11" t="s">
        <v>307</v>
      </c>
      <c r="C128" s="12" t="n">
        <v>416500</v>
      </c>
      <c r="D128" s="12" t="n">
        <f aca="false">150000+150000+116500</f>
        <v>416500</v>
      </c>
      <c r="E128" s="13" t="n">
        <f aca="false">C128-D128</f>
        <v>0</v>
      </c>
    </row>
    <row r="129" customFormat="false" ht="15" hidden="false" customHeight="false" outlineLevel="0" collapsed="false">
      <c r="A129" s="14" t="n">
        <v>8</v>
      </c>
      <c r="B129" s="11" t="s">
        <v>308</v>
      </c>
      <c r="C129" s="12" t="n">
        <v>416500</v>
      </c>
      <c r="D129" s="12"/>
      <c r="E129" s="13" t="n">
        <f aca="false">C129-D129</f>
        <v>416500</v>
      </c>
    </row>
    <row r="130" customFormat="false" ht="15" hidden="false" customHeight="false" outlineLevel="0" collapsed="false">
      <c r="A130" s="14" t="n">
        <v>9</v>
      </c>
      <c r="B130" s="11" t="s">
        <v>309</v>
      </c>
      <c r="C130" s="12" t="n">
        <v>416500</v>
      </c>
      <c r="D130" s="12"/>
      <c r="E130" s="13" t="n">
        <f aca="false">C130-D130</f>
        <v>416500</v>
      </c>
    </row>
    <row r="131" customFormat="false" ht="15" hidden="false" customHeight="false" outlineLevel="0" collapsed="false">
      <c r="A131" s="14" t="n">
        <v>10</v>
      </c>
      <c r="B131" s="11" t="s">
        <v>310</v>
      </c>
      <c r="C131" s="12" t="n">
        <v>416500</v>
      </c>
      <c r="D131" s="12"/>
      <c r="E131" s="13" t="n">
        <f aca="false">C131-D131</f>
        <v>416500</v>
      </c>
    </row>
    <row r="132" customFormat="false" ht="15" hidden="false" customHeight="false" outlineLevel="0" collapsed="false">
      <c r="A132" s="14" t="n">
        <v>11</v>
      </c>
      <c r="B132" s="11" t="s">
        <v>311</v>
      </c>
      <c r="C132" s="12" t="n">
        <v>416500</v>
      </c>
      <c r="D132" s="12" t="n">
        <f aca="false">100000+116500+200000</f>
        <v>416500</v>
      </c>
      <c r="E132" s="13" t="n">
        <f aca="false">C132-D132</f>
        <v>0</v>
      </c>
    </row>
    <row r="133" customFormat="false" ht="15" hidden="false" customHeight="false" outlineLevel="0" collapsed="false">
      <c r="A133" s="14" t="n">
        <v>12</v>
      </c>
      <c r="B133" s="11" t="s">
        <v>312</v>
      </c>
      <c r="C133" s="12" t="n">
        <v>416500</v>
      </c>
      <c r="D133" s="12" t="n">
        <f aca="false">416500</f>
        <v>416500</v>
      </c>
      <c r="E133" s="13" t="n">
        <f aca="false">C133-D133</f>
        <v>0</v>
      </c>
    </row>
    <row r="134" customFormat="false" ht="15" hidden="false" customHeight="false" outlineLevel="0" collapsed="false">
      <c r="A134" s="14" t="n">
        <v>13</v>
      </c>
      <c r="B134" s="11" t="s">
        <v>313</v>
      </c>
      <c r="C134" s="12" t="n">
        <v>416500</v>
      </c>
      <c r="D134" s="12" t="n">
        <v>416500</v>
      </c>
      <c r="E134" s="13" t="n">
        <f aca="false">C134-D134</f>
        <v>0</v>
      </c>
    </row>
    <row r="135" customFormat="false" ht="15" hidden="false" customHeight="false" outlineLevel="0" collapsed="false">
      <c r="A135" s="14" t="n">
        <v>14</v>
      </c>
      <c r="B135" s="11" t="s">
        <v>314</v>
      </c>
      <c r="C135" s="12" t="n">
        <v>416500</v>
      </c>
      <c r="D135" s="12" t="n">
        <f aca="false">33500+200000+150000+33000</f>
        <v>416500</v>
      </c>
      <c r="E135" s="13" t="n">
        <f aca="false">C135-D135</f>
        <v>0</v>
      </c>
    </row>
    <row r="136" customFormat="false" ht="15" hidden="false" customHeight="false" outlineLevel="0" collapsed="false">
      <c r="A136" s="14" t="n">
        <v>15</v>
      </c>
      <c r="B136" s="11" t="s">
        <v>315</v>
      </c>
      <c r="C136" s="12" t="s">
        <v>74</v>
      </c>
      <c r="D136" s="12"/>
      <c r="E136" s="13" t="s">
        <v>74</v>
      </c>
    </row>
    <row r="137" customFormat="false" ht="15" hidden="false" customHeight="false" outlineLevel="0" collapsed="false">
      <c r="A137" s="14" t="n">
        <v>16</v>
      </c>
      <c r="B137" s="11" t="s">
        <v>316</v>
      </c>
      <c r="C137" s="12" t="n">
        <v>416500</v>
      </c>
      <c r="D137" s="12" t="n">
        <f aca="false">216500+200000</f>
        <v>416500</v>
      </c>
      <c r="E137" s="13" t="n">
        <f aca="false">C137-D137</f>
        <v>0</v>
      </c>
    </row>
    <row r="138" customFormat="false" ht="15" hidden="false" customHeight="false" outlineLevel="0" collapsed="false">
      <c r="A138" s="14" t="n">
        <v>17</v>
      </c>
      <c r="B138" s="11" t="s">
        <v>317</v>
      </c>
      <c r="C138" s="12" t="n">
        <v>416500</v>
      </c>
      <c r="D138" s="12" t="n">
        <f aca="false">100000+200000+100000</f>
        <v>400000</v>
      </c>
      <c r="E138" s="13" t="n">
        <f aca="false">C138-D138</f>
        <v>16500</v>
      </c>
    </row>
    <row r="139" customFormat="false" ht="15" hidden="false" customHeight="false" outlineLevel="0" collapsed="false">
      <c r="A139" s="14" t="n">
        <v>18</v>
      </c>
      <c r="B139" s="11" t="s">
        <v>318</v>
      </c>
      <c r="C139" s="12" t="n">
        <v>416500</v>
      </c>
      <c r="D139" s="12" t="n">
        <f aca="false">50000+50000+50000+100000+100000+50000+16500</f>
        <v>416500</v>
      </c>
      <c r="E139" s="13" t="n">
        <f aca="false">C139-D139</f>
        <v>0</v>
      </c>
    </row>
    <row r="140" customFormat="false" ht="15" hidden="false" customHeight="false" outlineLevel="0" collapsed="false">
      <c r="A140" s="14" t="n">
        <v>19</v>
      </c>
      <c r="B140" s="11" t="s">
        <v>319</v>
      </c>
      <c r="C140" s="12" t="s">
        <v>74</v>
      </c>
      <c r="D140" s="12"/>
      <c r="E140" s="13" t="s">
        <v>74</v>
      </c>
    </row>
    <row r="141" customFormat="false" ht="15" hidden="false" customHeight="false" outlineLevel="0" collapsed="false">
      <c r="A141" s="14" t="n">
        <v>20</v>
      </c>
      <c r="B141" s="11" t="s">
        <v>320</v>
      </c>
      <c r="C141" s="12" t="n">
        <v>416500</v>
      </c>
      <c r="D141" s="12" t="n">
        <f aca="false">40000+100000+100000+176500</f>
        <v>416500</v>
      </c>
      <c r="E141" s="13" t="n">
        <f aca="false">C141-D141</f>
        <v>0</v>
      </c>
    </row>
    <row r="142" customFormat="false" ht="15" hidden="false" customHeight="false" outlineLevel="0" collapsed="false">
      <c r="A142" s="14" t="n">
        <v>21</v>
      </c>
      <c r="B142" s="11" t="s">
        <v>321</v>
      </c>
      <c r="C142" s="12" t="n">
        <v>416500</v>
      </c>
      <c r="D142" s="12" t="n">
        <f aca="false">200000+216500</f>
        <v>416500</v>
      </c>
      <c r="E142" s="13" t="n">
        <f aca="false">C142-D142</f>
        <v>0</v>
      </c>
    </row>
    <row r="143" customFormat="false" ht="17.35" hidden="false" customHeight="false" outlineLevel="0" collapsed="false">
      <c r="A143" s="17"/>
      <c r="B143" s="63" t="s">
        <v>21</v>
      </c>
      <c r="C143" s="19" t="n">
        <f aca="false">SUM(C122:C142)</f>
        <v>7913500</v>
      </c>
      <c r="D143" s="20" t="n">
        <f aca="false">SUM(D122:D142)</f>
        <v>6647500</v>
      </c>
      <c r="E143" s="21" t="n">
        <f aca="false">SUM(E122:E142)</f>
        <v>1266000</v>
      </c>
    </row>
    <row r="144" customFormat="false" ht="17.35" hidden="false" customHeight="false" outlineLevel="0" collapsed="false">
      <c r="A144" s="24"/>
      <c r="B144" s="31"/>
      <c r="C144" s="32"/>
      <c r="D144" s="33"/>
      <c r="E144" s="34"/>
    </row>
    <row r="145" customFormat="false" ht="17.35" hidden="false" customHeight="false" outlineLevel="0" collapsed="false">
      <c r="B145" s="31"/>
      <c r="C145" s="32"/>
      <c r="D145" s="33"/>
      <c r="E145" s="34"/>
    </row>
    <row r="146" customFormat="false" ht="17.35" hidden="false" customHeight="false" outlineLevel="0" collapsed="false">
      <c r="A146" s="53"/>
      <c r="B146" s="2" t="s">
        <v>0</v>
      </c>
    </row>
    <row r="147" customFormat="false" ht="15" hidden="false" customHeight="false" outlineLevel="0" collapsed="false">
      <c r="A147" s="53"/>
    </row>
    <row r="148" customFormat="false" ht="17.35" hidden="false" customHeight="false" outlineLevel="0" collapsed="false">
      <c r="A148" s="53"/>
      <c r="B148" s="45" t="s">
        <v>236</v>
      </c>
    </row>
    <row r="149" customFormat="false" ht="15" hidden="false" customHeight="false" outlineLevel="0" collapsed="false">
      <c r="A149" s="53"/>
      <c r="B149" s="4" t="s">
        <v>322</v>
      </c>
    </row>
    <row r="150" customFormat="false" ht="15" hidden="false" customHeight="false" outlineLevel="0" collapsed="false">
      <c r="A150" s="53"/>
    </row>
    <row r="151" customFormat="false" ht="15" hidden="false" customHeight="false" outlineLevel="0" collapsed="false">
      <c r="A151" s="46" t="s">
        <v>4</v>
      </c>
      <c r="B151" s="47" t="s">
        <v>238</v>
      </c>
      <c r="C151" s="43" t="s">
        <v>6</v>
      </c>
      <c r="D151" s="48" t="s">
        <v>7</v>
      </c>
      <c r="E151" s="27" t="s">
        <v>8</v>
      </c>
    </row>
    <row r="152" customFormat="false" ht="15" hidden="false" customHeight="false" outlineLevel="0" collapsed="false">
      <c r="A152" s="49" t="n">
        <v>1</v>
      </c>
      <c r="B152" s="54" t="s">
        <v>323</v>
      </c>
      <c r="C152" s="51" t="n">
        <v>416500</v>
      </c>
      <c r="D152" s="51" t="n">
        <v>93500</v>
      </c>
      <c r="E152" s="52" t="n">
        <f aca="false">C152-D152</f>
        <v>323000</v>
      </c>
    </row>
    <row r="153" customFormat="false" ht="15" hidden="false" customHeight="false" outlineLevel="0" collapsed="false">
      <c r="A153" s="49" t="n">
        <v>2</v>
      </c>
      <c r="B153" s="54" t="s">
        <v>324</v>
      </c>
      <c r="C153" s="51" t="n">
        <v>416500</v>
      </c>
      <c r="D153" s="51" t="n">
        <f aca="false">150000+266500</f>
        <v>416500</v>
      </c>
      <c r="E153" s="52" t="n">
        <f aca="false">C153-D153</f>
        <v>0</v>
      </c>
    </row>
    <row r="154" customFormat="false" ht="15" hidden="false" customHeight="false" outlineLevel="0" collapsed="false">
      <c r="A154" s="49" t="n">
        <v>3</v>
      </c>
      <c r="B154" s="54" t="s">
        <v>325</v>
      </c>
      <c r="C154" s="64" t="s">
        <v>74</v>
      </c>
      <c r="D154" s="64"/>
      <c r="E154" s="65" t="s">
        <v>74</v>
      </c>
    </row>
    <row r="155" customFormat="false" ht="15" hidden="false" customHeight="false" outlineLevel="0" collapsed="false">
      <c r="A155" s="49" t="n">
        <v>4</v>
      </c>
      <c r="B155" s="54" t="s">
        <v>326</v>
      </c>
      <c r="C155" s="51" t="n">
        <v>416500</v>
      </c>
      <c r="D155" s="51" t="n">
        <f aca="false">250000+100000+66500</f>
        <v>416500</v>
      </c>
      <c r="E155" s="52" t="n">
        <f aca="false">C155-D155</f>
        <v>0</v>
      </c>
    </row>
    <row r="156" customFormat="false" ht="15" hidden="false" customHeight="false" outlineLevel="0" collapsed="false">
      <c r="A156" s="49" t="n">
        <v>5</v>
      </c>
      <c r="B156" s="54" t="s">
        <v>327</v>
      </c>
      <c r="C156" s="51" t="n">
        <v>416500</v>
      </c>
      <c r="D156" s="51" t="n">
        <v>416500</v>
      </c>
      <c r="E156" s="52" t="n">
        <f aca="false">C156-D156</f>
        <v>0</v>
      </c>
    </row>
    <row r="157" customFormat="false" ht="15" hidden="false" customHeight="false" outlineLevel="0" collapsed="false">
      <c r="A157" s="49" t="n">
        <v>6</v>
      </c>
      <c r="B157" s="66" t="s">
        <v>328</v>
      </c>
      <c r="C157" s="51" t="n">
        <v>416500</v>
      </c>
      <c r="D157" s="51"/>
      <c r="E157" s="52" t="n">
        <f aca="false">C157-D157</f>
        <v>416500</v>
      </c>
    </row>
    <row r="158" customFormat="false" ht="15" hidden="false" customHeight="false" outlineLevel="0" collapsed="false">
      <c r="A158" s="49" t="n">
        <v>7</v>
      </c>
      <c r="B158" s="54" t="s">
        <v>329</v>
      </c>
      <c r="C158" s="51" t="n">
        <v>416500</v>
      </c>
      <c r="D158" s="51" t="n">
        <v>416500</v>
      </c>
      <c r="E158" s="52" t="n">
        <f aca="false">C158-D158</f>
        <v>0</v>
      </c>
    </row>
    <row r="159" customFormat="false" ht="15" hidden="false" customHeight="false" outlineLevel="0" collapsed="false">
      <c r="A159" s="49" t="n">
        <v>8</v>
      </c>
      <c r="B159" s="54" t="s">
        <v>330</v>
      </c>
      <c r="C159" s="51" t="n">
        <v>416500</v>
      </c>
      <c r="D159" s="51" t="n">
        <f aca="false">210000+206500</f>
        <v>416500</v>
      </c>
      <c r="E159" s="52" t="n">
        <f aca="false">C159-D159</f>
        <v>0</v>
      </c>
    </row>
    <row r="160" customFormat="false" ht="15" hidden="false" customHeight="false" outlineLevel="0" collapsed="false">
      <c r="A160" s="49" t="n">
        <v>9</v>
      </c>
      <c r="B160" s="54" t="s">
        <v>331</v>
      </c>
      <c r="C160" s="51" t="n">
        <v>416500</v>
      </c>
      <c r="D160" s="51"/>
      <c r="E160" s="52" t="n">
        <f aca="false">C160-D160</f>
        <v>416500</v>
      </c>
    </row>
    <row r="161" customFormat="false" ht="15" hidden="false" customHeight="false" outlineLevel="0" collapsed="false">
      <c r="A161" s="49" t="n">
        <v>10</v>
      </c>
      <c r="B161" s="54" t="s">
        <v>332</v>
      </c>
      <c r="C161" s="51" t="n">
        <v>416500</v>
      </c>
      <c r="D161" s="51" t="n">
        <f aca="false">100000+100000+100000+66000+50500</f>
        <v>416500</v>
      </c>
      <c r="E161" s="52" t="n">
        <f aca="false">C161-D161</f>
        <v>0</v>
      </c>
    </row>
    <row r="162" customFormat="false" ht="15" hidden="false" customHeight="false" outlineLevel="0" collapsed="false">
      <c r="A162" s="49" t="n">
        <v>11</v>
      </c>
      <c r="B162" s="54" t="s">
        <v>333</v>
      </c>
      <c r="C162" s="51" t="n">
        <v>416500</v>
      </c>
      <c r="D162" s="51" t="n">
        <f aca="false">130000+50000+236500</f>
        <v>416500</v>
      </c>
      <c r="E162" s="52" t="n">
        <f aca="false">C162-D162</f>
        <v>0</v>
      </c>
    </row>
    <row r="163" customFormat="false" ht="15" hidden="false" customHeight="false" outlineLevel="0" collapsed="false">
      <c r="A163" s="49" t="n">
        <v>12</v>
      </c>
      <c r="B163" s="54" t="s">
        <v>334</v>
      </c>
      <c r="C163" s="51" t="n">
        <v>416500</v>
      </c>
      <c r="D163" s="51"/>
      <c r="E163" s="52" t="n">
        <f aca="false">C163-D163</f>
        <v>416500</v>
      </c>
    </row>
    <row r="164" customFormat="false" ht="15" hidden="false" customHeight="false" outlineLevel="0" collapsed="false">
      <c r="A164" s="49" t="n">
        <v>13</v>
      </c>
      <c r="B164" s="54" t="s">
        <v>335</v>
      </c>
      <c r="C164" s="51" t="n">
        <v>416500</v>
      </c>
      <c r="D164" s="51" t="n">
        <f aca="false">70000+30000+316500</f>
        <v>416500</v>
      </c>
      <c r="E164" s="52" t="n">
        <f aca="false">C164-D164</f>
        <v>0</v>
      </c>
    </row>
    <row r="165" customFormat="false" ht="15" hidden="false" customHeight="false" outlineLevel="0" collapsed="false">
      <c r="A165" s="49" t="n">
        <v>14</v>
      </c>
      <c r="B165" s="54" t="s">
        <v>336</v>
      </c>
      <c r="C165" s="51" t="n">
        <v>416500</v>
      </c>
      <c r="D165" s="51"/>
      <c r="E165" s="67" t="n">
        <f aca="false">C165-D165</f>
        <v>416500</v>
      </c>
    </row>
    <row r="166" customFormat="false" ht="15" hidden="false" customHeight="false" outlineLevel="0" collapsed="false">
      <c r="A166" s="49" t="n">
        <v>15</v>
      </c>
      <c r="B166" s="54" t="s">
        <v>337</v>
      </c>
      <c r="C166" s="51" t="n">
        <v>416500</v>
      </c>
      <c r="D166" s="51" t="n">
        <f aca="false">116500+316500</f>
        <v>433000</v>
      </c>
      <c r="E166" s="68" t="n">
        <f aca="false">C166-D166</f>
        <v>-16500</v>
      </c>
    </row>
    <row r="167" customFormat="false" ht="15" hidden="false" customHeight="false" outlineLevel="0" collapsed="false">
      <c r="A167" s="49" t="n">
        <v>16</v>
      </c>
      <c r="B167" s="54" t="s">
        <v>338</v>
      </c>
      <c r="C167" s="64" t="s">
        <v>74</v>
      </c>
      <c r="D167" s="64"/>
      <c r="E167" s="65" t="s">
        <v>74</v>
      </c>
    </row>
    <row r="168" customFormat="false" ht="15" hidden="false" customHeight="false" outlineLevel="0" collapsed="false">
      <c r="A168" s="49" t="n">
        <v>17</v>
      </c>
      <c r="B168" s="54" t="s">
        <v>339</v>
      </c>
      <c r="C168" s="51" t="n">
        <v>416500</v>
      </c>
      <c r="D168" s="51" t="n">
        <f aca="false">7000</f>
        <v>7000</v>
      </c>
      <c r="E168" s="52" t="n">
        <f aca="false">C168-D168</f>
        <v>409500</v>
      </c>
    </row>
    <row r="169" customFormat="false" ht="15" hidden="false" customHeight="false" outlineLevel="0" collapsed="false">
      <c r="A169" s="49" t="n">
        <v>18</v>
      </c>
      <c r="B169" s="54" t="s">
        <v>340</v>
      </c>
      <c r="C169" s="51" t="n">
        <v>416500</v>
      </c>
      <c r="D169" s="51"/>
      <c r="E169" s="52" t="n">
        <f aca="false">C169-D169</f>
        <v>416500</v>
      </c>
    </row>
    <row r="170" customFormat="false" ht="15" hidden="false" customHeight="false" outlineLevel="0" collapsed="false">
      <c r="A170" s="49" t="n">
        <v>19</v>
      </c>
      <c r="B170" s="54" t="s">
        <v>341</v>
      </c>
      <c r="C170" s="51" t="n">
        <v>416500</v>
      </c>
      <c r="D170" s="51" t="n">
        <f aca="false">7000+20000+389500</f>
        <v>416500</v>
      </c>
      <c r="E170" s="52" t="n">
        <f aca="false">C170-D170</f>
        <v>0</v>
      </c>
    </row>
    <row r="171" customFormat="false" ht="15" hidden="false" customHeight="false" outlineLevel="0" collapsed="false">
      <c r="A171" s="49" t="n">
        <v>20</v>
      </c>
      <c r="B171" s="11" t="s">
        <v>342</v>
      </c>
      <c r="C171" s="51" t="n">
        <v>416500</v>
      </c>
      <c r="D171" s="51" t="n">
        <f aca="false">216000+200000+500</f>
        <v>416500</v>
      </c>
      <c r="E171" s="52" t="n">
        <f aca="false">C171-D171</f>
        <v>0</v>
      </c>
    </row>
    <row r="172" customFormat="false" ht="15" hidden="false" customHeight="false" outlineLevel="0" collapsed="false">
      <c r="A172" s="49" t="n">
        <v>21</v>
      </c>
      <c r="B172" s="69" t="s">
        <v>343</v>
      </c>
      <c r="C172" s="51" t="n">
        <v>416500</v>
      </c>
      <c r="D172" s="51"/>
      <c r="E172" s="52" t="n">
        <f aca="false">C172-D172</f>
        <v>416500</v>
      </c>
    </row>
    <row r="173" customFormat="false" ht="15" hidden="false" customHeight="false" outlineLevel="0" collapsed="false">
      <c r="A173" s="49" t="n">
        <v>22</v>
      </c>
      <c r="B173" s="54" t="s">
        <v>344</v>
      </c>
      <c r="C173" s="51" t="n">
        <v>416500</v>
      </c>
      <c r="D173" s="51" t="n">
        <f aca="false">50000+100000</f>
        <v>150000</v>
      </c>
      <c r="E173" s="52" t="n">
        <f aca="false">C173-D173</f>
        <v>266500</v>
      </c>
    </row>
    <row r="174" customFormat="false" ht="15" hidden="false" customHeight="false" outlineLevel="0" collapsed="false">
      <c r="A174" s="49" t="n">
        <v>23</v>
      </c>
      <c r="B174" s="54" t="s">
        <v>345</v>
      </c>
      <c r="C174" s="51" t="n">
        <v>416500</v>
      </c>
      <c r="D174" s="51" t="n">
        <f aca="false">200000+216500</f>
        <v>416500</v>
      </c>
      <c r="E174" s="52" t="n">
        <f aca="false">C174-D174</f>
        <v>0</v>
      </c>
    </row>
    <row r="175" customFormat="false" ht="15" hidden="false" customHeight="false" outlineLevel="0" collapsed="false">
      <c r="A175" s="49" t="n">
        <v>24</v>
      </c>
      <c r="B175" s="54" t="s">
        <v>346</v>
      </c>
      <c r="C175" s="51" t="n">
        <v>416500</v>
      </c>
      <c r="D175" s="51"/>
      <c r="E175" s="52" t="n">
        <f aca="false">C175-D175</f>
        <v>416500</v>
      </c>
    </row>
    <row r="176" customFormat="false" ht="15" hidden="false" customHeight="false" outlineLevel="0" collapsed="false">
      <c r="A176" s="49" t="n">
        <v>25</v>
      </c>
      <c r="B176" s="54" t="s">
        <v>347</v>
      </c>
      <c r="C176" s="64" t="s">
        <v>74</v>
      </c>
      <c r="D176" s="64"/>
      <c r="E176" s="65" t="s">
        <v>74</v>
      </c>
    </row>
    <row r="177" customFormat="false" ht="15" hidden="false" customHeight="false" outlineLevel="0" collapsed="false">
      <c r="A177" s="49" t="n">
        <v>26</v>
      </c>
      <c r="B177" s="54" t="s">
        <v>348</v>
      </c>
      <c r="C177" s="51" t="n">
        <v>416500</v>
      </c>
      <c r="D177" s="51" t="n">
        <f aca="false">100000+316500</f>
        <v>416500</v>
      </c>
      <c r="E177" s="52" t="n">
        <f aca="false">C177-D177</f>
        <v>0</v>
      </c>
    </row>
    <row r="178" customFormat="false" ht="15" hidden="false" customHeight="false" outlineLevel="0" collapsed="false">
      <c r="A178" s="49" t="n">
        <v>27</v>
      </c>
      <c r="B178" s="54" t="s">
        <v>349</v>
      </c>
      <c r="C178" s="51" t="n">
        <v>416500</v>
      </c>
      <c r="D178" s="51" t="n">
        <f aca="false">100000+200000+100000+16500</f>
        <v>416500</v>
      </c>
      <c r="E178" s="52" t="n">
        <f aca="false">C178-D178</f>
        <v>0</v>
      </c>
    </row>
    <row r="179" customFormat="false" ht="15" hidden="false" customHeight="false" outlineLevel="0" collapsed="false">
      <c r="A179" s="49" t="n">
        <v>28</v>
      </c>
      <c r="B179" s="54" t="s">
        <v>350</v>
      </c>
      <c r="C179" s="51" t="n">
        <v>416500</v>
      </c>
      <c r="D179" s="51" t="n">
        <f aca="false">283500+100000+33000</f>
        <v>416500</v>
      </c>
      <c r="E179" s="52" t="n">
        <f aca="false">C179-D179</f>
        <v>0</v>
      </c>
    </row>
    <row r="180" customFormat="false" ht="15" hidden="false" customHeight="false" outlineLevel="0" collapsed="false">
      <c r="A180" s="49" t="n">
        <v>29</v>
      </c>
      <c r="B180" s="54" t="s">
        <v>351</v>
      </c>
      <c r="C180" s="51" t="n">
        <v>416500</v>
      </c>
      <c r="D180" s="51"/>
      <c r="E180" s="52" t="n">
        <f aca="false">C180-D180</f>
        <v>416500</v>
      </c>
    </row>
    <row r="181" customFormat="false" ht="15" hidden="false" customHeight="false" outlineLevel="0" collapsed="false">
      <c r="A181" s="49" t="n">
        <v>30</v>
      </c>
      <c r="B181" s="54" t="s">
        <v>352</v>
      </c>
      <c r="C181" s="51" t="n">
        <v>416500</v>
      </c>
      <c r="D181" s="51" t="n">
        <f aca="false">100000+50000+216500+50000</f>
        <v>416500</v>
      </c>
      <c r="E181" s="52" t="n">
        <f aca="false">C181-D181</f>
        <v>0</v>
      </c>
    </row>
    <row r="182" customFormat="false" ht="15" hidden="false" customHeight="false" outlineLevel="0" collapsed="false">
      <c r="A182" s="49" t="n">
        <v>31</v>
      </c>
      <c r="B182" s="54" t="s">
        <v>353</v>
      </c>
      <c r="C182" s="51" t="n">
        <v>416500</v>
      </c>
      <c r="D182" s="51"/>
      <c r="E182" s="52" t="n">
        <f aca="false">C182-D182</f>
        <v>416500</v>
      </c>
    </row>
    <row r="183" customFormat="false" ht="19.7" hidden="false" customHeight="false" outlineLevel="0" collapsed="false">
      <c r="A183" s="49"/>
      <c r="B183" s="70" t="s">
        <v>21</v>
      </c>
      <c r="C183" s="57" t="n">
        <f aca="false">SUM(C152:C182)</f>
        <v>11662000</v>
      </c>
      <c r="D183" s="58" t="n">
        <f aca="false">SUM(D152:D182)</f>
        <v>6931000</v>
      </c>
      <c r="E183" s="59" t="n">
        <f aca="false">SUM(E152:E182)</f>
        <v>4731000</v>
      </c>
    </row>
    <row r="184" customFormat="false" ht="19.7" hidden="false" customHeight="false" outlineLevel="0" collapsed="false">
      <c r="A184" s="53"/>
      <c r="B184" s="71"/>
      <c r="C184" s="72"/>
      <c r="D184" s="73"/>
      <c r="E184" s="74"/>
    </row>
    <row r="185" customFormat="false" ht="17.35" hidden="false" customHeight="false" outlineLevel="0" collapsed="false">
      <c r="B185" s="31"/>
      <c r="C185" s="32"/>
      <c r="D185" s="33"/>
      <c r="E185" s="34"/>
    </row>
    <row r="186" customFormat="false" ht="17.35" hidden="false" customHeight="false" outlineLevel="0" collapsed="false">
      <c r="A186" s="53"/>
      <c r="B186" s="2" t="s">
        <v>0</v>
      </c>
    </row>
    <row r="187" customFormat="false" ht="15" hidden="false" customHeight="false" outlineLevel="0" collapsed="false">
      <c r="A187" s="53"/>
    </row>
    <row r="188" customFormat="false" ht="17.35" hidden="false" customHeight="false" outlineLevel="0" collapsed="false">
      <c r="A188" s="53"/>
      <c r="B188" s="45" t="s">
        <v>266</v>
      </c>
    </row>
    <row r="189" customFormat="false" ht="15" hidden="false" customHeight="false" outlineLevel="0" collapsed="false">
      <c r="A189" s="53"/>
      <c r="B189" s="4" t="s">
        <v>322</v>
      </c>
    </row>
    <row r="190" customFormat="false" ht="15" hidden="false" customHeight="false" outlineLevel="0" collapsed="false">
      <c r="A190" s="53"/>
    </row>
    <row r="191" customFormat="false" ht="15" hidden="false" customHeight="false" outlineLevel="0" collapsed="false">
      <c r="A191" s="46" t="s">
        <v>4</v>
      </c>
      <c r="B191" s="47" t="s">
        <v>238</v>
      </c>
      <c r="C191" s="43" t="s">
        <v>6</v>
      </c>
      <c r="D191" s="48" t="s">
        <v>7</v>
      </c>
      <c r="E191" s="27" t="s">
        <v>8</v>
      </c>
    </row>
    <row r="192" customFormat="false" ht="15" hidden="false" customHeight="false" outlineLevel="0" collapsed="false">
      <c r="A192" s="49" t="n">
        <v>1</v>
      </c>
      <c r="B192" s="54" t="s">
        <v>354</v>
      </c>
      <c r="C192" s="51" t="n">
        <v>416500</v>
      </c>
      <c r="D192" s="51"/>
      <c r="E192" s="52" t="n">
        <f aca="false">C192-D192</f>
        <v>416500</v>
      </c>
    </row>
    <row r="193" customFormat="false" ht="15" hidden="false" customHeight="false" outlineLevel="0" collapsed="false">
      <c r="A193" s="49" t="n">
        <v>2</v>
      </c>
      <c r="B193" s="54" t="s">
        <v>355</v>
      </c>
      <c r="C193" s="51" t="n">
        <v>416500</v>
      </c>
      <c r="D193" s="51" t="n">
        <f aca="false">63000</f>
        <v>63000</v>
      </c>
      <c r="E193" s="52" t="n">
        <f aca="false">C193-D193</f>
        <v>353500</v>
      </c>
    </row>
    <row r="194" customFormat="false" ht="15" hidden="false" customHeight="false" outlineLevel="0" collapsed="false">
      <c r="A194" s="49" t="n">
        <v>3</v>
      </c>
      <c r="B194" s="54" t="s">
        <v>356</v>
      </c>
      <c r="C194" s="51" t="n">
        <v>416500</v>
      </c>
      <c r="D194" s="51" t="n">
        <f aca="false">32000+20000+175000+186000+3500</f>
        <v>416500</v>
      </c>
      <c r="E194" s="52" t="n">
        <f aca="false">C194-D194</f>
        <v>0</v>
      </c>
    </row>
    <row r="195" customFormat="false" ht="15" hidden="false" customHeight="false" outlineLevel="0" collapsed="false">
      <c r="A195" s="49" t="n">
        <v>4</v>
      </c>
      <c r="B195" s="54" t="s">
        <v>357</v>
      </c>
      <c r="C195" s="51" t="n">
        <v>416500</v>
      </c>
      <c r="D195" s="51" t="n">
        <f aca="false">83500+200000+33000+20000+80000</f>
        <v>416500</v>
      </c>
      <c r="E195" s="52" t="n">
        <f aca="false">C195-D195</f>
        <v>0</v>
      </c>
    </row>
    <row r="196" customFormat="false" ht="15" hidden="false" customHeight="false" outlineLevel="0" collapsed="false">
      <c r="A196" s="49" t="n">
        <v>5</v>
      </c>
      <c r="B196" s="54" t="s">
        <v>358</v>
      </c>
      <c r="C196" s="51" t="n">
        <v>416500</v>
      </c>
      <c r="D196" s="51" t="n">
        <f aca="false">40500+80000+30000+120000+146000</f>
        <v>416500</v>
      </c>
      <c r="E196" s="52" t="n">
        <f aca="false">C196-D196</f>
        <v>0</v>
      </c>
    </row>
    <row r="197" customFormat="false" ht="15" hidden="false" customHeight="false" outlineLevel="0" collapsed="false">
      <c r="A197" s="49" t="n">
        <v>6</v>
      </c>
      <c r="B197" s="54" t="s">
        <v>359</v>
      </c>
      <c r="C197" s="51" t="n">
        <v>416500</v>
      </c>
      <c r="D197" s="51" t="n">
        <f aca="false">162500+200000+54000</f>
        <v>416500</v>
      </c>
      <c r="E197" s="52" t="n">
        <f aca="false">C197-D197</f>
        <v>0</v>
      </c>
    </row>
    <row r="198" customFormat="false" ht="15" hidden="false" customHeight="false" outlineLevel="0" collapsed="false">
      <c r="A198" s="49" t="n">
        <v>7</v>
      </c>
      <c r="B198" s="54" t="s">
        <v>360</v>
      </c>
      <c r="C198" s="51" t="n">
        <v>416500</v>
      </c>
      <c r="D198" s="51" t="n">
        <f aca="false">133500+2500+2500+3000+15000+20000+50000+60000+130000</f>
        <v>416500</v>
      </c>
      <c r="E198" s="52" t="n">
        <f aca="false">C198-D198</f>
        <v>0</v>
      </c>
    </row>
    <row r="199" customFormat="false" ht="15" hidden="false" customHeight="false" outlineLevel="0" collapsed="false">
      <c r="A199" s="49" t="n">
        <v>8</v>
      </c>
      <c r="B199" s="54" t="s">
        <v>361</v>
      </c>
      <c r="C199" s="51" t="n">
        <v>416500</v>
      </c>
      <c r="D199" s="51" t="n">
        <f aca="false">316500+100000</f>
        <v>416500</v>
      </c>
      <c r="E199" s="52" t="n">
        <f aca="false">C199-D199</f>
        <v>0</v>
      </c>
    </row>
    <row r="200" customFormat="false" ht="15" hidden="false" customHeight="false" outlineLevel="0" collapsed="false">
      <c r="A200" s="49" t="n">
        <v>9</v>
      </c>
      <c r="B200" s="54" t="s">
        <v>362</v>
      </c>
      <c r="C200" s="51" t="n">
        <v>416500</v>
      </c>
      <c r="D200" s="51" t="n">
        <f aca="false">100000+316500</f>
        <v>416500</v>
      </c>
      <c r="E200" s="52" t="n">
        <f aca="false">C200-D200</f>
        <v>0</v>
      </c>
    </row>
    <row r="201" customFormat="false" ht="15" hidden="false" customHeight="false" outlineLevel="0" collapsed="false">
      <c r="A201" s="49" t="n">
        <v>10</v>
      </c>
      <c r="B201" s="54" t="s">
        <v>363</v>
      </c>
      <c r="C201" s="51" t="n">
        <v>416500</v>
      </c>
      <c r="D201" s="51" t="n">
        <v>416500</v>
      </c>
      <c r="E201" s="52" t="n">
        <f aca="false">C201-D201</f>
        <v>0</v>
      </c>
    </row>
    <row r="202" customFormat="false" ht="15" hidden="false" customHeight="false" outlineLevel="0" collapsed="false">
      <c r="A202" s="49" t="n">
        <v>11</v>
      </c>
      <c r="B202" s="54" t="s">
        <v>364</v>
      </c>
      <c r="C202" s="51" t="n">
        <v>416500</v>
      </c>
      <c r="D202" s="51" t="n">
        <f aca="false">400000+16500</f>
        <v>416500</v>
      </c>
      <c r="E202" s="52" t="n">
        <f aca="false">C202-D202</f>
        <v>0</v>
      </c>
    </row>
    <row r="203" customFormat="false" ht="15" hidden="false" customHeight="false" outlineLevel="0" collapsed="false">
      <c r="A203" s="49" t="n">
        <v>12</v>
      </c>
      <c r="B203" s="54" t="s">
        <v>365</v>
      </c>
      <c r="C203" s="51" t="n">
        <v>416500</v>
      </c>
      <c r="D203" s="51" t="n">
        <f aca="false">16500+100000</f>
        <v>116500</v>
      </c>
      <c r="E203" s="52" t="n">
        <f aca="false">C203-D203</f>
        <v>300000</v>
      </c>
    </row>
    <row r="204" customFormat="false" ht="15" hidden="false" customHeight="false" outlineLevel="0" collapsed="false">
      <c r="A204" s="49" t="n">
        <v>13</v>
      </c>
      <c r="B204" s="54" t="s">
        <v>366</v>
      </c>
      <c r="C204" s="51" t="n">
        <v>416500</v>
      </c>
      <c r="D204" s="51"/>
      <c r="E204" s="52" t="n">
        <f aca="false">C204-D204</f>
        <v>416500</v>
      </c>
    </row>
    <row r="205" customFormat="false" ht="15" hidden="false" customHeight="false" outlineLevel="0" collapsed="false">
      <c r="A205" s="49" t="n">
        <v>14</v>
      </c>
      <c r="B205" s="54" t="s">
        <v>367</v>
      </c>
      <c r="C205" s="51" t="n">
        <v>416500</v>
      </c>
      <c r="D205" s="51"/>
      <c r="E205" s="52" t="n">
        <f aca="false">C205-D205</f>
        <v>416500</v>
      </c>
    </row>
    <row r="206" customFormat="false" ht="15" hidden="false" customHeight="false" outlineLevel="0" collapsed="false">
      <c r="A206" s="49" t="n">
        <v>15</v>
      </c>
      <c r="B206" s="54" t="s">
        <v>368</v>
      </c>
      <c r="C206" s="51" t="n">
        <v>416500</v>
      </c>
      <c r="D206" s="51"/>
      <c r="E206" s="52" t="n">
        <f aca="false">C206-D206</f>
        <v>416500</v>
      </c>
    </row>
    <row r="207" customFormat="false" ht="15" hidden="false" customHeight="false" outlineLevel="0" collapsed="false">
      <c r="A207" s="49" t="n">
        <v>16</v>
      </c>
      <c r="B207" s="54" t="s">
        <v>369</v>
      </c>
      <c r="C207" s="51" t="n">
        <v>416500</v>
      </c>
      <c r="D207" s="51" t="n">
        <f aca="false">4000+96000+300000+16500</f>
        <v>416500</v>
      </c>
      <c r="E207" s="52" t="n">
        <f aca="false">C207-D207</f>
        <v>0</v>
      </c>
    </row>
    <row r="208" customFormat="false" ht="15" hidden="false" customHeight="false" outlineLevel="0" collapsed="false">
      <c r="A208" s="49" t="n">
        <v>17</v>
      </c>
      <c r="B208" s="54" t="s">
        <v>370</v>
      </c>
      <c r="C208" s="51" t="n">
        <v>416500</v>
      </c>
      <c r="D208" s="51" t="n">
        <f aca="false">187000+230000</f>
        <v>417000</v>
      </c>
      <c r="E208" s="52" t="n">
        <f aca="false">C208-D208</f>
        <v>-500</v>
      </c>
    </row>
    <row r="209" customFormat="false" ht="15" hidden="false" customHeight="false" outlineLevel="0" collapsed="false">
      <c r="A209" s="49" t="n">
        <v>18</v>
      </c>
      <c r="B209" s="54" t="s">
        <v>371</v>
      </c>
      <c r="C209" s="51" t="n">
        <v>416500</v>
      </c>
      <c r="D209" s="51" t="n">
        <f aca="false">200000+216500</f>
        <v>416500</v>
      </c>
      <c r="E209" s="52" t="n">
        <f aca="false">C209-D209</f>
        <v>0</v>
      </c>
    </row>
    <row r="210" customFormat="false" ht="15" hidden="false" customHeight="false" outlineLevel="0" collapsed="false">
      <c r="A210" s="49" t="n">
        <v>19</v>
      </c>
      <c r="B210" s="54" t="s">
        <v>372</v>
      </c>
      <c r="C210" s="51" t="n">
        <v>416500</v>
      </c>
      <c r="D210" s="51" t="n">
        <f aca="false">157000+259500</f>
        <v>416500</v>
      </c>
      <c r="E210" s="52" t="n">
        <f aca="false">C210-D210</f>
        <v>0</v>
      </c>
    </row>
    <row r="211" customFormat="false" ht="15" hidden="false" customHeight="false" outlineLevel="0" collapsed="false">
      <c r="A211" s="49" t="n">
        <v>20</v>
      </c>
      <c r="B211" s="50" t="s">
        <v>373</v>
      </c>
      <c r="C211" s="51" t="n">
        <v>416500</v>
      </c>
      <c r="D211" s="51"/>
      <c r="E211" s="52" t="n">
        <f aca="false">C211-D211</f>
        <v>416500</v>
      </c>
    </row>
    <row r="212" customFormat="false" ht="15" hidden="false" customHeight="false" outlineLevel="0" collapsed="false">
      <c r="A212" s="49" t="n">
        <v>21</v>
      </c>
      <c r="B212" s="54" t="s">
        <v>374</v>
      </c>
      <c r="C212" s="51" t="n">
        <v>416500</v>
      </c>
      <c r="D212" s="51"/>
      <c r="E212" s="52" t="n">
        <f aca="false">C212-D212</f>
        <v>416500</v>
      </c>
    </row>
    <row r="213" customFormat="false" ht="15" hidden="false" customHeight="false" outlineLevel="0" collapsed="false">
      <c r="A213" s="49" t="n">
        <v>22</v>
      </c>
      <c r="B213" s="54" t="s">
        <v>375</v>
      </c>
      <c r="C213" s="51" t="n">
        <v>416500</v>
      </c>
      <c r="D213" s="51" t="n">
        <v>416500</v>
      </c>
      <c r="E213" s="52" t="n">
        <f aca="false">C213-D213</f>
        <v>0</v>
      </c>
    </row>
    <row r="214" customFormat="false" ht="15" hidden="false" customHeight="false" outlineLevel="0" collapsed="false">
      <c r="A214" s="49" t="n">
        <v>23</v>
      </c>
      <c r="B214" s="54" t="s">
        <v>376</v>
      </c>
      <c r="C214" s="51" t="n">
        <v>416500</v>
      </c>
      <c r="D214" s="51" t="n">
        <v>416500</v>
      </c>
      <c r="E214" s="52" t="n">
        <f aca="false">C214-D214</f>
        <v>0</v>
      </c>
    </row>
    <row r="215" customFormat="false" ht="15" hidden="false" customHeight="false" outlineLevel="0" collapsed="false">
      <c r="A215" s="49" t="n">
        <v>24</v>
      </c>
      <c r="B215" s="54" t="s">
        <v>377</v>
      </c>
      <c r="C215" s="51" t="n">
        <v>416500</v>
      </c>
      <c r="D215" s="51" t="n">
        <v>416500</v>
      </c>
      <c r="E215" s="52" t="n">
        <f aca="false">C215-D215</f>
        <v>0</v>
      </c>
    </row>
    <row r="216" customFormat="false" ht="15" hidden="false" customHeight="false" outlineLevel="0" collapsed="false">
      <c r="A216" s="49" t="n">
        <v>25</v>
      </c>
      <c r="B216" s="54" t="s">
        <v>378</v>
      </c>
      <c r="C216" s="51" t="n">
        <v>416500</v>
      </c>
      <c r="D216" s="51"/>
      <c r="E216" s="52" t="n">
        <f aca="false">C216-D216</f>
        <v>416500</v>
      </c>
    </row>
    <row r="217" customFormat="false" ht="15" hidden="false" customHeight="false" outlineLevel="0" collapsed="false">
      <c r="A217" s="49" t="n">
        <v>26</v>
      </c>
      <c r="B217" s="54" t="s">
        <v>379</v>
      </c>
      <c r="C217" s="51" t="n">
        <v>416500</v>
      </c>
      <c r="D217" s="51"/>
      <c r="E217" s="52" t="n">
        <f aca="false">C217-D217</f>
        <v>416500</v>
      </c>
    </row>
    <row r="218" customFormat="false" ht="15" hidden="false" customHeight="false" outlineLevel="0" collapsed="false">
      <c r="A218" s="49" t="n">
        <v>27</v>
      </c>
      <c r="B218" s="54" t="s">
        <v>380</v>
      </c>
      <c r="C218" s="51" t="n">
        <v>416500</v>
      </c>
      <c r="D218" s="51"/>
      <c r="E218" s="52" t="n">
        <f aca="false">C218-D218</f>
        <v>416500</v>
      </c>
    </row>
    <row r="219" customFormat="false" ht="15" hidden="false" customHeight="false" outlineLevel="0" collapsed="false">
      <c r="A219" s="49" t="n">
        <v>28</v>
      </c>
      <c r="B219" s="50" t="s">
        <v>381</v>
      </c>
      <c r="C219" s="51" t="n">
        <v>416500</v>
      </c>
      <c r="D219" s="51" t="n">
        <f aca="false">116500+300000</f>
        <v>416500</v>
      </c>
      <c r="E219" s="52" t="n">
        <f aca="false">C219-D219</f>
        <v>0</v>
      </c>
    </row>
    <row r="220" customFormat="false" ht="15" hidden="false" customHeight="false" outlineLevel="0" collapsed="false">
      <c r="A220" s="49" t="n">
        <v>29</v>
      </c>
      <c r="B220" s="54" t="s">
        <v>382</v>
      </c>
      <c r="C220" s="51" t="n">
        <v>416500</v>
      </c>
      <c r="D220" s="51" t="s">
        <v>383</v>
      </c>
      <c r="E220" s="52" t="n">
        <v>416500</v>
      </c>
    </row>
    <row r="221" customFormat="false" ht="15" hidden="false" customHeight="false" outlineLevel="0" collapsed="false">
      <c r="A221" s="49" t="n">
        <v>30</v>
      </c>
      <c r="B221" s="54" t="s">
        <v>384</v>
      </c>
      <c r="C221" s="51" t="n">
        <v>416500</v>
      </c>
      <c r="D221" s="51" t="n">
        <f aca="false">37000+160000+130500+89000</f>
        <v>416500</v>
      </c>
      <c r="E221" s="52" t="n">
        <f aca="false">C221-D221</f>
        <v>0</v>
      </c>
    </row>
    <row r="222" customFormat="false" ht="15" hidden="false" customHeight="false" outlineLevel="0" collapsed="false">
      <c r="A222" s="49" t="n">
        <v>31</v>
      </c>
      <c r="B222" s="54" t="s">
        <v>385</v>
      </c>
      <c r="C222" s="51" t="n">
        <v>416500</v>
      </c>
      <c r="D222" s="51" t="n">
        <f aca="false">183500+200000+33000</f>
        <v>416500</v>
      </c>
      <c r="E222" s="52" t="n">
        <f aca="false">C222-D222</f>
        <v>0</v>
      </c>
    </row>
    <row r="223" customFormat="false" ht="15" hidden="false" customHeight="false" outlineLevel="0" collapsed="false">
      <c r="A223" s="49" t="n">
        <v>32</v>
      </c>
      <c r="B223" s="54" t="s">
        <v>386</v>
      </c>
      <c r="C223" s="51" t="n">
        <v>416500</v>
      </c>
      <c r="D223" s="51"/>
      <c r="E223" s="52" t="n">
        <f aca="false">C223-D223</f>
        <v>416500</v>
      </c>
    </row>
    <row r="224" customFormat="false" ht="15" hidden="false" customHeight="false" outlineLevel="0" collapsed="false">
      <c r="A224" s="49" t="n">
        <v>33</v>
      </c>
      <c r="B224" s="54" t="s">
        <v>387</v>
      </c>
      <c r="C224" s="51" t="n">
        <v>416500</v>
      </c>
      <c r="D224" s="51"/>
      <c r="E224" s="52" t="n">
        <f aca="false">C224-D224</f>
        <v>416500</v>
      </c>
    </row>
    <row r="225" customFormat="false" ht="15" hidden="false" customHeight="false" outlineLevel="0" collapsed="false">
      <c r="A225" s="49" t="n">
        <v>34</v>
      </c>
      <c r="B225" s="54" t="s">
        <v>388</v>
      </c>
      <c r="C225" s="51" t="n">
        <v>416500</v>
      </c>
      <c r="D225" s="51"/>
      <c r="E225" s="52" t="n">
        <f aca="false">C225-D225</f>
        <v>416500</v>
      </c>
    </row>
    <row r="226" customFormat="false" ht="15" hidden="false" customHeight="false" outlineLevel="0" collapsed="false">
      <c r="A226" s="49" t="n">
        <v>35</v>
      </c>
      <c r="B226" s="54" t="s">
        <v>389</v>
      </c>
      <c r="C226" s="51" t="n">
        <v>416500</v>
      </c>
      <c r="D226" s="51" t="n">
        <f aca="false">116000+500+270000+30000</f>
        <v>416500</v>
      </c>
      <c r="E226" s="52" t="n">
        <f aca="false">C226-D226</f>
        <v>0</v>
      </c>
    </row>
    <row r="227" customFormat="false" ht="17.35" hidden="false" customHeight="false" outlineLevel="0" collapsed="false">
      <c r="A227" s="75"/>
      <c r="B227" s="56" t="s">
        <v>21</v>
      </c>
      <c r="C227" s="57" t="n">
        <f aca="false">SUM(C192:C226)</f>
        <v>14577500</v>
      </c>
      <c r="D227" s="58" t="n">
        <f aca="false">SUM(D192:D226)</f>
        <v>8510000</v>
      </c>
      <c r="E227" s="59" t="n">
        <f aca="false">SUM(E192:E226)</f>
        <v>6067500</v>
      </c>
    </row>
    <row r="228" customFormat="false" ht="17.35" hidden="false" customHeight="false" outlineLevel="0" collapsed="false">
      <c r="B228" s="31"/>
      <c r="C228" s="32"/>
      <c r="D228" s="33"/>
      <c r="E228" s="34"/>
    </row>
    <row r="229" customFormat="false" ht="17.35" hidden="false" customHeight="false" outlineLevel="0" collapsed="false">
      <c r="B229" s="31"/>
      <c r="C229" s="32"/>
      <c r="D229" s="33"/>
      <c r="E229" s="34"/>
    </row>
    <row r="230" customFormat="false" ht="17.35" hidden="false" customHeight="false" outlineLevel="0" collapsed="false">
      <c r="B230" s="31"/>
      <c r="C230" s="32"/>
      <c r="D230" s="33"/>
      <c r="E230" s="34"/>
    </row>
    <row r="233" customFormat="false" ht="17.35" hidden="false" customHeight="false" outlineLevel="0" collapsed="false">
      <c r="B233" s="2" t="s">
        <v>0</v>
      </c>
      <c r="C233" s="2"/>
    </row>
    <row r="235" customFormat="false" ht="15" hidden="false" customHeight="false" outlineLevel="0" collapsed="false">
      <c r="A235" s="22"/>
    </row>
    <row r="236" customFormat="false" ht="17.25" hidden="false" customHeight="false" outlineLevel="0" collapsed="false">
      <c r="A236" s="22"/>
      <c r="B236" s="4" t="s">
        <v>70</v>
      </c>
      <c r="D236" s="5" t="s">
        <v>220</v>
      </c>
    </row>
    <row r="237" customFormat="false" ht="15" hidden="false" customHeight="false" outlineLevel="0" collapsed="false">
      <c r="A237" s="22"/>
    </row>
    <row r="238" customFormat="false" ht="15" hidden="false" customHeight="false" outlineLevel="0" collapsed="false">
      <c r="A238" s="6" t="s">
        <v>4</v>
      </c>
      <c r="B238" s="42" t="s">
        <v>5</v>
      </c>
      <c r="C238" s="43" t="s">
        <v>6</v>
      </c>
      <c r="D238" s="44" t="s">
        <v>7</v>
      </c>
      <c r="E238" s="27" t="s">
        <v>8</v>
      </c>
    </row>
    <row r="239" customFormat="false" ht="15" hidden="false" customHeight="false" outlineLevel="0" collapsed="false">
      <c r="A239" s="29" t="n">
        <v>1</v>
      </c>
      <c r="B239" s="16" t="s">
        <v>390</v>
      </c>
      <c r="C239" s="12" t="n">
        <v>416500</v>
      </c>
      <c r="D239" s="28" t="n">
        <f aca="false">100000+116000+200000+500</f>
        <v>416500</v>
      </c>
      <c r="E239" s="13" t="n">
        <f aca="false">C239-D239</f>
        <v>0</v>
      </c>
    </row>
    <row r="240" customFormat="false" ht="15" hidden="false" customHeight="false" outlineLevel="0" collapsed="false">
      <c r="A240" s="14" t="n">
        <v>2</v>
      </c>
      <c r="B240" s="16" t="s">
        <v>391</v>
      </c>
      <c r="C240" s="12" t="n">
        <v>416500</v>
      </c>
      <c r="D240" s="28" t="n">
        <f aca="false">165000+251500</f>
        <v>416500</v>
      </c>
      <c r="E240" s="13" t="n">
        <f aca="false">C240-D240</f>
        <v>0</v>
      </c>
    </row>
    <row r="241" customFormat="false" ht="15" hidden="false" customHeight="false" outlineLevel="0" collapsed="false">
      <c r="A241" s="29" t="n">
        <v>3</v>
      </c>
      <c r="B241" s="16" t="s">
        <v>392</v>
      </c>
      <c r="C241" s="12" t="n">
        <v>416500</v>
      </c>
      <c r="D241" s="28" t="n">
        <f aca="false">100000+200000+100000+16500</f>
        <v>416500</v>
      </c>
      <c r="E241" s="13" t="n">
        <f aca="false">C241-D241</f>
        <v>0</v>
      </c>
    </row>
    <row r="242" customFormat="false" ht="15" hidden="false" customHeight="false" outlineLevel="0" collapsed="false">
      <c r="A242" s="29" t="n">
        <v>4</v>
      </c>
      <c r="B242" s="16" t="s">
        <v>393</v>
      </c>
      <c r="C242" s="12" t="n">
        <v>416500</v>
      </c>
      <c r="D242" s="28" t="n">
        <f aca="false">216000+90000+110000+500</f>
        <v>416500</v>
      </c>
      <c r="E242" s="13" t="n">
        <f aca="false">C242-D242</f>
        <v>0</v>
      </c>
    </row>
    <row r="243" customFormat="false" ht="15" hidden="false" customHeight="false" outlineLevel="0" collapsed="false">
      <c r="A243" s="29" t="n">
        <v>5</v>
      </c>
      <c r="B243" s="16" t="s">
        <v>394</v>
      </c>
      <c r="C243" s="12" t="n">
        <v>416500</v>
      </c>
      <c r="D243" s="28" t="n">
        <f aca="false">216500+200000</f>
        <v>416500</v>
      </c>
      <c r="E243" s="13" t="n">
        <f aca="false">C243-D243</f>
        <v>0</v>
      </c>
    </row>
    <row r="244" customFormat="false" ht="15" hidden="false" customHeight="false" outlineLevel="0" collapsed="false">
      <c r="A244" s="14" t="n">
        <v>6</v>
      </c>
      <c r="B244" s="16" t="s">
        <v>395</v>
      </c>
      <c r="C244" s="12" t="n">
        <v>416500</v>
      </c>
      <c r="D244" s="28" t="n">
        <f aca="false">100000+50000+36500+230000</f>
        <v>416500</v>
      </c>
      <c r="E244" s="13" t="n">
        <f aca="false">C244-D244</f>
        <v>0</v>
      </c>
    </row>
    <row r="245" customFormat="false" ht="15" hidden="false" customHeight="false" outlineLevel="0" collapsed="false">
      <c r="A245" s="14" t="n">
        <v>7</v>
      </c>
      <c r="B245" s="16" t="s">
        <v>396</v>
      </c>
      <c r="C245" s="12" t="n">
        <v>416500</v>
      </c>
      <c r="D245" s="28" t="n">
        <f aca="false">50000+50000+300000+16500</f>
        <v>416500</v>
      </c>
      <c r="E245" s="13" t="n">
        <f aca="false">C245-D245</f>
        <v>0</v>
      </c>
    </row>
    <row r="246" customFormat="false" ht="15" hidden="false" customHeight="false" outlineLevel="0" collapsed="false">
      <c r="A246" s="14" t="n">
        <v>8</v>
      </c>
      <c r="B246" s="16" t="s">
        <v>397</v>
      </c>
      <c r="C246" s="12" t="n">
        <v>416500</v>
      </c>
      <c r="D246" s="28" t="n">
        <f aca="false">216500+200000</f>
        <v>416500</v>
      </c>
      <c r="E246" s="13" t="n">
        <f aca="false">C246-D246</f>
        <v>0</v>
      </c>
    </row>
    <row r="247" customFormat="false" ht="15" hidden="false" customHeight="false" outlineLevel="0" collapsed="false">
      <c r="A247" s="14" t="n">
        <v>9</v>
      </c>
      <c r="B247" s="16" t="s">
        <v>398</v>
      </c>
      <c r="C247" s="12" t="s">
        <v>74</v>
      </c>
      <c r="D247" s="28"/>
      <c r="E247" s="13" t="s">
        <v>74</v>
      </c>
    </row>
    <row r="248" customFormat="false" ht="15" hidden="false" customHeight="false" outlineLevel="0" collapsed="false">
      <c r="A248" s="14" t="n">
        <v>10</v>
      </c>
      <c r="B248" s="16" t="s">
        <v>399</v>
      </c>
      <c r="C248" s="12" t="n">
        <v>416500</v>
      </c>
      <c r="D248" s="28" t="n">
        <f aca="false">99500+101000+108000+108000</f>
        <v>416500</v>
      </c>
      <c r="E248" s="13" t="n">
        <f aca="false">C248-D248</f>
        <v>0</v>
      </c>
    </row>
    <row r="249" customFormat="false" ht="15" hidden="false" customHeight="false" outlineLevel="0" collapsed="false">
      <c r="A249" s="14" t="n">
        <v>11</v>
      </c>
      <c r="B249" s="16" t="s">
        <v>400</v>
      </c>
      <c r="C249" s="12" t="n">
        <v>416500</v>
      </c>
      <c r="D249" s="28" t="n">
        <f aca="false">100000+120000+196500</f>
        <v>416500</v>
      </c>
      <c r="E249" s="13" t="n">
        <f aca="false">C249-D249</f>
        <v>0</v>
      </c>
    </row>
    <row r="250" customFormat="false" ht="15" hidden="false" customHeight="false" outlineLevel="0" collapsed="false">
      <c r="A250" s="14" t="n">
        <v>12</v>
      </c>
      <c r="B250" s="16" t="s">
        <v>401</v>
      </c>
      <c r="C250" s="12" t="n">
        <v>416500</v>
      </c>
      <c r="D250" s="28" t="n">
        <f aca="false">216000+50000+100000+50500</f>
        <v>416500</v>
      </c>
      <c r="E250" s="13" t="n">
        <f aca="false">C250-D250</f>
        <v>0</v>
      </c>
    </row>
    <row r="251" customFormat="false" ht="15" hidden="false" customHeight="false" outlineLevel="0" collapsed="false">
      <c r="A251" s="14" t="n">
        <v>13</v>
      </c>
      <c r="B251" s="16" t="s">
        <v>402</v>
      </c>
      <c r="C251" s="12" t="n">
        <v>416500</v>
      </c>
      <c r="D251" s="28" t="n">
        <f aca="false">216500+200000</f>
        <v>416500</v>
      </c>
      <c r="E251" s="13" t="n">
        <f aca="false">C251-D251</f>
        <v>0</v>
      </c>
    </row>
    <row r="252" customFormat="false" ht="15" hidden="false" customHeight="false" outlineLevel="0" collapsed="false">
      <c r="A252" s="14" t="n">
        <v>14</v>
      </c>
      <c r="B252" s="16" t="s">
        <v>403</v>
      </c>
      <c r="C252" s="12" t="n">
        <v>416500</v>
      </c>
      <c r="D252" s="28"/>
      <c r="E252" s="13" t="n">
        <f aca="false">C252-D252</f>
        <v>416500</v>
      </c>
    </row>
    <row r="253" customFormat="false" ht="15" hidden="false" customHeight="false" outlineLevel="0" collapsed="false">
      <c r="A253" s="14" t="n">
        <v>15</v>
      </c>
      <c r="B253" s="16" t="s">
        <v>404</v>
      </c>
      <c r="C253" s="12" t="s">
        <v>74</v>
      </c>
      <c r="D253" s="28"/>
      <c r="E253" s="13" t="s">
        <v>74</v>
      </c>
    </row>
    <row r="254" customFormat="false" ht="15" hidden="false" customHeight="false" outlineLevel="0" collapsed="false">
      <c r="A254" s="14" t="n">
        <v>16</v>
      </c>
      <c r="B254" s="16" t="s">
        <v>405</v>
      </c>
      <c r="C254" s="12" t="n">
        <v>416500</v>
      </c>
      <c r="D254" s="28" t="n">
        <f aca="false">100000+50000+20000+30000+120000+40000+56500</f>
        <v>416500</v>
      </c>
      <c r="E254" s="13" t="n">
        <f aca="false">C254-D254</f>
        <v>0</v>
      </c>
    </row>
    <row r="255" customFormat="false" ht="15" hidden="false" customHeight="false" outlineLevel="0" collapsed="false">
      <c r="A255" s="14" t="n">
        <v>17</v>
      </c>
      <c r="B255" s="16" t="s">
        <v>406</v>
      </c>
      <c r="C255" s="12" t="n">
        <v>416500</v>
      </c>
      <c r="D255" s="28"/>
      <c r="E255" s="13" t="n">
        <f aca="false">C255-D255</f>
        <v>416500</v>
      </c>
    </row>
    <row r="256" customFormat="false" ht="15" hidden="false" customHeight="false" outlineLevel="0" collapsed="false">
      <c r="A256" s="14" t="n">
        <v>18</v>
      </c>
      <c r="B256" s="16" t="s">
        <v>407</v>
      </c>
      <c r="C256" s="12" t="n">
        <v>416500</v>
      </c>
      <c r="D256" s="28" t="n">
        <f aca="false">200000+120000+96500</f>
        <v>416500</v>
      </c>
      <c r="E256" s="13" t="n">
        <f aca="false">C256-D256</f>
        <v>0</v>
      </c>
    </row>
    <row r="257" customFormat="false" ht="15" hidden="false" customHeight="false" outlineLevel="0" collapsed="false">
      <c r="A257" s="14" t="n">
        <v>19</v>
      </c>
      <c r="B257" s="16" t="s">
        <v>408</v>
      </c>
      <c r="C257" s="12" t="n">
        <v>416500</v>
      </c>
      <c r="D257" s="28" t="n">
        <f aca="false">50000+70000+140000+156500</f>
        <v>416500</v>
      </c>
      <c r="E257" s="13" t="n">
        <f aca="false">C257-D257</f>
        <v>0</v>
      </c>
    </row>
    <row r="258" customFormat="false" ht="15" hidden="false" customHeight="false" outlineLevel="0" collapsed="false">
      <c r="A258" s="14" t="n">
        <v>20</v>
      </c>
      <c r="B258" s="16" t="s">
        <v>409</v>
      </c>
      <c r="C258" s="12" t="n">
        <v>416500</v>
      </c>
      <c r="D258" s="28" t="n">
        <f aca="false">100000+90000+70000+156500</f>
        <v>416500</v>
      </c>
      <c r="E258" s="13" t="n">
        <f aca="false">C258-D258</f>
        <v>0</v>
      </c>
    </row>
    <row r="259" customFormat="false" ht="15" hidden="false" customHeight="false" outlineLevel="0" collapsed="false">
      <c r="A259" s="14" t="n">
        <v>21</v>
      </c>
      <c r="B259" s="16" t="s">
        <v>410</v>
      </c>
      <c r="C259" s="12" t="n">
        <v>416500</v>
      </c>
      <c r="D259" s="28" t="s">
        <v>411</v>
      </c>
      <c r="E259" s="13" t="s">
        <v>411</v>
      </c>
    </row>
    <row r="260" customFormat="false" ht="15" hidden="false" customHeight="false" outlineLevel="0" collapsed="false">
      <c r="A260" s="14" t="n">
        <v>22</v>
      </c>
      <c r="B260" s="16" t="s">
        <v>412</v>
      </c>
      <c r="C260" s="12" t="n">
        <v>416500</v>
      </c>
      <c r="D260" s="28" t="n">
        <f aca="false">100000+316500</f>
        <v>416500</v>
      </c>
      <c r="E260" s="13" t="n">
        <f aca="false">C260-D260</f>
        <v>0</v>
      </c>
    </row>
    <row r="261" customFormat="false" ht="15" hidden="false" customHeight="false" outlineLevel="0" collapsed="false">
      <c r="A261" s="14" t="n">
        <v>23</v>
      </c>
      <c r="B261" s="16" t="s">
        <v>413</v>
      </c>
      <c r="C261" s="12" t="n">
        <v>416500</v>
      </c>
      <c r="D261" s="28" t="n">
        <f aca="false">100000+100000+216500</f>
        <v>416500</v>
      </c>
      <c r="E261" s="13" t="n">
        <f aca="false">C261-D261</f>
        <v>0</v>
      </c>
    </row>
    <row r="262" customFormat="false" ht="15" hidden="false" customHeight="false" outlineLevel="0" collapsed="false">
      <c r="A262" s="14" t="n">
        <v>24</v>
      </c>
      <c r="B262" s="16" t="s">
        <v>414</v>
      </c>
      <c r="C262" s="12" t="n">
        <v>416500</v>
      </c>
      <c r="D262" s="28" t="s">
        <v>411</v>
      </c>
      <c r="E262" s="13" t="s">
        <v>411</v>
      </c>
    </row>
    <row r="263" customFormat="false" ht="15" hidden="false" customHeight="false" outlineLevel="0" collapsed="false">
      <c r="A263" s="14" t="n">
        <v>25</v>
      </c>
      <c r="B263" s="16" t="s">
        <v>415</v>
      </c>
      <c r="C263" s="12" t="n">
        <v>416500</v>
      </c>
      <c r="D263" s="28" t="n">
        <f aca="false">220000+197000</f>
        <v>417000</v>
      </c>
      <c r="E263" s="13" t="n">
        <f aca="false">C263-D263</f>
        <v>-500</v>
      </c>
    </row>
    <row r="264" customFormat="false" ht="15" hidden="false" customHeight="false" outlineLevel="0" collapsed="false">
      <c r="A264" s="14" t="n">
        <v>26</v>
      </c>
      <c r="B264" s="16" t="s">
        <v>416</v>
      </c>
      <c r="C264" s="12" t="n">
        <v>416500</v>
      </c>
      <c r="D264" s="28" t="n">
        <f aca="false">200000+216500</f>
        <v>416500</v>
      </c>
      <c r="E264" s="13" t="n">
        <f aca="false">C264-D264</f>
        <v>0</v>
      </c>
    </row>
    <row r="265" customFormat="false" ht="15" hidden="false" customHeight="false" outlineLevel="0" collapsed="false">
      <c r="A265" s="14" t="n">
        <v>27</v>
      </c>
      <c r="B265" s="16" t="s">
        <v>417</v>
      </c>
      <c r="C265" s="12" t="n">
        <v>416500</v>
      </c>
      <c r="D265" s="28" t="n">
        <f aca="false">50000+216500+33500+66500+50000</f>
        <v>416500</v>
      </c>
      <c r="E265" s="13" t="n">
        <f aca="false">C265-D265</f>
        <v>0</v>
      </c>
    </row>
    <row r="266" customFormat="false" ht="15" hidden="false" customHeight="false" outlineLevel="0" collapsed="false">
      <c r="A266" s="14" t="n">
        <v>28</v>
      </c>
      <c r="B266" s="16" t="s">
        <v>418</v>
      </c>
      <c r="C266" s="12" t="n">
        <v>416500</v>
      </c>
      <c r="D266" s="28" t="n">
        <f aca="false">200000</f>
        <v>200000</v>
      </c>
      <c r="E266" s="13" t="n">
        <f aca="false">C266-D266</f>
        <v>216500</v>
      </c>
    </row>
    <row r="267" customFormat="false" ht="15" hidden="false" customHeight="false" outlineLevel="0" collapsed="false">
      <c r="A267" s="14" t="n">
        <v>29</v>
      </c>
      <c r="B267" s="16" t="s">
        <v>419</v>
      </c>
      <c r="C267" s="12" t="n">
        <v>416500</v>
      </c>
      <c r="D267" s="28" t="n">
        <f aca="false">100000+100000+216500</f>
        <v>416500</v>
      </c>
      <c r="E267" s="13" t="n">
        <f aca="false">C267-D267</f>
        <v>0</v>
      </c>
    </row>
    <row r="268" customFormat="false" ht="15" hidden="false" customHeight="false" outlineLevel="0" collapsed="false">
      <c r="A268" s="14" t="n">
        <v>30</v>
      </c>
      <c r="B268" s="16" t="s">
        <v>420</v>
      </c>
      <c r="C268" s="12" t="n">
        <v>416500</v>
      </c>
      <c r="D268" s="28" t="n">
        <f aca="false">100000+200000+116500</f>
        <v>416500</v>
      </c>
      <c r="E268" s="13" t="n">
        <f aca="false">C268-D268</f>
        <v>0</v>
      </c>
    </row>
    <row r="269" customFormat="false" ht="17.35" hidden="false" customHeight="false" outlineLevel="0" collapsed="false">
      <c r="A269" s="14"/>
      <c r="B269" s="18" t="s">
        <v>21</v>
      </c>
      <c r="C269" s="19" t="n">
        <f aca="false">SUM(C239:C268)</f>
        <v>11662000</v>
      </c>
      <c r="D269" s="20" t="n">
        <f aca="false">SUM(D239:D268)</f>
        <v>9780000</v>
      </c>
      <c r="E269" s="21" t="n">
        <f aca="false">SUM(E239:E268)</f>
        <v>1049000</v>
      </c>
    </row>
    <row r="270" customFormat="false" ht="17.35" hidden="false" customHeight="false" outlineLevel="0" collapsed="false">
      <c r="B270" s="31"/>
      <c r="C270" s="32"/>
      <c r="D270" s="33"/>
      <c r="E270" s="34"/>
    </row>
    <row r="271" customFormat="false" ht="17.35" hidden="false" customHeight="false" outlineLevel="0" collapsed="false">
      <c r="B271" s="31"/>
      <c r="C271" s="32"/>
      <c r="D271" s="33"/>
      <c r="E271" s="34"/>
    </row>
    <row r="272" customFormat="false" ht="17.35" hidden="false" customHeight="false" outlineLevel="0" collapsed="false">
      <c r="A272" s="61"/>
      <c r="B272" s="2" t="s">
        <v>0</v>
      </c>
    </row>
    <row r="273" customFormat="false" ht="15" hidden="false" customHeight="false" outlineLevel="0" collapsed="false">
      <c r="A273" s="53"/>
    </row>
    <row r="274" customFormat="false" ht="17.35" hidden="false" customHeight="false" outlineLevel="0" collapsed="false">
      <c r="A274" s="53"/>
      <c r="B274" s="45" t="s">
        <v>236</v>
      </c>
    </row>
    <row r="275" customFormat="false" ht="15" hidden="false" customHeight="false" outlineLevel="0" collapsed="false">
      <c r="A275" s="53"/>
      <c r="B275" s="4" t="s">
        <v>421</v>
      </c>
    </row>
    <row r="276" customFormat="false" ht="15" hidden="false" customHeight="false" outlineLevel="0" collapsed="false">
      <c r="A276" s="53"/>
    </row>
    <row r="277" customFormat="false" ht="15" hidden="false" customHeight="false" outlineLevel="0" collapsed="false">
      <c r="A277" s="6" t="s">
        <v>4</v>
      </c>
      <c r="B277" s="42" t="s">
        <v>5</v>
      </c>
      <c r="C277" s="43" t="s">
        <v>6</v>
      </c>
      <c r="D277" s="48" t="s">
        <v>7</v>
      </c>
      <c r="E277" s="27" t="s">
        <v>8</v>
      </c>
    </row>
    <row r="278" customFormat="false" ht="15" hidden="false" customHeight="false" outlineLevel="0" collapsed="false">
      <c r="A278" s="49" t="n">
        <v>1</v>
      </c>
      <c r="B278" s="38" t="s">
        <v>422</v>
      </c>
      <c r="C278" s="51" t="n">
        <v>416500</v>
      </c>
      <c r="D278" s="51"/>
      <c r="E278" s="52" t="n">
        <f aca="false">C278-D278</f>
        <v>416500</v>
      </c>
    </row>
    <row r="279" customFormat="false" ht="15" hidden="false" customHeight="false" outlineLevel="0" collapsed="false">
      <c r="A279" s="49" t="n">
        <v>2</v>
      </c>
      <c r="B279" s="76" t="s">
        <v>423</v>
      </c>
      <c r="C279" s="51" t="n">
        <v>416500</v>
      </c>
      <c r="D279" s="77" t="n">
        <f aca="false">116500+200000+100000</f>
        <v>416500</v>
      </c>
      <c r="E279" s="52" t="n">
        <f aca="false">C279-D279</f>
        <v>0</v>
      </c>
    </row>
    <row r="280" customFormat="false" ht="15" hidden="false" customHeight="false" outlineLevel="0" collapsed="false">
      <c r="A280" s="49" t="n">
        <v>3</v>
      </c>
      <c r="B280" s="76" t="s">
        <v>424</v>
      </c>
      <c r="C280" s="64" t="s">
        <v>74</v>
      </c>
      <c r="D280" s="77"/>
      <c r="E280" s="65" t="s">
        <v>74</v>
      </c>
    </row>
    <row r="281" customFormat="false" ht="15" hidden="false" customHeight="false" outlineLevel="0" collapsed="false">
      <c r="A281" s="49" t="n">
        <v>4</v>
      </c>
      <c r="B281" s="76" t="s">
        <v>425</v>
      </c>
      <c r="C281" s="51" t="n">
        <v>416500</v>
      </c>
      <c r="D281" s="77" t="n">
        <f aca="false">50000+100000+266500</f>
        <v>416500</v>
      </c>
      <c r="E281" s="52" t="n">
        <f aca="false">C281-D281</f>
        <v>0</v>
      </c>
    </row>
    <row r="282" customFormat="false" ht="15" hidden="false" customHeight="false" outlineLevel="0" collapsed="false">
      <c r="A282" s="49" t="n">
        <v>5</v>
      </c>
      <c r="B282" s="76" t="s">
        <v>426</v>
      </c>
      <c r="C282" s="64" t="s">
        <v>74</v>
      </c>
      <c r="D282" s="77"/>
      <c r="E282" s="65" t="s">
        <v>74</v>
      </c>
    </row>
    <row r="283" customFormat="false" ht="15" hidden="false" customHeight="false" outlineLevel="0" collapsed="false">
      <c r="A283" s="49" t="n">
        <v>6</v>
      </c>
      <c r="B283" s="76" t="s">
        <v>427</v>
      </c>
      <c r="C283" s="51" t="n">
        <v>416500</v>
      </c>
      <c r="D283" s="77" t="n">
        <f aca="false">49500+367000</f>
        <v>416500</v>
      </c>
      <c r="E283" s="52" t="n">
        <f aca="false">C283-D283</f>
        <v>0</v>
      </c>
    </row>
    <row r="284" customFormat="false" ht="15" hidden="false" customHeight="false" outlineLevel="0" collapsed="false">
      <c r="A284" s="49" t="n">
        <v>7</v>
      </c>
      <c r="B284" s="76" t="s">
        <v>428</v>
      </c>
      <c r="C284" s="51" t="n">
        <v>416500</v>
      </c>
      <c r="D284" s="77" t="n">
        <f aca="false">39500+377000</f>
        <v>416500</v>
      </c>
      <c r="E284" s="52" t="n">
        <f aca="false">C284-D284</f>
        <v>0</v>
      </c>
    </row>
    <row r="285" customFormat="false" ht="15" hidden="false" customHeight="false" outlineLevel="0" collapsed="false">
      <c r="A285" s="49" t="n">
        <v>8</v>
      </c>
      <c r="B285" s="76" t="s">
        <v>429</v>
      </c>
      <c r="C285" s="12" t="n">
        <v>416500</v>
      </c>
      <c r="D285" s="12"/>
      <c r="E285" s="52" t="n">
        <f aca="false">C285-D285</f>
        <v>416500</v>
      </c>
    </row>
    <row r="286" customFormat="false" ht="15" hidden="false" customHeight="false" outlineLevel="0" collapsed="false">
      <c r="A286" s="49" t="n">
        <v>9</v>
      </c>
      <c r="B286" s="15" t="s">
        <v>430</v>
      </c>
      <c r="C286" s="51" t="n">
        <v>416500</v>
      </c>
      <c r="D286" s="77"/>
      <c r="E286" s="52" t="n">
        <f aca="false">C286-D286</f>
        <v>416500</v>
      </c>
    </row>
    <row r="287" customFormat="false" ht="15" hidden="false" customHeight="false" outlineLevel="0" collapsed="false">
      <c r="A287" s="49" t="n">
        <v>10</v>
      </c>
      <c r="B287" s="76" t="s">
        <v>431</v>
      </c>
      <c r="C287" s="51" t="n">
        <v>416500</v>
      </c>
      <c r="D287" s="77" t="n">
        <f aca="false">48500+50000+318000</f>
        <v>416500</v>
      </c>
      <c r="E287" s="52" t="n">
        <f aca="false">C287-D287</f>
        <v>0</v>
      </c>
    </row>
    <row r="288" customFormat="false" ht="15" hidden="false" customHeight="false" outlineLevel="0" collapsed="false">
      <c r="A288" s="49" t="n">
        <v>11</v>
      </c>
      <c r="B288" s="76" t="s">
        <v>432</v>
      </c>
      <c r="C288" s="51" t="n">
        <v>416500</v>
      </c>
      <c r="D288" s="77" t="n">
        <f aca="false">3500+50000+363000</f>
        <v>416500</v>
      </c>
      <c r="E288" s="52" t="n">
        <f aca="false">C288-D288</f>
        <v>0</v>
      </c>
    </row>
    <row r="289" customFormat="false" ht="15" hidden="false" customHeight="false" outlineLevel="0" collapsed="false">
      <c r="A289" s="49" t="n">
        <v>12</v>
      </c>
      <c r="B289" s="76" t="s">
        <v>433</v>
      </c>
      <c r="C289" s="64" t="s">
        <v>74</v>
      </c>
      <c r="D289" s="78"/>
      <c r="E289" s="65" t="s">
        <v>74</v>
      </c>
    </row>
    <row r="290" customFormat="false" ht="15" hidden="false" customHeight="false" outlineLevel="0" collapsed="false">
      <c r="A290" s="49" t="n">
        <v>13</v>
      </c>
      <c r="B290" s="76" t="s">
        <v>434</v>
      </c>
      <c r="C290" s="51" t="n">
        <v>416500</v>
      </c>
      <c r="D290" s="77" t="n">
        <f aca="false">400000</f>
        <v>400000</v>
      </c>
      <c r="E290" s="52" t="n">
        <f aca="false">C290-D290</f>
        <v>16500</v>
      </c>
    </row>
    <row r="291" customFormat="false" ht="15" hidden="false" customHeight="false" outlineLevel="0" collapsed="false">
      <c r="A291" s="49" t="n">
        <v>14</v>
      </c>
      <c r="B291" s="76" t="s">
        <v>435</v>
      </c>
      <c r="C291" s="51" t="n">
        <v>416500</v>
      </c>
      <c r="D291" s="77" t="n">
        <f aca="false">200000+216500</f>
        <v>416500</v>
      </c>
      <c r="E291" s="52" t="n">
        <f aca="false">C291-D291</f>
        <v>0</v>
      </c>
    </row>
    <row r="292" customFormat="false" ht="15" hidden="false" customHeight="false" outlineLevel="0" collapsed="false">
      <c r="A292" s="49" t="n">
        <v>15</v>
      </c>
      <c r="B292" s="79" t="s">
        <v>436</v>
      </c>
      <c r="C292" s="51" t="n">
        <v>416500</v>
      </c>
      <c r="D292" s="77"/>
      <c r="E292" s="52" t="n">
        <f aca="false">C292-D292</f>
        <v>416500</v>
      </c>
    </row>
    <row r="293" customFormat="false" ht="15" hidden="false" customHeight="false" outlineLevel="0" collapsed="false">
      <c r="A293" s="49" t="n">
        <v>16</v>
      </c>
      <c r="B293" s="76" t="s">
        <v>437</v>
      </c>
      <c r="C293" s="51" t="n">
        <v>416500</v>
      </c>
      <c r="D293" s="77"/>
      <c r="E293" s="52" t="n">
        <f aca="false">C293-D293</f>
        <v>416500</v>
      </c>
    </row>
    <row r="294" customFormat="false" ht="15" hidden="false" customHeight="false" outlineLevel="0" collapsed="false">
      <c r="A294" s="49" t="n">
        <v>17</v>
      </c>
      <c r="B294" s="76" t="s">
        <v>438</v>
      </c>
      <c r="C294" s="51" t="n">
        <v>416500</v>
      </c>
      <c r="D294" s="77" t="n">
        <f aca="false">60000</f>
        <v>60000</v>
      </c>
      <c r="E294" s="52" t="n">
        <f aca="false">C294-D294</f>
        <v>356500</v>
      </c>
    </row>
    <row r="295" customFormat="false" ht="15" hidden="false" customHeight="false" outlineLevel="0" collapsed="false">
      <c r="A295" s="49" t="n">
        <v>18</v>
      </c>
      <c r="B295" s="76" t="s">
        <v>439</v>
      </c>
      <c r="C295" s="51" t="n">
        <v>416500</v>
      </c>
      <c r="D295" s="77" t="n">
        <f aca="false">200000+120000+96500</f>
        <v>416500</v>
      </c>
      <c r="E295" s="52" t="n">
        <f aca="false">C295-D295</f>
        <v>0</v>
      </c>
    </row>
    <row r="296" customFormat="false" ht="15" hidden="false" customHeight="false" outlineLevel="0" collapsed="false">
      <c r="A296" s="49" t="n">
        <v>19</v>
      </c>
      <c r="B296" s="76" t="s">
        <v>440</v>
      </c>
      <c r="C296" s="51" t="n">
        <v>416500</v>
      </c>
      <c r="D296" s="77" t="n">
        <f aca="false">100000+316000+500</f>
        <v>416500</v>
      </c>
      <c r="E296" s="52" t="n">
        <f aca="false">C296-D296</f>
        <v>0</v>
      </c>
    </row>
    <row r="297" customFormat="false" ht="15" hidden="false" customHeight="false" outlineLevel="0" collapsed="false">
      <c r="A297" s="49" t="n">
        <v>20</v>
      </c>
      <c r="B297" s="76" t="s">
        <v>441</v>
      </c>
      <c r="C297" s="64" t="s">
        <v>74</v>
      </c>
      <c r="D297" s="78"/>
      <c r="E297" s="65" t="s">
        <v>74</v>
      </c>
    </row>
    <row r="298" customFormat="false" ht="15" hidden="false" customHeight="false" outlineLevel="0" collapsed="false">
      <c r="A298" s="49" t="n">
        <v>21</v>
      </c>
      <c r="B298" s="76" t="s">
        <v>442</v>
      </c>
      <c r="C298" s="51" t="n">
        <v>416500</v>
      </c>
      <c r="D298" s="77" t="n">
        <f aca="false">83500+50000</f>
        <v>133500</v>
      </c>
      <c r="E298" s="52" t="n">
        <f aca="false">C298-D298</f>
        <v>283000</v>
      </c>
    </row>
    <row r="299" customFormat="false" ht="15" hidden="false" customHeight="false" outlineLevel="0" collapsed="false">
      <c r="A299" s="49" t="n">
        <v>22</v>
      </c>
      <c r="B299" s="76" t="s">
        <v>443</v>
      </c>
      <c r="C299" s="51" t="n">
        <v>416500</v>
      </c>
      <c r="D299" s="77" t="n">
        <f aca="false">216500+200000</f>
        <v>416500</v>
      </c>
      <c r="E299" s="52" t="n">
        <f aca="false">C299-D299</f>
        <v>0</v>
      </c>
    </row>
    <row r="300" customFormat="false" ht="15" hidden="false" customHeight="false" outlineLevel="0" collapsed="false">
      <c r="A300" s="49" t="n">
        <v>23</v>
      </c>
      <c r="B300" s="76" t="s">
        <v>444</v>
      </c>
      <c r="C300" s="51" t="n">
        <v>416500</v>
      </c>
      <c r="D300" s="77" t="n">
        <f aca="false">104500+250000+55000+7000</f>
        <v>416500</v>
      </c>
      <c r="E300" s="52" t="n">
        <f aca="false">C300-D300</f>
        <v>0</v>
      </c>
    </row>
    <row r="301" customFormat="false" ht="15" hidden="false" customHeight="false" outlineLevel="0" collapsed="false">
      <c r="A301" s="49" t="n">
        <v>24</v>
      </c>
      <c r="B301" s="76" t="s">
        <v>445</v>
      </c>
      <c r="C301" s="51" t="n">
        <v>416500</v>
      </c>
      <c r="D301" s="51"/>
      <c r="E301" s="52" t="n">
        <f aca="false">C301-D301</f>
        <v>416500</v>
      </c>
    </row>
    <row r="302" customFormat="false" ht="15" hidden="false" customHeight="false" outlineLevel="0" collapsed="false">
      <c r="A302" s="49" t="n">
        <v>25</v>
      </c>
      <c r="B302" s="76" t="s">
        <v>446</v>
      </c>
      <c r="C302" s="64" t="s">
        <v>74</v>
      </c>
      <c r="D302" s="78"/>
      <c r="E302" s="65" t="s">
        <v>74</v>
      </c>
    </row>
    <row r="303" customFormat="false" ht="17.35" hidden="false" customHeight="false" outlineLevel="0" collapsed="false">
      <c r="A303" s="17"/>
      <c r="B303" s="56" t="s">
        <v>21</v>
      </c>
      <c r="C303" s="57" t="n">
        <f aca="false">SUM(C278:C302)</f>
        <v>8330000</v>
      </c>
      <c r="D303" s="58" t="n">
        <f aca="false">SUM(D278:D302)</f>
        <v>5175000</v>
      </c>
      <c r="E303" s="59" t="n">
        <f aca="false">SUM(E278:E302)</f>
        <v>3155000</v>
      </c>
    </row>
    <row r="304" customFormat="false" ht="17.35" hidden="false" customHeight="false" outlineLevel="0" collapsed="false">
      <c r="B304" s="31"/>
      <c r="C304" s="32"/>
      <c r="D304" s="33"/>
      <c r="E304" s="34"/>
    </row>
    <row r="305" customFormat="false" ht="17.35" hidden="false" customHeight="false" outlineLevel="0" collapsed="false">
      <c r="B305" s="31"/>
      <c r="C305" s="32"/>
      <c r="D305" s="33"/>
      <c r="E305" s="34"/>
    </row>
    <row r="306" customFormat="false" ht="17.35" hidden="false" customHeight="false" outlineLevel="0" collapsed="false">
      <c r="A306" s="61"/>
      <c r="B306" s="2" t="s">
        <v>0</v>
      </c>
    </row>
    <row r="307" customFormat="false" ht="15" hidden="false" customHeight="false" outlineLevel="0" collapsed="false">
      <c r="A307" s="53"/>
    </row>
    <row r="308" customFormat="false" ht="17.35" hidden="false" customHeight="false" outlineLevel="0" collapsed="false">
      <c r="A308" s="53"/>
      <c r="B308" s="45" t="s">
        <v>266</v>
      </c>
    </row>
    <row r="309" customFormat="false" ht="15" hidden="false" customHeight="false" outlineLevel="0" collapsed="false">
      <c r="A309" s="53"/>
      <c r="B309" s="4" t="s">
        <v>421</v>
      </c>
    </row>
    <row r="310" customFormat="false" ht="15" hidden="false" customHeight="false" outlineLevel="0" collapsed="false">
      <c r="A310" s="53"/>
    </row>
    <row r="311" customFormat="false" ht="15" hidden="false" customHeight="false" outlineLevel="0" collapsed="false">
      <c r="A311" s="46" t="s">
        <v>4</v>
      </c>
      <c r="B311" s="47" t="s">
        <v>238</v>
      </c>
      <c r="C311" s="43" t="s">
        <v>6</v>
      </c>
      <c r="D311" s="48" t="s">
        <v>7</v>
      </c>
      <c r="E311" s="27" t="s">
        <v>8</v>
      </c>
    </row>
    <row r="312" customFormat="false" ht="15" hidden="false" customHeight="false" outlineLevel="0" collapsed="false">
      <c r="A312" s="49" t="n">
        <v>1</v>
      </c>
      <c r="B312" s="54" t="s">
        <v>447</v>
      </c>
      <c r="C312" s="51" t="n">
        <v>416500</v>
      </c>
      <c r="D312" s="77"/>
      <c r="E312" s="52" t="n">
        <f aca="false">C312-D312</f>
        <v>416500</v>
      </c>
    </row>
    <row r="313" customFormat="false" ht="15" hidden="false" customHeight="false" outlineLevel="0" collapsed="false">
      <c r="A313" s="49" t="n">
        <v>2</v>
      </c>
      <c r="B313" s="54" t="s">
        <v>448</v>
      </c>
      <c r="C313" s="51" t="n">
        <v>416500</v>
      </c>
      <c r="D313" s="77" t="n">
        <f aca="false">200000+100000+100000+16500</f>
        <v>416500</v>
      </c>
      <c r="E313" s="52" t="n">
        <f aca="false">C313-D313</f>
        <v>0</v>
      </c>
    </row>
    <row r="314" customFormat="false" ht="15" hidden="false" customHeight="false" outlineLevel="0" collapsed="false">
      <c r="A314" s="49" t="n">
        <v>3</v>
      </c>
      <c r="B314" s="54" t="s">
        <v>449</v>
      </c>
      <c r="C314" s="51" t="n">
        <v>416500</v>
      </c>
      <c r="D314" s="77"/>
      <c r="E314" s="52" t="n">
        <f aca="false">C314-D314</f>
        <v>416500</v>
      </c>
    </row>
    <row r="315" customFormat="false" ht="15" hidden="false" customHeight="false" outlineLevel="0" collapsed="false">
      <c r="A315" s="49" t="n">
        <v>4</v>
      </c>
      <c r="B315" s="54" t="s">
        <v>450</v>
      </c>
      <c r="C315" s="51" t="n">
        <v>416500</v>
      </c>
      <c r="D315" s="77" t="n">
        <f aca="false">40000+50000+316500+10000</f>
        <v>416500</v>
      </c>
      <c r="E315" s="52" t="n">
        <f aca="false">C315-D315</f>
        <v>0</v>
      </c>
    </row>
    <row r="316" customFormat="false" ht="15" hidden="false" customHeight="false" outlineLevel="0" collapsed="false">
      <c r="A316" s="49" t="n">
        <v>5</v>
      </c>
      <c r="B316" s="50" t="s">
        <v>451</v>
      </c>
      <c r="C316" s="51" t="n">
        <v>416500</v>
      </c>
      <c r="D316" s="77" t="n">
        <f aca="false">200000+200000+16000+500</f>
        <v>416500</v>
      </c>
      <c r="E316" s="52" t="n">
        <f aca="false">C316-D316</f>
        <v>0</v>
      </c>
    </row>
    <row r="317" customFormat="false" ht="15" hidden="false" customHeight="false" outlineLevel="0" collapsed="false">
      <c r="A317" s="49" t="n">
        <v>6</v>
      </c>
      <c r="B317" s="50" t="s">
        <v>452</v>
      </c>
      <c r="C317" s="80" t="n">
        <v>616500</v>
      </c>
      <c r="D317" s="81" t="s">
        <v>453</v>
      </c>
      <c r="E317" s="67" t="n">
        <v>616500</v>
      </c>
    </row>
    <row r="318" customFormat="false" ht="15" hidden="false" customHeight="false" outlineLevel="0" collapsed="false">
      <c r="A318" s="49" t="n">
        <v>7</v>
      </c>
      <c r="B318" s="54" t="s">
        <v>454</v>
      </c>
      <c r="C318" s="51" t="n">
        <v>416500</v>
      </c>
      <c r="D318" s="77" t="n">
        <f aca="false">50000+50000+100000+116500+100000</f>
        <v>416500</v>
      </c>
      <c r="E318" s="52" t="n">
        <f aca="false">C318-D318</f>
        <v>0</v>
      </c>
    </row>
    <row r="319" customFormat="false" ht="15" hidden="false" customHeight="false" outlineLevel="0" collapsed="false">
      <c r="A319" s="49" t="n">
        <v>8</v>
      </c>
      <c r="B319" s="54" t="s">
        <v>455</v>
      </c>
      <c r="C319" s="51" t="n">
        <v>416500</v>
      </c>
      <c r="D319" s="77" t="n">
        <f aca="false">3500+300000+100000+13000</f>
        <v>416500</v>
      </c>
      <c r="E319" s="52" t="n">
        <f aca="false">C319-D319</f>
        <v>0</v>
      </c>
    </row>
    <row r="320" customFormat="false" ht="15" hidden="false" customHeight="false" outlineLevel="0" collapsed="false">
      <c r="A320" s="49" t="n">
        <v>9</v>
      </c>
      <c r="B320" s="54" t="s">
        <v>456</v>
      </c>
      <c r="C320" s="51" t="n">
        <v>416500</v>
      </c>
      <c r="D320" s="77"/>
      <c r="E320" s="52" t="n">
        <f aca="false">C320-D320</f>
        <v>416500</v>
      </c>
    </row>
    <row r="321" customFormat="false" ht="15" hidden="false" customHeight="false" outlineLevel="0" collapsed="false">
      <c r="A321" s="49" t="n">
        <v>10</v>
      </c>
      <c r="B321" s="1" t="s">
        <v>457</v>
      </c>
      <c r="C321" s="51" t="n">
        <v>416500</v>
      </c>
      <c r="D321" s="77"/>
      <c r="E321" s="52" t="n">
        <f aca="false">C321-D321</f>
        <v>416500</v>
      </c>
    </row>
    <row r="322" customFormat="false" ht="15" hidden="false" customHeight="false" outlineLevel="0" collapsed="false">
      <c r="A322" s="49" t="n">
        <v>11</v>
      </c>
      <c r="B322" s="54" t="s">
        <v>458</v>
      </c>
      <c r="C322" s="51" t="n">
        <v>416500</v>
      </c>
      <c r="D322" s="77" t="n">
        <f aca="false">373500+43000</f>
        <v>416500</v>
      </c>
      <c r="E322" s="52" t="n">
        <f aca="false">C322-D322</f>
        <v>0</v>
      </c>
    </row>
    <row r="323" customFormat="false" ht="15" hidden="false" customHeight="false" outlineLevel="0" collapsed="false">
      <c r="A323" s="49" t="n">
        <v>12</v>
      </c>
      <c r="B323" s="54" t="s">
        <v>459</v>
      </c>
      <c r="C323" s="51" t="n">
        <v>416500</v>
      </c>
      <c r="D323" s="77" t="n">
        <f aca="false">200000+216500</f>
        <v>416500</v>
      </c>
      <c r="E323" s="52" t="n">
        <f aca="false">C323-D323</f>
        <v>0</v>
      </c>
    </row>
    <row r="324" customFormat="false" ht="15" hidden="false" customHeight="false" outlineLevel="0" collapsed="false">
      <c r="A324" s="49" t="n">
        <v>13</v>
      </c>
      <c r="B324" s="54" t="s">
        <v>460</v>
      </c>
      <c r="C324" s="51" t="n">
        <v>416500</v>
      </c>
      <c r="D324" s="77"/>
      <c r="E324" s="52" t="n">
        <f aca="false">C324-D324</f>
        <v>416500</v>
      </c>
    </row>
    <row r="325" customFormat="false" ht="15" hidden="false" customHeight="false" outlineLevel="0" collapsed="false">
      <c r="A325" s="49" t="n">
        <v>14</v>
      </c>
      <c r="B325" s="54" t="s">
        <v>461</v>
      </c>
      <c r="C325" s="51" t="n">
        <v>416500</v>
      </c>
      <c r="D325" s="77"/>
      <c r="E325" s="52" t="n">
        <f aca="false">C325-D325</f>
        <v>416500</v>
      </c>
    </row>
    <row r="326" customFormat="false" ht="15" hidden="false" customHeight="false" outlineLevel="0" collapsed="false">
      <c r="A326" s="49" t="n">
        <v>15</v>
      </c>
      <c r="B326" s="54" t="s">
        <v>462</v>
      </c>
      <c r="C326" s="51" t="n">
        <v>416500</v>
      </c>
      <c r="D326" s="77" t="n">
        <f aca="false">100000+316500</f>
        <v>416500</v>
      </c>
      <c r="E326" s="52" t="n">
        <f aca="false">C326-D326</f>
        <v>0</v>
      </c>
    </row>
    <row r="327" customFormat="false" ht="15" hidden="false" customHeight="false" outlineLevel="0" collapsed="false">
      <c r="A327" s="49" t="n">
        <v>16</v>
      </c>
      <c r="B327" s="82" t="s">
        <v>463</v>
      </c>
      <c r="C327" s="51" t="n">
        <v>416500</v>
      </c>
      <c r="D327" s="77" t="n">
        <f aca="false">23500</f>
        <v>23500</v>
      </c>
      <c r="E327" s="52" t="n">
        <f aca="false">C327-D327</f>
        <v>393000</v>
      </c>
    </row>
    <row r="328" customFormat="false" ht="15" hidden="false" customHeight="false" outlineLevel="0" collapsed="false">
      <c r="A328" s="49" t="n">
        <v>17</v>
      </c>
      <c r="B328" s="54" t="s">
        <v>464</v>
      </c>
      <c r="C328" s="51" t="n">
        <v>416500</v>
      </c>
      <c r="D328" s="77"/>
      <c r="E328" s="52" t="n">
        <f aca="false">C328-D328</f>
        <v>416500</v>
      </c>
    </row>
    <row r="329" customFormat="false" ht="15" hidden="false" customHeight="false" outlineLevel="0" collapsed="false">
      <c r="A329" s="49" t="n">
        <v>18</v>
      </c>
      <c r="B329" s="54" t="s">
        <v>465</v>
      </c>
      <c r="C329" s="51" t="n">
        <v>416500</v>
      </c>
      <c r="D329" s="77" t="n">
        <f aca="false">3500+400000+13000</f>
        <v>416500</v>
      </c>
      <c r="E329" s="52" t="n">
        <f aca="false">C329-D329</f>
        <v>0</v>
      </c>
    </row>
    <row r="330" customFormat="false" ht="15" hidden="false" customHeight="false" outlineLevel="0" collapsed="false">
      <c r="A330" s="49" t="n">
        <v>19</v>
      </c>
      <c r="B330" s="54" t="s">
        <v>466</v>
      </c>
      <c r="C330" s="51" t="n">
        <v>416500</v>
      </c>
      <c r="D330" s="77"/>
      <c r="E330" s="52" t="n">
        <f aca="false">C330-D330</f>
        <v>416500</v>
      </c>
    </row>
    <row r="331" customFormat="false" ht="15" hidden="false" customHeight="false" outlineLevel="0" collapsed="false">
      <c r="A331" s="49" t="n">
        <v>20</v>
      </c>
      <c r="B331" s="54" t="s">
        <v>467</v>
      </c>
      <c r="C331" s="51" t="n">
        <v>416500</v>
      </c>
      <c r="D331" s="77"/>
      <c r="E331" s="52" t="n">
        <f aca="false">C331-D331</f>
        <v>416500</v>
      </c>
    </row>
    <row r="332" customFormat="false" ht="15" hidden="false" customHeight="false" outlineLevel="0" collapsed="false">
      <c r="A332" s="49" t="n">
        <v>21</v>
      </c>
      <c r="B332" s="54" t="s">
        <v>468</v>
      </c>
      <c r="C332" s="51" t="n">
        <v>416500</v>
      </c>
      <c r="D332" s="77" t="n">
        <f aca="false">100000+200000+116500</f>
        <v>416500</v>
      </c>
      <c r="E332" s="52" t="n">
        <f aca="false">C332-D332</f>
        <v>0</v>
      </c>
    </row>
    <row r="333" customFormat="false" ht="15" hidden="false" customHeight="false" outlineLevel="0" collapsed="false">
      <c r="A333" s="49" t="n">
        <v>22</v>
      </c>
      <c r="B333" s="54" t="s">
        <v>469</v>
      </c>
      <c r="C333" s="51" t="n">
        <v>416500</v>
      </c>
      <c r="D333" s="77" t="n">
        <f aca="false">100000+300000+16500</f>
        <v>416500</v>
      </c>
      <c r="E333" s="52" t="n">
        <f aca="false">C333-D333</f>
        <v>0</v>
      </c>
    </row>
    <row r="334" customFormat="false" ht="15" hidden="false" customHeight="false" outlineLevel="0" collapsed="false">
      <c r="A334" s="49" t="n">
        <v>23</v>
      </c>
      <c r="B334" s="76" t="s">
        <v>470</v>
      </c>
      <c r="C334" s="51" t="n">
        <v>416500</v>
      </c>
      <c r="D334" s="77" t="n">
        <f aca="false">35500+181000+200000</f>
        <v>416500</v>
      </c>
      <c r="E334" s="52" t="n">
        <f aca="false">C334-D334</f>
        <v>0</v>
      </c>
    </row>
    <row r="335" customFormat="false" ht="15" hidden="false" customHeight="false" outlineLevel="0" collapsed="false">
      <c r="A335" s="49" t="n">
        <v>24</v>
      </c>
      <c r="B335" s="54" t="s">
        <v>471</v>
      </c>
      <c r="C335" s="51" t="n">
        <v>416500</v>
      </c>
      <c r="D335" s="77"/>
      <c r="E335" s="52" t="n">
        <f aca="false">C335-D335</f>
        <v>416500</v>
      </c>
    </row>
    <row r="336" customFormat="false" ht="15" hidden="false" customHeight="false" outlineLevel="0" collapsed="false">
      <c r="A336" s="49" t="n">
        <v>25</v>
      </c>
      <c r="B336" s="54" t="s">
        <v>472</v>
      </c>
      <c r="C336" s="51" t="n">
        <v>416500</v>
      </c>
      <c r="D336" s="77" t="n">
        <f aca="false">16500</f>
        <v>16500</v>
      </c>
      <c r="E336" s="52" t="n">
        <f aca="false">C336-D336</f>
        <v>400000</v>
      </c>
    </row>
    <row r="337" customFormat="false" ht="15" hidden="false" customHeight="false" outlineLevel="0" collapsed="false">
      <c r="A337" s="49" t="n">
        <v>26</v>
      </c>
      <c r="B337" s="54" t="s">
        <v>473</v>
      </c>
      <c r="C337" s="51" t="n">
        <v>416500</v>
      </c>
      <c r="D337" s="77" t="n">
        <v>416500</v>
      </c>
      <c r="E337" s="52" t="n">
        <f aca="false">C337-D337</f>
        <v>0</v>
      </c>
    </row>
    <row r="338" customFormat="false" ht="15" hidden="false" customHeight="false" outlineLevel="0" collapsed="false">
      <c r="A338" s="49" t="n">
        <v>27</v>
      </c>
      <c r="B338" s="54" t="s">
        <v>474</v>
      </c>
      <c r="C338" s="51" t="n">
        <v>416500</v>
      </c>
      <c r="D338" s="77" t="n">
        <f aca="false">40000+115000+266500</f>
        <v>421500</v>
      </c>
      <c r="E338" s="52" t="n">
        <f aca="false">C338-D338</f>
        <v>-5000</v>
      </c>
    </row>
    <row r="339" customFormat="false" ht="15" hidden="false" customHeight="false" outlineLevel="0" collapsed="false">
      <c r="A339" s="49" t="n">
        <v>28</v>
      </c>
      <c r="B339" s="54" t="s">
        <v>475</v>
      </c>
      <c r="C339" s="51" t="n">
        <v>416500</v>
      </c>
      <c r="D339" s="77" t="n">
        <f aca="false">133500+150000+133000</f>
        <v>416500</v>
      </c>
      <c r="E339" s="52" t="n">
        <f aca="false">C339-D339</f>
        <v>0</v>
      </c>
    </row>
    <row r="340" customFormat="false" ht="15" hidden="false" customHeight="false" outlineLevel="0" collapsed="false">
      <c r="A340" s="49" t="n">
        <v>29</v>
      </c>
      <c r="B340" s="54" t="s">
        <v>476</v>
      </c>
      <c r="C340" s="51" t="n">
        <v>416500</v>
      </c>
      <c r="D340" s="77"/>
      <c r="E340" s="52" t="n">
        <f aca="false">C340-D340</f>
        <v>416500</v>
      </c>
    </row>
    <row r="341" customFormat="false" ht="15" hidden="false" customHeight="false" outlineLevel="0" collapsed="false">
      <c r="A341" s="49" t="n">
        <v>30</v>
      </c>
      <c r="B341" s="54" t="s">
        <v>477</v>
      </c>
      <c r="C341" s="51" t="n">
        <v>416500</v>
      </c>
      <c r="D341" s="77"/>
      <c r="E341" s="52" t="n">
        <f aca="false">C341-D341</f>
        <v>416500</v>
      </c>
    </row>
    <row r="342" customFormat="false" ht="15" hidden="false" customHeight="false" outlineLevel="0" collapsed="false">
      <c r="A342" s="49" t="n">
        <v>31</v>
      </c>
      <c r="B342" s="54" t="s">
        <v>478</v>
      </c>
      <c r="C342" s="51" t="n">
        <v>416500</v>
      </c>
      <c r="D342" s="77"/>
      <c r="E342" s="52" t="n">
        <f aca="false">C342-D342</f>
        <v>416500</v>
      </c>
    </row>
    <row r="343" customFormat="false" ht="15" hidden="false" customHeight="false" outlineLevel="0" collapsed="false">
      <c r="A343" s="49" t="n">
        <v>32</v>
      </c>
      <c r="B343" s="54" t="s">
        <v>479</v>
      </c>
      <c r="C343" s="51" t="n">
        <v>416500</v>
      </c>
      <c r="D343" s="77"/>
      <c r="E343" s="52" t="n">
        <f aca="false">C343-D343</f>
        <v>416500</v>
      </c>
    </row>
    <row r="344" customFormat="false" ht="15" hidden="false" customHeight="false" outlineLevel="0" collapsed="false">
      <c r="A344" s="49" t="n">
        <v>33</v>
      </c>
      <c r="B344" s="54" t="s">
        <v>480</v>
      </c>
      <c r="C344" s="51" t="n">
        <v>416500</v>
      </c>
      <c r="D344" s="77"/>
      <c r="E344" s="52" t="n">
        <f aca="false">C344-D344</f>
        <v>416500</v>
      </c>
    </row>
    <row r="345" customFormat="false" ht="15" hidden="false" customHeight="false" outlineLevel="0" collapsed="false">
      <c r="A345" s="49" t="n">
        <v>34</v>
      </c>
      <c r="B345" s="54" t="s">
        <v>481</v>
      </c>
      <c r="C345" s="51" t="n">
        <v>416500</v>
      </c>
      <c r="D345" s="77" t="n">
        <f aca="false">416500</f>
        <v>416500</v>
      </c>
      <c r="E345" s="52" t="n">
        <f aca="false">C345-D345</f>
        <v>0</v>
      </c>
    </row>
    <row r="346" customFormat="false" ht="17.35" hidden="false" customHeight="false" outlineLevel="0" collapsed="false">
      <c r="A346" s="75"/>
      <c r="B346" s="56" t="s">
        <v>21</v>
      </c>
      <c r="C346" s="57" t="n">
        <f aca="false">SUM(C312:C345)</f>
        <v>14361000</v>
      </c>
      <c r="D346" s="58" t="n">
        <f aca="false">SUM(D312:D345)</f>
        <v>6709000</v>
      </c>
      <c r="E346" s="59" t="n">
        <f aca="false">SUM(E312:E345)</f>
        <v>7652000</v>
      </c>
    </row>
    <row r="347" customFormat="false" ht="17.35" hidden="false" customHeight="false" outlineLevel="0" collapsed="false">
      <c r="B347" s="31"/>
      <c r="C347" s="32"/>
      <c r="D347" s="33"/>
      <c r="E347" s="34"/>
    </row>
    <row r="350" customFormat="false" ht="17.35" hidden="false" customHeight="false" outlineLevel="0" collapsed="false">
      <c r="A350" s="22"/>
      <c r="B350" s="2" t="s">
        <v>0</v>
      </c>
    </row>
    <row r="351" customFormat="false" ht="17.35" hidden="false" customHeight="false" outlineLevel="0" collapsed="false">
      <c r="A351" s="35"/>
    </row>
    <row r="352" customFormat="false" ht="15" hidden="false" customHeight="false" outlineLevel="0" collapsed="false">
      <c r="A352" s="22"/>
    </row>
    <row r="353" customFormat="false" ht="17.25" hidden="false" customHeight="false" outlineLevel="0" collapsed="false">
      <c r="A353" s="22"/>
      <c r="B353" s="4" t="s">
        <v>115</v>
      </c>
    </row>
    <row r="354" customFormat="false" ht="15" hidden="false" customHeight="false" outlineLevel="0" collapsed="false">
      <c r="A354" s="22"/>
      <c r="D354" s="5" t="s">
        <v>220</v>
      </c>
    </row>
    <row r="355" customFormat="false" ht="15" hidden="false" customHeight="false" outlineLevel="0" collapsed="false">
      <c r="A355" s="22"/>
    </row>
    <row r="356" customFormat="false" ht="15" hidden="false" customHeight="false" outlineLevel="0" collapsed="false">
      <c r="A356" s="6" t="s">
        <v>4</v>
      </c>
      <c r="B356" s="42" t="s">
        <v>5</v>
      </c>
      <c r="C356" s="43" t="s">
        <v>6</v>
      </c>
      <c r="D356" s="44" t="s">
        <v>7</v>
      </c>
      <c r="E356" s="27" t="s">
        <v>8</v>
      </c>
    </row>
    <row r="357" customFormat="false" ht="15" hidden="false" customHeight="false" outlineLevel="0" collapsed="false">
      <c r="A357" s="14" t="n">
        <v>1</v>
      </c>
      <c r="B357" s="11" t="s">
        <v>482</v>
      </c>
      <c r="C357" s="12" t="n">
        <v>416500</v>
      </c>
      <c r="D357" s="12" t="n">
        <f aca="false">61500+100000+20000+35000+200000</f>
        <v>416500</v>
      </c>
      <c r="E357" s="13" t="n">
        <f aca="false">C357-D357</f>
        <v>0</v>
      </c>
    </row>
    <row r="358" customFormat="false" ht="15" hidden="false" customHeight="false" outlineLevel="0" collapsed="false">
      <c r="A358" s="29" t="n">
        <v>2</v>
      </c>
      <c r="B358" s="11" t="s">
        <v>483</v>
      </c>
      <c r="C358" s="12" t="n">
        <v>416500</v>
      </c>
      <c r="D358" s="12" t="n">
        <f aca="false">100000+150000+166500</f>
        <v>416500</v>
      </c>
      <c r="E358" s="13" t="n">
        <f aca="false">C358-D358</f>
        <v>0</v>
      </c>
    </row>
    <row r="359" customFormat="false" ht="15" hidden="false" customHeight="false" outlineLevel="0" collapsed="false">
      <c r="A359" s="14" t="n">
        <v>3</v>
      </c>
      <c r="B359" s="11" t="s">
        <v>484</v>
      </c>
      <c r="C359" s="12" t="s">
        <v>74</v>
      </c>
      <c r="D359" s="12"/>
      <c r="E359" s="13" t="s">
        <v>74</v>
      </c>
    </row>
    <row r="360" customFormat="false" ht="15" hidden="false" customHeight="false" outlineLevel="0" collapsed="false">
      <c r="A360" s="14" t="n">
        <v>4</v>
      </c>
      <c r="B360" s="11" t="s">
        <v>485</v>
      </c>
      <c r="C360" s="12" t="n">
        <v>416500</v>
      </c>
      <c r="D360" s="12" t="n">
        <f aca="false">120000+296500</f>
        <v>416500</v>
      </c>
      <c r="E360" s="13" t="n">
        <f aca="false">C360-D360</f>
        <v>0</v>
      </c>
    </row>
    <row r="361" customFormat="false" ht="15" hidden="false" customHeight="false" outlineLevel="0" collapsed="false">
      <c r="A361" s="14" t="n">
        <v>5</v>
      </c>
      <c r="B361" s="11" t="s">
        <v>486</v>
      </c>
      <c r="C361" s="12" t="n">
        <v>416500</v>
      </c>
      <c r="D361" s="12" t="n">
        <f aca="false">216500+200000</f>
        <v>416500</v>
      </c>
      <c r="E361" s="13" t="n">
        <f aca="false">C361-D361</f>
        <v>0</v>
      </c>
    </row>
    <row r="362" customFormat="false" ht="15" hidden="false" customHeight="false" outlineLevel="0" collapsed="false">
      <c r="A362" s="29" t="n">
        <v>6</v>
      </c>
      <c r="B362" s="11" t="s">
        <v>487</v>
      </c>
      <c r="C362" s="12" t="n">
        <v>416500</v>
      </c>
      <c r="D362" s="12" t="n">
        <f aca="false">30000+15500+21000+9000+34000</f>
        <v>109500</v>
      </c>
      <c r="E362" s="13" t="n">
        <f aca="false">C362-D362</f>
        <v>307000</v>
      </c>
    </row>
    <row r="363" customFormat="false" ht="15" hidden="false" customHeight="false" outlineLevel="0" collapsed="false">
      <c r="A363" s="14" t="n">
        <v>7</v>
      </c>
      <c r="B363" s="11" t="s">
        <v>488</v>
      </c>
      <c r="C363" s="12" t="n">
        <v>416500</v>
      </c>
      <c r="D363" s="12" t="n">
        <f aca="false">210000+206500</f>
        <v>416500</v>
      </c>
      <c r="E363" s="13" t="n">
        <f aca="false">C363-D363</f>
        <v>0</v>
      </c>
    </row>
    <row r="364" customFormat="false" ht="15" hidden="false" customHeight="false" outlineLevel="0" collapsed="false">
      <c r="A364" s="40" t="n">
        <v>8</v>
      </c>
      <c r="B364" s="11" t="s">
        <v>489</v>
      </c>
      <c r="C364" s="12" t="n">
        <v>416500</v>
      </c>
      <c r="D364" s="12" t="n">
        <f aca="false">250000</f>
        <v>250000</v>
      </c>
      <c r="E364" s="13" t="n">
        <f aca="false">C364-D364</f>
        <v>166500</v>
      </c>
    </row>
    <row r="365" customFormat="false" ht="15" hidden="false" customHeight="false" outlineLevel="0" collapsed="false">
      <c r="A365" s="29" t="n">
        <v>9</v>
      </c>
      <c r="B365" s="11" t="s">
        <v>490</v>
      </c>
      <c r="C365" s="12" t="n">
        <v>416500</v>
      </c>
      <c r="D365" s="12" t="n">
        <f aca="false">15000+90000+311500</f>
        <v>416500</v>
      </c>
      <c r="E365" s="13" t="n">
        <f aca="false">C365-D365</f>
        <v>0</v>
      </c>
    </row>
    <row r="366" customFormat="false" ht="15" hidden="false" customHeight="false" outlineLevel="0" collapsed="false">
      <c r="A366" s="14" t="n">
        <v>10</v>
      </c>
      <c r="B366" s="11" t="s">
        <v>491</v>
      </c>
      <c r="C366" s="12" t="n">
        <v>416500</v>
      </c>
      <c r="D366" s="12" t="n">
        <f aca="false">200000+100000+66500+50000</f>
        <v>416500</v>
      </c>
      <c r="E366" s="13" t="n">
        <f aca="false">C366-D366</f>
        <v>0</v>
      </c>
    </row>
    <row r="367" customFormat="false" ht="15" hidden="false" customHeight="false" outlineLevel="0" collapsed="false">
      <c r="A367" s="40" t="n">
        <v>11</v>
      </c>
      <c r="B367" s="11" t="s">
        <v>492</v>
      </c>
      <c r="C367" s="12" t="n">
        <v>416500</v>
      </c>
      <c r="D367" s="12" t="n">
        <f aca="false">216500+200000</f>
        <v>416500</v>
      </c>
      <c r="E367" s="13" t="n">
        <f aca="false">C367-D367</f>
        <v>0</v>
      </c>
    </row>
    <row r="368" customFormat="false" ht="15" hidden="false" customHeight="false" outlineLevel="0" collapsed="false">
      <c r="A368" s="40" t="n">
        <v>12</v>
      </c>
      <c r="B368" s="11" t="s">
        <v>493</v>
      </c>
      <c r="C368" s="12" t="n">
        <v>416500</v>
      </c>
      <c r="D368" s="12" t="n">
        <f aca="false">100000+100000+100000+116000+500</f>
        <v>416500</v>
      </c>
      <c r="E368" s="13" t="n">
        <f aca="false">C368-D368</f>
        <v>0</v>
      </c>
    </row>
    <row r="369" customFormat="false" ht="15" hidden="false" customHeight="false" outlineLevel="0" collapsed="false">
      <c r="A369" s="14" t="n">
        <v>13</v>
      </c>
      <c r="B369" s="11" t="s">
        <v>494</v>
      </c>
      <c r="C369" s="12" t="n">
        <v>416500</v>
      </c>
      <c r="D369" s="12" t="n">
        <f aca="false">33500+400000</f>
        <v>433500</v>
      </c>
      <c r="E369" s="13" t="n">
        <f aca="false">C369-D369</f>
        <v>-17000</v>
      </c>
    </row>
    <row r="370" customFormat="false" ht="15" hidden="false" customHeight="false" outlineLevel="0" collapsed="false">
      <c r="A370" s="14" t="n">
        <v>14</v>
      </c>
      <c r="B370" s="11" t="s">
        <v>495</v>
      </c>
      <c r="C370" s="12" t="n">
        <v>416500</v>
      </c>
      <c r="D370" s="12"/>
      <c r="E370" s="13" t="n">
        <f aca="false">C370-D370</f>
        <v>416500</v>
      </c>
    </row>
    <row r="371" customFormat="false" ht="15" hidden="false" customHeight="false" outlineLevel="0" collapsed="false">
      <c r="A371" s="14" t="n">
        <v>15</v>
      </c>
      <c r="B371" s="11" t="s">
        <v>496</v>
      </c>
      <c r="C371" s="12" t="n">
        <v>416500</v>
      </c>
      <c r="D371" s="12" t="n">
        <f aca="false">116500</f>
        <v>116500</v>
      </c>
      <c r="E371" s="13" t="n">
        <f aca="false">C371-D371</f>
        <v>300000</v>
      </c>
    </row>
    <row r="372" customFormat="false" ht="17.35" hidden="false" customHeight="false" outlineLevel="0" collapsed="false">
      <c r="A372" s="17"/>
      <c r="B372" s="18" t="s">
        <v>21</v>
      </c>
      <c r="C372" s="19" t="n">
        <f aca="false">SUM(C357:C371)</f>
        <v>5831000</v>
      </c>
      <c r="D372" s="20" t="n">
        <f aca="false">SUM(D357:D371)</f>
        <v>4658000</v>
      </c>
      <c r="E372" s="21" t="n">
        <f aca="false">SUM(E357:E371)</f>
        <v>1173000</v>
      </c>
    </row>
    <row r="373" customFormat="false" ht="17.35" hidden="false" customHeight="false" outlineLevel="0" collapsed="false">
      <c r="B373" s="31"/>
      <c r="C373" s="32"/>
      <c r="D373" s="33"/>
      <c r="E373" s="34"/>
    </row>
    <row r="374" customFormat="false" ht="17.35" hidden="false" customHeight="false" outlineLevel="0" collapsed="false">
      <c r="B374" s="31"/>
      <c r="C374" s="32"/>
      <c r="D374" s="33"/>
      <c r="E374" s="34"/>
    </row>
    <row r="375" customFormat="false" ht="17.35" hidden="false" customHeight="false" outlineLevel="0" collapsed="false">
      <c r="B375" s="31"/>
      <c r="C375" s="32"/>
      <c r="D375" s="33"/>
      <c r="E375" s="34"/>
    </row>
    <row r="376" customFormat="false" ht="17.35" hidden="false" customHeight="false" outlineLevel="0" collapsed="false">
      <c r="A376" s="53"/>
      <c r="B376" s="2" t="s">
        <v>0</v>
      </c>
    </row>
    <row r="377" customFormat="false" ht="15" hidden="false" customHeight="false" outlineLevel="0" collapsed="false">
      <c r="A377" s="53"/>
    </row>
    <row r="378" customFormat="false" ht="17.35" hidden="false" customHeight="false" outlineLevel="0" collapsed="false">
      <c r="A378" s="53"/>
      <c r="B378" s="45" t="s">
        <v>497</v>
      </c>
    </row>
    <row r="379" customFormat="false" ht="15" hidden="false" customHeight="false" outlineLevel="0" collapsed="false">
      <c r="A379" s="53"/>
      <c r="B379" s="4" t="s">
        <v>498</v>
      </c>
    </row>
    <row r="380" customFormat="false" ht="15" hidden="false" customHeight="false" outlineLevel="0" collapsed="false">
      <c r="A380" s="46" t="s">
        <v>4</v>
      </c>
      <c r="B380" s="47" t="s">
        <v>238</v>
      </c>
      <c r="C380" s="43" t="s">
        <v>6</v>
      </c>
      <c r="D380" s="48" t="s">
        <v>7</v>
      </c>
      <c r="E380" s="27" t="s">
        <v>8</v>
      </c>
    </row>
    <row r="381" customFormat="false" ht="15" hidden="false" customHeight="false" outlineLevel="0" collapsed="false">
      <c r="A381" s="49" t="n">
        <v>1</v>
      </c>
      <c r="B381" s="16" t="s">
        <v>499</v>
      </c>
      <c r="C381" s="51" t="n">
        <v>416500</v>
      </c>
      <c r="D381" s="51" t="n">
        <f aca="false">100000+100000+216500</f>
        <v>416500</v>
      </c>
      <c r="E381" s="52" t="n">
        <f aca="false">C381-D381</f>
        <v>0</v>
      </c>
    </row>
    <row r="382" customFormat="false" ht="15" hidden="false" customHeight="false" outlineLevel="0" collapsed="false">
      <c r="A382" s="49" t="n">
        <v>2</v>
      </c>
      <c r="B382" s="16" t="s">
        <v>500</v>
      </c>
      <c r="C382" s="51" t="n">
        <v>416500</v>
      </c>
      <c r="D382" s="51" t="n">
        <f aca="false">216500+200000</f>
        <v>416500</v>
      </c>
      <c r="E382" s="52" t="n">
        <f aca="false">C382-D382</f>
        <v>0</v>
      </c>
    </row>
    <row r="383" customFormat="false" ht="15" hidden="false" customHeight="false" outlineLevel="0" collapsed="false">
      <c r="A383" s="49" t="n">
        <v>3</v>
      </c>
      <c r="B383" s="16" t="s">
        <v>501</v>
      </c>
      <c r="C383" s="51" t="n">
        <v>416500</v>
      </c>
      <c r="D383" s="51" t="n">
        <f aca="false">80000+70000+266450+50</f>
        <v>416500</v>
      </c>
      <c r="E383" s="52" t="n">
        <f aca="false">C383-D383</f>
        <v>0</v>
      </c>
    </row>
    <row r="384" customFormat="false" ht="15" hidden="false" customHeight="false" outlineLevel="0" collapsed="false">
      <c r="A384" s="49" t="n">
        <v>4</v>
      </c>
      <c r="B384" s="16" t="s">
        <v>502</v>
      </c>
      <c r="C384" s="51" t="n">
        <v>416500</v>
      </c>
      <c r="D384" s="51" t="n">
        <f aca="false">416000+500</f>
        <v>416500</v>
      </c>
      <c r="E384" s="52" t="n">
        <f aca="false">C384-D384</f>
        <v>0</v>
      </c>
    </row>
    <row r="385" customFormat="false" ht="15" hidden="false" customHeight="false" outlineLevel="0" collapsed="false">
      <c r="A385" s="49" t="n">
        <v>5</v>
      </c>
      <c r="B385" s="16" t="s">
        <v>503</v>
      </c>
      <c r="C385" s="51" t="n">
        <v>416500</v>
      </c>
      <c r="D385" s="51" t="n">
        <f aca="false">216500+200000</f>
        <v>416500</v>
      </c>
      <c r="E385" s="52" t="n">
        <f aca="false">C385-D385</f>
        <v>0</v>
      </c>
    </row>
    <row r="386" customFormat="false" ht="15" hidden="false" customHeight="false" outlineLevel="0" collapsed="false">
      <c r="A386" s="49" t="n">
        <v>6</v>
      </c>
      <c r="B386" s="16" t="s">
        <v>504</v>
      </c>
      <c r="C386" s="51" t="n">
        <v>416500</v>
      </c>
      <c r="D386" s="51" t="n">
        <f aca="false">199500+217000</f>
        <v>416500</v>
      </c>
      <c r="E386" s="52" t="n">
        <f aca="false">C386-D386</f>
        <v>0</v>
      </c>
    </row>
    <row r="387" customFormat="false" ht="15" hidden="false" customHeight="false" outlineLevel="0" collapsed="false">
      <c r="A387" s="49" t="n">
        <v>7</v>
      </c>
      <c r="B387" s="16" t="s">
        <v>505</v>
      </c>
      <c r="C387" s="51" t="n">
        <v>416500</v>
      </c>
      <c r="D387" s="51" t="n">
        <f aca="false">100000+50000+50000+116500+65000+35000</f>
        <v>416500</v>
      </c>
      <c r="E387" s="52" t="n">
        <f aca="false">C387-D387</f>
        <v>0</v>
      </c>
    </row>
    <row r="388" customFormat="false" ht="15" hidden="false" customHeight="false" outlineLevel="0" collapsed="false">
      <c r="A388" s="49" t="n">
        <v>8</v>
      </c>
      <c r="B388" s="16" t="s">
        <v>506</v>
      </c>
      <c r="C388" s="51" t="n">
        <v>416500</v>
      </c>
      <c r="D388" s="51"/>
      <c r="E388" s="52" t="n">
        <f aca="false">C388-D388</f>
        <v>416500</v>
      </c>
    </row>
    <row r="389" customFormat="false" ht="15" hidden="false" customHeight="false" outlineLevel="0" collapsed="false">
      <c r="A389" s="49" t="n">
        <v>9</v>
      </c>
      <c r="B389" s="16" t="s">
        <v>507</v>
      </c>
      <c r="C389" s="51" t="n">
        <v>416500</v>
      </c>
      <c r="D389" s="51" t="n">
        <f aca="false">116500+300000</f>
        <v>416500</v>
      </c>
      <c r="E389" s="52" t="n">
        <f aca="false">C389-D389</f>
        <v>0</v>
      </c>
    </row>
    <row r="390" customFormat="false" ht="17.35" hidden="false" customHeight="false" outlineLevel="0" collapsed="false">
      <c r="A390" s="75"/>
      <c r="B390" s="56" t="s">
        <v>21</v>
      </c>
      <c r="C390" s="57" t="n">
        <f aca="false">SUM(C381:C389)</f>
        <v>3748500</v>
      </c>
      <c r="D390" s="58" t="n">
        <f aca="false">SUM(D381:D389)</f>
        <v>3332000</v>
      </c>
      <c r="E390" s="59" t="n">
        <f aca="false">SUM(E381:E389)</f>
        <v>416500</v>
      </c>
    </row>
    <row r="391" customFormat="false" ht="17.35" hidden="false" customHeight="false" outlineLevel="0" collapsed="false">
      <c r="B391" s="31"/>
      <c r="C391" s="32"/>
      <c r="D391" s="33"/>
      <c r="E391" s="34"/>
    </row>
    <row r="392" customFormat="false" ht="17.35" hidden="false" customHeight="false" outlineLevel="0" collapsed="false">
      <c r="B392" s="31"/>
      <c r="C392" s="32"/>
      <c r="D392" s="33"/>
      <c r="E392" s="34"/>
    </row>
    <row r="393" customFormat="false" ht="17.35" hidden="false" customHeight="false" outlineLevel="0" collapsed="false">
      <c r="B393" s="31"/>
      <c r="C393" s="32"/>
      <c r="D393" s="33"/>
      <c r="E393" s="34"/>
    </row>
    <row r="394" customFormat="false" ht="17.35" hidden="false" customHeight="false" outlineLevel="0" collapsed="false">
      <c r="A394" s="53"/>
      <c r="B394" s="2" t="s">
        <v>0</v>
      </c>
    </row>
    <row r="395" customFormat="false" ht="15" hidden="false" customHeight="false" outlineLevel="0" collapsed="false">
      <c r="A395" s="53"/>
    </row>
    <row r="396" customFormat="false" ht="17.35" hidden="false" customHeight="false" outlineLevel="0" collapsed="false">
      <c r="A396" s="53"/>
      <c r="B396" s="45" t="s">
        <v>508</v>
      </c>
    </row>
    <row r="397" customFormat="false" ht="15" hidden="false" customHeight="false" outlineLevel="0" collapsed="false">
      <c r="A397" s="53"/>
      <c r="B397" s="4" t="s">
        <v>498</v>
      </c>
    </row>
    <row r="398" customFormat="false" ht="15" hidden="false" customHeight="false" outlineLevel="0" collapsed="false">
      <c r="A398" s="46" t="s">
        <v>4</v>
      </c>
      <c r="B398" s="47" t="s">
        <v>238</v>
      </c>
      <c r="C398" s="43" t="s">
        <v>6</v>
      </c>
      <c r="D398" s="48" t="s">
        <v>7</v>
      </c>
      <c r="E398" s="27" t="s">
        <v>8</v>
      </c>
    </row>
    <row r="399" customFormat="false" ht="15" hidden="false" customHeight="false" outlineLevel="0" collapsed="false">
      <c r="A399" s="49" t="n">
        <v>1</v>
      </c>
      <c r="B399" s="50" t="s">
        <v>509</v>
      </c>
      <c r="C399" s="51" t="n">
        <v>416550</v>
      </c>
      <c r="D399" s="51" t="n">
        <f aca="false">50000+81600+135000+50000+100000</f>
        <v>416600</v>
      </c>
      <c r="E399" s="52" t="n">
        <f aca="false">C399-D399</f>
        <v>-50</v>
      </c>
    </row>
    <row r="400" customFormat="false" ht="15" hidden="false" customHeight="false" outlineLevel="0" collapsed="false">
      <c r="A400" s="49" t="n">
        <v>2</v>
      </c>
      <c r="B400" s="50" t="s">
        <v>510</v>
      </c>
      <c r="C400" s="51" t="n">
        <v>416500</v>
      </c>
      <c r="D400" s="51" t="n">
        <f aca="false">100000</f>
        <v>100000</v>
      </c>
      <c r="E400" s="52" t="n">
        <f aca="false">C400-D400</f>
        <v>316500</v>
      </c>
    </row>
    <row r="401" customFormat="false" ht="15" hidden="false" customHeight="false" outlineLevel="0" collapsed="false">
      <c r="A401" s="49" t="n">
        <v>3</v>
      </c>
      <c r="B401" s="50" t="s">
        <v>511</v>
      </c>
      <c r="C401" s="51" t="n">
        <v>416500</v>
      </c>
      <c r="D401" s="51" t="n">
        <f aca="false">216500+180000+20000</f>
        <v>416500</v>
      </c>
      <c r="E401" s="52" t="n">
        <f aca="false">C401-D401</f>
        <v>0</v>
      </c>
    </row>
    <row r="402" customFormat="false" ht="15" hidden="false" customHeight="false" outlineLevel="0" collapsed="false">
      <c r="A402" s="49" t="n">
        <v>4</v>
      </c>
      <c r="B402" s="50" t="s">
        <v>512</v>
      </c>
      <c r="C402" s="51" t="n">
        <v>416500</v>
      </c>
      <c r="D402" s="51"/>
      <c r="E402" s="52" t="n">
        <f aca="false">C402-D402</f>
        <v>416500</v>
      </c>
    </row>
    <row r="403" customFormat="false" ht="15" hidden="false" customHeight="false" outlineLevel="0" collapsed="false">
      <c r="A403" s="49" t="n">
        <v>5</v>
      </c>
      <c r="B403" s="50" t="s">
        <v>513</v>
      </c>
      <c r="C403" s="51" t="n">
        <v>416500</v>
      </c>
      <c r="D403" s="51"/>
      <c r="E403" s="52" t="n">
        <f aca="false">C403-D403</f>
        <v>416500</v>
      </c>
    </row>
    <row r="404" customFormat="false" ht="15" hidden="false" customHeight="false" outlineLevel="0" collapsed="false">
      <c r="A404" s="49" t="n">
        <v>6</v>
      </c>
      <c r="B404" s="50" t="s">
        <v>514</v>
      </c>
      <c r="C404" s="51" t="n">
        <v>416500</v>
      </c>
      <c r="D404" s="51" t="n">
        <v>416500</v>
      </c>
      <c r="E404" s="52" t="n">
        <f aca="false">C404-D404</f>
        <v>0</v>
      </c>
    </row>
    <row r="405" customFormat="false" ht="15" hidden="false" customHeight="false" outlineLevel="0" collapsed="false">
      <c r="A405" s="49" t="n">
        <v>7</v>
      </c>
      <c r="B405" s="50" t="s">
        <v>515</v>
      </c>
      <c r="C405" s="51" t="n">
        <v>416500</v>
      </c>
      <c r="D405" s="51"/>
      <c r="E405" s="52" t="n">
        <f aca="false">C405-D405</f>
        <v>416500</v>
      </c>
    </row>
    <row r="406" customFormat="false" ht="15" hidden="false" customHeight="false" outlineLevel="0" collapsed="false">
      <c r="A406" s="49" t="n">
        <v>9</v>
      </c>
      <c r="B406" s="83" t="s">
        <v>516</v>
      </c>
      <c r="C406" s="51" t="n">
        <v>416500</v>
      </c>
      <c r="D406" s="51" t="n">
        <f aca="false">100000+300000+16500</f>
        <v>416500</v>
      </c>
      <c r="E406" s="52" t="n">
        <f aca="false">C406-D406</f>
        <v>0</v>
      </c>
    </row>
    <row r="407" customFormat="false" ht="15" hidden="false" customHeight="false" outlineLevel="0" collapsed="false">
      <c r="A407" s="49" t="n">
        <v>10</v>
      </c>
      <c r="B407" s="50" t="s">
        <v>517</v>
      </c>
      <c r="C407" s="51" t="n">
        <v>416500</v>
      </c>
      <c r="D407" s="51" t="n">
        <f aca="false">216500+200000</f>
        <v>416500</v>
      </c>
      <c r="E407" s="52" t="n">
        <f aca="false">C407-D407</f>
        <v>0</v>
      </c>
    </row>
    <row r="408" customFormat="false" ht="15" hidden="false" customHeight="false" outlineLevel="0" collapsed="false">
      <c r="A408" s="49" t="n">
        <v>11</v>
      </c>
      <c r="B408" s="50" t="s">
        <v>518</v>
      </c>
      <c r="C408" s="51" t="n">
        <v>416500</v>
      </c>
      <c r="D408" s="51" t="n">
        <v>416500</v>
      </c>
      <c r="E408" s="52" t="n">
        <f aca="false">C408-D408</f>
        <v>0</v>
      </c>
    </row>
    <row r="409" customFormat="false" ht="19.7" hidden="false" customHeight="false" outlineLevel="0" collapsed="false">
      <c r="A409" s="75"/>
      <c r="B409" s="84" t="s">
        <v>21</v>
      </c>
      <c r="C409" s="57" t="n">
        <f aca="false">SUM(C399:C408)</f>
        <v>4165050</v>
      </c>
      <c r="D409" s="58" t="n">
        <f aca="false">SUM(D399:D408)</f>
        <v>2599100</v>
      </c>
      <c r="E409" s="59" t="n">
        <f aca="false">SUM(E399:E408)</f>
        <v>1565950</v>
      </c>
    </row>
    <row r="410" customFormat="false" ht="17.35" hidden="false" customHeight="false" outlineLevel="0" collapsed="false">
      <c r="B410" s="31"/>
      <c r="C410" s="32"/>
      <c r="D410" s="33"/>
      <c r="E410" s="34"/>
    </row>
    <row r="413" customFormat="false" ht="17.35" hidden="false" customHeight="false" outlineLevel="0" collapsed="false">
      <c r="B413" s="2" t="s">
        <v>0</v>
      </c>
    </row>
    <row r="414" customFormat="false" ht="15" hidden="false" customHeight="false" outlineLevel="0" collapsed="false">
      <c r="A414" s="22"/>
    </row>
    <row r="415" customFormat="false" ht="15" hidden="false" customHeight="false" outlineLevel="0" collapsed="false">
      <c r="A415" s="22"/>
      <c r="B415" s="5" t="s">
        <v>220</v>
      </c>
    </row>
    <row r="416" customFormat="false" ht="17.25" hidden="false" customHeight="false" outlineLevel="0" collapsed="false">
      <c r="A416" s="22"/>
      <c r="B416" s="4" t="s">
        <v>140</v>
      </c>
    </row>
    <row r="417" customFormat="false" ht="15" hidden="false" customHeight="false" outlineLevel="0" collapsed="false">
      <c r="A417" s="22"/>
    </row>
    <row r="418" customFormat="false" ht="15" hidden="false" customHeight="false" outlineLevel="0" collapsed="false">
      <c r="A418" s="22"/>
    </row>
    <row r="419" customFormat="false" ht="15" hidden="false" customHeight="false" outlineLevel="0" collapsed="false">
      <c r="A419" s="6" t="s">
        <v>4</v>
      </c>
      <c r="B419" s="42" t="s">
        <v>5</v>
      </c>
      <c r="C419" s="43" t="s">
        <v>6</v>
      </c>
      <c r="D419" s="44" t="s">
        <v>7</v>
      </c>
      <c r="E419" s="27" t="s">
        <v>8</v>
      </c>
    </row>
    <row r="420" customFormat="false" ht="15" hidden="false" customHeight="false" outlineLevel="0" collapsed="false">
      <c r="A420" s="14" t="n">
        <v>1</v>
      </c>
      <c r="B420" s="11" t="s">
        <v>519</v>
      </c>
      <c r="C420" s="12" t="n">
        <v>416500</v>
      </c>
      <c r="D420" s="12" t="n">
        <f aca="false">99500+250000+67000</f>
        <v>416500</v>
      </c>
      <c r="E420" s="13" t="n">
        <f aca="false">C420-D420</f>
        <v>0</v>
      </c>
    </row>
    <row r="421" customFormat="false" ht="15" hidden="false" customHeight="false" outlineLevel="0" collapsed="false">
      <c r="A421" s="14" t="n">
        <v>2</v>
      </c>
      <c r="B421" s="11" t="s">
        <v>520</v>
      </c>
      <c r="C421" s="12" t="n">
        <v>416500</v>
      </c>
      <c r="D421" s="12" t="n">
        <f aca="false">100000+316000+500</f>
        <v>416500</v>
      </c>
      <c r="E421" s="13" t="n">
        <f aca="false">C421-D421</f>
        <v>0</v>
      </c>
    </row>
    <row r="422" customFormat="false" ht="15" hidden="false" customHeight="false" outlineLevel="0" collapsed="false">
      <c r="A422" s="14" t="n">
        <v>3</v>
      </c>
      <c r="B422" s="11" t="s">
        <v>521</v>
      </c>
      <c r="C422" s="12" t="n">
        <v>416500</v>
      </c>
      <c r="D422" s="12" t="n">
        <f aca="false">249500+70000+96000+1000</f>
        <v>416500</v>
      </c>
      <c r="E422" s="13" t="n">
        <f aca="false">C422-D422</f>
        <v>0</v>
      </c>
    </row>
    <row r="423" customFormat="false" ht="15" hidden="false" customHeight="false" outlineLevel="0" collapsed="false">
      <c r="A423" s="14" t="n">
        <v>4</v>
      </c>
      <c r="B423" s="11" t="s">
        <v>522</v>
      </c>
      <c r="C423" s="12" t="n">
        <v>416500</v>
      </c>
      <c r="D423" s="12" t="n">
        <f aca="false">1500+140000+175000+100000</f>
        <v>416500</v>
      </c>
      <c r="E423" s="13" t="n">
        <f aca="false">C423-D423</f>
        <v>0</v>
      </c>
    </row>
    <row r="424" customFormat="false" ht="15" hidden="false" customHeight="false" outlineLevel="0" collapsed="false">
      <c r="A424" s="14" t="n">
        <v>5</v>
      </c>
      <c r="B424" s="11" t="s">
        <v>523</v>
      </c>
      <c r="C424" s="12" t="n">
        <v>416500</v>
      </c>
      <c r="D424" s="12" t="n">
        <f aca="false">220500+176500+20000</f>
        <v>417000</v>
      </c>
      <c r="E424" s="13" t="n">
        <f aca="false">C424-D424</f>
        <v>-500</v>
      </c>
    </row>
    <row r="425" customFormat="false" ht="15" hidden="false" customHeight="false" outlineLevel="0" collapsed="false">
      <c r="A425" s="14" t="n">
        <v>6</v>
      </c>
      <c r="B425" s="11" t="s">
        <v>524</v>
      </c>
      <c r="C425" s="12" t="n">
        <v>416500</v>
      </c>
      <c r="D425" s="12" t="n">
        <f aca="false">100000</f>
        <v>100000</v>
      </c>
      <c r="E425" s="13" t="n">
        <f aca="false">C425-D425</f>
        <v>316500</v>
      </c>
    </row>
    <row r="426" customFormat="false" ht="15" hidden="false" customHeight="false" outlineLevel="0" collapsed="false">
      <c r="A426" s="14" t="n">
        <v>7</v>
      </c>
      <c r="B426" s="11" t="s">
        <v>525</v>
      </c>
      <c r="C426" s="12" t="n">
        <v>416500</v>
      </c>
      <c r="D426" s="12" t="n">
        <f aca="false">220000+196500</f>
        <v>416500</v>
      </c>
      <c r="E426" s="13" t="n">
        <f aca="false">C426-D426</f>
        <v>0</v>
      </c>
    </row>
    <row r="427" customFormat="false" ht="15" hidden="false" customHeight="false" outlineLevel="0" collapsed="false">
      <c r="A427" s="14" t="n">
        <v>8</v>
      </c>
      <c r="B427" s="11" t="s">
        <v>526</v>
      </c>
      <c r="C427" s="12" t="n">
        <v>416500</v>
      </c>
      <c r="D427" s="12" t="n">
        <f aca="false">216500+200000</f>
        <v>416500</v>
      </c>
      <c r="E427" s="13" t="n">
        <f aca="false">C427-D427</f>
        <v>0</v>
      </c>
    </row>
    <row r="428" customFormat="false" ht="15" hidden="false" customHeight="false" outlineLevel="0" collapsed="false">
      <c r="A428" s="14" t="n">
        <v>9</v>
      </c>
      <c r="B428" s="11" t="s">
        <v>527</v>
      </c>
      <c r="C428" s="12" t="n">
        <v>416500</v>
      </c>
      <c r="D428" s="12" t="n">
        <f aca="false">100000+316500</f>
        <v>416500</v>
      </c>
      <c r="E428" s="13" t="n">
        <f aca="false">C428-D428</f>
        <v>0</v>
      </c>
    </row>
    <row r="429" customFormat="false" ht="15" hidden="false" customHeight="false" outlineLevel="0" collapsed="false">
      <c r="A429" s="14" t="n">
        <v>10</v>
      </c>
      <c r="B429" s="38" t="s">
        <v>528</v>
      </c>
      <c r="C429" s="12" t="n">
        <v>416500</v>
      </c>
      <c r="D429" s="12" t="n">
        <f aca="false">149000+267500</f>
        <v>416500</v>
      </c>
      <c r="E429" s="13" t="n">
        <f aca="false">C429-D429</f>
        <v>0</v>
      </c>
    </row>
    <row r="430" customFormat="false" ht="15" hidden="false" customHeight="false" outlineLevel="0" collapsed="false">
      <c r="A430" s="14" t="n">
        <v>11</v>
      </c>
      <c r="B430" s="16" t="s">
        <v>529</v>
      </c>
      <c r="C430" s="12" t="n">
        <v>416550</v>
      </c>
      <c r="D430" s="12" t="n">
        <f aca="false">100000+130000+100000+86500</f>
        <v>416500</v>
      </c>
      <c r="E430" s="13" t="n">
        <f aca="false">C430-D430</f>
        <v>50</v>
      </c>
    </row>
    <row r="431" customFormat="false" ht="15" hidden="false" customHeight="false" outlineLevel="0" collapsed="false">
      <c r="A431" s="14" t="n">
        <v>12</v>
      </c>
      <c r="B431" s="11" t="s">
        <v>530</v>
      </c>
      <c r="C431" s="12" t="n">
        <v>416500</v>
      </c>
      <c r="D431" s="12" t="n">
        <f aca="false">50000+166000+200500</f>
        <v>416500</v>
      </c>
      <c r="E431" s="13" t="n">
        <f aca="false">C431-D431</f>
        <v>0</v>
      </c>
    </row>
    <row r="432" customFormat="false" ht="15" hidden="false" customHeight="false" outlineLevel="0" collapsed="false">
      <c r="A432" s="14" t="n">
        <v>13</v>
      </c>
      <c r="B432" s="11" t="s">
        <v>531</v>
      </c>
      <c r="C432" s="12" t="n">
        <v>416500</v>
      </c>
      <c r="D432" s="12" t="n">
        <f aca="false">200000+216500</f>
        <v>416500</v>
      </c>
      <c r="E432" s="13" t="n">
        <f aca="false">C432-D432</f>
        <v>0</v>
      </c>
    </row>
    <row r="433" customFormat="false" ht="15" hidden="false" customHeight="false" outlineLevel="0" collapsed="false">
      <c r="A433" s="14" t="n">
        <v>14</v>
      </c>
      <c r="B433" s="11" t="s">
        <v>532</v>
      </c>
      <c r="C433" s="12" t="n">
        <v>416500</v>
      </c>
      <c r="D433" s="12" t="n">
        <f aca="false">150000+100000+50000+116500</f>
        <v>416500</v>
      </c>
      <c r="E433" s="13" t="n">
        <f aca="false">C433-D433</f>
        <v>0</v>
      </c>
    </row>
    <row r="434" customFormat="false" ht="15" hidden="false" customHeight="false" outlineLevel="0" collapsed="false">
      <c r="A434" s="14" t="n">
        <v>15</v>
      </c>
      <c r="B434" s="11" t="s">
        <v>533</v>
      </c>
      <c r="C434" s="12" t="n">
        <v>416500</v>
      </c>
      <c r="D434" s="12" t="n">
        <f aca="false">165000+90000+96500+65000</f>
        <v>416500</v>
      </c>
      <c r="E434" s="13" t="n">
        <f aca="false">C434-D434</f>
        <v>0</v>
      </c>
    </row>
    <row r="435" customFormat="false" ht="15" hidden="false" customHeight="false" outlineLevel="0" collapsed="false">
      <c r="A435" s="14" t="n">
        <v>16</v>
      </c>
      <c r="B435" s="11" t="s">
        <v>534</v>
      </c>
      <c r="C435" s="12" t="n">
        <v>416500</v>
      </c>
      <c r="D435" s="12" t="n">
        <f aca="false">99500+100000+217000</f>
        <v>416500</v>
      </c>
      <c r="E435" s="13" t="n">
        <f aca="false">C435-D435</f>
        <v>0</v>
      </c>
    </row>
    <row r="436" customFormat="false" ht="15" hidden="false" customHeight="false" outlineLevel="0" collapsed="false">
      <c r="A436" s="14" t="n">
        <v>17</v>
      </c>
      <c r="B436" s="25" t="s">
        <v>535</v>
      </c>
      <c r="C436" s="12" t="n">
        <v>416500</v>
      </c>
      <c r="D436" s="26" t="n">
        <f aca="false">216000+200500</f>
        <v>416500</v>
      </c>
      <c r="E436" s="13" t="n">
        <f aca="false">C436-D436</f>
        <v>0</v>
      </c>
    </row>
    <row r="437" customFormat="false" ht="15" hidden="false" customHeight="false" outlineLevel="0" collapsed="false">
      <c r="A437" s="14" t="n">
        <v>18</v>
      </c>
      <c r="B437" s="25" t="s">
        <v>536</v>
      </c>
      <c r="C437" s="12" t="n">
        <v>416500</v>
      </c>
      <c r="D437" s="26"/>
      <c r="E437" s="13" t="n">
        <f aca="false">C437-D437</f>
        <v>416500</v>
      </c>
    </row>
    <row r="438" customFormat="false" ht="15" hidden="false" customHeight="false" outlineLevel="0" collapsed="false">
      <c r="A438" s="14" t="n">
        <v>19</v>
      </c>
      <c r="B438" s="25" t="s">
        <v>537</v>
      </c>
      <c r="C438" s="12" t="n">
        <v>416500</v>
      </c>
      <c r="D438" s="26" t="n">
        <f aca="false">100000+116500+50000+50000+50000+50000</f>
        <v>416500</v>
      </c>
      <c r="E438" s="13" t="n">
        <f aca="false">C438-D438</f>
        <v>0</v>
      </c>
    </row>
    <row r="439" customFormat="false" ht="15" hidden="false" customHeight="false" outlineLevel="0" collapsed="false">
      <c r="A439" s="14" t="n">
        <v>20</v>
      </c>
      <c r="B439" s="25" t="s">
        <v>538</v>
      </c>
      <c r="C439" s="12" t="n">
        <v>416500</v>
      </c>
      <c r="D439" s="26" t="n">
        <f aca="false">200000+116500+100000</f>
        <v>416500</v>
      </c>
      <c r="E439" s="13" t="n">
        <f aca="false">C439-D439</f>
        <v>0</v>
      </c>
    </row>
    <row r="440" customFormat="false" ht="15" hidden="false" customHeight="false" outlineLevel="0" collapsed="false">
      <c r="A440" s="14" t="n">
        <v>21</v>
      </c>
      <c r="B440" s="25" t="s">
        <v>539</v>
      </c>
      <c r="C440" s="12" t="n">
        <v>416500</v>
      </c>
      <c r="D440" s="26" t="n">
        <f aca="false">216500+200000</f>
        <v>416500</v>
      </c>
      <c r="E440" s="13" t="n">
        <f aca="false">C440-D440</f>
        <v>0</v>
      </c>
    </row>
    <row r="441" customFormat="false" ht="15" hidden="false" customHeight="false" outlineLevel="0" collapsed="false">
      <c r="A441" s="24" t="n">
        <v>22</v>
      </c>
      <c r="B441" s="76" t="s">
        <v>540</v>
      </c>
      <c r="C441" s="12" t="n">
        <v>416500</v>
      </c>
      <c r="D441" s="12" t="n">
        <f aca="false">100000+100000+50000+166500</f>
        <v>416500</v>
      </c>
      <c r="E441" s="13" t="n">
        <f aca="false">C441-D441</f>
        <v>0</v>
      </c>
    </row>
    <row r="442" customFormat="false" ht="15" hidden="false" customHeight="false" outlineLevel="0" collapsed="false">
      <c r="A442" s="24" t="n">
        <v>23</v>
      </c>
      <c r="B442" s="25" t="s">
        <v>541</v>
      </c>
      <c r="C442" s="12" t="n">
        <v>416500</v>
      </c>
      <c r="D442" s="26" t="n">
        <f aca="false">216500+200000</f>
        <v>416500</v>
      </c>
      <c r="E442" s="13" t="n">
        <f aca="false">C442-D442</f>
        <v>0</v>
      </c>
    </row>
    <row r="443" customFormat="false" ht="15" hidden="false" customHeight="false" outlineLevel="0" collapsed="false">
      <c r="A443" s="24" t="n">
        <v>24</v>
      </c>
      <c r="B443" s="25" t="s">
        <v>542</v>
      </c>
      <c r="C443" s="12" t="n">
        <v>416500</v>
      </c>
      <c r="D443" s="26" t="n">
        <f aca="false">216000+200500</f>
        <v>416500</v>
      </c>
      <c r="E443" s="13" t="n">
        <f aca="false">C443-D443</f>
        <v>0</v>
      </c>
    </row>
    <row r="444" customFormat="false" ht="17.35" hidden="false" customHeight="false" outlineLevel="0" collapsed="false">
      <c r="A444" s="14"/>
      <c r="B444" s="18" t="s">
        <v>21</v>
      </c>
      <c r="C444" s="19" t="n">
        <f aca="false">SUM(C420:C443)</f>
        <v>9996050</v>
      </c>
      <c r="D444" s="20" t="n">
        <f aca="false">SUM(D420:D443)</f>
        <v>9263500</v>
      </c>
      <c r="E444" s="21" t="n">
        <f aca="false">SUM(E420:E443)</f>
        <v>732550</v>
      </c>
    </row>
    <row r="448" customFormat="false" ht="17.35" hidden="false" customHeight="false" outlineLevel="0" collapsed="false">
      <c r="A448" s="53"/>
      <c r="B448" s="2" t="s">
        <v>0</v>
      </c>
    </row>
    <row r="449" customFormat="false" ht="15" hidden="false" customHeight="false" outlineLevel="0" collapsed="false">
      <c r="A449" s="53"/>
    </row>
    <row r="450" customFormat="false" ht="17.35" hidden="false" customHeight="false" outlineLevel="0" collapsed="false">
      <c r="A450" s="53" t="s">
        <v>543</v>
      </c>
      <c r="B450" s="45" t="s">
        <v>236</v>
      </c>
    </row>
    <row r="451" customFormat="false" ht="21.75" hidden="false" customHeight="true" outlineLevel="0" collapsed="false">
      <c r="A451" s="53"/>
      <c r="B451" s="4" t="s">
        <v>544</v>
      </c>
    </row>
    <row r="452" customFormat="false" ht="15" hidden="false" customHeight="false" outlineLevel="0" collapsed="false">
      <c r="A452" s="46" t="s">
        <v>4</v>
      </c>
      <c r="B452" s="47" t="s">
        <v>238</v>
      </c>
      <c r="C452" s="43" t="s">
        <v>6</v>
      </c>
      <c r="D452" s="48" t="s">
        <v>7</v>
      </c>
      <c r="E452" s="27" t="s">
        <v>8</v>
      </c>
    </row>
    <row r="453" customFormat="false" ht="15" hidden="false" customHeight="false" outlineLevel="0" collapsed="false">
      <c r="A453" s="85" t="n">
        <v>1</v>
      </c>
      <c r="B453" s="76" t="s">
        <v>545</v>
      </c>
      <c r="C453" s="51" t="n">
        <v>416500</v>
      </c>
      <c r="D453" s="86" t="n">
        <f aca="false">16500+100000+300000</f>
        <v>416500</v>
      </c>
      <c r="E453" s="51" t="n">
        <f aca="false">C453-D453</f>
        <v>0</v>
      </c>
    </row>
    <row r="454" customFormat="false" ht="15" hidden="false" customHeight="false" outlineLevel="0" collapsed="false">
      <c r="A454" s="85" t="n">
        <v>2</v>
      </c>
      <c r="B454" s="76" t="s">
        <v>546</v>
      </c>
      <c r="C454" s="51" t="n">
        <v>416500</v>
      </c>
      <c r="D454" s="87" t="n">
        <f aca="false">200000+100000+116500</f>
        <v>416500</v>
      </c>
      <c r="E454" s="51" t="n">
        <f aca="false">C454-D454</f>
        <v>0</v>
      </c>
    </row>
    <row r="455" customFormat="false" ht="15" hidden="false" customHeight="false" outlineLevel="0" collapsed="false">
      <c r="A455" s="85" t="n">
        <v>3</v>
      </c>
      <c r="B455" s="76" t="s">
        <v>547</v>
      </c>
      <c r="C455" s="51" t="n">
        <v>416500</v>
      </c>
      <c r="D455" s="87" t="n">
        <f aca="false">263500+153000</f>
        <v>416500</v>
      </c>
      <c r="E455" s="51" t="n">
        <f aca="false">C455-D455</f>
        <v>0</v>
      </c>
    </row>
    <row r="456" customFormat="false" ht="15" hidden="false" customHeight="false" outlineLevel="0" collapsed="false">
      <c r="A456" s="85" t="n">
        <v>4</v>
      </c>
      <c r="B456" s="76" t="s">
        <v>548</v>
      </c>
      <c r="C456" s="51" t="n">
        <v>416500</v>
      </c>
      <c r="D456" s="87" t="n">
        <f aca="false">20000+300000+96500</f>
        <v>416500</v>
      </c>
      <c r="E456" s="51" t="n">
        <f aca="false">C456-D456</f>
        <v>0</v>
      </c>
    </row>
    <row r="457" customFormat="false" ht="15" hidden="false" customHeight="false" outlineLevel="0" collapsed="false">
      <c r="A457" s="85" t="n">
        <v>5</v>
      </c>
      <c r="B457" s="76" t="s">
        <v>549</v>
      </c>
      <c r="C457" s="51" t="n">
        <v>416500</v>
      </c>
      <c r="D457" s="87" t="n">
        <f aca="false">50000+150000+200000+16500</f>
        <v>416500</v>
      </c>
      <c r="E457" s="51" t="n">
        <f aca="false">C457-D457</f>
        <v>0</v>
      </c>
    </row>
    <row r="458" customFormat="false" ht="15" hidden="false" customHeight="false" outlineLevel="0" collapsed="false">
      <c r="A458" s="49" t="n">
        <v>6</v>
      </c>
      <c r="B458" s="76" t="s">
        <v>550</v>
      </c>
      <c r="C458" s="51" t="n">
        <v>416500</v>
      </c>
      <c r="D458" s="51" t="n">
        <f aca="false">50000+150000+216500</f>
        <v>416500</v>
      </c>
      <c r="E458" s="51" t="n">
        <f aca="false">C458-D458</f>
        <v>0</v>
      </c>
    </row>
    <row r="459" customFormat="false" ht="15" hidden="false" customHeight="false" outlineLevel="0" collapsed="false">
      <c r="A459" s="49" t="n">
        <v>7</v>
      </c>
      <c r="B459" s="76" t="s">
        <v>551</v>
      </c>
      <c r="C459" s="51" t="n">
        <v>416500</v>
      </c>
      <c r="D459" s="51" t="n">
        <f aca="false">190000+226500</f>
        <v>416500</v>
      </c>
      <c r="E459" s="51" t="n">
        <f aca="false">C459-D459</f>
        <v>0</v>
      </c>
    </row>
    <row r="460" customFormat="false" ht="15" hidden="false" customHeight="false" outlineLevel="0" collapsed="false">
      <c r="A460" s="49" t="n">
        <v>8</v>
      </c>
      <c r="B460" s="76" t="s">
        <v>552</v>
      </c>
      <c r="C460" s="51" t="n">
        <v>416500</v>
      </c>
      <c r="D460" s="51" t="n">
        <f aca="false">15000+100000+100000+100000+100000+1500</f>
        <v>416500</v>
      </c>
      <c r="E460" s="51" t="n">
        <f aca="false">C460-D460</f>
        <v>0</v>
      </c>
    </row>
    <row r="461" customFormat="false" ht="15" hidden="false" customHeight="false" outlineLevel="0" collapsed="false">
      <c r="A461" s="49" t="n">
        <v>9</v>
      </c>
      <c r="B461" s="41" t="s">
        <v>553</v>
      </c>
      <c r="C461" s="51" t="n">
        <v>416500</v>
      </c>
      <c r="D461" s="51" t="n">
        <f aca="false">76500+100000+65000+140000+35000</f>
        <v>416500</v>
      </c>
      <c r="E461" s="51" t="n">
        <f aca="false">C461-D461</f>
        <v>0</v>
      </c>
    </row>
    <row r="462" customFormat="false" ht="15" hidden="false" customHeight="false" outlineLevel="0" collapsed="false">
      <c r="A462" s="49" t="n">
        <v>10</v>
      </c>
      <c r="B462" s="41" t="s">
        <v>554</v>
      </c>
      <c r="C462" s="51" t="n">
        <v>416500</v>
      </c>
      <c r="D462" s="51" t="n">
        <f aca="false">150000+200000</f>
        <v>350000</v>
      </c>
      <c r="E462" s="51" t="n">
        <f aca="false">C462-D462</f>
        <v>66500</v>
      </c>
    </row>
    <row r="463" customFormat="false" ht="15" hidden="false" customHeight="false" outlineLevel="0" collapsed="false">
      <c r="A463" s="49" t="n">
        <v>11</v>
      </c>
      <c r="B463" s="41" t="s">
        <v>555</v>
      </c>
      <c r="C463" s="51" t="n">
        <v>416500</v>
      </c>
      <c r="D463" s="51" t="n">
        <f aca="false">200000+216500</f>
        <v>416500</v>
      </c>
      <c r="E463" s="51" t="n">
        <f aca="false">C463-D463</f>
        <v>0</v>
      </c>
    </row>
    <row r="464" customFormat="false" ht="15" hidden="false" customHeight="false" outlineLevel="0" collapsed="false">
      <c r="A464" s="49" t="n">
        <v>12</v>
      </c>
      <c r="B464" s="41" t="s">
        <v>556</v>
      </c>
      <c r="C464" s="51" t="n">
        <v>416500</v>
      </c>
      <c r="D464" s="51" t="n">
        <f aca="false">80000+90000+230000+16500</f>
        <v>416500</v>
      </c>
      <c r="E464" s="51" t="n">
        <f aca="false">C464-D464</f>
        <v>0</v>
      </c>
    </row>
    <row r="465" customFormat="false" ht="15" hidden="false" customHeight="false" outlineLevel="0" collapsed="false">
      <c r="A465" s="49" t="n">
        <v>13</v>
      </c>
      <c r="B465" s="41" t="s">
        <v>557</v>
      </c>
      <c r="C465" s="51" t="n">
        <v>416500</v>
      </c>
      <c r="D465" s="51" t="n">
        <f aca="false">16500+210000</f>
        <v>226500</v>
      </c>
      <c r="E465" s="51" t="n">
        <f aca="false">C465-D465</f>
        <v>190000</v>
      </c>
    </row>
    <row r="466" customFormat="false" ht="15" hidden="false" customHeight="false" outlineLevel="0" collapsed="false">
      <c r="A466" s="49" t="n">
        <v>14</v>
      </c>
      <c r="B466" s="41" t="s">
        <v>558</v>
      </c>
      <c r="C466" s="51" t="n">
        <v>416500</v>
      </c>
      <c r="D466" s="51" t="n">
        <f aca="false">33500+100000+283000</f>
        <v>416500</v>
      </c>
      <c r="E466" s="51" t="n">
        <f aca="false">C466-D466</f>
        <v>0</v>
      </c>
    </row>
    <row r="467" customFormat="false" ht="15" hidden="false" customHeight="false" outlineLevel="0" collapsed="false">
      <c r="A467" s="49" t="n">
        <v>15</v>
      </c>
      <c r="B467" s="41" t="s">
        <v>559</v>
      </c>
      <c r="C467" s="51" t="n">
        <v>416500</v>
      </c>
      <c r="D467" s="51" t="n">
        <f aca="false">150000+200000+66500</f>
        <v>416500</v>
      </c>
      <c r="E467" s="51" t="n">
        <f aca="false">C467-D467</f>
        <v>0</v>
      </c>
    </row>
    <row r="468" customFormat="false" ht="15" hidden="false" customHeight="false" outlineLevel="0" collapsed="false">
      <c r="A468" s="49" t="n">
        <v>16</v>
      </c>
      <c r="B468" s="41" t="s">
        <v>560</v>
      </c>
      <c r="C468" s="51" t="n">
        <v>416500</v>
      </c>
      <c r="D468" s="51"/>
      <c r="E468" s="51" t="n">
        <f aca="false">C468-D468</f>
        <v>416500</v>
      </c>
    </row>
    <row r="469" customFormat="false" ht="15" hidden="false" customHeight="false" outlineLevel="0" collapsed="false">
      <c r="A469" s="49" t="n">
        <v>17</v>
      </c>
      <c r="B469" s="41" t="s">
        <v>561</v>
      </c>
      <c r="C469" s="51" t="n">
        <v>416500</v>
      </c>
      <c r="D469" s="51" t="n">
        <f aca="false">50000</f>
        <v>50000</v>
      </c>
      <c r="E469" s="51" t="n">
        <f aca="false">C469-D469</f>
        <v>366500</v>
      </c>
    </row>
    <row r="470" customFormat="false" ht="15" hidden="false" customHeight="false" outlineLevel="0" collapsed="false">
      <c r="A470" s="49" t="n">
        <v>18</v>
      </c>
      <c r="B470" s="41" t="s">
        <v>562</v>
      </c>
      <c r="C470" s="51" t="n">
        <v>416500</v>
      </c>
      <c r="D470" s="51" t="n">
        <f aca="false">50000+150000+216000+500</f>
        <v>416500</v>
      </c>
      <c r="E470" s="51" t="n">
        <f aca="false">C470-D470</f>
        <v>0</v>
      </c>
    </row>
    <row r="471" customFormat="false" ht="15" hidden="false" customHeight="false" outlineLevel="0" collapsed="false">
      <c r="A471" s="49" t="n">
        <v>19</v>
      </c>
      <c r="B471" s="41" t="s">
        <v>563</v>
      </c>
      <c r="C471" s="51" t="n">
        <v>416500</v>
      </c>
      <c r="D471" s="51" t="n">
        <f aca="false">220000+196500</f>
        <v>416500</v>
      </c>
      <c r="E471" s="51" t="n">
        <f aca="false">C471-D471</f>
        <v>0</v>
      </c>
    </row>
    <row r="472" customFormat="false" ht="15" hidden="false" customHeight="false" outlineLevel="0" collapsed="false">
      <c r="A472" s="49" t="n">
        <v>20</v>
      </c>
      <c r="B472" s="41" t="s">
        <v>564</v>
      </c>
      <c r="C472" s="51" t="n">
        <v>416500</v>
      </c>
      <c r="D472" s="51" t="n">
        <f aca="false">50000+366500</f>
        <v>416500</v>
      </c>
      <c r="E472" s="51" t="n">
        <f aca="false">C472-D472</f>
        <v>0</v>
      </c>
    </row>
    <row r="473" customFormat="false" ht="17.35" hidden="false" customHeight="false" outlineLevel="0" collapsed="false">
      <c r="A473" s="49"/>
      <c r="B473" s="56" t="s">
        <v>21</v>
      </c>
      <c r="C473" s="57" t="n">
        <f aca="false">SUM(C453:C472)</f>
        <v>8330000</v>
      </c>
      <c r="D473" s="58" t="n">
        <f aca="false">SUM(D453:D472)</f>
        <v>7290500</v>
      </c>
      <c r="E473" s="59" t="n">
        <f aca="false">SUM(E453:E472)</f>
        <v>1039500</v>
      </c>
    </row>
    <row r="474" customFormat="false" ht="15" hidden="false" customHeight="false" outlineLevel="0" collapsed="false">
      <c r="A474" s="75"/>
    </row>
    <row r="478" customFormat="false" ht="17.35" hidden="false" customHeight="false" outlineLevel="0" collapsed="false">
      <c r="A478" s="53"/>
      <c r="B478" s="2" t="s">
        <v>0</v>
      </c>
    </row>
    <row r="479" customFormat="false" ht="15" hidden="false" customHeight="false" outlineLevel="0" collapsed="false">
      <c r="A479" s="53"/>
    </row>
    <row r="480" customFormat="false" ht="17.35" hidden="false" customHeight="false" outlineLevel="0" collapsed="false">
      <c r="A480" s="53"/>
      <c r="B480" s="45" t="s">
        <v>266</v>
      </c>
    </row>
    <row r="481" customFormat="false" ht="15" hidden="false" customHeight="false" outlineLevel="0" collapsed="false">
      <c r="A481" s="53"/>
      <c r="B481" s="4" t="s">
        <v>544</v>
      </c>
    </row>
    <row r="482" customFormat="false" ht="15" hidden="false" customHeight="false" outlineLevel="0" collapsed="false">
      <c r="A482" s="53"/>
    </row>
    <row r="483" customFormat="false" ht="15" hidden="false" customHeight="false" outlineLevel="0" collapsed="false">
      <c r="A483" s="46" t="s">
        <v>4</v>
      </c>
      <c r="B483" s="47" t="s">
        <v>238</v>
      </c>
      <c r="C483" s="43" t="s">
        <v>6</v>
      </c>
      <c r="D483" s="48" t="s">
        <v>7</v>
      </c>
      <c r="E483" s="27" t="s">
        <v>8</v>
      </c>
    </row>
    <row r="484" customFormat="false" ht="15" hidden="false" customHeight="false" outlineLevel="0" collapsed="false">
      <c r="A484" s="49" t="n">
        <v>1</v>
      </c>
      <c r="B484" s="54" t="s">
        <v>565</v>
      </c>
      <c r="C484" s="51" t="n">
        <v>416500</v>
      </c>
      <c r="D484" s="51" t="n">
        <f aca="false">100000+180000+100000+36500</f>
        <v>416500</v>
      </c>
      <c r="E484" s="51" t="n">
        <f aca="false">C484-D484</f>
        <v>0</v>
      </c>
    </row>
    <row r="485" customFormat="false" ht="15" hidden="false" customHeight="false" outlineLevel="0" collapsed="false">
      <c r="A485" s="49" t="n">
        <v>2</v>
      </c>
      <c r="B485" s="54" t="s">
        <v>566</v>
      </c>
      <c r="C485" s="51" t="n">
        <v>416500</v>
      </c>
      <c r="D485" s="51" t="n">
        <f aca="false">118500+285000+13000</f>
        <v>416500</v>
      </c>
      <c r="E485" s="51" t="n">
        <f aca="false">C485-D485</f>
        <v>0</v>
      </c>
    </row>
    <row r="486" customFormat="false" ht="15" hidden="false" customHeight="false" outlineLevel="0" collapsed="false">
      <c r="A486" s="49" t="n">
        <v>3</v>
      </c>
      <c r="B486" s="54" t="s">
        <v>567</v>
      </c>
      <c r="C486" s="51" t="n">
        <v>416500</v>
      </c>
      <c r="D486" s="51" t="n">
        <f aca="false">216500+200000</f>
        <v>416500</v>
      </c>
      <c r="E486" s="51" t="n">
        <f aca="false">C486-D486</f>
        <v>0</v>
      </c>
    </row>
    <row r="487" customFormat="false" ht="15" hidden="false" customHeight="false" outlineLevel="0" collapsed="false">
      <c r="A487" s="49" t="n">
        <v>4</v>
      </c>
      <c r="B487" s="54" t="s">
        <v>568</v>
      </c>
      <c r="C487" s="51" t="n">
        <v>416500</v>
      </c>
      <c r="D487" s="51"/>
      <c r="E487" s="51" t="n">
        <f aca="false">C487-D487</f>
        <v>416500</v>
      </c>
    </row>
    <row r="488" customFormat="false" ht="15" hidden="false" customHeight="false" outlineLevel="0" collapsed="false">
      <c r="A488" s="49" t="n">
        <v>5</v>
      </c>
      <c r="B488" s="54" t="s">
        <v>569</v>
      </c>
      <c r="C488" s="51" t="n">
        <v>416500</v>
      </c>
      <c r="D488" s="51" t="n">
        <f aca="false">16500+490000</f>
        <v>506500</v>
      </c>
      <c r="E488" s="51" t="n">
        <f aca="false">C488-D488</f>
        <v>-90000</v>
      </c>
    </row>
    <row r="489" customFormat="false" ht="15" hidden="false" customHeight="false" outlineLevel="0" collapsed="false">
      <c r="A489" s="49" t="n">
        <v>6</v>
      </c>
      <c r="B489" s="50" t="s">
        <v>570</v>
      </c>
      <c r="C489" s="88" t="n">
        <v>316500</v>
      </c>
      <c r="D489" s="88" t="n">
        <f aca="false">68500+210000+38000</f>
        <v>316500</v>
      </c>
      <c r="E489" s="51" t="n">
        <f aca="false">C489-D489</f>
        <v>0</v>
      </c>
    </row>
    <row r="490" customFormat="false" ht="15" hidden="false" customHeight="false" outlineLevel="0" collapsed="false">
      <c r="A490" s="49" t="n">
        <v>7</v>
      </c>
      <c r="B490" s="54" t="s">
        <v>571</v>
      </c>
      <c r="C490" s="51" t="n">
        <v>416500</v>
      </c>
      <c r="D490" s="51" t="n">
        <f aca="false">416500</f>
        <v>416500</v>
      </c>
      <c r="E490" s="51" t="n">
        <f aca="false">C490-D490</f>
        <v>0</v>
      </c>
    </row>
    <row r="491" customFormat="false" ht="15" hidden="false" customHeight="false" outlineLevel="0" collapsed="false">
      <c r="A491" s="49" t="n">
        <v>8</v>
      </c>
      <c r="B491" s="54" t="s">
        <v>572</v>
      </c>
      <c r="C491" s="51" t="n">
        <v>416500</v>
      </c>
      <c r="D491" s="51" t="n">
        <f aca="false">100000+316500</f>
        <v>416500</v>
      </c>
      <c r="E491" s="51" t="n">
        <f aca="false">C491-D491</f>
        <v>0</v>
      </c>
    </row>
    <row r="492" customFormat="false" ht="15" hidden="false" customHeight="false" outlineLevel="0" collapsed="false">
      <c r="A492" s="49" t="n">
        <v>9</v>
      </c>
      <c r="B492" s="54" t="s">
        <v>573</v>
      </c>
      <c r="C492" s="51" t="n">
        <v>416500</v>
      </c>
      <c r="D492" s="51" t="n">
        <f aca="false">300000+116500</f>
        <v>416500</v>
      </c>
      <c r="E492" s="51" t="n">
        <f aca="false">C492-D492</f>
        <v>0</v>
      </c>
    </row>
    <row r="493" customFormat="false" ht="15" hidden="false" customHeight="false" outlineLevel="0" collapsed="false">
      <c r="A493" s="49" t="n">
        <v>10</v>
      </c>
      <c r="B493" s="54" t="s">
        <v>574</v>
      </c>
      <c r="C493" s="51" t="n">
        <v>416500</v>
      </c>
      <c r="D493" s="51"/>
      <c r="E493" s="51" t="n">
        <f aca="false">C493-D493</f>
        <v>416500</v>
      </c>
    </row>
    <row r="494" customFormat="false" ht="15" hidden="false" customHeight="false" outlineLevel="0" collapsed="false">
      <c r="A494" s="49" t="n">
        <v>11</v>
      </c>
      <c r="B494" s="54" t="s">
        <v>575</v>
      </c>
      <c r="C494" s="51" t="n">
        <v>416500</v>
      </c>
      <c r="D494" s="51" t="n">
        <f aca="false">316500+100000</f>
        <v>416500</v>
      </c>
      <c r="E494" s="51" t="n">
        <f aca="false">C494-D494</f>
        <v>0</v>
      </c>
    </row>
    <row r="495" customFormat="false" ht="15" hidden="false" customHeight="false" outlineLevel="0" collapsed="false">
      <c r="A495" s="49" t="n">
        <v>12</v>
      </c>
      <c r="B495" s="54" t="s">
        <v>576</v>
      </c>
      <c r="C495" s="51" t="n">
        <v>416500</v>
      </c>
      <c r="D495" s="51" t="n">
        <v>521500</v>
      </c>
      <c r="E495" s="51" t="n">
        <f aca="false">C495-D495</f>
        <v>-105000</v>
      </c>
    </row>
    <row r="496" customFormat="false" ht="15" hidden="false" customHeight="false" outlineLevel="0" collapsed="false">
      <c r="A496" s="49" t="n">
        <v>13</v>
      </c>
      <c r="B496" s="54" t="s">
        <v>577</v>
      </c>
      <c r="C496" s="51" t="n">
        <v>416500</v>
      </c>
      <c r="D496" s="51" t="n">
        <f aca="false">150000+266500</f>
        <v>416500</v>
      </c>
      <c r="E496" s="51" t="n">
        <f aca="false">C496-D496</f>
        <v>0</v>
      </c>
    </row>
    <row r="497" customFormat="false" ht="15" hidden="false" customHeight="false" outlineLevel="0" collapsed="false">
      <c r="A497" s="49" t="n">
        <v>14</v>
      </c>
      <c r="B497" s="54" t="s">
        <v>578</v>
      </c>
      <c r="C497" s="51" t="n">
        <v>416500</v>
      </c>
      <c r="D497" s="51"/>
      <c r="E497" s="51" t="n">
        <f aca="false">C497-D497</f>
        <v>416500</v>
      </c>
    </row>
    <row r="498" customFormat="false" ht="17.35" hidden="false" customHeight="false" outlineLevel="0" collapsed="false">
      <c r="A498" s="49"/>
      <c r="B498" s="56" t="s">
        <v>21</v>
      </c>
      <c r="C498" s="57" t="n">
        <f aca="false">SUM(C484:C497)</f>
        <v>5731000</v>
      </c>
      <c r="D498" s="58" t="n">
        <f aca="false">SUM(D484:D497)</f>
        <v>4676500</v>
      </c>
      <c r="E498" s="59" t="n">
        <f aca="false">SUM(E484:E497)</f>
        <v>1054500</v>
      </c>
    </row>
    <row r="502" customFormat="false" ht="17.35" hidden="false" customHeight="false" outlineLevel="0" collapsed="false">
      <c r="B502" s="2" t="s">
        <v>0</v>
      </c>
    </row>
    <row r="503" customFormat="false" ht="15" hidden="false" customHeight="false" outlineLevel="0" collapsed="false">
      <c r="A503" s="22"/>
    </row>
    <row r="504" customFormat="false" ht="15" hidden="false" customHeight="false" outlineLevel="0" collapsed="false">
      <c r="A504" s="22"/>
    </row>
    <row r="505" customFormat="false" ht="17.25" hidden="false" customHeight="false" outlineLevel="0" collapsed="false">
      <c r="A505" s="22"/>
      <c r="B505" s="4" t="s">
        <v>579</v>
      </c>
    </row>
    <row r="506" customFormat="false" ht="15" hidden="false" customHeight="false" outlineLevel="0" collapsed="false">
      <c r="A506" s="22"/>
      <c r="D506" s="5" t="s">
        <v>220</v>
      </c>
    </row>
    <row r="507" customFormat="false" ht="15" hidden="false" customHeight="false" outlineLevel="0" collapsed="false">
      <c r="A507" s="22"/>
    </row>
    <row r="508" customFormat="false" ht="15" hidden="false" customHeight="false" outlineLevel="0" collapsed="false">
      <c r="A508" s="6" t="s">
        <v>4</v>
      </c>
      <c r="B508" s="42" t="s">
        <v>5</v>
      </c>
      <c r="C508" s="43" t="s">
        <v>6</v>
      </c>
      <c r="D508" s="44" t="s">
        <v>7</v>
      </c>
      <c r="E508" s="27" t="s">
        <v>8</v>
      </c>
    </row>
    <row r="509" customFormat="false" ht="15" hidden="false" customHeight="false" outlineLevel="0" collapsed="false">
      <c r="A509" s="29" t="n">
        <v>1</v>
      </c>
      <c r="B509" s="37" t="s">
        <v>580</v>
      </c>
      <c r="C509" s="12" t="n">
        <v>416500</v>
      </c>
      <c r="D509" s="12" t="n">
        <f aca="false">216500+200000</f>
        <v>416500</v>
      </c>
      <c r="E509" s="13" t="n">
        <f aca="false">C509-D509</f>
        <v>0</v>
      </c>
    </row>
    <row r="510" customFormat="false" ht="15" hidden="false" customHeight="false" outlineLevel="0" collapsed="false">
      <c r="A510" s="14" t="n">
        <v>2</v>
      </c>
      <c r="B510" s="76" t="s">
        <v>581</v>
      </c>
      <c r="C510" s="12" t="n">
        <v>416500</v>
      </c>
      <c r="D510" s="12" t="n">
        <f aca="false">100000+150000+166500</f>
        <v>416500</v>
      </c>
      <c r="E510" s="13" t="n">
        <f aca="false">C510-D510</f>
        <v>0</v>
      </c>
    </row>
    <row r="511" customFormat="false" ht="15" hidden="false" customHeight="false" outlineLevel="0" collapsed="false">
      <c r="A511" s="29" t="n">
        <v>3</v>
      </c>
      <c r="B511" s="76" t="s">
        <v>582</v>
      </c>
      <c r="C511" s="12" t="n">
        <v>416500</v>
      </c>
      <c r="D511" s="12" t="n">
        <f aca="false">220000+196500</f>
        <v>416500</v>
      </c>
      <c r="E511" s="13" t="n">
        <f aca="false">C511-D511</f>
        <v>0</v>
      </c>
    </row>
    <row r="512" customFormat="false" ht="15" hidden="false" customHeight="false" outlineLevel="0" collapsed="false">
      <c r="A512" s="14" t="n">
        <v>4</v>
      </c>
      <c r="B512" s="76" t="s">
        <v>583</v>
      </c>
      <c r="C512" s="12" t="n">
        <v>416500</v>
      </c>
      <c r="D512" s="12" t="n">
        <f aca="false">99500+317000</f>
        <v>416500</v>
      </c>
      <c r="E512" s="13" t="n">
        <f aca="false">C512-D512</f>
        <v>0</v>
      </c>
    </row>
    <row r="513" customFormat="false" ht="15" hidden="false" customHeight="false" outlineLevel="0" collapsed="false">
      <c r="A513" s="29" t="n">
        <v>5</v>
      </c>
      <c r="B513" s="76" t="s">
        <v>584</v>
      </c>
      <c r="C513" s="12" t="n">
        <v>416500</v>
      </c>
      <c r="D513" s="12" t="n">
        <f aca="false">200000+100000+116000+500</f>
        <v>416500</v>
      </c>
      <c r="E513" s="13" t="n">
        <f aca="false">C513-D513</f>
        <v>0</v>
      </c>
    </row>
    <row r="514" customFormat="false" ht="15" hidden="false" customHeight="false" outlineLevel="0" collapsed="false">
      <c r="A514" s="14" t="n">
        <v>6</v>
      </c>
      <c r="B514" s="76" t="s">
        <v>585</v>
      </c>
      <c r="C514" s="12" t="n">
        <v>416500</v>
      </c>
      <c r="D514" s="12" t="n">
        <f aca="false">100000+116500+50000+50000+50000+50000</f>
        <v>416500</v>
      </c>
      <c r="E514" s="13" t="n">
        <f aca="false">C514-D514</f>
        <v>0</v>
      </c>
    </row>
    <row r="515" customFormat="false" ht="15" hidden="false" customHeight="false" outlineLevel="0" collapsed="false">
      <c r="A515" s="29" t="n">
        <v>7</v>
      </c>
      <c r="B515" s="76" t="s">
        <v>586</v>
      </c>
      <c r="C515" s="12" t="n">
        <v>416500</v>
      </c>
      <c r="D515" s="12" t="n">
        <f aca="false">220000+196000+550</f>
        <v>416550</v>
      </c>
      <c r="E515" s="13" t="n">
        <f aca="false">C515-D515</f>
        <v>-50</v>
      </c>
    </row>
    <row r="516" customFormat="false" ht="15" hidden="false" customHeight="false" outlineLevel="0" collapsed="false">
      <c r="A516" s="14" t="n">
        <v>8</v>
      </c>
      <c r="B516" s="76" t="s">
        <v>587</v>
      </c>
      <c r="C516" s="12" t="n">
        <v>416500</v>
      </c>
      <c r="D516" s="12" t="n">
        <f aca="false">100000+100000+100000+50000+70000</f>
        <v>420000</v>
      </c>
      <c r="E516" s="13" t="n">
        <f aca="false">C516-D516</f>
        <v>-3500</v>
      </c>
    </row>
    <row r="517" customFormat="false" ht="15" hidden="false" customHeight="false" outlineLevel="0" collapsed="false">
      <c r="A517" s="29" t="n">
        <v>9</v>
      </c>
      <c r="B517" s="76" t="s">
        <v>588</v>
      </c>
      <c r="C517" s="12" t="n">
        <v>416500</v>
      </c>
      <c r="D517" s="12" t="n">
        <f aca="false">100000+316500</f>
        <v>416500</v>
      </c>
      <c r="E517" s="13" t="n">
        <f aca="false">C517-D517</f>
        <v>0</v>
      </c>
    </row>
    <row r="518" customFormat="false" ht="15" hidden="false" customHeight="false" outlineLevel="0" collapsed="false">
      <c r="A518" s="14" t="n">
        <v>10</v>
      </c>
      <c r="B518" s="76" t="s">
        <v>589</v>
      </c>
      <c r="C518" s="12" t="n">
        <v>416500</v>
      </c>
      <c r="D518" s="12" t="n">
        <f aca="false">200000+100000+116500</f>
        <v>416500</v>
      </c>
      <c r="E518" s="13" t="n">
        <f aca="false">C518-D518</f>
        <v>0</v>
      </c>
    </row>
    <row r="519" customFormat="false" ht="15" hidden="false" customHeight="false" outlineLevel="0" collapsed="false">
      <c r="A519" s="14" t="n">
        <v>11</v>
      </c>
      <c r="B519" s="76" t="s">
        <v>590</v>
      </c>
      <c r="C519" s="12" t="n">
        <v>416500</v>
      </c>
      <c r="D519" s="12" t="n">
        <f aca="false">100000+216000+100500</f>
        <v>416500</v>
      </c>
      <c r="E519" s="13" t="n">
        <f aca="false">C519-D519</f>
        <v>0</v>
      </c>
    </row>
    <row r="520" customFormat="false" ht="15" hidden="false" customHeight="false" outlineLevel="0" collapsed="false">
      <c r="A520" s="14" t="n">
        <v>12</v>
      </c>
      <c r="B520" s="76" t="s">
        <v>591</v>
      </c>
      <c r="C520" s="12" t="n">
        <v>416500</v>
      </c>
      <c r="D520" s="12" t="n">
        <f aca="false">200000+200000+17000</f>
        <v>417000</v>
      </c>
      <c r="E520" s="13" t="n">
        <f aca="false">C520-D520</f>
        <v>-500</v>
      </c>
    </row>
    <row r="521" customFormat="false" ht="15" hidden="false" customHeight="false" outlineLevel="0" collapsed="false">
      <c r="A521" s="14" t="n">
        <v>13</v>
      </c>
      <c r="B521" s="76" t="s">
        <v>592</v>
      </c>
      <c r="C521" s="12" t="n">
        <v>416500</v>
      </c>
      <c r="D521" s="12" t="n">
        <f aca="false">100000+100000+116500+100000</f>
        <v>416500</v>
      </c>
      <c r="E521" s="13" t="n">
        <f aca="false">C521-D521</f>
        <v>0</v>
      </c>
    </row>
    <row r="522" customFormat="false" ht="15" hidden="false" customHeight="false" outlineLevel="0" collapsed="false">
      <c r="A522" s="14" t="n">
        <v>14</v>
      </c>
      <c r="B522" s="76" t="s">
        <v>593</v>
      </c>
      <c r="C522" s="12" t="n">
        <v>416500</v>
      </c>
      <c r="D522" s="12" t="n">
        <f aca="false">130000+270000+16500</f>
        <v>416500</v>
      </c>
      <c r="E522" s="13" t="n">
        <f aca="false">C522-D522</f>
        <v>0</v>
      </c>
    </row>
    <row r="523" customFormat="false" ht="15" hidden="false" customHeight="false" outlineLevel="0" collapsed="false">
      <c r="A523" s="14" t="n">
        <v>15</v>
      </c>
      <c r="B523" s="76" t="s">
        <v>594</v>
      </c>
      <c r="C523" s="12" t="n">
        <v>416500</v>
      </c>
      <c r="D523" s="12" t="n">
        <f aca="false">216500+200000</f>
        <v>416500</v>
      </c>
      <c r="E523" s="13" t="n">
        <f aca="false">C523-D523</f>
        <v>0</v>
      </c>
    </row>
    <row r="524" customFormat="false" ht="15" hidden="false" customHeight="false" outlineLevel="0" collapsed="false">
      <c r="A524" s="14" t="n">
        <v>16</v>
      </c>
      <c r="B524" s="76" t="s">
        <v>595</v>
      </c>
      <c r="C524" s="12" t="n">
        <v>416500</v>
      </c>
      <c r="D524" s="12" t="n">
        <f aca="false">216500+150000+50000</f>
        <v>416500</v>
      </c>
      <c r="E524" s="13" t="n">
        <f aca="false">C524-D524</f>
        <v>0</v>
      </c>
    </row>
    <row r="525" customFormat="false" ht="15" hidden="false" customHeight="false" outlineLevel="0" collapsed="false">
      <c r="A525" s="14" t="n">
        <v>17</v>
      </c>
      <c r="B525" s="76" t="s">
        <v>596</v>
      </c>
      <c r="C525" s="12" t="n">
        <v>416500</v>
      </c>
      <c r="D525" s="12" t="n">
        <f aca="false">100000+116500+200000</f>
        <v>416500</v>
      </c>
      <c r="E525" s="13" t="n">
        <f aca="false">C525-D525</f>
        <v>0</v>
      </c>
    </row>
    <row r="526" customFormat="false" ht="15" hidden="false" customHeight="false" outlineLevel="0" collapsed="false">
      <c r="A526" s="14" t="n">
        <v>18</v>
      </c>
      <c r="B526" s="76" t="s">
        <v>597</v>
      </c>
      <c r="C526" s="12" t="n">
        <v>416500</v>
      </c>
      <c r="D526" s="12" t="n">
        <v>416500</v>
      </c>
      <c r="E526" s="13" t="n">
        <f aca="false">C526-D526</f>
        <v>0</v>
      </c>
    </row>
    <row r="527" customFormat="false" ht="15" hidden="false" customHeight="false" outlineLevel="0" collapsed="false">
      <c r="A527" s="14" t="n">
        <v>19</v>
      </c>
      <c r="B527" s="76" t="s">
        <v>598</v>
      </c>
      <c r="C527" s="12" t="n">
        <v>416500</v>
      </c>
      <c r="D527" s="12" t="n">
        <f aca="false">100000+100000+216500</f>
        <v>416500</v>
      </c>
      <c r="E527" s="13" t="n">
        <f aca="false">C527-D527</f>
        <v>0</v>
      </c>
    </row>
    <row r="528" customFormat="false" ht="15" hidden="false" customHeight="false" outlineLevel="0" collapsed="false">
      <c r="A528" s="14" t="n">
        <v>20</v>
      </c>
      <c r="B528" s="76" t="s">
        <v>599</v>
      </c>
      <c r="C528" s="12" t="n">
        <v>416500</v>
      </c>
      <c r="D528" s="12" t="n">
        <f aca="false">216500+120000+80000</f>
        <v>416500</v>
      </c>
      <c r="E528" s="13" t="n">
        <f aca="false">C528-D528</f>
        <v>0</v>
      </c>
    </row>
    <row r="529" customFormat="false" ht="15" hidden="false" customHeight="false" outlineLevel="0" collapsed="false">
      <c r="A529" s="14" t="n">
        <v>21</v>
      </c>
      <c r="B529" s="76" t="s">
        <v>600</v>
      </c>
      <c r="C529" s="12" t="n">
        <v>416500</v>
      </c>
      <c r="D529" s="12" t="n">
        <f aca="false">300000+116000</f>
        <v>416000</v>
      </c>
      <c r="E529" s="13" t="n">
        <f aca="false">C529-D529</f>
        <v>500</v>
      </c>
    </row>
    <row r="530" customFormat="false" ht="15" hidden="false" customHeight="false" outlineLevel="0" collapsed="false">
      <c r="A530" s="14" t="n">
        <v>22</v>
      </c>
      <c r="B530" s="76" t="s">
        <v>601</v>
      </c>
      <c r="C530" s="12" t="n">
        <v>416500</v>
      </c>
      <c r="D530" s="12" t="n">
        <f aca="false">116500+200000+70000+30000</f>
        <v>416500</v>
      </c>
      <c r="E530" s="13" t="n">
        <f aca="false">C530-D530</f>
        <v>0</v>
      </c>
    </row>
    <row r="531" customFormat="false" ht="15" hidden="false" customHeight="false" outlineLevel="0" collapsed="false">
      <c r="A531" s="14" t="n">
        <v>23</v>
      </c>
      <c r="B531" s="76" t="s">
        <v>602</v>
      </c>
      <c r="C531" s="12" t="n">
        <v>416500</v>
      </c>
      <c r="D531" s="12" t="n">
        <f aca="false">220000+100000+96500</f>
        <v>416500</v>
      </c>
      <c r="E531" s="13" t="n">
        <f aca="false">C531-D531</f>
        <v>0</v>
      </c>
    </row>
    <row r="532" customFormat="false" ht="15" hidden="false" customHeight="false" outlineLevel="0" collapsed="false">
      <c r="A532" s="14" t="n">
        <v>24</v>
      </c>
      <c r="B532" s="76" t="s">
        <v>603</v>
      </c>
      <c r="C532" s="12" t="n">
        <v>416500</v>
      </c>
      <c r="D532" s="12" t="n">
        <v>416500</v>
      </c>
      <c r="E532" s="13" t="n">
        <f aca="false">C532-D532</f>
        <v>0</v>
      </c>
    </row>
    <row r="533" customFormat="false" ht="15" hidden="false" customHeight="false" outlineLevel="0" collapsed="false">
      <c r="A533" s="14" t="n">
        <v>25</v>
      </c>
      <c r="B533" s="76" t="s">
        <v>604</v>
      </c>
      <c r="C533" s="12" t="n">
        <v>416500</v>
      </c>
      <c r="D533" s="12" t="n">
        <f aca="false">100000+200000+110000+6500</f>
        <v>416500</v>
      </c>
      <c r="E533" s="13" t="n">
        <f aca="false">C533-D533</f>
        <v>0</v>
      </c>
    </row>
    <row r="534" customFormat="false" ht="15" hidden="false" customHeight="false" outlineLevel="0" collapsed="false">
      <c r="A534" s="14" t="n">
        <v>26</v>
      </c>
      <c r="B534" s="76" t="s">
        <v>605</v>
      </c>
      <c r="C534" s="12" t="n">
        <v>416500</v>
      </c>
      <c r="D534" s="12" t="n">
        <f aca="false">100000+216500+100000</f>
        <v>416500</v>
      </c>
      <c r="E534" s="13" t="n">
        <f aca="false">C534-D534</f>
        <v>0</v>
      </c>
    </row>
    <row r="535" customFormat="false" ht="15" hidden="false" customHeight="false" outlineLevel="0" collapsed="false">
      <c r="A535" s="14" t="n">
        <v>27</v>
      </c>
      <c r="B535" s="76" t="s">
        <v>606</v>
      </c>
      <c r="C535" s="12" t="n">
        <v>416500</v>
      </c>
      <c r="D535" s="12" t="n">
        <f aca="false">100000+316000</f>
        <v>416000</v>
      </c>
      <c r="E535" s="13" t="n">
        <f aca="false">C535-D535</f>
        <v>500</v>
      </c>
    </row>
    <row r="536" customFormat="false" ht="15" hidden="false" customHeight="false" outlineLevel="0" collapsed="false">
      <c r="A536" s="14" t="n">
        <v>28</v>
      </c>
      <c r="B536" s="76" t="s">
        <v>607</v>
      </c>
      <c r="C536" s="12" t="n">
        <v>416500</v>
      </c>
      <c r="D536" s="12" t="n">
        <f aca="false">416500</f>
        <v>416500</v>
      </c>
      <c r="E536" s="13" t="n">
        <f aca="false">C536-D536</f>
        <v>0</v>
      </c>
    </row>
    <row r="537" customFormat="false" ht="15" hidden="false" customHeight="false" outlineLevel="0" collapsed="false">
      <c r="A537" s="14" t="n">
        <v>29</v>
      </c>
      <c r="B537" s="76" t="s">
        <v>608</v>
      </c>
      <c r="C537" s="12" t="n">
        <v>416500</v>
      </c>
      <c r="D537" s="12" t="n">
        <f aca="false">100000+300000+16500</f>
        <v>416500</v>
      </c>
      <c r="E537" s="13" t="n">
        <f aca="false">C537-D537</f>
        <v>0</v>
      </c>
    </row>
    <row r="538" customFormat="false" ht="15" hidden="false" customHeight="false" outlineLevel="0" collapsed="false">
      <c r="A538" s="14" t="n">
        <v>30</v>
      </c>
      <c r="B538" s="76" t="s">
        <v>609</v>
      </c>
      <c r="C538" s="12" t="n">
        <v>416500</v>
      </c>
      <c r="D538" s="12" t="n">
        <f aca="false">216500+200000</f>
        <v>416500</v>
      </c>
      <c r="E538" s="13" t="n">
        <f aca="false">C538-D538</f>
        <v>0</v>
      </c>
    </row>
    <row r="539" customFormat="false" ht="15" hidden="false" customHeight="false" outlineLevel="0" collapsed="false">
      <c r="A539" s="14" t="n">
        <v>31</v>
      </c>
      <c r="B539" s="76" t="s">
        <v>610</v>
      </c>
      <c r="C539" s="12" t="n">
        <v>416500</v>
      </c>
      <c r="D539" s="12" t="n">
        <f aca="false">100000+100000+216500</f>
        <v>416500</v>
      </c>
      <c r="E539" s="13" t="n">
        <f aca="false">C539-D539</f>
        <v>0</v>
      </c>
    </row>
    <row r="540" customFormat="false" ht="15" hidden="false" customHeight="false" outlineLevel="0" collapsed="false">
      <c r="A540" s="14" t="n">
        <v>32</v>
      </c>
      <c r="B540" s="76" t="s">
        <v>611</v>
      </c>
      <c r="C540" s="12" t="n">
        <v>416500</v>
      </c>
      <c r="D540" s="12" t="n">
        <f aca="false">100000+110000+106000+100500</f>
        <v>416500</v>
      </c>
      <c r="E540" s="13" t="n">
        <f aca="false">C540-D540</f>
        <v>0</v>
      </c>
    </row>
    <row r="541" customFormat="false" ht="15" hidden="false" customHeight="false" outlineLevel="0" collapsed="false">
      <c r="A541" s="14" t="n">
        <v>33</v>
      </c>
      <c r="B541" s="76" t="s">
        <v>612</v>
      </c>
      <c r="C541" s="12" t="n">
        <v>416500</v>
      </c>
      <c r="D541" s="12" t="n">
        <f aca="false">100000+116500+200000</f>
        <v>416500</v>
      </c>
      <c r="E541" s="13" t="n">
        <f aca="false">C541-D541</f>
        <v>0</v>
      </c>
    </row>
    <row r="542" customFormat="false" ht="15" hidden="false" customHeight="false" outlineLevel="0" collapsed="false">
      <c r="A542" s="14" t="n">
        <v>34</v>
      </c>
      <c r="B542" s="76" t="s">
        <v>613</v>
      </c>
      <c r="C542" s="12" t="n">
        <v>416500</v>
      </c>
      <c r="D542" s="12" t="n">
        <f aca="false">200000+216500</f>
        <v>416500</v>
      </c>
      <c r="E542" s="13" t="n">
        <f aca="false">C542-D542</f>
        <v>0</v>
      </c>
    </row>
    <row r="543" customFormat="false" ht="15" hidden="false" customHeight="false" outlineLevel="0" collapsed="false">
      <c r="A543" s="14" t="n">
        <v>35</v>
      </c>
      <c r="B543" s="76" t="s">
        <v>614</v>
      </c>
      <c r="C543" s="12" t="s">
        <v>74</v>
      </c>
      <c r="D543" s="12"/>
      <c r="E543" s="13" t="s">
        <v>74</v>
      </c>
    </row>
    <row r="544" customFormat="false" ht="15" hidden="false" customHeight="false" outlineLevel="0" collapsed="false">
      <c r="A544" s="14" t="n">
        <v>36</v>
      </c>
      <c r="B544" s="76" t="s">
        <v>615</v>
      </c>
      <c r="C544" s="12" t="n">
        <v>416500</v>
      </c>
      <c r="D544" s="12" t="n">
        <f aca="false">200000+216500</f>
        <v>416500</v>
      </c>
      <c r="E544" s="13" t="n">
        <f aca="false">C544-D544</f>
        <v>0</v>
      </c>
    </row>
    <row r="545" customFormat="false" ht="15" hidden="false" customHeight="false" outlineLevel="0" collapsed="false">
      <c r="A545" s="14" t="n">
        <v>37</v>
      </c>
      <c r="B545" s="76" t="s">
        <v>616</v>
      </c>
      <c r="C545" s="12" t="n">
        <v>416500</v>
      </c>
      <c r="D545" s="12" t="n">
        <f aca="false">199500+217000</f>
        <v>416500</v>
      </c>
      <c r="E545" s="13" t="n">
        <f aca="false">C545-D545</f>
        <v>0</v>
      </c>
    </row>
    <row r="546" customFormat="false" ht="15" hidden="false" customHeight="false" outlineLevel="0" collapsed="false">
      <c r="A546" s="14" t="n">
        <v>38</v>
      </c>
      <c r="B546" s="76" t="s">
        <v>617</v>
      </c>
      <c r="C546" s="12" t="n">
        <v>416500</v>
      </c>
      <c r="D546" s="12" t="n">
        <f aca="false">200000+216000+500</f>
        <v>416500</v>
      </c>
      <c r="E546" s="13" t="n">
        <f aca="false">C546-D546</f>
        <v>0</v>
      </c>
    </row>
    <row r="547" customFormat="false" ht="15" hidden="false" customHeight="false" outlineLevel="0" collapsed="false">
      <c r="A547" s="14" t="n">
        <v>39</v>
      </c>
      <c r="B547" s="76" t="s">
        <v>618</v>
      </c>
      <c r="C547" s="12" t="n">
        <v>416500</v>
      </c>
      <c r="D547" s="12" t="n">
        <f aca="false">100000+216500+100000</f>
        <v>416500</v>
      </c>
      <c r="E547" s="13" t="n">
        <f aca="false">C547-D547</f>
        <v>0</v>
      </c>
    </row>
    <row r="548" customFormat="false" ht="15" hidden="false" customHeight="false" outlineLevel="0" collapsed="false">
      <c r="A548" s="14" t="n">
        <v>40</v>
      </c>
      <c r="B548" s="76" t="s">
        <v>619</v>
      </c>
      <c r="C548" s="12" t="n">
        <v>416500</v>
      </c>
      <c r="D548" s="12" t="n">
        <v>416500</v>
      </c>
      <c r="E548" s="13" t="n">
        <f aca="false">C548-D548</f>
        <v>0</v>
      </c>
    </row>
    <row r="549" customFormat="false" ht="15" hidden="false" customHeight="false" outlineLevel="0" collapsed="false">
      <c r="A549" s="14" t="n">
        <v>41</v>
      </c>
      <c r="B549" s="11" t="s">
        <v>620</v>
      </c>
      <c r="C549" s="89" t="n">
        <v>416500</v>
      </c>
      <c r="D549" s="89" t="n">
        <f aca="false">116500+100000+200000</f>
        <v>416500</v>
      </c>
      <c r="E549" s="13" t="n">
        <f aca="false">C549-D549</f>
        <v>0</v>
      </c>
    </row>
    <row r="550" customFormat="false" ht="15" hidden="false" customHeight="false" outlineLevel="0" collapsed="false">
      <c r="A550" s="14" t="n">
        <v>42</v>
      </c>
      <c r="B550" s="76" t="s">
        <v>621</v>
      </c>
      <c r="C550" s="12" t="n">
        <v>416500</v>
      </c>
      <c r="D550" s="12" t="n">
        <f aca="false">100000+100000+126500+90000</f>
        <v>416500</v>
      </c>
      <c r="E550" s="13" t="n">
        <f aca="false">C550-D550</f>
        <v>0</v>
      </c>
    </row>
    <row r="551" customFormat="false" ht="15" hidden="false" customHeight="false" outlineLevel="0" collapsed="false">
      <c r="A551" s="29" t="n">
        <v>43</v>
      </c>
      <c r="B551" s="76" t="s">
        <v>622</v>
      </c>
      <c r="C551" s="12" t="n">
        <v>416500</v>
      </c>
      <c r="D551" s="12" t="n">
        <f aca="false">100000+100000+116500+100000</f>
        <v>416500</v>
      </c>
      <c r="E551" s="13" t="n">
        <f aca="false">C551-D551</f>
        <v>0</v>
      </c>
    </row>
    <row r="552" customFormat="false" ht="15" hidden="false" customHeight="false" outlineLevel="0" collapsed="false">
      <c r="A552" s="29" t="n">
        <v>44</v>
      </c>
      <c r="B552" s="76" t="s">
        <v>623</v>
      </c>
      <c r="C552" s="12" t="n">
        <v>416500</v>
      </c>
      <c r="D552" s="12" t="n">
        <f aca="false">200000+216500</f>
        <v>416500</v>
      </c>
      <c r="E552" s="13" t="n">
        <f aca="false">C552-D552</f>
        <v>0</v>
      </c>
    </row>
    <row r="553" customFormat="false" ht="15" hidden="false" customHeight="false" outlineLevel="0" collapsed="false">
      <c r="A553" s="29" t="n">
        <v>45</v>
      </c>
      <c r="B553" s="76" t="s">
        <v>624</v>
      </c>
      <c r="C553" s="12" t="n">
        <v>416500</v>
      </c>
      <c r="D553" s="12" t="n">
        <f aca="false">116500+100000+50000+50000+100000</f>
        <v>416500</v>
      </c>
      <c r="E553" s="13" t="n">
        <f aca="false">C553-D553</f>
        <v>0</v>
      </c>
    </row>
    <row r="554" customFormat="false" ht="15" hidden="false" customHeight="false" outlineLevel="0" collapsed="false">
      <c r="A554" s="14" t="n">
        <v>46</v>
      </c>
      <c r="B554" s="76" t="s">
        <v>625</v>
      </c>
      <c r="C554" s="12" t="n">
        <v>416500</v>
      </c>
      <c r="D554" s="12" t="n">
        <f aca="false">180000+36500+200000</f>
        <v>416500</v>
      </c>
      <c r="E554" s="13" t="n">
        <f aca="false">C554-D554</f>
        <v>0</v>
      </c>
    </row>
    <row r="555" customFormat="false" ht="15" hidden="false" customHeight="false" outlineLevel="0" collapsed="false">
      <c r="A555" s="14" t="n">
        <v>47</v>
      </c>
      <c r="B555" s="76" t="s">
        <v>626</v>
      </c>
      <c r="C555" s="12" t="n">
        <v>416500</v>
      </c>
      <c r="D555" s="12" t="n">
        <f aca="false">100000+116000+200500</f>
        <v>416500</v>
      </c>
      <c r="E555" s="13" t="n">
        <f aca="false">C555-D555</f>
        <v>0</v>
      </c>
    </row>
    <row r="556" customFormat="false" ht="15" hidden="false" customHeight="false" outlineLevel="0" collapsed="false">
      <c r="A556" s="14" t="n">
        <v>48</v>
      </c>
      <c r="B556" s="76" t="s">
        <v>627</v>
      </c>
      <c r="C556" s="12" t="n">
        <v>416500</v>
      </c>
      <c r="D556" s="12" t="n">
        <f aca="false">216500+200000</f>
        <v>416500</v>
      </c>
      <c r="E556" s="13" t="n">
        <f aca="false">C556-D556</f>
        <v>0</v>
      </c>
    </row>
    <row r="557" customFormat="false" ht="15" hidden="false" customHeight="false" outlineLevel="0" collapsed="false">
      <c r="A557" s="29" t="n">
        <v>49</v>
      </c>
      <c r="B557" s="76" t="s">
        <v>628</v>
      </c>
      <c r="C557" s="12" t="n">
        <v>416500</v>
      </c>
      <c r="D557" s="12" t="n">
        <f aca="false">200000+216500</f>
        <v>416500</v>
      </c>
      <c r="E557" s="13" t="n">
        <f aca="false">C557-D557</f>
        <v>0</v>
      </c>
    </row>
    <row r="558" customFormat="false" ht="15" hidden="false" customHeight="false" outlineLevel="0" collapsed="false">
      <c r="A558" s="14" t="n">
        <v>50</v>
      </c>
      <c r="B558" s="76" t="s">
        <v>629</v>
      </c>
      <c r="C558" s="12" t="n">
        <v>416500</v>
      </c>
      <c r="D558" s="12" t="n">
        <f aca="false">216000+200500</f>
        <v>416500</v>
      </c>
      <c r="E558" s="13" t="n">
        <f aca="false">C558-D558</f>
        <v>0</v>
      </c>
    </row>
    <row r="559" customFormat="false" ht="15" hidden="false" customHeight="false" outlineLevel="0" collapsed="false">
      <c r="A559" s="14" t="n">
        <v>51</v>
      </c>
      <c r="B559" s="76" t="s">
        <v>630</v>
      </c>
      <c r="C559" s="12" t="n">
        <v>416500</v>
      </c>
      <c r="D559" s="12" t="n">
        <f aca="false">116500+100000+100000+100000</f>
        <v>416500</v>
      </c>
      <c r="E559" s="13" t="n">
        <f aca="false">C559-D559</f>
        <v>0</v>
      </c>
    </row>
    <row r="560" customFormat="false" ht="15" hidden="false" customHeight="false" outlineLevel="0" collapsed="false">
      <c r="A560" s="40" t="n">
        <v>52</v>
      </c>
      <c r="B560" s="76" t="s">
        <v>631</v>
      </c>
      <c r="C560" s="12" t="n">
        <v>416500</v>
      </c>
      <c r="D560" s="12" t="n">
        <f aca="false">216500+200000</f>
        <v>416500</v>
      </c>
      <c r="E560" s="13" t="n">
        <f aca="false">C560-D560</f>
        <v>0</v>
      </c>
    </row>
    <row r="561" customFormat="false" ht="15" hidden="false" customHeight="false" outlineLevel="0" collapsed="false">
      <c r="A561" s="40" t="n">
        <v>53</v>
      </c>
      <c r="B561" s="76" t="s">
        <v>632</v>
      </c>
      <c r="C561" s="12" t="n">
        <v>416500</v>
      </c>
      <c r="D561" s="12" t="n">
        <v>416500</v>
      </c>
      <c r="E561" s="13" t="n">
        <f aca="false">C561-D561</f>
        <v>0</v>
      </c>
    </row>
    <row r="562" customFormat="false" ht="15" hidden="false" customHeight="false" outlineLevel="0" collapsed="false">
      <c r="A562" s="29" t="n">
        <v>54</v>
      </c>
      <c r="B562" s="76" t="s">
        <v>633</v>
      </c>
      <c r="C562" s="12" t="n">
        <v>416500</v>
      </c>
      <c r="D562" s="12" t="n">
        <f aca="false">150000+65000+100000+100000+1500</f>
        <v>416500</v>
      </c>
      <c r="E562" s="13" t="n">
        <f aca="false">C562-D562</f>
        <v>0</v>
      </c>
    </row>
    <row r="563" customFormat="false" ht="15" hidden="false" customHeight="false" outlineLevel="0" collapsed="false">
      <c r="A563" s="14" t="n">
        <v>55</v>
      </c>
      <c r="B563" s="76" t="s">
        <v>634</v>
      </c>
      <c r="C563" s="12" t="n">
        <v>416500</v>
      </c>
      <c r="D563" s="12" t="n">
        <f aca="false">116500+150000+150000</f>
        <v>416500</v>
      </c>
      <c r="E563" s="13" t="n">
        <f aca="false">C563-D563</f>
        <v>0</v>
      </c>
    </row>
    <row r="564" customFormat="false" ht="15" hidden="false" customHeight="false" outlineLevel="0" collapsed="false">
      <c r="A564" s="29" t="n">
        <v>56</v>
      </c>
      <c r="B564" s="76" t="s">
        <v>635</v>
      </c>
      <c r="C564" s="12" t="n">
        <v>416500</v>
      </c>
      <c r="D564" s="12" t="n">
        <f aca="false">216500+200000</f>
        <v>416500</v>
      </c>
      <c r="E564" s="13" t="n">
        <f aca="false">C564-D564</f>
        <v>0</v>
      </c>
    </row>
    <row r="565" customFormat="false" ht="15" hidden="false" customHeight="false" outlineLevel="0" collapsed="false">
      <c r="A565" s="14" t="n">
        <v>57</v>
      </c>
      <c r="B565" s="76" t="s">
        <v>636</v>
      </c>
      <c r="C565" s="12" t="n">
        <v>416500</v>
      </c>
      <c r="D565" s="12" t="n">
        <f aca="false">216500+200000</f>
        <v>416500</v>
      </c>
      <c r="E565" s="13" t="n">
        <f aca="false">C565-D565</f>
        <v>0</v>
      </c>
    </row>
    <row r="566" customFormat="false" ht="15" hidden="false" customHeight="false" outlineLevel="0" collapsed="false">
      <c r="A566" s="29" t="n">
        <v>58</v>
      </c>
      <c r="B566" s="76" t="s">
        <v>637</v>
      </c>
      <c r="C566" s="12" t="n">
        <v>416500</v>
      </c>
      <c r="D566" s="12" t="n">
        <f aca="false">216500+200000</f>
        <v>416500</v>
      </c>
      <c r="E566" s="13" t="n">
        <f aca="false">C566-D566</f>
        <v>0</v>
      </c>
    </row>
    <row r="567" customFormat="false" ht="15" hidden="false" customHeight="false" outlineLevel="0" collapsed="false">
      <c r="A567" s="14" t="n">
        <v>59</v>
      </c>
      <c r="B567" s="76" t="s">
        <v>638</v>
      </c>
      <c r="C567" s="12" t="n">
        <v>416500</v>
      </c>
      <c r="D567" s="12" t="n">
        <f aca="false">100000+116500+100000+100000</f>
        <v>416500</v>
      </c>
      <c r="E567" s="13" t="n">
        <f aca="false">C567-D567</f>
        <v>0</v>
      </c>
    </row>
    <row r="568" customFormat="false" ht="15" hidden="false" customHeight="false" outlineLevel="0" collapsed="false">
      <c r="A568" s="29" t="n">
        <v>60</v>
      </c>
      <c r="B568" s="76" t="s">
        <v>639</v>
      </c>
      <c r="C568" s="12" t="n">
        <v>416500</v>
      </c>
      <c r="D568" s="12" t="n">
        <f aca="false">300000+116500</f>
        <v>416500</v>
      </c>
      <c r="E568" s="13" t="n">
        <f aca="false">C568-D568</f>
        <v>0</v>
      </c>
    </row>
    <row r="569" customFormat="false" ht="15" hidden="false" customHeight="false" outlineLevel="0" collapsed="false">
      <c r="A569" s="14" t="n">
        <v>61</v>
      </c>
      <c r="B569" s="76" t="s">
        <v>640</v>
      </c>
      <c r="C569" s="12" t="n">
        <v>416500</v>
      </c>
      <c r="D569" s="12" t="n">
        <f aca="false">100000+116000+200500</f>
        <v>416500</v>
      </c>
      <c r="E569" s="13" t="n">
        <f aca="false">C569-D569</f>
        <v>0</v>
      </c>
    </row>
    <row r="570" customFormat="false" ht="15" hidden="false" customHeight="false" outlineLevel="0" collapsed="false">
      <c r="A570" s="29" t="n">
        <v>62</v>
      </c>
      <c r="B570" s="76" t="s">
        <v>641</v>
      </c>
      <c r="C570" s="12" t="n">
        <v>416500</v>
      </c>
      <c r="D570" s="12" t="n">
        <f aca="false">116500+100000+100000+100000</f>
        <v>416500</v>
      </c>
      <c r="E570" s="13" t="n">
        <f aca="false">C570-D570</f>
        <v>0</v>
      </c>
    </row>
    <row r="571" customFormat="false" ht="15" hidden="false" customHeight="false" outlineLevel="0" collapsed="false">
      <c r="A571" s="29" t="n">
        <v>63</v>
      </c>
      <c r="B571" s="76" t="s">
        <v>642</v>
      </c>
      <c r="C571" s="12" t="n">
        <v>416500</v>
      </c>
      <c r="D571" s="12" t="n">
        <f aca="false">200000+115000+101500</f>
        <v>416500</v>
      </c>
      <c r="E571" s="13" t="n">
        <f aca="false">C571-D571</f>
        <v>0</v>
      </c>
    </row>
    <row r="572" customFormat="false" ht="15" hidden="false" customHeight="false" outlineLevel="0" collapsed="false">
      <c r="A572" s="29" t="n">
        <v>64</v>
      </c>
      <c r="B572" s="76" t="s">
        <v>643</v>
      </c>
      <c r="C572" s="12" t="n">
        <v>416500</v>
      </c>
      <c r="D572" s="12" t="n">
        <f aca="false">200000+216500</f>
        <v>416500</v>
      </c>
      <c r="E572" s="13" t="n">
        <f aca="false">C572-D572</f>
        <v>0</v>
      </c>
    </row>
    <row r="573" customFormat="false" ht="15" hidden="false" customHeight="false" outlineLevel="0" collapsed="false">
      <c r="A573" s="29" t="n">
        <v>65</v>
      </c>
      <c r="B573" s="76" t="s">
        <v>644</v>
      </c>
      <c r="C573" s="12" t="n">
        <v>416500</v>
      </c>
      <c r="D573" s="12" t="n">
        <f aca="false">216500+200000</f>
        <v>416500</v>
      </c>
      <c r="E573" s="13" t="n">
        <f aca="false">C573-D573</f>
        <v>0</v>
      </c>
    </row>
    <row r="574" customFormat="false" ht="15" hidden="false" customHeight="false" outlineLevel="0" collapsed="false">
      <c r="A574" s="29" t="n">
        <v>66</v>
      </c>
      <c r="B574" s="76" t="s">
        <v>645</v>
      </c>
      <c r="C574" s="12" t="n">
        <v>416500</v>
      </c>
      <c r="D574" s="12" t="n">
        <f aca="false">100000+316500</f>
        <v>416500</v>
      </c>
      <c r="E574" s="13" t="n">
        <f aca="false">C574-D574</f>
        <v>0</v>
      </c>
    </row>
    <row r="575" customFormat="false" ht="15" hidden="false" customHeight="false" outlineLevel="0" collapsed="false">
      <c r="A575" s="29" t="n">
        <v>67</v>
      </c>
      <c r="B575" s="76" t="s">
        <v>646</v>
      </c>
      <c r="C575" s="12" t="n">
        <v>416500</v>
      </c>
      <c r="D575" s="12" t="n">
        <f aca="false">200000+216500</f>
        <v>416500</v>
      </c>
      <c r="E575" s="13" t="n">
        <f aca="false">C575-D575</f>
        <v>0</v>
      </c>
    </row>
    <row r="576" customFormat="false" ht="15" hidden="false" customHeight="false" outlineLevel="0" collapsed="false">
      <c r="A576" s="29" t="n">
        <v>68</v>
      </c>
      <c r="B576" s="76" t="s">
        <v>647</v>
      </c>
      <c r="C576" s="12" t="n">
        <v>416500</v>
      </c>
      <c r="D576" s="12" t="n">
        <f aca="false">200000+200000+16500</f>
        <v>416500</v>
      </c>
      <c r="E576" s="13" t="n">
        <f aca="false">C576-D576</f>
        <v>0</v>
      </c>
    </row>
    <row r="577" customFormat="false" ht="15" hidden="false" customHeight="false" outlineLevel="0" collapsed="false">
      <c r="A577" s="29" t="n">
        <v>69</v>
      </c>
      <c r="B577" s="76" t="s">
        <v>648</v>
      </c>
      <c r="C577" s="12" t="n">
        <v>416500</v>
      </c>
      <c r="D577" s="12" t="n">
        <f aca="false">215000+201500</f>
        <v>416500</v>
      </c>
      <c r="E577" s="13" t="n">
        <f aca="false">C577-D577</f>
        <v>0</v>
      </c>
    </row>
    <row r="578" customFormat="false" ht="15" hidden="false" customHeight="false" outlineLevel="0" collapsed="false">
      <c r="A578" s="29" t="n">
        <v>70</v>
      </c>
      <c r="B578" s="76" t="s">
        <v>649</v>
      </c>
      <c r="C578" s="12" t="n">
        <v>416500</v>
      </c>
      <c r="D578" s="12" t="n">
        <f aca="false">216000+200500</f>
        <v>416500</v>
      </c>
      <c r="E578" s="13" t="n">
        <f aca="false">C578-D578</f>
        <v>0</v>
      </c>
    </row>
    <row r="579" customFormat="false" ht="15" hidden="false" customHeight="false" outlineLevel="0" collapsed="false">
      <c r="A579" s="29" t="n">
        <v>71</v>
      </c>
      <c r="B579" s="76" t="s">
        <v>650</v>
      </c>
      <c r="C579" s="12" t="n">
        <v>416500</v>
      </c>
      <c r="D579" s="12" t="n">
        <f aca="false">100000+116500+200000</f>
        <v>416500</v>
      </c>
      <c r="E579" s="13" t="n">
        <f aca="false">C579-D579</f>
        <v>0</v>
      </c>
    </row>
    <row r="580" customFormat="false" ht="15" hidden="false" customHeight="false" outlineLevel="0" collapsed="false">
      <c r="A580" s="29" t="n">
        <v>72</v>
      </c>
      <c r="B580" s="76" t="s">
        <v>651</v>
      </c>
      <c r="C580" s="12" t="n">
        <v>416500</v>
      </c>
      <c r="D580" s="12" t="n">
        <f aca="false">150000+50000+100000+116500</f>
        <v>416500</v>
      </c>
      <c r="E580" s="13" t="n">
        <f aca="false">C580-D580</f>
        <v>0</v>
      </c>
    </row>
    <row r="581" customFormat="false" ht="15" hidden="false" customHeight="false" outlineLevel="0" collapsed="false">
      <c r="A581" s="29" t="n">
        <v>73</v>
      </c>
      <c r="B581" s="76" t="s">
        <v>652</v>
      </c>
      <c r="C581" s="12" t="n">
        <v>416500</v>
      </c>
      <c r="D581" s="12" t="n">
        <f aca="false">216500+100000+100000</f>
        <v>416500</v>
      </c>
      <c r="E581" s="13" t="n">
        <f aca="false">C581-D581</f>
        <v>0</v>
      </c>
    </row>
    <row r="582" customFormat="false" ht="15" hidden="false" customHeight="false" outlineLevel="0" collapsed="false">
      <c r="A582" s="29" t="n">
        <v>74</v>
      </c>
      <c r="B582" s="76" t="s">
        <v>653</v>
      </c>
      <c r="C582" s="12" t="n">
        <v>416500</v>
      </c>
      <c r="D582" s="12" t="n">
        <f aca="false">216000+200000+500</f>
        <v>416500</v>
      </c>
      <c r="E582" s="13" t="n">
        <f aca="false">C582-D582</f>
        <v>0</v>
      </c>
    </row>
    <row r="583" customFormat="false" ht="15" hidden="false" customHeight="false" outlineLevel="0" collapsed="false">
      <c r="A583" s="29" t="n">
        <v>75</v>
      </c>
      <c r="B583" s="76" t="s">
        <v>654</v>
      </c>
      <c r="C583" s="12" t="n">
        <v>416500</v>
      </c>
      <c r="D583" s="12" t="n">
        <f aca="false">216500+200000</f>
        <v>416500</v>
      </c>
      <c r="E583" s="13" t="n">
        <f aca="false">C583-D583</f>
        <v>0</v>
      </c>
    </row>
    <row r="584" customFormat="false" ht="15" hidden="false" customHeight="false" outlineLevel="0" collapsed="false">
      <c r="A584" s="29" t="n">
        <v>76</v>
      </c>
      <c r="B584" s="76" t="s">
        <v>655</v>
      </c>
      <c r="C584" s="12" t="n">
        <v>416500</v>
      </c>
      <c r="D584" s="12" t="n">
        <f aca="false">200000+216500</f>
        <v>416500</v>
      </c>
      <c r="E584" s="13" t="n">
        <f aca="false">C584-D584</f>
        <v>0</v>
      </c>
    </row>
    <row r="585" customFormat="false" ht="15" hidden="false" customHeight="false" outlineLevel="0" collapsed="false">
      <c r="A585" s="29" t="n">
        <v>77</v>
      </c>
      <c r="B585" s="76" t="s">
        <v>656</v>
      </c>
      <c r="C585" s="12" t="n">
        <v>416500</v>
      </c>
      <c r="D585" s="12" t="n">
        <f aca="false">166500+250000</f>
        <v>416500</v>
      </c>
      <c r="E585" s="13" t="n">
        <f aca="false">C585-D585</f>
        <v>0</v>
      </c>
    </row>
    <row r="586" customFormat="false" ht="15" hidden="false" customHeight="false" outlineLevel="0" collapsed="false">
      <c r="A586" s="29" t="n">
        <v>78</v>
      </c>
      <c r="B586" s="76" t="s">
        <v>657</v>
      </c>
      <c r="C586" s="12" t="n">
        <v>416500</v>
      </c>
      <c r="D586" s="12" t="n">
        <f aca="false">166500+50000+200000</f>
        <v>416500</v>
      </c>
      <c r="E586" s="13" t="n">
        <f aca="false">C586-D586</f>
        <v>0</v>
      </c>
    </row>
    <row r="587" customFormat="false" ht="15" hidden="false" customHeight="false" outlineLevel="0" collapsed="false">
      <c r="A587" s="29" t="n">
        <v>79</v>
      </c>
      <c r="B587" s="76" t="s">
        <v>658</v>
      </c>
      <c r="C587" s="12" t="n">
        <v>416500</v>
      </c>
      <c r="D587" s="12" t="n">
        <f aca="false">216500+100000+100000</f>
        <v>416500</v>
      </c>
      <c r="E587" s="13" t="n">
        <f aca="false">C587-D587</f>
        <v>0</v>
      </c>
    </row>
    <row r="588" customFormat="false" ht="15" hidden="false" customHeight="false" outlineLevel="0" collapsed="false">
      <c r="A588" s="29" t="n">
        <v>80</v>
      </c>
      <c r="B588" s="76" t="s">
        <v>659</v>
      </c>
      <c r="C588" s="12" t="n">
        <v>416500</v>
      </c>
      <c r="D588" s="12" t="n">
        <f aca="false">199500+17000+100000+100000</f>
        <v>416500</v>
      </c>
      <c r="E588" s="13" t="n">
        <f aca="false">C588-D588</f>
        <v>0</v>
      </c>
    </row>
    <row r="589" customFormat="false" ht="15" hidden="false" customHeight="false" outlineLevel="0" collapsed="false">
      <c r="A589" s="29" t="n">
        <v>81</v>
      </c>
      <c r="B589" s="76" t="s">
        <v>660</v>
      </c>
      <c r="C589" s="12" t="n">
        <v>416500</v>
      </c>
      <c r="D589" s="12" t="n">
        <f aca="false">200000+216500</f>
        <v>416500</v>
      </c>
      <c r="E589" s="13" t="n">
        <f aca="false">C589-D589</f>
        <v>0</v>
      </c>
    </row>
    <row r="590" customFormat="false" ht="15" hidden="false" customHeight="false" outlineLevel="0" collapsed="false">
      <c r="A590" s="29" t="n">
        <v>82</v>
      </c>
      <c r="B590" s="76" t="s">
        <v>661</v>
      </c>
      <c r="C590" s="12" t="n">
        <v>416500</v>
      </c>
      <c r="D590" s="12" t="n">
        <f aca="false">100000+316500</f>
        <v>416500</v>
      </c>
      <c r="E590" s="13" t="n">
        <f aca="false">C590-D590</f>
        <v>0</v>
      </c>
    </row>
    <row r="591" customFormat="false" ht="15" hidden="false" customHeight="false" outlineLevel="0" collapsed="false">
      <c r="A591" s="29" t="n">
        <v>83</v>
      </c>
      <c r="B591" s="76" t="s">
        <v>662</v>
      </c>
      <c r="C591" s="12" t="n">
        <v>416500</v>
      </c>
      <c r="D591" s="12" t="n">
        <f aca="false">216500+200000</f>
        <v>416500</v>
      </c>
      <c r="E591" s="13" t="n">
        <f aca="false">C591-D591</f>
        <v>0</v>
      </c>
    </row>
    <row r="592" customFormat="false" ht="15" hidden="false" customHeight="false" outlineLevel="0" collapsed="false">
      <c r="A592" s="29" t="n">
        <v>84</v>
      </c>
      <c r="B592" s="76" t="s">
        <v>663</v>
      </c>
      <c r="C592" s="12" t="n">
        <v>416500</v>
      </c>
      <c r="D592" s="12" t="n">
        <f aca="false">416500</f>
        <v>416500</v>
      </c>
      <c r="E592" s="13" t="n">
        <f aca="false">C592-D592</f>
        <v>0</v>
      </c>
    </row>
    <row r="593" customFormat="false" ht="15" hidden="false" customHeight="false" outlineLevel="0" collapsed="false">
      <c r="A593" s="29" t="n">
        <v>85</v>
      </c>
      <c r="B593" s="76" t="s">
        <v>664</v>
      </c>
      <c r="C593" s="12" t="n">
        <v>416500</v>
      </c>
      <c r="D593" s="12" t="n">
        <f aca="false">250000+166000+500</f>
        <v>416500</v>
      </c>
      <c r="E593" s="13" t="n">
        <f aca="false">C593-D593</f>
        <v>0</v>
      </c>
    </row>
    <row r="594" customFormat="false" ht="15" hidden="false" customHeight="false" outlineLevel="0" collapsed="false">
      <c r="A594" s="29" t="n">
        <v>86</v>
      </c>
      <c r="B594" s="76" t="s">
        <v>665</v>
      </c>
      <c r="C594" s="12" t="n">
        <v>416500</v>
      </c>
      <c r="D594" s="12" t="n">
        <f aca="false">150000+266500</f>
        <v>416500</v>
      </c>
      <c r="E594" s="13" t="n">
        <f aca="false">C594-D594</f>
        <v>0</v>
      </c>
    </row>
    <row r="595" customFormat="false" ht="15" hidden="false" customHeight="false" outlineLevel="0" collapsed="false">
      <c r="A595" s="29" t="n">
        <v>87</v>
      </c>
      <c r="B595" s="76" t="s">
        <v>666</v>
      </c>
      <c r="C595" s="12" t="n">
        <v>416500</v>
      </c>
      <c r="D595" s="12" t="n">
        <f aca="false">417500</f>
        <v>417500</v>
      </c>
      <c r="E595" s="13" t="n">
        <f aca="false">C595-D595</f>
        <v>-1000</v>
      </c>
    </row>
    <row r="596" customFormat="false" ht="15" hidden="false" customHeight="false" outlineLevel="0" collapsed="false">
      <c r="A596" s="29" t="n">
        <v>88</v>
      </c>
      <c r="B596" s="76" t="s">
        <v>667</v>
      </c>
      <c r="C596" s="12" t="n">
        <v>416500</v>
      </c>
      <c r="D596" s="12" t="n">
        <f aca="false">100000+200000+116500</f>
        <v>416500</v>
      </c>
      <c r="E596" s="13" t="n">
        <f aca="false">C596-D596</f>
        <v>0</v>
      </c>
    </row>
    <row r="597" customFormat="false" ht="15" hidden="false" customHeight="false" outlineLevel="0" collapsed="false">
      <c r="A597" s="29" t="n">
        <v>89</v>
      </c>
      <c r="B597" s="76" t="s">
        <v>668</v>
      </c>
      <c r="C597" s="12" t="n">
        <v>416500</v>
      </c>
      <c r="D597" s="12" t="n">
        <f aca="false">200000+181500+35000</f>
        <v>416500</v>
      </c>
      <c r="E597" s="13" t="n">
        <f aca="false">C597-D597</f>
        <v>0</v>
      </c>
    </row>
    <row r="598" customFormat="false" ht="15" hidden="false" customHeight="false" outlineLevel="0" collapsed="false">
      <c r="A598" s="29" t="n">
        <v>90</v>
      </c>
      <c r="B598" s="76" t="s">
        <v>669</v>
      </c>
      <c r="C598" s="12" t="n">
        <v>416500</v>
      </c>
      <c r="D598" s="12" t="n">
        <f aca="false">100000+100000+216500</f>
        <v>416500</v>
      </c>
      <c r="E598" s="13" t="n">
        <f aca="false">C598-D598</f>
        <v>0</v>
      </c>
    </row>
    <row r="599" customFormat="false" ht="15" hidden="false" customHeight="false" outlineLevel="0" collapsed="false">
      <c r="A599" s="29" t="n">
        <v>91</v>
      </c>
      <c r="B599" s="76" t="s">
        <v>670</v>
      </c>
      <c r="C599" s="12" t="n">
        <v>416500</v>
      </c>
      <c r="D599" s="12" t="n">
        <f aca="false">215000+201500</f>
        <v>416500</v>
      </c>
      <c r="E599" s="13" t="n">
        <f aca="false">C599-D599</f>
        <v>0</v>
      </c>
    </row>
    <row r="600" customFormat="false" ht="15" hidden="false" customHeight="false" outlineLevel="0" collapsed="false">
      <c r="A600" s="29" t="n">
        <v>92</v>
      </c>
      <c r="B600" s="76" t="s">
        <v>671</v>
      </c>
      <c r="C600" s="12" t="n">
        <v>416500</v>
      </c>
      <c r="D600" s="12" t="n">
        <f aca="false">216500+200000</f>
        <v>416500</v>
      </c>
      <c r="E600" s="13" t="n">
        <f aca="false">C600-D600</f>
        <v>0</v>
      </c>
    </row>
    <row r="601" customFormat="false" ht="15" hidden="false" customHeight="false" outlineLevel="0" collapsed="false">
      <c r="A601" s="29" t="n">
        <v>93</v>
      </c>
      <c r="B601" s="76" t="s">
        <v>672</v>
      </c>
      <c r="C601" s="12" t="n">
        <v>416500</v>
      </c>
      <c r="D601" s="12" t="n">
        <f aca="false">100000+100000+116500+100000</f>
        <v>416500</v>
      </c>
      <c r="E601" s="13" t="n">
        <f aca="false">C601-D601</f>
        <v>0</v>
      </c>
    </row>
    <row r="602" customFormat="false" ht="15" hidden="false" customHeight="false" outlineLevel="0" collapsed="false">
      <c r="A602" s="29" t="n">
        <v>94</v>
      </c>
      <c r="B602" s="76" t="s">
        <v>673</v>
      </c>
      <c r="C602" s="12" t="n">
        <v>416500</v>
      </c>
      <c r="D602" s="12" t="n">
        <f aca="false">216500+200000</f>
        <v>416500</v>
      </c>
      <c r="E602" s="13" t="n">
        <f aca="false">C602-D602</f>
        <v>0</v>
      </c>
    </row>
    <row r="603" customFormat="false" ht="15" hidden="false" customHeight="false" outlineLevel="0" collapsed="false">
      <c r="A603" s="29" t="n">
        <v>95</v>
      </c>
      <c r="B603" s="76" t="s">
        <v>674</v>
      </c>
      <c r="C603" s="12" t="n">
        <v>416500</v>
      </c>
      <c r="D603" s="12" t="n">
        <f aca="false">200000+1500+15000+100000+100000</f>
        <v>416500</v>
      </c>
      <c r="E603" s="13" t="n">
        <f aca="false">C603-D603</f>
        <v>0</v>
      </c>
    </row>
    <row r="604" customFormat="false" ht="15" hidden="false" customHeight="false" outlineLevel="0" collapsed="false">
      <c r="A604" s="29" t="n">
        <v>96</v>
      </c>
      <c r="B604" s="76" t="s">
        <v>675</v>
      </c>
      <c r="C604" s="12" t="n">
        <v>416500</v>
      </c>
      <c r="D604" s="12" t="n">
        <f aca="false">100000+200000+116500</f>
        <v>416500</v>
      </c>
      <c r="E604" s="13" t="n">
        <f aca="false">C604-D604</f>
        <v>0</v>
      </c>
    </row>
    <row r="605" customFormat="false" ht="15" hidden="false" customHeight="false" outlineLevel="0" collapsed="false">
      <c r="A605" s="29" t="n">
        <v>97</v>
      </c>
      <c r="B605" s="41" t="s">
        <v>676</v>
      </c>
      <c r="C605" s="26" t="n">
        <v>416500</v>
      </c>
      <c r="D605" s="26" t="n">
        <f aca="false">216500+200000</f>
        <v>416500</v>
      </c>
      <c r="E605" s="13" t="n">
        <f aca="false">C605-D605</f>
        <v>0</v>
      </c>
    </row>
    <row r="606" customFormat="false" ht="15" hidden="false" customHeight="false" outlineLevel="0" collapsed="false">
      <c r="A606" s="29" t="n">
        <v>98</v>
      </c>
      <c r="B606" s="41" t="s">
        <v>677</v>
      </c>
      <c r="C606" s="26" t="n">
        <v>416500</v>
      </c>
      <c r="D606" s="26" t="n">
        <f aca="false">200000+160000+56500</f>
        <v>416500</v>
      </c>
      <c r="E606" s="13" t="n">
        <f aca="false">C606-D606</f>
        <v>0</v>
      </c>
    </row>
    <row r="607" customFormat="false" ht="17.35" hidden="false" customHeight="false" outlineLevel="0" collapsed="false">
      <c r="A607" s="90"/>
      <c r="B607" s="18" t="s">
        <v>21</v>
      </c>
      <c r="C607" s="19" t="n">
        <f aca="false">SUM(C509:C606)</f>
        <v>40400500</v>
      </c>
      <c r="D607" s="20" t="n">
        <f aca="false">SUM(D509:D606)</f>
        <v>40404550</v>
      </c>
      <c r="E607" s="21" t="n">
        <f aca="false">SUM(E509:E606)</f>
        <v>-4050</v>
      </c>
    </row>
    <row r="611" customFormat="false" ht="17.35" hidden="false" customHeight="false" outlineLevel="0" collapsed="false">
      <c r="B611" s="2" t="s">
        <v>0</v>
      </c>
    </row>
    <row r="612" customFormat="false" ht="17.35" hidden="false" customHeight="false" outlineLevel="0" collapsed="false">
      <c r="A612" s="35"/>
    </row>
    <row r="613" customFormat="false" ht="15" hidden="false" customHeight="false" outlineLevel="0" collapsed="false">
      <c r="A613" s="22"/>
    </row>
    <row r="614" customFormat="false" ht="17.25" hidden="false" customHeight="false" outlineLevel="0" collapsed="false">
      <c r="A614" s="22"/>
      <c r="B614" s="4" t="s">
        <v>678</v>
      </c>
    </row>
    <row r="615" customFormat="false" ht="15" hidden="false" customHeight="false" outlineLevel="0" collapsed="false">
      <c r="A615" s="22"/>
      <c r="D615" s="5" t="s">
        <v>220</v>
      </c>
    </row>
    <row r="616" customFormat="false" ht="15" hidden="false" customHeight="false" outlineLevel="0" collapsed="false">
      <c r="A616" s="22"/>
    </row>
    <row r="617" customFormat="false" ht="15" hidden="false" customHeight="false" outlineLevel="0" collapsed="false">
      <c r="A617" s="6" t="s">
        <v>4</v>
      </c>
      <c r="B617" s="42" t="s">
        <v>5</v>
      </c>
      <c r="C617" s="43" t="s">
        <v>6</v>
      </c>
      <c r="D617" s="44" t="s">
        <v>7</v>
      </c>
      <c r="E617" s="27" t="s">
        <v>8</v>
      </c>
    </row>
    <row r="618" customFormat="false" ht="15" hidden="false" customHeight="false" outlineLevel="0" collapsed="false">
      <c r="A618" s="14" t="n">
        <v>1</v>
      </c>
      <c r="B618" s="11" t="s">
        <v>679</v>
      </c>
      <c r="C618" s="12" t="n">
        <v>416500</v>
      </c>
      <c r="D618" s="12" t="n">
        <f aca="false">215000+201500</f>
        <v>416500</v>
      </c>
      <c r="E618" s="13" t="n">
        <f aca="false">C618-D618</f>
        <v>0</v>
      </c>
    </row>
    <row r="619" customFormat="false" ht="15" hidden="false" customHeight="false" outlineLevel="0" collapsed="false">
      <c r="A619" s="14" t="n">
        <v>2</v>
      </c>
      <c r="B619" s="11" t="s">
        <v>680</v>
      </c>
      <c r="C619" s="12" t="n">
        <v>416500</v>
      </c>
      <c r="D619" s="12" t="n">
        <f aca="false">416500</f>
        <v>416500</v>
      </c>
      <c r="E619" s="13" t="n">
        <f aca="false">C619-D619</f>
        <v>0</v>
      </c>
    </row>
    <row r="620" customFormat="false" ht="15" hidden="false" customHeight="false" outlineLevel="0" collapsed="false">
      <c r="A620" s="14" t="n">
        <v>3</v>
      </c>
      <c r="B620" s="16" t="s">
        <v>681</v>
      </c>
      <c r="C620" s="12" t="n">
        <v>416500</v>
      </c>
      <c r="D620" s="12" t="n">
        <f aca="false">100000+116500+200000</f>
        <v>416500</v>
      </c>
      <c r="E620" s="13" t="n">
        <f aca="false">C620-D620</f>
        <v>0</v>
      </c>
    </row>
    <row r="621" customFormat="false" ht="15" hidden="false" customHeight="false" outlineLevel="0" collapsed="false">
      <c r="A621" s="14" t="n">
        <v>4</v>
      </c>
      <c r="B621" s="11" t="s">
        <v>682</v>
      </c>
      <c r="C621" s="12" t="n">
        <v>416500</v>
      </c>
      <c r="D621" s="12" t="n">
        <f aca="false">30000+190000+196500</f>
        <v>416500</v>
      </c>
      <c r="E621" s="13" t="n">
        <f aca="false">C621-D621</f>
        <v>0</v>
      </c>
    </row>
    <row r="622" customFormat="false" ht="15" hidden="false" customHeight="false" outlineLevel="0" collapsed="false">
      <c r="A622" s="14" t="n">
        <v>5</v>
      </c>
      <c r="B622" s="11" t="s">
        <v>683</v>
      </c>
      <c r="C622" s="12" t="n">
        <v>416500</v>
      </c>
      <c r="D622" s="12" t="n">
        <f aca="false">100000</f>
        <v>100000</v>
      </c>
      <c r="E622" s="13" t="n">
        <f aca="false">C622-D622</f>
        <v>316500</v>
      </c>
    </row>
    <row r="623" customFormat="false" ht="15" hidden="false" customHeight="false" outlineLevel="0" collapsed="false">
      <c r="A623" s="24" t="n">
        <v>6</v>
      </c>
      <c r="B623" s="11" t="s">
        <v>684</v>
      </c>
      <c r="C623" s="12" t="n">
        <v>416500</v>
      </c>
      <c r="D623" s="12" t="n">
        <f aca="false">120000+306500</f>
        <v>426500</v>
      </c>
      <c r="E623" s="13" t="n">
        <f aca="false">C623-D623</f>
        <v>-10000</v>
      </c>
    </row>
    <row r="624" customFormat="false" ht="15" hidden="false" customHeight="false" outlineLevel="0" collapsed="false">
      <c r="A624" s="14" t="n">
        <v>7</v>
      </c>
      <c r="B624" s="11" t="s">
        <v>685</v>
      </c>
      <c r="C624" s="12" t="n">
        <v>416500</v>
      </c>
      <c r="D624" s="12" t="n">
        <f aca="false">216500+200000</f>
        <v>416500</v>
      </c>
      <c r="E624" s="13" t="n">
        <f aca="false">C624-D624</f>
        <v>0</v>
      </c>
    </row>
    <row r="625" customFormat="false" ht="15" hidden="false" customHeight="false" outlineLevel="0" collapsed="false">
      <c r="A625" s="14" t="n">
        <v>8</v>
      </c>
      <c r="B625" s="11" t="s">
        <v>686</v>
      </c>
      <c r="C625" s="12" t="n">
        <v>416500</v>
      </c>
      <c r="D625" s="12"/>
      <c r="E625" s="13" t="n">
        <f aca="false">C625-D625</f>
        <v>416500</v>
      </c>
    </row>
    <row r="626" customFormat="false" ht="15" hidden="false" customHeight="false" outlineLevel="0" collapsed="false">
      <c r="A626" s="14" t="n">
        <v>9</v>
      </c>
      <c r="B626" s="11" t="s">
        <v>687</v>
      </c>
      <c r="C626" s="12" t="s">
        <v>74</v>
      </c>
      <c r="D626" s="12"/>
      <c r="E626" s="13" t="s">
        <v>74</v>
      </c>
    </row>
    <row r="627" customFormat="false" ht="15" hidden="false" customHeight="false" outlineLevel="0" collapsed="false">
      <c r="A627" s="14" t="n">
        <v>10</v>
      </c>
      <c r="B627" s="11" t="s">
        <v>688</v>
      </c>
      <c r="C627" s="12" t="n">
        <v>416500</v>
      </c>
      <c r="D627" s="12" t="n">
        <f aca="false">100000+66500+250000</f>
        <v>416500</v>
      </c>
      <c r="E627" s="13" t="n">
        <f aca="false">C627-D627</f>
        <v>0</v>
      </c>
    </row>
    <row r="628" customFormat="false" ht="15" hidden="false" customHeight="false" outlineLevel="0" collapsed="false">
      <c r="A628" s="14" t="n">
        <v>11</v>
      </c>
      <c r="B628" s="11" t="s">
        <v>689</v>
      </c>
      <c r="C628" s="12" t="n">
        <v>416500</v>
      </c>
      <c r="D628" s="12" t="n">
        <f aca="false">115000+190000+110000+1500</f>
        <v>416500</v>
      </c>
      <c r="E628" s="13" t="n">
        <f aca="false">C628-D628</f>
        <v>0</v>
      </c>
    </row>
    <row r="629" customFormat="false" ht="15" hidden="false" customHeight="false" outlineLevel="0" collapsed="false">
      <c r="A629" s="14" t="n">
        <v>12</v>
      </c>
      <c r="B629" s="11" t="s">
        <v>690</v>
      </c>
      <c r="C629" s="12" t="n">
        <v>416500</v>
      </c>
      <c r="D629" s="12" t="n">
        <f aca="false">100000+316500</f>
        <v>416500</v>
      </c>
      <c r="E629" s="13" t="n">
        <f aca="false">C629-D629</f>
        <v>0</v>
      </c>
    </row>
    <row r="630" customFormat="false" ht="15" hidden="false" customHeight="false" outlineLevel="0" collapsed="false">
      <c r="A630" s="14" t="n">
        <v>13</v>
      </c>
      <c r="B630" s="11" t="s">
        <v>691</v>
      </c>
      <c r="C630" s="12" t="n">
        <v>416500</v>
      </c>
      <c r="D630" s="12" t="n">
        <f aca="false">200000+216500</f>
        <v>416500</v>
      </c>
      <c r="E630" s="13" t="n">
        <f aca="false">C630-D630</f>
        <v>0</v>
      </c>
    </row>
    <row r="631" customFormat="false" ht="17.35" hidden="false" customHeight="false" outlineLevel="0" collapsed="false">
      <c r="A631" s="14"/>
      <c r="B631" s="63" t="s">
        <v>21</v>
      </c>
      <c r="C631" s="19" t="n">
        <v>4581500</v>
      </c>
      <c r="D631" s="91" t="n">
        <f aca="false">SUM(D618:D630)</f>
        <v>4275000</v>
      </c>
      <c r="E631" s="21" t="n">
        <f aca="false">SUM(E618:E630)</f>
        <v>723000</v>
      </c>
    </row>
    <row r="634" customFormat="false" ht="17.35" hidden="false" customHeight="false" outlineLevel="0" collapsed="false">
      <c r="A634" s="53"/>
      <c r="B634" s="2" t="s">
        <v>0</v>
      </c>
      <c r="C634" s="2"/>
      <c r="D634" s="2"/>
    </row>
    <row r="635" customFormat="false" ht="15" hidden="false" customHeight="false" outlineLevel="0" collapsed="false">
      <c r="A635" s="53"/>
    </row>
    <row r="636" customFormat="false" ht="17.35" hidden="false" customHeight="false" outlineLevel="0" collapsed="false">
      <c r="A636" s="53"/>
      <c r="B636" s="45" t="s">
        <v>236</v>
      </c>
    </row>
    <row r="637" customFormat="false" ht="15" hidden="false" customHeight="false" outlineLevel="0" collapsed="false">
      <c r="A637" s="53"/>
      <c r="B637" s="4" t="s">
        <v>692</v>
      </c>
    </row>
    <row r="638" customFormat="false" ht="15" hidden="false" customHeight="false" outlineLevel="0" collapsed="false">
      <c r="A638" s="53"/>
    </row>
    <row r="639" customFormat="false" ht="15" hidden="false" customHeight="false" outlineLevel="0" collapsed="false">
      <c r="A639" s="46" t="s">
        <v>4</v>
      </c>
      <c r="B639" s="47" t="s">
        <v>238</v>
      </c>
      <c r="C639" s="43" t="s">
        <v>6</v>
      </c>
      <c r="D639" s="48" t="s">
        <v>7</v>
      </c>
      <c r="E639" s="27" t="s">
        <v>8</v>
      </c>
    </row>
    <row r="640" customFormat="false" ht="15" hidden="false" customHeight="false" outlineLevel="0" collapsed="false">
      <c r="A640" s="49" t="n">
        <v>1</v>
      </c>
      <c r="B640" s="54" t="s">
        <v>693</v>
      </c>
      <c r="C640" s="51" t="n">
        <v>416500</v>
      </c>
      <c r="D640" s="51" t="n">
        <f aca="false">133500+116500+166500</f>
        <v>416500</v>
      </c>
      <c r="E640" s="52" t="n">
        <f aca="false">C640-D640</f>
        <v>0</v>
      </c>
    </row>
    <row r="641" customFormat="false" ht="15" hidden="false" customHeight="false" outlineLevel="0" collapsed="false">
      <c r="A641" s="49" t="n">
        <v>2</v>
      </c>
      <c r="B641" s="54" t="s">
        <v>694</v>
      </c>
      <c r="C641" s="51" t="n">
        <v>416500</v>
      </c>
      <c r="D641" s="51" t="n">
        <f aca="false">50000+366500</f>
        <v>416500</v>
      </c>
      <c r="E641" s="52" t="n">
        <f aca="false">C641-D641</f>
        <v>0</v>
      </c>
    </row>
    <row r="642" customFormat="false" ht="15" hidden="false" customHeight="false" outlineLevel="0" collapsed="false">
      <c r="A642" s="49" t="n">
        <v>3</v>
      </c>
      <c r="B642" s="54" t="s">
        <v>695</v>
      </c>
      <c r="C642" s="51" t="n">
        <v>416500</v>
      </c>
      <c r="D642" s="51" t="n">
        <f aca="false">100000+300500+16000</f>
        <v>416500</v>
      </c>
      <c r="E642" s="52" t="n">
        <f aca="false">C642-D642</f>
        <v>0</v>
      </c>
    </row>
    <row r="643" customFormat="false" ht="15" hidden="false" customHeight="false" outlineLevel="0" collapsed="false">
      <c r="A643" s="49" t="n">
        <v>4</v>
      </c>
      <c r="B643" s="54" t="s">
        <v>696</v>
      </c>
      <c r="C643" s="51" t="n">
        <v>416500</v>
      </c>
      <c r="D643" s="51" t="n">
        <f aca="false">219500+100000+97000</f>
        <v>416500</v>
      </c>
      <c r="E643" s="52" t="n">
        <f aca="false">C643-D643</f>
        <v>0</v>
      </c>
    </row>
    <row r="644" customFormat="false" ht="15" hidden="false" customHeight="false" outlineLevel="0" collapsed="false">
      <c r="A644" s="49" t="n">
        <v>5</v>
      </c>
      <c r="B644" s="54" t="s">
        <v>697</v>
      </c>
      <c r="C644" s="51" t="n">
        <v>416500</v>
      </c>
      <c r="D644" s="51" t="n">
        <f aca="false">50000</f>
        <v>50000</v>
      </c>
      <c r="E644" s="52" t="n">
        <f aca="false">C644-D644</f>
        <v>366500</v>
      </c>
    </row>
    <row r="645" customFormat="false" ht="15" hidden="false" customHeight="false" outlineLevel="0" collapsed="false">
      <c r="A645" s="49" t="n">
        <v>6</v>
      </c>
      <c r="B645" s="54" t="s">
        <v>698</v>
      </c>
      <c r="C645" s="51" t="n">
        <v>416500</v>
      </c>
      <c r="D645" s="51" t="n">
        <f aca="false">216500+200000</f>
        <v>416500</v>
      </c>
      <c r="E645" s="52" t="n">
        <f aca="false">C645-D645</f>
        <v>0</v>
      </c>
    </row>
    <row r="646" customFormat="false" ht="15" hidden="false" customHeight="false" outlineLevel="0" collapsed="false">
      <c r="A646" s="92" t="n">
        <v>7</v>
      </c>
      <c r="B646" s="54" t="s">
        <v>699</v>
      </c>
      <c r="C646" s="51" t="n">
        <v>416500</v>
      </c>
      <c r="D646" s="51" t="n">
        <f aca="false">208250+208250</f>
        <v>416500</v>
      </c>
      <c r="E646" s="52" t="n">
        <f aca="false">C646-D646</f>
        <v>0</v>
      </c>
    </row>
    <row r="647" customFormat="false" ht="15" hidden="false" customHeight="false" outlineLevel="0" collapsed="false">
      <c r="A647" s="92" t="n">
        <v>8</v>
      </c>
      <c r="B647" s="54" t="s">
        <v>700</v>
      </c>
      <c r="C647" s="51" t="n">
        <v>416500</v>
      </c>
      <c r="D647" s="51" t="n">
        <f aca="false">216500+200000</f>
        <v>416500</v>
      </c>
      <c r="E647" s="52" t="n">
        <f aca="false">C647-D647</f>
        <v>0</v>
      </c>
    </row>
    <row r="648" customFormat="false" ht="15" hidden="false" customHeight="false" outlineLevel="0" collapsed="false">
      <c r="A648" s="49" t="n">
        <v>9</v>
      </c>
      <c r="B648" s="54" t="s">
        <v>701</v>
      </c>
      <c r="C648" s="51" t="n">
        <v>416500</v>
      </c>
      <c r="D648" s="51" t="n">
        <f aca="false">66500+200000+150000</f>
        <v>416500</v>
      </c>
      <c r="E648" s="52" t="n">
        <f aca="false">C648-D648</f>
        <v>0</v>
      </c>
    </row>
    <row r="649" customFormat="false" ht="15" hidden="false" customHeight="false" outlineLevel="0" collapsed="false">
      <c r="A649" s="49" t="n">
        <v>10</v>
      </c>
      <c r="B649" s="54" t="s">
        <v>702</v>
      </c>
      <c r="C649" s="51" t="n">
        <v>416500</v>
      </c>
      <c r="D649" s="51" t="n">
        <v>416500</v>
      </c>
      <c r="E649" s="52" t="n">
        <f aca="false">C649-D649</f>
        <v>0</v>
      </c>
    </row>
    <row r="650" customFormat="false" ht="15" hidden="false" customHeight="false" outlineLevel="0" collapsed="false">
      <c r="A650" s="49" t="n">
        <v>11</v>
      </c>
      <c r="B650" s="54" t="s">
        <v>703</v>
      </c>
      <c r="C650" s="51" t="n">
        <v>416500</v>
      </c>
      <c r="D650" s="51" t="n">
        <f aca="false">216000+200000+500</f>
        <v>416500</v>
      </c>
      <c r="E650" s="52" t="n">
        <f aca="false">C650-D650</f>
        <v>0</v>
      </c>
    </row>
    <row r="651" customFormat="false" ht="15" hidden="false" customHeight="false" outlineLevel="0" collapsed="false">
      <c r="A651" s="49" t="n">
        <v>12</v>
      </c>
      <c r="B651" s="54" t="s">
        <v>704</v>
      </c>
      <c r="C651" s="51" t="n">
        <v>416500</v>
      </c>
      <c r="D651" s="51" t="n">
        <f aca="false">300000+116500</f>
        <v>416500</v>
      </c>
      <c r="E651" s="52" t="n">
        <f aca="false">C651-D651</f>
        <v>0</v>
      </c>
    </row>
    <row r="652" customFormat="false" ht="15" hidden="false" customHeight="false" outlineLevel="0" collapsed="false">
      <c r="A652" s="49" t="n">
        <v>13</v>
      </c>
      <c r="B652" s="54" t="s">
        <v>705</v>
      </c>
      <c r="C652" s="51" t="n">
        <v>416500</v>
      </c>
      <c r="D652" s="51" t="n">
        <f aca="false">100000+100000+156500+60000</f>
        <v>416500</v>
      </c>
      <c r="E652" s="52" t="n">
        <f aca="false">C652-D652</f>
        <v>0</v>
      </c>
    </row>
    <row r="653" customFormat="false" ht="15" hidden="false" customHeight="false" outlineLevel="0" collapsed="false">
      <c r="A653" s="49" t="n">
        <v>14</v>
      </c>
      <c r="B653" s="54" t="s">
        <v>706</v>
      </c>
      <c r="C653" s="51" t="n">
        <v>416500</v>
      </c>
      <c r="D653" s="51" t="n">
        <f aca="false">100000+120000+50000+146500</f>
        <v>416500</v>
      </c>
      <c r="E653" s="52" t="n">
        <f aca="false">C653-D653</f>
        <v>0</v>
      </c>
    </row>
    <row r="654" customFormat="false" ht="15" hidden="false" customHeight="false" outlineLevel="0" collapsed="false">
      <c r="A654" s="49" t="n">
        <v>15</v>
      </c>
      <c r="B654" s="54" t="s">
        <v>707</v>
      </c>
      <c r="C654" s="51" t="n">
        <v>416500</v>
      </c>
      <c r="D654" s="51" t="n">
        <f aca="false">216500+200000</f>
        <v>416500</v>
      </c>
      <c r="E654" s="52" t="n">
        <f aca="false">C654-D654</f>
        <v>0</v>
      </c>
    </row>
    <row r="655" customFormat="false" ht="15" hidden="false" customHeight="false" outlineLevel="0" collapsed="false">
      <c r="A655" s="49" t="n">
        <v>16</v>
      </c>
      <c r="B655" s="93" t="s">
        <v>708</v>
      </c>
      <c r="C655" s="51" t="n">
        <v>416500</v>
      </c>
      <c r="D655" s="51" t="n">
        <f aca="false">100000+100000</f>
        <v>200000</v>
      </c>
      <c r="E655" s="52" t="n">
        <f aca="false">C655-D655</f>
        <v>216500</v>
      </c>
    </row>
    <row r="656" customFormat="false" ht="17.35" hidden="false" customHeight="false" outlineLevel="0" collapsed="false">
      <c r="A656" s="49"/>
      <c r="B656" s="94" t="s">
        <v>21</v>
      </c>
      <c r="C656" s="57" t="n">
        <f aca="false">SUM(C640:C655)</f>
        <v>6664000</v>
      </c>
      <c r="D656" s="58" t="n">
        <f aca="false">SUM(D640:D655)</f>
        <v>6081000</v>
      </c>
      <c r="E656" s="59" t="n">
        <f aca="false">SUM(E640:E655)</f>
        <v>583000</v>
      </c>
    </row>
    <row r="660" customFormat="false" ht="17.35" hidden="false" customHeight="false" outlineLevel="0" collapsed="false">
      <c r="A660" s="53"/>
      <c r="B660" s="95" t="s">
        <v>0</v>
      </c>
      <c r="C660" s="95"/>
      <c r="D660" s="95"/>
      <c r="E660" s="95"/>
    </row>
    <row r="661" customFormat="false" ht="15" hidden="false" customHeight="false" outlineLevel="0" collapsed="false">
      <c r="A661" s="53"/>
    </row>
    <row r="662" customFormat="false" ht="17.35" hidden="false" customHeight="false" outlineLevel="0" collapsed="false">
      <c r="A662" s="53"/>
      <c r="B662" s="45" t="s">
        <v>266</v>
      </c>
    </row>
    <row r="663" customFormat="false" ht="15" hidden="false" customHeight="false" outlineLevel="0" collapsed="false">
      <c r="A663" s="53"/>
      <c r="B663" s="4" t="s">
        <v>692</v>
      </c>
    </row>
    <row r="664" customFormat="false" ht="15" hidden="false" customHeight="false" outlineLevel="0" collapsed="false">
      <c r="A664" s="46" t="s">
        <v>4</v>
      </c>
      <c r="B664" s="47" t="s">
        <v>238</v>
      </c>
      <c r="C664" s="43" t="s">
        <v>6</v>
      </c>
      <c r="D664" s="48" t="s">
        <v>7</v>
      </c>
      <c r="E664" s="27" t="s">
        <v>8</v>
      </c>
    </row>
    <row r="665" customFormat="false" ht="15" hidden="false" customHeight="false" outlineLevel="0" collapsed="false">
      <c r="A665" s="49" t="n">
        <v>1</v>
      </c>
      <c r="B665" s="54" t="s">
        <v>709</v>
      </c>
      <c r="C665" s="51" t="n">
        <v>416500</v>
      </c>
      <c r="D665" s="51" t="n">
        <f aca="false">50000</f>
        <v>50000</v>
      </c>
      <c r="E665" s="52" t="n">
        <f aca="false">C665-D665</f>
        <v>366500</v>
      </c>
    </row>
    <row r="666" customFormat="false" ht="15" hidden="false" customHeight="false" outlineLevel="0" collapsed="false">
      <c r="A666" s="49" t="n">
        <v>2</v>
      </c>
      <c r="B666" s="54" t="s">
        <v>710</v>
      </c>
      <c r="C666" s="51" t="n">
        <v>416500</v>
      </c>
      <c r="D666" s="51" t="n">
        <f aca="false">70000+10500+336000</f>
        <v>416500</v>
      </c>
      <c r="E666" s="52" t="n">
        <f aca="false">C666-D666</f>
        <v>0</v>
      </c>
    </row>
    <row r="667" customFormat="false" ht="15" hidden="false" customHeight="false" outlineLevel="0" collapsed="false">
      <c r="A667" s="49" t="n">
        <v>3</v>
      </c>
      <c r="B667" s="96" t="s">
        <v>711</v>
      </c>
      <c r="C667" s="97" t="n">
        <v>416500</v>
      </c>
      <c r="D667" s="97" t="n">
        <f aca="false">6500+100000+200000+110000</f>
        <v>416500</v>
      </c>
      <c r="E667" s="98" t="n">
        <f aca="false">C667-D667</f>
        <v>0</v>
      </c>
    </row>
    <row r="668" customFormat="false" ht="15" hidden="false" customHeight="false" outlineLevel="0" collapsed="false">
      <c r="A668" s="49" t="n">
        <v>4</v>
      </c>
      <c r="B668" s="54" t="s">
        <v>712</v>
      </c>
      <c r="C668" s="51" t="n">
        <v>416500</v>
      </c>
      <c r="D668" s="51" t="n">
        <f aca="false">116500</f>
        <v>116500</v>
      </c>
      <c r="E668" s="52" t="n">
        <f aca="false">C668-D668</f>
        <v>300000</v>
      </c>
    </row>
    <row r="669" customFormat="false" ht="15" hidden="false" customHeight="false" outlineLevel="0" collapsed="false">
      <c r="A669" s="49" t="n">
        <v>5</v>
      </c>
      <c r="B669" s="54" t="s">
        <v>713</v>
      </c>
      <c r="C669" s="51" t="n">
        <v>416500</v>
      </c>
      <c r="D669" s="51" t="n">
        <f aca="false">50000+366500</f>
        <v>416500</v>
      </c>
      <c r="E669" s="52" t="n">
        <f aca="false">C669-D669</f>
        <v>0</v>
      </c>
    </row>
    <row r="670" customFormat="false" ht="15" hidden="false" customHeight="false" outlineLevel="0" collapsed="false">
      <c r="A670" s="49" t="n">
        <v>6</v>
      </c>
      <c r="B670" s="54" t="s">
        <v>714</v>
      </c>
      <c r="C670" s="51" t="n">
        <v>416500</v>
      </c>
      <c r="D670" s="51" t="n">
        <f aca="false">50000+366500</f>
        <v>416500</v>
      </c>
      <c r="E670" s="52" t="n">
        <f aca="false">C670-D670</f>
        <v>0</v>
      </c>
    </row>
    <row r="671" customFormat="false" ht="15" hidden="false" customHeight="false" outlineLevel="0" collapsed="false">
      <c r="A671" s="49" t="n">
        <v>7</v>
      </c>
      <c r="B671" s="54" t="s">
        <v>715</v>
      </c>
      <c r="C671" s="51" t="n">
        <v>416500</v>
      </c>
      <c r="D671" s="51" t="n">
        <f aca="false">100000+200000+116500</f>
        <v>416500</v>
      </c>
      <c r="E671" s="52" t="n">
        <f aca="false">C671-D671</f>
        <v>0</v>
      </c>
    </row>
    <row r="672" customFormat="false" ht="15" hidden="false" customHeight="false" outlineLevel="0" collapsed="false">
      <c r="A672" s="49" t="n">
        <v>8</v>
      </c>
      <c r="B672" s="54" t="s">
        <v>716</v>
      </c>
      <c r="C672" s="51" t="n">
        <v>416550</v>
      </c>
      <c r="D672" s="51" t="n">
        <f aca="false">50000+300000+66500</f>
        <v>416500</v>
      </c>
      <c r="E672" s="52" t="n">
        <f aca="false">C672-D672</f>
        <v>50</v>
      </c>
    </row>
    <row r="673" customFormat="false" ht="15" hidden="false" customHeight="false" outlineLevel="0" collapsed="false">
      <c r="A673" s="49" t="n">
        <v>9</v>
      </c>
      <c r="B673" s="54" t="s">
        <v>717</v>
      </c>
      <c r="C673" s="51" t="n">
        <v>416500</v>
      </c>
      <c r="D673" s="51" t="n">
        <f aca="false">16500</f>
        <v>16500</v>
      </c>
      <c r="E673" s="52" t="n">
        <f aca="false">C673-D673</f>
        <v>400000</v>
      </c>
    </row>
    <row r="674" customFormat="false" ht="15" hidden="false" customHeight="false" outlineLevel="0" collapsed="false">
      <c r="A674" s="49" t="n">
        <v>10</v>
      </c>
      <c r="B674" s="54" t="s">
        <v>718</v>
      </c>
      <c r="C674" s="51" t="n">
        <v>416500</v>
      </c>
      <c r="D674" s="51" t="n">
        <f aca="false">150000+266500</f>
        <v>416500</v>
      </c>
      <c r="E674" s="52" t="n">
        <f aca="false">C674-D674</f>
        <v>0</v>
      </c>
    </row>
    <row r="675" customFormat="false" ht="15" hidden="false" customHeight="false" outlineLevel="0" collapsed="false">
      <c r="A675" s="49" t="n">
        <v>11</v>
      </c>
      <c r="B675" s="54" t="s">
        <v>719</v>
      </c>
      <c r="C675" s="51" t="n">
        <v>416500</v>
      </c>
      <c r="D675" s="51" t="n">
        <v>416500</v>
      </c>
      <c r="E675" s="52" t="n">
        <f aca="false">C675-D675</f>
        <v>0</v>
      </c>
    </row>
    <row r="676" customFormat="false" ht="15" hidden="false" customHeight="false" outlineLevel="0" collapsed="false">
      <c r="A676" s="49" t="n">
        <v>12</v>
      </c>
      <c r="B676" s="54" t="s">
        <v>720</v>
      </c>
      <c r="C676" s="51" t="n">
        <v>416500</v>
      </c>
      <c r="D676" s="51" t="n">
        <f aca="false">100000+100000+216500</f>
        <v>416500</v>
      </c>
      <c r="E676" s="52" t="n">
        <f aca="false">C676-D676</f>
        <v>0</v>
      </c>
    </row>
    <row r="677" customFormat="false" ht="15" hidden="false" customHeight="false" outlineLevel="0" collapsed="false">
      <c r="A677" s="49" t="n">
        <v>13</v>
      </c>
      <c r="B677" s="54" t="s">
        <v>721</v>
      </c>
      <c r="C677" s="51" t="n">
        <v>416500</v>
      </c>
      <c r="D677" s="51" t="n">
        <v>416500</v>
      </c>
      <c r="E677" s="52" t="n">
        <f aca="false">C677-D677</f>
        <v>0</v>
      </c>
    </row>
    <row r="678" customFormat="false" ht="19.7" hidden="false" customHeight="false" outlineLevel="0" collapsed="false">
      <c r="A678" s="75"/>
      <c r="B678" s="70" t="s">
        <v>21</v>
      </c>
      <c r="C678" s="57" t="n">
        <f aca="false">SUM(C665:C677)</f>
        <v>5414550</v>
      </c>
      <c r="D678" s="58" t="n">
        <f aca="false">SUM(D665:D677)</f>
        <v>4348000</v>
      </c>
      <c r="E678" s="59" t="n">
        <f aca="false">SUM(E665:E677)</f>
        <v>1066550</v>
      </c>
    </row>
    <row r="682" customFormat="false" ht="17.35" hidden="false" customHeight="false" outlineLevel="0" collapsed="false">
      <c r="B682" s="2" t="s">
        <v>0</v>
      </c>
    </row>
    <row r="683" customFormat="false" ht="17.35" hidden="false" customHeight="false" outlineLevel="0" collapsed="false">
      <c r="A683" s="2"/>
    </row>
    <row r="686" customFormat="false" ht="17.25" hidden="false" customHeight="false" outlineLevel="0" collapsed="false">
      <c r="B686" s="3" t="s">
        <v>722</v>
      </c>
    </row>
    <row r="687" customFormat="false" ht="15" hidden="false" customHeight="false" outlineLevel="0" collapsed="false">
      <c r="B687" s="4"/>
      <c r="E687" s="5" t="s">
        <v>220</v>
      </c>
    </row>
    <row r="690" customFormat="false" ht="15" hidden="false" customHeight="false" outlineLevel="0" collapsed="false">
      <c r="A690" s="6" t="s">
        <v>4</v>
      </c>
      <c r="B690" s="42" t="s">
        <v>5</v>
      </c>
      <c r="C690" s="43" t="s">
        <v>6</v>
      </c>
      <c r="D690" s="44" t="s">
        <v>7</v>
      </c>
      <c r="E690" s="27" t="s">
        <v>8</v>
      </c>
    </row>
    <row r="691" customFormat="false" ht="15" hidden="false" customHeight="false" outlineLevel="0" collapsed="false">
      <c r="A691" s="29" t="n">
        <v>1</v>
      </c>
      <c r="B691" s="99" t="s">
        <v>723</v>
      </c>
      <c r="C691" s="13" t="n">
        <v>416500</v>
      </c>
      <c r="D691" s="100"/>
      <c r="E691" s="13" t="n">
        <f aca="false">C691-D691</f>
        <v>416500</v>
      </c>
    </row>
    <row r="692" customFormat="false" ht="15" hidden="false" customHeight="false" outlineLevel="0" collapsed="false">
      <c r="A692" s="14" t="n">
        <v>2</v>
      </c>
      <c r="B692" s="101" t="s">
        <v>724</v>
      </c>
      <c r="C692" s="13" t="n">
        <v>416500</v>
      </c>
      <c r="D692" s="100" t="n">
        <f aca="false">100000+100000+216500</f>
        <v>416500</v>
      </c>
      <c r="E692" s="13" t="n">
        <f aca="false">C692-D692</f>
        <v>0</v>
      </c>
    </row>
    <row r="693" customFormat="false" ht="15" hidden="false" customHeight="false" outlineLevel="0" collapsed="false">
      <c r="A693" s="29" t="n">
        <v>3</v>
      </c>
      <c r="B693" s="101" t="s">
        <v>725</v>
      </c>
      <c r="C693" s="13" t="n">
        <v>416500</v>
      </c>
      <c r="D693" s="100" t="n">
        <f aca="false">200000+216500</f>
        <v>416500</v>
      </c>
      <c r="E693" s="13" t="n">
        <f aca="false">C693-D693</f>
        <v>0</v>
      </c>
    </row>
    <row r="694" customFormat="false" ht="15" hidden="false" customHeight="false" outlineLevel="0" collapsed="false">
      <c r="A694" s="14" t="n">
        <v>4</v>
      </c>
      <c r="B694" s="101" t="s">
        <v>726</v>
      </c>
      <c r="C694" s="13" t="n">
        <v>416500</v>
      </c>
      <c r="D694" s="12" t="n">
        <f aca="false">216000+200500</f>
        <v>416500</v>
      </c>
      <c r="E694" s="13" t="n">
        <f aca="false">C694-D694</f>
        <v>0</v>
      </c>
    </row>
    <row r="695" customFormat="false" ht="15" hidden="false" customHeight="false" outlineLevel="0" collapsed="false">
      <c r="A695" s="29" t="n">
        <v>5</v>
      </c>
      <c r="B695" s="101" t="s">
        <v>727</v>
      </c>
      <c r="C695" s="13" t="n">
        <v>416500</v>
      </c>
      <c r="D695" s="12" t="n">
        <v>416500</v>
      </c>
      <c r="E695" s="13" t="n">
        <f aca="false">C695-D695</f>
        <v>0</v>
      </c>
    </row>
    <row r="696" customFormat="false" ht="15" hidden="false" customHeight="false" outlineLevel="0" collapsed="false">
      <c r="A696" s="14" t="n">
        <v>6</v>
      </c>
      <c r="B696" s="101" t="s">
        <v>728</v>
      </c>
      <c r="C696" s="13" t="n">
        <v>416500</v>
      </c>
      <c r="D696" s="12" t="n">
        <f aca="false">100000+100000+150000+66500</f>
        <v>416500</v>
      </c>
      <c r="E696" s="13" t="n">
        <f aca="false">C696-D696</f>
        <v>0</v>
      </c>
    </row>
    <row r="697" customFormat="false" ht="15" hidden="false" customHeight="false" outlineLevel="0" collapsed="false">
      <c r="A697" s="14" t="n">
        <v>7</v>
      </c>
      <c r="B697" s="101" t="s">
        <v>729</v>
      </c>
      <c r="C697" s="13" t="n">
        <v>416500</v>
      </c>
      <c r="D697" s="12" t="n">
        <f aca="false">100000+50000+116000+100000+50000+500</f>
        <v>416500</v>
      </c>
      <c r="E697" s="13" t="n">
        <f aca="false">C697-D697</f>
        <v>0</v>
      </c>
    </row>
    <row r="698" customFormat="false" ht="15" hidden="false" customHeight="false" outlineLevel="0" collapsed="false">
      <c r="A698" s="29" t="n">
        <v>8</v>
      </c>
      <c r="B698" s="101" t="s">
        <v>730</v>
      </c>
      <c r="C698" s="13" t="n">
        <v>416500</v>
      </c>
      <c r="D698" s="12" t="n">
        <f aca="false">50000+35000+200000+131500</f>
        <v>416500</v>
      </c>
      <c r="E698" s="13" t="n">
        <f aca="false">C698-D698</f>
        <v>0</v>
      </c>
    </row>
    <row r="699" customFormat="false" ht="15" hidden="false" customHeight="false" outlineLevel="0" collapsed="false">
      <c r="A699" s="14" t="n">
        <v>9</v>
      </c>
      <c r="B699" s="101" t="s">
        <v>731</v>
      </c>
      <c r="C699" s="13" t="n">
        <v>416500</v>
      </c>
      <c r="D699" s="12" t="n">
        <f aca="false">100000+70000+30000+100000+100000+16500</f>
        <v>416500</v>
      </c>
      <c r="E699" s="13" t="n">
        <f aca="false">C699-D699</f>
        <v>0</v>
      </c>
    </row>
    <row r="700" customFormat="false" ht="15" hidden="false" customHeight="false" outlineLevel="0" collapsed="false">
      <c r="A700" s="29" t="n">
        <v>10</v>
      </c>
      <c r="B700" s="101" t="s">
        <v>732</v>
      </c>
      <c r="C700" s="102" t="n">
        <v>416500</v>
      </c>
      <c r="D700" s="89" t="n">
        <f aca="false">110000+100000+100000+100000</f>
        <v>410000</v>
      </c>
      <c r="E700" s="13" t="n">
        <f aca="false">C700-D700</f>
        <v>6500</v>
      </c>
    </row>
    <row r="701" customFormat="false" ht="15" hidden="false" customHeight="false" outlineLevel="0" collapsed="false">
      <c r="A701" s="14" t="n">
        <v>11</v>
      </c>
      <c r="B701" s="101" t="s">
        <v>733</v>
      </c>
      <c r="C701" s="13" t="n">
        <v>416500</v>
      </c>
      <c r="D701" s="12" t="n">
        <f aca="false">100000+100000+100000+116500</f>
        <v>416500</v>
      </c>
      <c r="E701" s="13" t="n">
        <f aca="false">C701-D701</f>
        <v>0</v>
      </c>
    </row>
    <row r="702" customFormat="false" ht="15" hidden="false" customHeight="false" outlineLevel="0" collapsed="false">
      <c r="A702" s="14" t="n">
        <v>12</v>
      </c>
      <c r="B702" s="101" t="s">
        <v>734</v>
      </c>
      <c r="C702" s="13" t="n">
        <v>416500</v>
      </c>
      <c r="D702" s="12" t="n">
        <f aca="false">100000+200000+100000+16500</f>
        <v>416500</v>
      </c>
      <c r="E702" s="13" t="n">
        <f aca="false">C702-D702</f>
        <v>0</v>
      </c>
    </row>
    <row r="703" customFormat="false" ht="15" hidden="false" customHeight="false" outlineLevel="0" collapsed="false">
      <c r="A703" s="14" t="n">
        <v>13</v>
      </c>
      <c r="B703" s="101" t="s">
        <v>735</v>
      </c>
      <c r="C703" s="13" t="n">
        <v>416500</v>
      </c>
      <c r="D703" s="12" t="n">
        <f aca="false">216500+200000</f>
        <v>416500</v>
      </c>
      <c r="E703" s="13" t="n">
        <f aca="false">C703-D703</f>
        <v>0</v>
      </c>
    </row>
    <row r="704" customFormat="false" ht="15" hidden="false" customHeight="false" outlineLevel="0" collapsed="false">
      <c r="A704" s="14" t="n">
        <v>14</v>
      </c>
      <c r="B704" s="101" t="s">
        <v>736</v>
      </c>
      <c r="C704" s="13" t="n">
        <v>416500</v>
      </c>
      <c r="D704" s="12" t="n">
        <f aca="false">99500+100000+50000+167000</f>
        <v>416500</v>
      </c>
      <c r="E704" s="13" t="n">
        <f aca="false">C704-D704</f>
        <v>0</v>
      </c>
    </row>
    <row r="705" customFormat="false" ht="15" hidden="false" customHeight="false" outlineLevel="0" collapsed="false">
      <c r="A705" s="14" t="n">
        <v>15</v>
      </c>
      <c r="B705" s="101" t="s">
        <v>737</v>
      </c>
      <c r="C705" s="13" t="n">
        <v>416500</v>
      </c>
      <c r="D705" s="12" t="n">
        <f aca="false">116000+300000+500</f>
        <v>416500</v>
      </c>
      <c r="E705" s="13" t="n">
        <f aca="false">C705-D705</f>
        <v>0</v>
      </c>
    </row>
    <row r="706" customFormat="false" ht="15" hidden="false" customHeight="false" outlineLevel="0" collapsed="false">
      <c r="A706" s="14" t="n">
        <v>16</v>
      </c>
      <c r="B706" s="101" t="s">
        <v>738</v>
      </c>
      <c r="C706" s="13" t="n">
        <v>416500</v>
      </c>
      <c r="D706" s="12" t="n">
        <f aca="false">99500+110000+110000+97000</f>
        <v>416500</v>
      </c>
      <c r="E706" s="13" t="n">
        <f aca="false">C706-D706</f>
        <v>0</v>
      </c>
    </row>
    <row r="707" customFormat="false" ht="15" hidden="false" customHeight="false" outlineLevel="0" collapsed="false">
      <c r="A707" s="14" t="n">
        <v>17</v>
      </c>
      <c r="B707" s="103" t="s">
        <v>739</v>
      </c>
      <c r="C707" s="13" t="n">
        <v>416500</v>
      </c>
      <c r="D707" s="12"/>
      <c r="E707" s="13" t="n">
        <f aca="false">C707-D707</f>
        <v>416500</v>
      </c>
    </row>
    <row r="708" customFormat="false" ht="15" hidden="false" customHeight="false" outlineLevel="0" collapsed="false">
      <c r="A708" s="14" t="n">
        <v>18</v>
      </c>
      <c r="B708" s="101" t="s">
        <v>740</v>
      </c>
      <c r="C708" s="13" t="n">
        <v>416500</v>
      </c>
      <c r="D708" s="12" t="n">
        <f aca="false">50000+80000+30000+100000+100000+45000+11500</f>
        <v>416500</v>
      </c>
      <c r="E708" s="13" t="n">
        <f aca="false">C708-D708</f>
        <v>0</v>
      </c>
    </row>
    <row r="709" customFormat="false" ht="15" hidden="false" customHeight="false" outlineLevel="0" collapsed="false">
      <c r="A709" s="14" t="n">
        <v>19</v>
      </c>
      <c r="B709" s="101" t="s">
        <v>741</v>
      </c>
      <c r="C709" s="13" t="n">
        <v>416500</v>
      </c>
      <c r="D709" s="12" t="n">
        <f aca="false">150000+150000+116500</f>
        <v>416500</v>
      </c>
      <c r="E709" s="13" t="n">
        <f aca="false">C709-D709</f>
        <v>0</v>
      </c>
    </row>
    <row r="710" customFormat="false" ht="15" hidden="false" customHeight="false" outlineLevel="0" collapsed="false">
      <c r="A710" s="14" t="n">
        <v>20</v>
      </c>
      <c r="B710" s="101" t="s">
        <v>742</v>
      </c>
      <c r="C710" s="13" t="n">
        <v>416500</v>
      </c>
      <c r="D710" s="12" t="n">
        <f aca="false">200000+216500</f>
        <v>416500</v>
      </c>
      <c r="E710" s="13" t="n">
        <f aca="false">C710-D710</f>
        <v>0</v>
      </c>
    </row>
    <row r="711" customFormat="false" ht="15" hidden="false" customHeight="false" outlineLevel="0" collapsed="false">
      <c r="A711" s="14" t="n">
        <v>21</v>
      </c>
      <c r="B711" s="101" t="s">
        <v>743</v>
      </c>
      <c r="C711" s="13" t="n">
        <v>416500</v>
      </c>
      <c r="D711" s="12" t="n">
        <f aca="false">216500+100000</f>
        <v>316500</v>
      </c>
      <c r="E711" s="13" t="n">
        <f aca="false">C711-D711</f>
        <v>100000</v>
      </c>
    </row>
    <row r="712" customFormat="false" ht="15" hidden="false" customHeight="false" outlineLevel="0" collapsed="false">
      <c r="A712" s="14" t="n">
        <v>22</v>
      </c>
      <c r="B712" s="101" t="s">
        <v>744</v>
      </c>
      <c r="C712" s="13" t="n">
        <v>416500</v>
      </c>
      <c r="D712" s="12" t="n">
        <f aca="false">168500+110000+100000+38000</f>
        <v>416500</v>
      </c>
      <c r="E712" s="13" t="n">
        <f aca="false">C712-D712</f>
        <v>0</v>
      </c>
    </row>
    <row r="713" customFormat="false" ht="15" hidden="false" customHeight="false" outlineLevel="0" collapsed="false">
      <c r="A713" s="14" t="n">
        <v>23</v>
      </c>
      <c r="B713" s="101" t="s">
        <v>745</v>
      </c>
      <c r="C713" s="13" t="n">
        <v>416500</v>
      </c>
      <c r="D713" s="12" t="n">
        <f aca="false">216500+200000</f>
        <v>416500</v>
      </c>
      <c r="E713" s="13" t="n">
        <f aca="false">C713-D713</f>
        <v>0</v>
      </c>
    </row>
    <row r="714" customFormat="false" ht="15" hidden="false" customHeight="false" outlineLevel="0" collapsed="false">
      <c r="A714" s="14" t="n">
        <v>24</v>
      </c>
      <c r="B714" s="101" t="s">
        <v>746</v>
      </c>
      <c r="C714" s="13" t="n">
        <v>416500</v>
      </c>
      <c r="D714" s="12" t="n">
        <f aca="false">150000+266500</f>
        <v>416500</v>
      </c>
      <c r="E714" s="13" t="n">
        <f aca="false">C714-D714</f>
        <v>0</v>
      </c>
    </row>
    <row r="715" customFormat="false" ht="15" hidden="false" customHeight="false" outlineLevel="0" collapsed="false">
      <c r="A715" s="14" t="n">
        <v>25</v>
      </c>
      <c r="B715" s="101" t="s">
        <v>747</v>
      </c>
      <c r="C715" s="13" t="n">
        <v>416500</v>
      </c>
      <c r="D715" s="12" t="n">
        <f aca="false">200000+166500+50000</f>
        <v>416500</v>
      </c>
      <c r="E715" s="13" t="n">
        <f aca="false">C715-D715</f>
        <v>0</v>
      </c>
    </row>
    <row r="716" customFormat="false" ht="15" hidden="false" customHeight="false" outlineLevel="0" collapsed="false">
      <c r="A716" s="14" t="n">
        <v>26</v>
      </c>
      <c r="B716" s="101" t="s">
        <v>748</v>
      </c>
      <c r="C716" s="13" t="n">
        <v>416500</v>
      </c>
      <c r="D716" s="12" t="n">
        <f aca="false">216500+200000</f>
        <v>416500</v>
      </c>
      <c r="E716" s="13" t="n">
        <f aca="false">C716-D716</f>
        <v>0</v>
      </c>
    </row>
    <row r="717" customFormat="false" ht="15" hidden="false" customHeight="false" outlineLevel="0" collapsed="false">
      <c r="A717" s="14" t="n">
        <v>27</v>
      </c>
      <c r="B717" s="101" t="s">
        <v>749</v>
      </c>
      <c r="C717" s="13" t="n">
        <v>416500</v>
      </c>
      <c r="D717" s="12" t="n">
        <f aca="false">100000+200000+116500</f>
        <v>416500</v>
      </c>
      <c r="E717" s="13" t="n">
        <f aca="false">C717-D717</f>
        <v>0</v>
      </c>
    </row>
    <row r="718" customFormat="false" ht="17.35" hidden="false" customHeight="false" outlineLevel="0" collapsed="false">
      <c r="A718" s="14"/>
      <c r="B718" s="18" t="s">
        <v>21</v>
      </c>
      <c r="C718" s="19" t="n">
        <f aca="false">SUM(C691:C717)</f>
        <v>11245500</v>
      </c>
      <c r="D718" s="20" t="n">
        <f aca="false">SUM(D691:D717)</f>
        <v>10306000</v>
      </c>
      <c r="E718" s="21" t="n">
        <f aca="false">SUM(E691:E717)</f>
        <v>939500</v>
      </c>
    </row>
    <row r="722" customFormat="false" ht="17.35" hidden="false" customHeight="false" outlineLevel="0" collapsed="false">
      <c r="A722" s="61"/>
      <c r="B722" s="2" t="s">
        <v>0</v>
      </c>
    </row>
    <row r="723" customFormat="false" ht="15" hidden="false" customHeight="false" outlineLevel="0" collapsed="false">
      <c r="A723" s="53"/>
    </row>
    <row r="724" customFormat="false" ht="17.35" hidden="false" customHeight="false" outlineLevel="0" collapsed="false">
      <c r="A724" s="53"/>
      <c r="B724" s="45" t="s">
        <v>236</v>
      </c>
    </row>
    <row r="725" customFormat="false" ht="15" hidden="false" customHeight="false" outlineLevel="0" collapsed="false">
      <c r="A725" s="53"/>
      <c r="B725" s="4" t="s">
        <v>750</v>
      </c>
    </row>
    <row r="726" customFormat="false" ht="15" hidden="false" customHeight="false" outlineLevel="0" collapsed="false">
      <c r="A726" s="53"/>
    </row>
    <row r="727" customFormat="false" ht="15" hidden="false" customHeight="false" outlineLevel="0" collapsed="false">
      <c r="A727" s="46" t="s">
        <v>4</v>
      </c>
      <c r="B727" s="47" t="s">
        <v>238</v>
      </c>
      <c r="C727" s="43" t="s">
        <v>6</v>
      </c>
      <c r="D727" s="48" t="s">
        <v>7</v>
      </c>
      <c r="E727" s="27" t="s">
        <v>8</v>
      </c>
    </row>
    <row r="728" customFormat="false" ht="15" hidden="false" customHeight="false" outlineLevel="0" collapsed="false">
      <c r="A728" s="49" t="n">
        <v>1</v>
      </c>
      <c r="B728" s="54" t="s">
        <v>751</v>
      </c>
      <c r="C728" s="51" t="n">
        <v>416500</v>
      </c>
      <c r="D728" s="51" t="n">
        <f aca="false">100000+116500+200000</f>
        <v>416500</v>
      </c>
      <c r="E728" s="52" t="n">
        <f aca="false">C728-D728</f>
        <v>0</v>
      </c>
    </row>
    <row r="729" customFormat="false" ht="15" hidden="false" customHeight="false" outlineLevel="0" collapsed="false">
      <c r="A729" s="49" t="n">
        <v>2</v>
      </c>
      <c r="B729" s="54" t="s">
        <v>752</v>
      </c>
      <c r="C729" s="51" t="n">
        <v>416500</v>
      </c>
      <c r="D729" s="51" t="n">
        <f aca="false">100000+100000+216500</f>
        <v>416500</v>
      </c>
      <c r="E729" s="52" t="n">
        <f aca="false">C729-D729</f>
        <v>0</v>
      </c>
    </row>
    <row r="730" customFormat="false" ht="15" hidden="false" customHeight="false" outlineLevel="0" collapsed="false">
      <c r="A730" s="49" t="n">
        <v>3</v>
      </c>
      <c r="B730" s="54" t="s">
        <v>753</v>
      </c>
      <c r="C730" s="51" t="n">
        <v>416500</v>
      </c>
      <c r="D730" s="51" t="n">
        <f aca="false">99500+317000</f>
        <v>416500</v>
      </c>
      <c r="E730" s="52" t="n">
        <f aca="false">C730-D730</f>
        <v>0</v>
      </c>
    </row>
    <row r="731" customFormat="false" ht="15" hidden="false" customHeight="false" outlineLevel="0" collapsed="false">
      <c r="A731" s="49" t="n">
        <v>4</v>
      </c>
      <c r="B731" s="54" t="s">
        <v>754</v>
      </c>
      <c r="C731" s="51" t="n">
        <v>416500</v>
      </c>
      <c r="D731" s="51" t="n">
        <f aca="false">100000+316500</f>
        <v>416500</v>
      </c>
      <c r="E731" s="52" t="n">
        <f aca="false">C731-D731</f>
        <v>0</v>
      </c>
    </row>
    <row r="732" customFormat="false" ht="15" hidden="false" customHeight="false" outlineLevel="0" collapsed="false">
      <c r="A732" s="60" t="n">
        <v>5</v>
      </c>
      <c r="B732" s="54" t="s">
        <v>755</v>
      </c>
      <c r="C732" s="51" t="n">
        <v>416500</v>
      </c>
      <c r="D732" s="51" t="n">
        <f aca="false">200000+190500+26500</f>
        <v>417000</v>
      </c>
      <c r="E732" s="52" t="n">
        <f aca="false">C732-D732</f>
        <v>-500</v>
      </c>
    </row>
    <row r="733" customFormat="false" ht="17.35" hidden="false" customHeight="false" outlineLevel="0" collapsed="false">
      <c r="A733" s="75"/>
      <c r="B733" s="56" t="s">
        <v>21</v>
      </c>
      <c r="C733" s="57" t="n">
        <f aca="false">SUM(C728:C732)</f>
        <v>2082500</v>
      </c>
      <c r="D733" s="58" t="n">
        <f aca="false">D728+D729+D730+D731+D732</f>
        <v>2083000</v>
      </c>
      <c r="E733" s="59" t="n">
        <f aca="false">SUM(E728:E732)</f>
        <v>-500</v>
      </c>
    </row>
    <row r="737" customFormat="false" ht="17.35" hidden="false" customHeight="false" outlineLevel="0" collapsed="false">
      <c r="A737" s="35"/>
      <c r="B737" s="2" t="s">
        <v>0</v>
      </c>
      <c r="C737" s="2"/>
    </row>
    <row r="738" customFormat="false" ht="15" hidden="false" customHeight="false" outlineLevel="0" collapsed="false">
      <c r="A738" s="22"/>
    </row>
    <row r="739" customFormat="false" ht="15" hidden="false" customHeight="false" outlineLevel="0" collapsed="false">
      <c r="A739" s="22"/>
    </row>
    <row r="740" customFormat="false" ht="17.25" hidden="false" customHeight="false" outlineLevel="0" collapsed="false">
      <c r="A740" s="22"/>
      <c r="B740" s="4" t="s">
        <v>756</v>
      </c>
      <c r="D740" s="5" t="s">
        <v>220</v>
      </c>
    </row>
    <row r="741" customFormat="false" ht="15" hidden="false" customHeight="false" outlineLevel="0" collapsed="false">
      <c r="A741" s="22"/>
    </row>
    <row r="742" customFormat="false" ht="15" hidden="false" customHeight="false" outlineLevel="0" collapsed="false">
      <c r="A742" s="6" t="s">
        <v>4</v>
      </c>
      <c r="B742" s="42" t="s">
        <v>5</v>
      </c>
      <c r="C742" s="43" t="s">
        <v>6</v>
      </c>
      <c r="D742" s="44" t="s">
        <v>7</v>
      </c>
      <c r="E742" s="27" t="s">
        <v>8</v>
      </c>
    </row>
    <row r="743" customFormat="false" ht="15" hidden="false" customHeight="false" outlineLevel="0" collapsed="false">
      <c r="A743" s="14" t="n">
        <v>1</v>
      </c>
      <c r="B743" s="15" t="s">
        <v>757</v>
      </c>
      <c r="C743" s="104" t="n">
        <v>416500</v>
      </c>
      <c r="D743" s="104" t="n">
        <v>150000</v>
      </c>
      <c r="E743" s="105" t="n">
        <f aca="false">C743-D743</f>
        <v>266500</v>
      </c>
    </row>
    <row r="744" customFormat="false" ht="15" hidden="false" customHeight="false" outlineLevel="0" collapsed="false">
      <c r="A744" s="14" t="n">
        <v>2</v>
      </c>
      <c r="B744" s="11" t="s">
        <v>758</v>
      </c>
      <c r="C744" s="106" t="n">
        <v>416500</v>
      </c>
      <c r="D744" s="106" t="n">
        <v>416500</v>
      </c>
      <c r="E744" s="105" t="n">
        <f aca="false">C744-D744</f>
        <v>0</v>
      </c>
    </row>
    <row r="745" customFormat="false" ht="15" hidden="false" customHeight="false" outlineLevel="0" collapsed="false">
      <c r="A745" s="14" t="n">
        <v>3</v>
      </c>
      <c r="B745" s="11" t="s">
        <v>759</v>
      </c>
      <c r="C745" s="106" t="n">
        <v>416500</v>
      </c>
      <c r="D745" s="106"/>
      <c r="E745" s="105" t="n">
        <f aca="false">C745-D745</f>
        <v>416500</v>
      </c>
    </row>
    <row r="746" customFormat="false" ht="15" hidden="false" customHeight="false" outlineLevel="0" collapsed="false">
      <c r="A746" s="14" t="n">
        <v>4</v>
      </c>
      <c r="B746" s="11" t="s">
        <v>760</v>
      </c>
      <c r="C746" s="106" t="n">
        <v>416500</v>
      </c>
      <c r="D746" s="106"/>
      <c r="E746" s="105" t="n">
        <f aca="false">C746-D746</f>
        <v>416500</v>
      </c>
    </row>
    <row r="747" customFormat="false" ht="15" hidden="false" customHeight="false" outlineLevel="0" collapsed="false">
      <c r="A747" s="14" t="n">
        <v>5</v>
      </c>
      <c r="B747" s="11" t="s">
        <v>761</v>
      </c>
      <c r="C747" s="106" t="n">
        <v>416500</v>
      </c>
      <c r="D747" s="106" t="n">
        <f aca="false">100000</f>
        <v>100000</v>
      </c>
      <c r="E747" s="105" t="n">
        <f aca="false">C747-D747</f>
        <v>316500</v>
      </c>
    </row>
    <row r="748" customFormat="false" ht="15" hidden="false" customHeight="false" outlineLevel="0" collapsed="false">
      <c r="A748" s="14" t="n">
        <v>6</v>
      </c>
      <c r="B748" s="11" t="s">
        <v>762</v>
      </c>
      <c r="C748" s="106" t="n">
        <v>416500</v>
      </c>
      <c r="D748" s="106" t="n">
        <f aca="false">375500+500+41000</f>
        <v>417000</v>
      </c>
      <c r="E748" s="105" t="n">
        <f aca="false">C748-D748</f>
        <v>-500</v>
      </c>
    </row>
    <row r="749" customFormat="false" ht="15" hidden="false" customHeight="false" outlineLevel="0" collapsed="false">
      <c r="A749" s="14" t="n">
        <v>7</v>
      </c>
      <c r="B749" s="11" t="s">
        <v>763</v>
      </c>
      <c r="C749" s="106" t="n">
        <v>416500</v>
      </c>
      <c r="D749" s="106" t="n">
        <f aca="false">50000+100000+165000+50000+500+51000</f>
        <v>416500</v>
      </c>
      <c r="E749" s="105" t="n">
        <f aca="false">C749-D749</f>
        <v>0</v>
      </c>
    </row>
    <row r="750" customFormat="false" ht="15" hidden="false" customHeight="false" outlineLevel="0" collapsed="false">
      <c r="A750" s="14" t="n">
        <v>8</v>
      </c>
      <c r="B750" s="11" t="s">
        <v>764</v>
      </c>
      <c r="C750" s="106" t="n">
        <v>416500</v>
      </c>
      <c r="D750" s="106" t="n">
        <f aca="false">150000+66500+200000</f>
        <v>416500</v>
      </c>
      <c r="E750" s="105" t="n">
        <f aca="false">C750-D750</f>
        <v>0</v>
      </c>
    </row>
    <row r="751" customFormat="false" ht="15" hidden="false" customHeight="false" outlineLevel="0" collapsed="false">
      <c r="A751" s="14" t="n">
        <v>9</v>
      </c>
      <c r="B751" s="11" t="s">
        <v>765</v>
      </c>
      <c r="C751" s="106" t="n">
        <v>416500</v>
      </c>
      <c r="D751" s="106"/>
      <c r="E751" s="105" t="n">
        <f aca="false">C751-D751</f>
        <v>416500</v>
      </c>
    </row>
    <row r="752" customFormat="false" ht="17.35" hidden="false" customHeight="false" outlineLevel="0" collapsed="false">
      <c r="A752" s="17"/>
      <c r="B752" s="18" t="s">
        <v>21</v>
      </c>
      <c r="C752" s="19" t="n">
        <f aca="false">SUM(C743:C751)</f>
        <v>3748500</v>
      </c>
      <c r="D752" s="20" t="n">
        <f aca="false">SUM(D743:D751)</f>
        <v>1916500</v>
      </c>
      <c r="E752" s="21" t="n">
        <f aca="false">SUM(E743:E751)</f>
        <v>1832000</v>
      </c>
    </row>
    <row r="755" customFormat="false" ht="17.35" hidden="false" customHeight="false" outlineLevel="0" collapsed="false">
      <c r="A755" s="53"/>
      <c r="B755" s="2" t="s">
        <v>0</v>
      </c>
      <c r="C755" s="2"/>
    </row>
    <row r="756" customFormat="false" ht="15" hidden="false" customHeight="false" outlineLevel="0" collapsed="false">
      <c r="A756" s="53"/>
    </row>
    <row r="757" customFormat="false" ht="17.35" hidden="false" customHeight="false" outlineLevel="0" collapsed="false">
      <c r="A757" s="53"/>
      <c r="B757" s="45" t="s">
        <v>766</v>
      </c>
    </row>
    <row r="758" customFormat="false" ht="15" hidden="false" customHeight="false" outlineLevel="0" collapsed="false">
      <c r="A758" s="53"/>
      <c r="B758" s="4" t="s">
        <v>767</v>
      </c>
    </row>
    <row r="759" customFormat="false" ht="15" hidden="false" customHeight="false" outlineLevel="0" collapsed="false">
      <c r="A759" s="46" t="s">
        <v>4</v>
      </c>
      <c r="B759" s="47" t="s">
        <v>238</v>
      </c>
      <c r="C759" s="43" t="s">
        <v>6</v>
      </c>
      <c r="D759" s="48" t="s">
        <v>7</v>
      </c>
      <c r="E759" s="27" t="s">
        <v>8</v>
      </c>
    </row>
    <row r="760" customFormat="false" ht="15" hidden="false" customHeight="false" outlineLevel="0" collapsed="false">
      <c r="A760" s="49" t="n">
        <v>1</v>
      </c>
      <c r="B760" s="76" t="s">
        <v>768</v>
      </c>
      <c r="C760" s="51" t="n">
        <v>416500</v>
      </c>
      <c r="D760" s="51" t="n">
        <f aca="false">166500+34000+125000+91000</f>
        <v>416500</v>
      </c>
      <c r="E760" s="52" t="n">
        <f aca="false">C760-D760</f>
        <v>0</v>
      </c>
    </row>
    <row r="761" customFormat="false" ht="15" hidden="false" customHeight="false" outlineLevel="0" collapsed="false">
      <c r="A761" s="49" t="n">
        <v>2</v>
      </c>
      <c r="B761" s="76" t="s">
        <v>769</v>
      </c>
      <c r="C761" s="51" t="n">
        <v>416500</v>
      </c>
      <c r="D761" s="51" t="n">
        <f aca="false">216000+100000+100500</f>
        <v>416500</v>
      </c>
      <c r="E761" s="52" t="n">
        <f aca="false">C761-D761</f>
        <v>0</v>
      </c>
    </row>
    <row r="762" customFormat="false" ht="15" hidden="false" customHeight="false" outlineLevel="0" collapsed="false">
      <c r="A762" s="107" t="n">
        <v>3</v>
      </c>
      <c r="B762" s="15" t="s">
        <v>770</v>
      </c>
      <c r="C762" s="108" t="n">
        <v>416500</v>
      </c>
      <c r="D762" s="108"/>
      <c r="E762" s="68" t="n">
        <f aca="false">C762-D762</f>
        <v>416500</v>
      </c>
    </row>
    <row r="763" customFormat="false" ht="15" hidden="false" customHeight="false" outlineLevel="0" collapsed="false">
      <c r="A763" s="109" t="n">
        <v>4</v>
      </c>
      <c r="B763" s="76" t="s">
        <v>771</v>
      </c>
      <c r="C763" s="51" t="n">
        <v>416500</v>
      </c>
      <c r="D763" s="51" t="n">
        <f aca="false">100000+316500</f>
        <v>416500</v>
      </c>
      <c r="E763" s="52" t="n">
        <f aca="false">C763-D763</f>
        <v>0</v>
      </c>
    </row>
    <row r="764" customFormat="false" ht="15" hidden="false" customHeight="false" outlineLevel="0" collapsed="false">
      <c r="A764" s="49" t="n">
        <v>5</v>
      </c>
      <c r="B764" s="76" t="s">
        <v>772</v>
      </c>
      <c r="C764" s="51" t="n">
        <v>416500</v>
      </c>
      <c r="D764" s="51"/>
      <c r="E764" s="52" t="n">
        <f aca="false">C764-D764</f>
        <v>416500</v>
      </c>
    </row>
    <row r="765" customFormat="false" ht="15" hidden="false" customHeight="false" outlineLevel="0" collapsed="false">
      <c r="A765" s="107" t="n">
        <v>6</v>
      </c>
      <c r="B765" s="76" t="s">
        <v>773</v>
      </c>
      <c r="C765" s="51" t="n">
        <v>416500</v>
      </c>
      <c r="D765" s="51"/>
      <c r="E765" s="52" t="n">
        <f aca="false">C765-D765</f>
        <v>416500</v>
      </c>
    </row>
    <row r="766" customFormat="false" ht="15" hidden="false" customHeight="false" outlineLevel="0" collapsed="false">
      <c r="A766" s="107" t="n">
        <v>7</v>
      </c>
      <c r="B766" s="76" t="s">
        <v>774</v>
      </c>
      <c r="C766" s="51" t="n">
        <v>416500</v>
      </c>
      <c r="D766" s="51" t="n">
        <f aca="false">399500+17000</f>
        <v>416500</v>
      </c>
      <c r="E766" s="52" t="n">
        <f aca="false">C766-D766</f>
        <v>0</v>
      </c>
    </row>
    <row r="767" customFormat="false" ht="15" hidden="false" customHeight="false" outlineLevel="0" collapsed="false">
      <c r="A767" s="107" t="n">
        <v>8</v>
      </c>
      <c r="B767" s="41" t="s">
        <v>775</v>
      </c>
      <c r="C767" s="51" t="n">
        <v>416500</v>
      </c>
      <c r="D767" s="51" t="n">
        <v>433500</v>
      </c>
      <c r="E767" s="68" t="n">
        <f aca="false">C767-D767</f>
        <v>-17000</v>
      </c>
    </row>
    <row r="768" customFormat="false" ht="15" hidden="false" customHeight="false" outlineLevel="0" collapsed="false">
      <c r="A768" s="109" t="n">
        <v>9</v>
      </c>
      <c r="B768" s="41" t="s">
        <v>776</v>
      </c>
      <c r="C768" s="51" t="n">
        <v>416500</v>
      </c>
      <c r="D768" s="51" t="n">
        <f aca="false">100000+200000+116500</f>
        <v>416500</v>
      </c>
      <c r="E768" s="52" t="n">
        <f aca="false">C768-D768</f>
        <v>0</v>
      </c>
    </row>
    <row r="769" customFormat="false" ht="19.7" hidden="false" customHeight="false" outlineLevel="0" collapsed="false">
      <c r="A769" s="75"/>
      <c r="B769" s="84" t="s">
        <v>21</v>
      </c>
      <c r="C769" s="57" t="n">
        <f aca="false">SUM(C760:C768)</f>
        <v>3748500</v>
      </c>
      <c r="D769" s="58" t="n">
        <f aca="false">SUM(D760:D768)</f>
        <v>2516000</v>
      </c>
      <c r="E769" s="59" t="n">
        <f aca="false">SUM(E760:E768)</f>
        <v>1232500</v>
      </c>
    </row>
    <row r="772" customFormat="false" ht="17.35" hidden="false" customHeight="false" outlineLevel="0" collapsed="false">
      <c r="A772" s="53"/>
      <c r="B772" s="2" t="s">
        <v>0</v>
      </c>
      <c r="C772" s="2"/>
    </row>
    <row r="773" customFormat="false" ht="15" hidden="false" customHeight="false" outlineLevel="0" collapsed="false">
      <c r="A773" s="53"/>
    </row>
    <row r="774" customFormat="false" ht="17.35" hidden="false" customHeight="false" outlineLevel="0" collapsed="false">
      <c r="A774" s="53"/>
      <c r="B774" s="45" t="s">
        <v>777</v>
      </c>
    </row>
    <row r="775" customFormat="false" ht="15" hidden="false" customHeight="false" outlineLevel="0" collapsed="false">
      <c r="A775" s="53"/>
      <c r="B775" s="4" t="s">
        <v>767</v>
      </c>
    </row>
    <row r="776" customFormat="false" ht="15" hidden="false" customHeight="false" outlineLevel="0" collapsed="false">
      <c r="A776" s="46" t="s">
        <v>4</v>
      </c>
      <c r="B776" s="47" t="s">
        <v>238</v>
      </c>
      <c r="C776" s="43" t="s">
        <v>6</v>
      </c>
      <c r="D776" s="48" t="s">
        <v>7</v>
      </c>
      <c r="E776" s="27" t="s">
        <v>8</v>
      </c>
    </row>
    <row r="777" customFormat="false" ht="15" hidden="false" customHeight="false" outlineLevel="0" collapsed="false">
      <c r="A777" s="109" t="n">
        <v>1</v>
      </c>
      <c r="B777" s="110" t="s">
        <v>778</v>
      </c>
      <c r="C777" s="51" t="n">
        <v>416500</v>
      </c>
      <c r="D777" s="51" t="n">
        <f aca="false">12500+200000+204000</f>
        <v>416500</v>
      </c>
      <c r="E777" s="52" t="n">
        <f aca="false">C777-D777</f>
        <v>0</v>
      </c>
    </row>
    <row r="778" customFormat="false" ht="15" hidden="false" customHeight="false" outlineLevel="0" collapsed="false">
      <c r="A778" s="109" t="n">
        <v>2</v>
      </c>
      <c r="B778" s="54" t="s">
        <v>779</v>
      </c>
      <c r="C778" s="51" t="n">
        <v>416500</v>
      </c>
      <c r="D778" s="51" t="n">
        <f aca="false">16500+200000+200000</f>
        <v>416500</v>
      </c>
      <c r="E778" s="52" t="n">
        <f aca="false">C778-D778</f>
        <v>0</v>
      </c>
    </row>
    <row r="779" customFormat="false" ht="15" hidden="false" customHeight="false" outlineLevel="0" collapsed="false">
      <c r="A779" s="109" t="n">
        <v>3</v>
      </c>
      <c r="B779" s="54" t="s">
        <v>780</v>
      </c>
      <c r="C779" s="51" t="n">
        <v>416500</v>
      </c>
      <c r="D779" s="51" t="n">
        <v>416500</v>
      </c>
      <c r="E779" s="52" t="n">
        <f aca="false">C779-D779</f>
        <v>0</v>
      </c>
    </row>
    <row r="780" customFormat="false" ht="15" hidden="false" customHeight="false" outlineLevel="0" collapsed="false">
      <c r="A780" s="49" t="n">
        <v>4</v>
      </c>
      <c r="B780" s="54" t="s">
        <v>781</v>
      </c>
      <c r="C780" s="51" t="n">
        <v>416500</v>
      </c>
      <c r="D780" s="51" t="n">
        <f aca="false">99000+317500</f>
        <v>416500</v>
      </c>
      <c r="E780" s="52" t="n">
        <f aca="false">C780-D780</f>
        <v>0</v>
      </c>
    </row>
    <row r="781" customFormat="false" ht="15" hidden="false" customHeight="false" outlineLevel="0" collapsed="false">
      <c r="A781" s="49" t="n">
        <v>5</v>
      </c>
      <c r="B781" s="54" t="s">
        <v>782</v>
      </c>
      <c r="C781" s="51" t="n">
        <v>416500</v>
      </c>
      <c r="D781" s="51" t="n">
        <f aca="false">366000+50500</f>
        <v>416500</v>
      </c>
      <c r="E781" s="52" t="n">
        <f aca="false">C781-D781</f>
        <v>0</v>
      </c>
    </row>
    <row r="782" customFormat="false" ht="15" hidden="false" customHeight="false" outlineLevel="0" collapsed="false">
      <c r="A782" s="49" t="n">
        <v>6</v>
      </c>
      <c r="B782" s="54" t="s">
        <v>783</v>
      </c>
      <c r="C782" s="51" t="n">
        <v>416500</v>
      </c>
      <c r="D782" s="51"/>
      <c r="E782" s="52" t="n">
        <f aca="false">C782-D782</f>
        <v>416500</v>
      </c>
    </row>
    <row r="783" customFormat="false" ht="15" hidden="false" customHeight="false" outlineLevel="0" collapsed="false">
      <c r="A783" s="49" t="n">
        <v>7</v>
      </c>
      <c r="B783" s="54" t="s">
        <v>784</v>
      </c>
      <c r="C783" s="51" t="n">
        <v>416500</v>
      </c>
      <c r="D783" s="51" t="n">
        <f aca="false">216000+150000+50000+500</f>
        <v>416500</v>
      </c>
      <c r="E783" s="52" t="n">
        <f aca="false">C783-D783</f>
        <v>0</v>
      </c>
    </row>
    <row r="784" customFormat="false" ht="15" hidden="false" customHeight="false" outlineLevel="0" collapsed="false">
      <c r="A784" s="49" t="n">
        <v>8</v>
      </c>
      <c r="B784" s="54" t="s">
        <v>785</v>
      </c>
      <c r="C784" s="51" t="n">
        <v>416500</v>
      </c>
      <c r="D784" s="51"/>
      <c r="E784" s="52" t="n">
        <f aca="false">C784-D784</f>
        <v>416500</v>
      </c>
    </row>
    <row r="785" customFormat="false" ht="15" hidden="false" customHeight="false" outlineLevel="0" collapsed="false">
      <c r="A785" s="49" t="n">
        <v>9</v>
      </c>
      <c r="B785" s="54" t="s">
        <v>786</v>
      </c>
      <c r="C785" s="51" t="n">
        <v>416500</v>
      </c>
      <c r="D785" s="51"/>
      <c r="E785" s="52" t="n">
        <f aca="false">C785-D785</f>
        <v>416500</v>
      </c>
    </row>
    <row r="786" customFormat="false" ht="15" hidden="false" customHeight="false" outlineLevel="0" collapsed="false">
      <c r="A786" s="49" t="n">
        <v>10</v>
      </c>
      <c r="B786" s="54" t="s">
        <v>787</v>
      </c>
      <c r="C786" s="51" t="n">
        <v>416500</v>
      </c>
      <c r="D786" s="51"/>
      <c r="E786" s="52" t="n">
        <f aca="false">C786-D786</f>
        <v>416500</v>
      </c>
    </row>
    <row r="787" customFormat="false" ht="15" hidden="false" customHeight="false" outlineLevel="0" collapsed="false">
      <c r="A787" s="49" t="n">
        <v>11</v>
      </c>
      <c r="B787" s="54" t="s">
        <v>788</v>
      </c>
      <c r="C787" s="51" t="n">
        <v>416500</v>
      </c>
      <c r="D787" s="51" t="n">
        <f aca="false">384000+32500</f>
        <v>416500</v>
      </c>
      <c r="E787" s="52" t="n">
        <f aca="false">C787-D787</f>
        <v>0</v>
      </c>
    </row>
    <row r="788" customFormat="false" ht="17.35" hidden="false" customHeight="false" outlineLevel="0" collapsed="false">
      <c r="A788" s="75"/>
      <c r="B788" s="56" t="s">
        <v>21</v>
      </c>
      <c r="C788" s="57" t="n">
        <f aca="false">SUM(C777:C787)</f>
        <v>4581500</v>
      </c>
      <c r="D788" s="58" t="n">
        <f aca="false">SUM(D777:D787)</f>
        <v>2915500</v>
      </c>
      <c r="E788" s="59" t="n">
        <f aca="false">SUM(E777:E787)</f>
        <v>1666000</v>
      </c>
    </row>
    <row r="791" customFormat="false" ht="17.35" hidden="false" customHeight="false" outlineLevel="0" collapsed="false">
      <c r="A791" s="53"/>
      <c r="B791" s="2" t="s">
        <v>0</v>
      </c>
    </row>
    <row r="792" customFormat="false" ht="15" hidden="false" customHeight="false" outlineLevel="0" collapsed="false">
      <c r="A792" s="53"/>
    </row>
    <row r="793" customFormat="false" ht="17.35" hidden="false" customHeight="false" outlineLevel="0" collapsed="false">
      <c r="A793" s="53"/>
      <c r="B793" s="45" t="s">
        <v>789</v>
      </c>
    </row>
    <row r="794" customFormat="false" ht="15" hidden="false" customHeight="false" outlineLevel="0" collapsed="false">
      <c r="A794" s="53"/>
      <c r="B794" s="4" t="s">
        <v>790</v>
      </c>
    </row>
    <row r="795" customFormat="false" ht="15" hidden="false" customHeight="false" outlineLevel="0" collapsed="false">
      <c r="A795" s="46" t="s">
        <v>4</v>
      </c>
      <c r="B795" s="47" t="s">
        <v>238</v>
      </c>
      <c r="C795" s="43" t="s">
        <v>6</v>
      </c>
      <c r="D795" s="48" t="s">
        <v>7</v>
      </c>
      <c r="E795" s="27" t="s">
        <v>8</v>
      </c>
    </row>
    <row r="796" customFormat="false" ht="15" hidden="false" customHeight="false" outlineLevel="0" collapsed="false">
      <c r="A796" s="49" t="n">
        <v>1</v>
      </c>
      <c r="B796" s="11" t="s">
        <v>791</v>
      </c>
      <c r="C796" s="51" t="n">
        <v>416500</v>
      </c>
      <c r="D796" s="51" t="n">
        <f aca="false">200000+216500</f>
        <v>416500</v>
      </c>
      <c r="E796" s="52" t="n">
        <f aca="false">C796-D796</f>
        <v>0</v>
      </c>
    </row>
    <row r="797" customFormat="false" ht="15" hidden="false" customHeight="false" outlineLevel="0" collapsed="false">
      <c r="A797" s="49" t="n">
        <v>2</v>
      </c>
      <c r="B797" s="11" t="s">
        <v>792</v>
      </c>
      <c r="C797" s="51" t="n">
        <v>416500</v>
      </c>
      <c r="D797" s="51" t="n">
        <f aca="false">31000+385500</f>
        <v>416500</v>
      </c>
      <c r="E797" s="52" t="n">
        <f aca="false">C797-D797</f>
        <v>0</v>
      </c>
    </row>
    <row r="798" customFormat="false" ht="15" hidden="false" customHeight="false" outlineLevel="0" collapsed="false">
      <c r="A798" s="49" t="n">
        <v>3</v>
      </c>
      <c r="B798" s="11" t="s">
        <v>793</v>
      </c>
      <c r="C798" s="51" t="n">
        <v>416500</v>
      </c>
      <c r="D798" s="51" t="n">
        <f aca="false">23500+76500+50000+66500+200000</f>
        <v>416500</v>
      </c>
      <c r="E798" s="52" t="n">
        <f aca="false">C798-D798</f>
        <v>0</v>
      </c>
    </row>
    <row r="799" customFormat="false" ht="15" hidden="false" customHeight="false" outlineLevel="0" collapsed="false">
      <c r="A799" s="49" t="n">
        <v>4</v>
      </c>
      <c r="B799" s="11" t="s">
        <v>794</v>
      </c>
      <c r="C799" s="51" t="n">
        <v>416500</v>
      </c>
      <c r="D799" s="51" t="n">
        <f aca="false">150000+150000+116500</f>
        <v>416500</v>
      </c>
      <c r="E799" s="52" t="n">
        <f aca="false">C799-D799</f>
        <v>0</v>
      </c>
    </row>
    <row r="800" customFormat="false" ht="15" hidden="false" customHeight="false" outlineLevel="0" collapsed="false">
      <c r="A800" s="49" t="n">
        <v>5</v>
      </c>
      <c r="B800" s="11" t="s">
        <v>795</v>
      </c>
      <c r="C800" s="51" t="n">
        <v>416500</v>
      </c>
      <c r="D800" s="51" t="n">
        <f aca="false">500+30000+70000+316500</f>
        <v>417000</v>
      </c>
      <c r="E800" s="52" t="n">
        <f aca="false">C800-D800</f>
        <v>-500</v>
      </c>
    </row>
    <row r="801" customFormat="false" ht="15" hidden="false" customHeight="false" outlineLevel="0" collapsed="false">
      <c r="A801" s="49" t="n">
        <v>6</v>
      </c>
      <c r="B801" s="11" t="s">
        <v>796</v>
      </c>
      <c r="C801" s="51" t="n">
        <v>416500</v>
      </c>
      <c r="D801" s="51" t="n">
        <f aca="false">80000+250000+86500</f>
        <v>416500</v>
      </c>
      <c r="E801" s="52" t="n">
        <f aca="false">C801-D801</f>
        <v>0</v>
      </c>
    </row>
    <row r="802" customFormat="false" ht="15" hidden="false" customHeight="false" outlineLevel="0" collapsed="false">
      <c r="A802" s="49" t="n">
        <v>7</v>
      </c>
      <c r="B802" s="11" t="s">
        <v>797</v>
      </c>
      <c r="C802" s="51" t="n">
        <v>416500</v>
      </c>
      <c r="D802" s="51" t="n">
        <v>416500</v>
      </c>
      <c r="E802" s="52" t="n">
        <f aca="false">C802-D802</f>
        <v>0</v>
      </c>
    </row>
    <row r="803" customFormat="false" ht="15" hidden="false" customHeight="false" outlineLevel="0" collapsed="false">
      <c r="A803" s="49" t="n">
        <v>8</v>
      </c>
      <c r="B803" s="11" t="s">
        <v>798</v>
      </c>
      <c r="C803" s="88" t="n">
        <v>416500</v>
      </c>
      <c r="D803" s="88" t="n">
        <f aca="false">227000+189500</f>
        <v>416500</v>
      </c>
      <c r="E803" s="67" t="n">
        <f aca="false">C803-D803</f>
        <v>0</v>
      </c>
    </row>
    <row r="804" customFormat="false" ht="15" hidden="false" customHeight="false" outlineLevel="0" collapsed="false">
      <c r="A804" s="49" t="n">
        <v>9</v>
      </c>
      <c r="B804" s="11" t="s">
        <v>799</v>
      </c>
      <c r="C804" s="51" t="n">
        <v>416500</v>
      </c>
      <c r="D804" s="51" t="n">
        <f aca="false">100000</f>
        <v>100000</v>
      </c>
      <c r="E804" s="52" t="n">
        <f aca="false">C804-D804</f>
        <v>316500</v>
      </c>
    </row>
    <row r="805" customFormat="false" ht="15" hidden="false" customHeight="false" outlineLevel="0" collapsed="false">
      <c r="A805" s="49" t="n">
        <v>10</v>
      </c>
      <c r="B805" s="11" t="s">
        <v>800</v>
      </c>
      <c r="C805" s="51" t="n">
        <v>416500</v>
      </c>
      <c r="D805" s="51" t="n">
        <f aca="false">53500+50000+47000+266000</f>
        <v>416500</v>
      </c>
      <c r="E805" s="52" t="n">
        <f aca="false">C805-D805</f>
        <v>0</v>
      </c>
    </row>
    <row r="806" customFormat="false" ht="15" hidden="false" customHeight="false" outlineLevel="0" collapsed="false">
      <c r="A806" s="49" t="n">
        <v>11</v>
      </c>
      <c r="B806" s="11" t="s">
        <v>801</v>
      </c>
      <c r="C806" s="51" t="n">
        <v>416500</v>
      </c>
      <c r="D806" s="51" t="n">
        <f aca="false">15000</f>
        <v>15000</v>
      </c>
      <c r="E806" s="52" t="n">
        <f aca="false">C806-D806</f>
        <v>401500</v>
      </c>
    </row>
    <row r="807" customFormat="false" ht="15" hidden="false" customHeight="false" outlineLevel="0" collapsed="false">
      <c r="A807" s="49" t="n">
        <v>12</v>
      </c>
      <c r="B807" s="11" t="s">
        <v>802</v>
      </c>
      <c r="C807" s="64" t="s">
        <v>74</v>
      </c>
      <c r="D807" s="64"/>
      <c r="E807" s="65" t="s">
        <v>74</v>
      </c>
    </row>
    <row r="808" customFormat="false" ht="15" hidden="false" customHeight="false" outlineLevel="0" collapsed="false">
      <c r="A808" s="49" t="n">
        <v>13</v>
      </c>
      <c r="B808" s="25" t="s">
        <v>803</v>
      </c>
      <c r="C808" s="51" t="n">
        <v>416500</v>
      </c>
      <c r="D808" s="51"/>
      <c r="E808" s="52" t="n">
        <f aca="false">C808-D808</f>
        <v>416500</v>
      </c>
    </row>
    <row r="809" customFormat="false" ht="15" hidden="false" customHeight="false" outlineLevel="0" collapsed="false">
      <c r="A809" s="75" t="n">
        <v>14</v>
      </c>
      <c r="B809" s="25" t="s">
        <v>804</v>
      </c>
      <c r="C809" s="51" t="n">
        <v>416500</v>
      </c>
      <c r="D809" s="51" t="n">
        <f aca="false">100000+100000</f>
        <v>200000</v>
      </c>
      <c r="E809" s="52" t="n">
        <f aca="false">C809-D809</f>
        <v>216500</v>
      </c>
    </row>
    <row r="810" customFormat="false" ht="17.35" hidden="false" customHeight="false" outlineLevel="0" collapsed="false">
      <c r="A810" s="75"/>
      <c r="B810" s="56" t="s">
        <v>21</v>
      </c>
      <c r="C810" s="57" t="n">
        <f aca="false">SUM(C796:C809)</f>
        <v>5414500</v>
      </c>
      <c r="D810" s="58" t="n">
        <f aca="false">SUM(D796:D809)</f>
        <v>4064000</v>
      </c>
      <c r="E810" s="59" t="n">
        <f aca="false">SUM(E796:E809)</f>
        <v>1350500</v>
      </c>
    </row>
    <row r="814" customFormat="false" ht="17.35" hidden="false" customHeight="false" outlineLevel="0" collapsed="false">
      <c r="A814" s="53"/>
      <c r="B814" s="2" t="s">
        <v>0</v>
      </c>
    </row>
    <row r="815" customFormat="false" ht="15" hidden="false" customHeight="false" outlineLevel="0" collapsed="false">
      <c r="A815" s="53"/>
    </row>
    <row r="816" customFormat="false" ht="17.35" hidden="false" customHeight="false" outlineLevel="0" collapsed="false">
      <c r="A816" s="53"/>
      <c r="B816" s="45" t="s">
        <v>805</v>
      </c>
    </row>
    <row r="817" customFormat="false" ht="15" hidden="false" customHeight="false" outlineLevel="0" collapsed="false">
      <c r="A817" s="53"/>
      <c r="B817" s="4" t="s">
        <v>790</v>
      </c>
    </row>
    <row r="818" customFormat="false" ht="15" hidden="false" customHeight="false" outlineLevel="0" collapsed="false">
      <c r="A818" s="46" t="s">
        <v>4</v>
      </c>
      <c r="B818" s="47" t="s">
        <v>238</v>
      </c>
      <c r="C818" s="43" t="s">
        <v>6</v>
      </c>
      <c r="D818" s="48" t="s">
        <v>7</v>
      </c>
      <c r="E818" s="27" t="s">
        <v>8</v>
      </c>
    </row>
    <row r="819" customFormat="false" ht="15" hidden="false" customHeight="false" outlineLevel="0" collapsed="false">
      <c r="A819" s="49" t="n">
        <v>1</v>
      </c>
      <c r="B819" s="54" t="s">
        <v>806</v>
      </c>
      <c r="C819" s="51" t="n">
        <v>416500</v>
      </c>
      <c r="D819" s="51" t="n">
        <f aca="false">33500+385000</f>
        <v>418500</v>
      </c>
      <c r="E819" s="52" t="n">
        <f aca="false">C819-D819</f>
        <v>-2000</v>
      </c>
    </row>
    <row r="820" customFormat="false" ht="15" hidden="false" customHeight="false" outlineLevel="0" collapsed="false">
      <c r="A820" s="49" t="n">
        <v>2</v>
      </c>
      <c r="B820" s="69" t="s">
        <v>807</v>
      </c>
      <c r="C820" s="51" t="n">
        <v>416500</v>
      </c>
      <c r="D820" s="51" t="n">
        <f aca="false">16500+400000</f>
        <v>416500</v>
      </c>
      <c r="E820" s="52" t="n">
        <f aca="false">C820-D820</f>
        <v>0</v>
      </c>
    </row>
    <row r="821" customFormat="false" ht="15" hidden="false" customHeight="false" outlineLevel="0" collapsed="false">
      <c r="A821" s="49" t="n">
        <v>3</v>
      </c>
      <c r="B821" s="54" t="s">
        <v>808</v>
      </c>
      <c r="C821" s="51" t="n">
        <v>416500</v>
      </c>
      <c r="D821" s="51" t="n">
        <f aca="false">300000+116500</f>
        <v>416500</v>
      </c>
      <c r="E821" s="52" t="n">
        <f aca="false">C821-D821</f>
        <v>0</v>
      </c>
    </row>
    <row r="822" customFormat="false" ht="15" hidden="false" customHeight="false" outlineLevel="0" collapsed="false">
      <c r="A822" s="49" t="n">
        <v>4</v>
      </c>
      <c r="B822" s="66" t="s">
        <v>809</v>
      </c>
      <c r="C822" s="51" t="n">
        <v>416500</v>
      </c>
      <c r="D822" s="51" t="n">
        <f aca="false">170500+246000</f>
        <v>416500</v>
      </c>
      <c r="E822" s="52" t="n">
        <f aca="false">C822-D822</f>
        <v>0</v>
      </c>
    </row>
    <row r="823" customFormat="false" ht="15" hidden="false" customHeight="false" outlineLevel="0" collapsed="false">
      <c r="A823" s="49" t="n">
        <v>5</v>
      </c>
      <c r="B823" s="54" t="s">
        <v>810</v>
      </c>
      <c r="C823" s="51" t="n">
        <v>416500</v>
      </c>
      <c r="D823" s="51" t="n">
        <f aca="false">23500</f>
        <v>23500</v>
      </c>
      <c r="E823" s="52" t="n">
        <f aca="false">C823-D823</f>
        <v>393000</v>
      </c>
    </row>
    <row r="824" customFormat="false" ht="17.35" hidden="false" customHeight="false" outlineLevel="0" collapsed="false">
      <c r="A824" s="111"/>
      <c r="B824" s="56" t="s">
        <v>21</v>
      </c>
      <c r="C824" s="57" t="n">
        <f aca="false">SUM(C819:C823)</f>
        <v>2082500</v>
      </c>
      <c r="D824" s="58" t="n">
        <f aca="false">SUM(D819:D823)</f>
        <v>1691500</v>
      </c>
      <c r="E824" s="59" t="n">
        <f aca="false">SUM(E819:E823)</f>
        <v>391000</v>
      </c>
    </row>
    <row r="835" customFormat="false" ht="15" hidden="false" customHeight="false" outlineLevel="0" collapsed="false">
      <c r="E835" s="1" t="s">
        <v>811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E38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F8" activeCellId="0" sqref="F8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29"/>
    <col collapsed="false" customWidth="true" hidden="false" outlineLevel="0" max="2" min="2" style="1" width="34"/>
    <col collapsed="false" customWidth="true" hidden="false" outlineLevel="0" max="3" min="3" style="1" width="13.86"/>
    <col collapsed="false" customWidth="true" hidden="false" outlineLevel="0" max="5" min="4" style="1" width="13"/>
    <col collapsed="false" customWidth="true" hidden="false" outlineLevel="0" max="16384" min="16372" style="0" width="11.53"/>
  </cols>
  <sheetData>
    <row r="3" customFormat="false" ht="17.35" hidden="false" customHeight="false" outlineLevel="0" collapsed="false">
      <c r="A3" s="2"/>
      <c r="B3" s="112" t="s">
        <v>812</v>
      </c>
      <c r="C3" s="113"/>
      <c r="D3" s="113"/>
      <c r="E3" s="113"/>
    </row>
    <row r="5" customFormat="false" ht="15" hidden="false" customHeight="false" outlineLevel="0" collapsed="false">
      <c r="B5" s="114" t="s">
        <v>3</v>
      </c>
    </row>
    <row r="7" customFormat="false" ht="17.25" hidden="false" customHeight="false" outlineLevel="0" collapsed="false">
      <c r="B7" s="3" t="s">
        <v>722</v>
      </c>
      <c r="E7" s="5"/>
    </row>
    <row r="8" customFormat="false" ht="15" hidden="false" customHeight="false" outlineLevel="0" collapsed="false">
      <c r="B8" s="4"/>
    </row>
    <row r="10" customFormat="false" ht="15" hidden="false" customHeight="false" outlineLevel="0" collapsed="false">
      <c r="A10" s="6" t="s">
        <v>4</v>
      </c>
      <c r="B10" s="42" t="s">
        <v>5</v>
      </c>
      <c r="C10" s="43" t="s">
        <v>6</v>
      </c>
      <c r="D10" s="44" t="s">
        <v>7</v>
      </c>
      <c r="E10" s="27" t="s">
        <v>8</v>
      </c>
    </row>
    <row r="11" customFormat="false" ht="15" hidden="false" customHeight="false" outlineLevel="0" collapsed="false">
      <c r="A11" s="14" t="n">
        <v>1</v>
      </c>
      <c r="B11" s="115" t="s">
        <v>813</v>
      </c>
      <c r="C11" s="12" t="n">
        <v>750000</v>
      </c>
      <c r="D11" s="12" t="n">
        <f aca="false">400000+100000+150000+50000+50000</f>
        <v>750000</v>
      </c>
      <c r="E11" s="13" t="n">
        <f aca="false">C11-D11</f>
        <v>0</v>
      </c>
    </row>
    <row r="12" customFormat="false" ht="15" hidden="false" customHeight="false" outlineLevel="0" collapsed="false">
      <c r="A12" s="14" t="n">
        <v>2</v>
      </c>
      <c r="B12" s="115" t="s">
        <v>814</v>
      </c>
      <c r="C12" s="13" t="n">
        <v>750000</v>
      </c>
      <c r="D12" s="12" t="n">
        <f aca="false">350000+50000+350000</f>
        <v>750000</v>
      </c>
      <c r="E12" s="13" t="n">
        <f aca="false">C12-D12</f>
        <v>0</v>
      </c>
    </row>
    <row r="13" customFormat="false" ht="15" hidden="false" customHeight="false" outlineLevel="0" collapsed="false">
      <c r="A13" s="14" t="n">
        <v>3</v>
      </c>
      <c r="B13" s="115" t="s">
        <v>815</v>
      </c>
      <c r="C13" s="13" t="n">
        <v>750000</v>
      </c>
      <c r="D13" s="12" t="n">
        <f aca="false">400000+350000</f>
        <v>750000</v>
      </c>
      <c r="E13" s="13" t="n">
        <f aca="false">C13-D13</f>
        <v>0</v>
      </c>
    </row>
    <row r="14" customFormat="false" ht="15" hidden="false" customHeight="false" outlineLevel="0" collapsed="false">
      <c r="A14" s="14" t="n">
        <v>4</v>
      </c>
      <c r="B14" s="115" t="s">
        <v>816</v>
      </c>
      <c r="C14" s="13" t="n">
        <v>750000</v>
      </c>
      <c r="D14" s="12" t="n">
        <f aca="false">400000+350000</f>
        <v>750000</v>
      </c>
      <c r="E14" s="13" t="n">
        <f aca="false">C14-D14</f>
        <v>0</v>
      </c>
    </row>
    <row r="15" customFormat="false" ht="15" hidden="false" customHeight="false" outlineLevel="0" collapsed="false">
      <c r="A15" s="14" t="n">
        <v>5</v>
      </c>
      <c r="B15" s="115" t="s">
        <v>817</v>
      </c>
      <c r="C15" s="13" t="n">
        <v>750000</v>
      </c>
      <c r="D15" s="12" t="n">
        <f aca="false">200000+100000+100000+350000</f>
        <v>750000</v>
      </c>
      <c r="E15" s="13" t="n">
        <f aca="false">C15-D15</f>
        <v>0</v>
      </c>
    </row>
    <row r="16" customFormat="false" ht="15" hidden="false" customHeight="false" outlineLevel="0" collapsed="false">
      <c r="A16" s="14" t="n">
        <v>6</v>
      </c>
      <c r="B16" s="115" t="s">
        <v>818</v>
      </c>
      <c r="C16" s="13" t="n">
        <v>750000</v>
      </c>
      <c r="D16" s="12" t="n">
        <f aca="false">500000+250000</f>
        <v>750000</v>
      </c>
      <c r="E16" s="13" t="n">
        <f aca="false">C16-D16</f>
        <v>0</v>
      </c>
    </row>
    <row r="17" customFormat="false" ht="15" hidden="false" customHeight="false" outlineLevel="0" collapsed="false">
      <c r="A17" s="14" t="n">
        <v>7</v>
      </c>
      <c r="B17" s="115" t="s">
        <v>819</v>
      </c>
      <c r="C17" s="13" t="n">
        <v>750000</v>
      </c>
      <c r="D17" s="12" t="n">
        <f aca="false">30000+140000+190000+390000</f>
        <v>750000</v>
      </c>
      <c r="E17" s="13" t="n">
        <f aca="false">C17-D17</f>
        <v>0</v>
      </c>
    </row>
    <row r="18" customFormat="false" ht="15" hidden="false" customHeight="false" outlineLevel="0" collapsed="false">
      <c r="A18" s="14" t="n">
        <v>8</v>
      </c>
      <c r="B18" s="115" t="s">
        <v>820</v>
      </c>
      <c r="C18" s="13" t="n">
        <v>750000</v>
      </c>
      <c r="D18" s="12" t="n">
        <f aca="false">400000+350000</f>
        <v>750000</v>
      </c>
      <c r="E18" s="13" t="n">
        <f aca="false">C18-D18</f>
        <v>0</v>
      </c>
    </row>
    <row r="19" customFormat="false" ht="15" hidden="false" customHeight="false" outlineLevel="0" collapsed="false">
      <c r="A19" s="14" t="n">
        <v>9</v>
      </c>
      <c r="B19" s="115" t="s">
        <v>821</v>
      </c>
      <c r="C19" s="13" t="n">
        <v>750000</v>
      </c>
      <c r="D19" s="12" t="n">
        <f aca="false">500000+100000+100000+50000</f>
        <v>750000</v>
      </c>
      <c r="E19" s="13" t="n">
        <f aca="false">C19-D19</f>
        <v>0</v>
      </c>
    </row>
    <row r="20" customFormat="false" ht="15" hidden="false" customHeight="false" outlineLevel="0" collapsed="false">
      <c r="A20" s="14" t="n">
        <v>10</v>
      </c>
      <c r="B20" s="115" t="s">
        <v>822</v>
      </c>
      <c r="C20" s="13" t="n">
        <v>750000</v>
      </c>
      <c r="D20" s="12" t="n">
        <f aca="false">250000+50000+100000+100000+100000+150000</f>
        <v>750000</v>
      </c>
      <c r="E20" s="13" t="n">
        <f aca="false">C20-D20</f>
        <v>0</v>
      </c>
    </row>
    <row r="21" customFormat="false" ht="15" hidden="false" customHeight="false" outlineLevel="0" collapsed="false">
      <c r="A21" s="14" t="n">
        <v>11</v>
      </c>
      <c r="B21" s="115" t="s">
        <v>823</v>
      </c>
      <c r="C21" s="13" t="n">
        <v>750000</v>
      </c>
      <c r="D21" s="12" t="n">
        <f aca="false">400000+350000</f>
        <v>750000</v>
      </c>
      <c r="E21" s="13" t="n">
        <f aca="false">C21-D21</f>
        <v>0</v>
      </c>
    </row>
    <row r="22" customFormat="false" ht="15" hidden="false" customHeight="false" outlineLevel="0" collapsed="false">
      <c r="A22" s="14" t="n">
        <v>12</v>
      </c>
      <c r="B22" s="115" t="s">
        <v>824</v>
      </c>
      <c r="C22" s="13" t="n">
        <v>750000</v>
      </c>
      <c r="D22" s="12" t="n">
        <f aca="false">400000+100000+250000</f>
        <v>750000</v>
      </c>
      <c r="E22" s="13" t="n">
        <f aca="false">C22-D22</f>
        <v>0</v>
      </c>
    </row>
    <row r="23" customFormat="false" ht="15" hidden="false" customHeight="false" outlineLevel="0" collapsed="false">
      <c r="A23" s="14" t="n">
        <v>13</v>
      </c>
      <c r="B23" s="115" t="s">
        <v>825</v>
      </c>
      <c r="C23" s="13" t="n">
        <v>750000</v>
      </c>
      <c r="D23" s="12" t="n">
        <f aca="false">400000+350000</f>
        <v>750000</v>
      </c>
      <c r="E23" s="13" t="n">
        <f aca="false">C23-D23</f>
        <v>0</v>
      </c>
    </row>
    <row r="24" customFormat="false" ht="15" hidden="false" customHeight="false" outlineLevel="0" collapsed="false">
      <c r="A24" s="14" t="n">
        <v>14</v>
      </c>
      <c r="B24" s="115" t="s">
        <v>826</v>
      </c>
      <c r="C24" s="13" t="n">
        <v>750000</v>
      </c>
      <c r="D24" s="12" t="n">
        <f aca="false">400000+150000+100000+100000</f>
        <v>750000</v>
      </c>
      <c r="E24" s="13" t="n">
        <f aca="false">C24-D24</f>
        <v>0</v>
      </c>
    </row>
    <row r="25" customFormat="false" ht="15" hidden="false" customHeight="false" outlineLevel="0" collapsed="false">
      <c r="A25" s="14" t="n">
        <v>15</v>
      </c>
      <c r="B25" s="116" t="s">
        <v>827</v>
      </c>
      <c r="C25" s="13" t="n">
        <v>750000</v>
      </c>
      <c r="D25" s="26" t="n">
        <f aca="false">500000+25000+225000</f>
        <v>750000</v>
      </c>
      <c r="E25" s="13" t="n">
        <f aca="false">C25-D25</f>
        <v>0</v>
      </c>
    </row>
    <row r="26" customFormat="false" ht="15" hidden="false" customHeight="false" outlineLevel="0" collapsed="false">
      <c r="A26" s="14" t="n">
        <v>16</v>
      </c>
      <c r="B26" s="116" t="s">
        <v>828</v>
      </c>
      <c r="C26" s="13" t="n">
        <v>750000</v>
      </c>
      <c r="D26" s="26" t="n">
        <f aca="false">100000+150000+150000+100000+100000+30000+80000+40000</f>
        <v>750000</v>
      </c>
      <c r="E26" s="13" t="n">
        <f aca="false">C26-D26</f>
        <v>0</v>
      </c>
    </row>
    <row r="27" customFormat="false" ht="15" hidden="false" customHeight="false" outlineLevel="0" collapsed="false">
      <c r="A27" s="14" t="n">
        <v>17</v>
      </c>
      <c r="B27" s="116" t="s">
        <v>829</v>
      </c>
      <c r="C27" s="13" t="n">
        <v>750000</v>
      </c>
      <c r="D27" s="26" t="n">
        <f aca="false">400000+350000</f>
        <v>750000</v>
      </c>
      <c r="E27" s="13" t="n">
        <f aca="false">C27-D27</f>
        <v>0</v>
      </c>
    </row>
    <row r="28" customFormat="false" ht="15" hidden="false" customHeight="false" outlineLevel="0" collapsed="false">
      <c r="A28" s="14" t="n">
        <v>18</v>
      </c>
      <c r="B28" s="116" t="s">
        <v>830</v>
      </c>
      <c r="C28" s="13" t="n">
        <v>750000</v>
      </c>
      <c r="D28" s="26" t="n">
        <f aca="false">300000+50000+50000+100000+100000+50000+100000</f>
        <v>750000</v>
      </c>
      <c r="E28" s="13" t="n">
        <f aca="false">C28-D28</f>
        <v>0</v>
      </c>
    </row>
    <row r="29" customFormat="false" ht="15" hidden="false" customHeight="false" outlineLevel="0" collapsed="false">
      <c r="A29" s="14" t="n">
        <v>19</v>
      </c>
      <c r="B29" s="116" t="s">
        <v>831</v>
      </c>
      <c r="C29" s="13" t="n">
        <v>750000</v>
      </c>
      <c r="D29" s="26" t="n">
        <f aca="false">400000+100000+250000</f>
        <v>750000</v>
      </c>
      <c r="E29" s="13" t="n">
        <f aca="false">C29-D29</f>
        <v>0</v>
      </c>
    </row>
    <row r="30" customFormat="false" ht="15" hidden="false" customHeight="false" outlineLevel="0" collapsed="false">
      <c r="A30" s="14" t="n">
        <v>20</v>
      </c>
      <c r="B30" s="116" t="s">
        <v>832</v>
      </c>
      <c r="C30" s="13" t="n">
        <v>750000</v>
      </c>
      <c r="D30" s="26" t="n">
        <f aca="false">400000+300000+50000</f>
        <v>750000</v>
      </c>
      <c r="E30" s="13" t="n">
        <f aca="false">C30-D30</f>
        <v>0</v>
      </c>
    </row>
    <row r="31" customFormat="false" ht="15" hidden="false" customHeight="false" outlineLevel="0" collapsed="false">
      <c r="A31" s="14" t="n">
        <v>21</v>
      </c>
      <c r="B31" s="116" t="s">
        <v>833</v>
      </c>
      <c r="C31" s="13" t="n">
        <v>750000</v>
      </c>
      <c r="D31" s="26" t="n">
        <f aca="false">410000+340000</f>
        <v>750000</v>
      </c>
      <c r="E31" s="13" t="n">
        <f aca="false">C31-D31</f>
        <v>0</v>
      </c>
    </row>
    <row r="32" customFormat="false" ht="15" hidden="false" customHeight="false" outlineLevel="0" collapsed="false">
      <c r="A32" s="14" t="n">
        <v>22</v>
      </c>
      <c r="B32" s="116" t="s">
        <v>834</v>
      </c>
      <c r="C32" s="13" t="n">
        <v>750000</v>
      </c>
      <c r="D32" s="26" t="n">
        <f aca="false">100000+100000+50000+50000+350000+50000+50000</f>
        <v>750000</v>
      </c>
      <c r="E32" s="13" t="n">
        <f aca="false">C32-D32</f>
        <v>0</v>
      </c>
    </row>
    <row r="33" customFormat="false" ht="15" hidden="false" customHeight="false" outlineLevel="0" collapsed="false">
      <c r="A33" s="14" t="n">
        <v>23</v>
      </c>
      <c r="B33" s="116" t="s">
        <v>835</v>
      </c>
      <c r="C33" s="13" t="n">
        <v>750000</v>
      </c>
      <c r="D33" s="26" t="n">
        <f aca="false">400000+350000</f>
        <v>750000</v>
      </c>
      <c r="E33" s="13" t="n">
        <f aca="false">C33-D33</f>
        <v>0</v>
      </c>
    </row>
    <row r="34" customFormat="false" ht="15" hidden="false" customHeight="false" outlineLevel="0" collapsed="false">
      <c r="A34" s="14" t="n">
        <v>24</v>
      </c>
      <c r="B34" s="116" t="s">
        <v>836</v>
      </c>
      <c r="C34" s="13" t="n">
        <v>750000</v>
      </c>
      <c r="D34" s="26" t="n">
        <f aca="false">400000+100000+100000+110000+40000</f>
        <v>750000</v>
      </c>
      <c r="E34" s="13" t="n">
        <f aca="false">C34-D34</f>
        <v>0</v>
      </c>
    </row>
    <row r="35" customFormat="false" ht="15" hidden="false" customHeight="false" outlineLevel="0" collapsed="false">
      <c r="A35" s="14" t="n">
        <v>25</v>
      </c>
      <c r="B35" s="116" t="s">
        <v>837</v>
      </c>
      <c r="C35" s="117" t="n">
        <v>750000</v>
      </c>
      <c r="D35" s="26" t="n">
        <f aca="false">400000+350000</f>
        <v>750000</v>
      </c>
      <c r="E35" s="13" t="n">
        <f aca="false">C35-D35</f>
        <v>0</v>
      </c>
    </row>
    <row r="36" customFormat="false" ht="15" hidden="false" customHeight="false" outlineLevel="0" collapsed="false">
      <c r="A36" s="14" t="n">
        <v>26</v>
      </c>
      <c r="B36" s="116" t="s">
        <v>838</v>
      </c>
      <c r="C36" s="117" t="n">
        <v>750000</v>
      </c>
      <c r="D36" s="26" t="n">
        <f aca="false">400000+350000</f>
        <v>750000</v>
      </c>
      <c r="E36" s="13" t="n">
        <f aca="false">C36-D36</f>
        <v>0</v>
      </c>
    </row>
    <row r="37" customFormat="false" ht="15" hidden="false" customHeight="false" outlineLevel="0" collapsed="false">
      <c r="A37" s="14" t="n">
        <v>27</v>
      </c>
      <c r="B37" s="116" t="s">
        <v>839</v>
      </c>
      <c r="C37" s="12" t="n">
        <v>750000</v>
      </c>
      <c r="D37" s="26" t="n">
        <f aca="false">400000+350000</f>
        <v>750000</v>
      </c>
      <c r="E37" s="13" t="n">
        <f aca="false">C37-D37</f>
        <v>0</v>
      </c>
    </row>
    <row r="38" customFormat="false" ht="17.35" hidden="false" customHeight="false" outlineLevel="0" collapsed="false">
      <c r="A38" s="14"/>
      <c r="B38" s="18" t="s">
        <v>21</v>
      </c>
      <c r="C38" s="19" t="n">
        <f aca="false">SUM(C11:C37)</f>
        <v>20250000</v>
      </c>
      <c r="D38" s="20" t="n">
        <f aca="false">SUM(D11:D37)</f>
        <v>20250000</v>
      </c>
      <c r="E38" s="21" t="n">
        <f aca="false">SUM(E11:E37)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K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6" activeCellId="0" sqref="F66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7.16"/>
    <col collapsed="false" customWidth="true" hidden="false" outlineLevel="0" max="3" min="3" style="1" width="23.71"/>
    <col collapsed="false" customWidth="true" hidden="false" outlineLevel="0" max="4" min="4" style="1" width="14.43"/>
    <col collapsed="false" customWidth="true" hidden="false" outlineLevel="0" max="5" min="5" style="1" width="12.71"/>
  </cols>
  <sheetData>
    <row r="4" customFormat="false" ht="15" hidden="false" customHeight="false" outlineLevel="0" collapsed="false">
      <c r="A4" s="118" t="s">
        <v>840</v>
      </c>
      <c r="B4" s="119"/>
      <c r="C4" s="119"/>
      <c r="D4" s="119"/>
      <c r="E4" s="119"/>
      <c r="F4" s="119"/>
      <c r="G4" s="119"/>
    </row>
    <row r="5" customFormat="false" ht="15" hidden="false" customHeight="false" outlineLevel="0" collapsed="false">
      <c r="A5" s="120" t="s">
        <v>841</v>
      </c>
      <c r="B5" s="121"/>
      <c r="C5" s="121"/>
      <c r="D5" s="121"/>
      <c r="E5" s="121"/>
      <c r="F5" s="119"/>
      <c r="G5" s="119"/>
    </row>
    <row r="6" customFormat="false" ht="15" hidden="false" customHeight="false" outlineLevel="0" collapsed="false">
      <c r="A6" s="1" t="s">
        <v>842</v>
      </c>
    </row>
    <row r="7" customFormat="false" ht="15" hidden="false" customHeight="false" outlineLevel="0" collapsed="false">
      <c r="A7" s="122" t="s">
        <v>843</v>
      </c>
      <c r="B7" s="123" t="s">
        <v>844</v>
      </c>
      <c r="C7" s="124" t="s">
        <v>845</v>
      </c>
      <c r="D7" s="125" t="s">
        <v>846</v>
      </c>
      <c r="E7" s="122" t="s">
        <v>847</v>
      </c>
      <c r="F7" s="126" t="s">
        <v>848</v>
      </c>
    </row>
    <row r="8" customFormat="false" ht="12" hidden="false" customHeight="true" outlineLevel="0" collapsed="false">
      <c r="A8" s="127"/>
      <c r="B8" s="128"/>
      <c r="C8" s="129"/>
      <c r="D8" s="129"/>
      <c r="E8" s="129"/>
      <c r="F8" s="130"/>
    </row>
    <row r="9" customFormat="false" ht="15" hidden="false" customHeight="false" outlineLevel="0" collapsed="false">
      <c r="A9" s="131" t="s">
        <v>849</v>
      </c>
      <c r="B9" s="132" t="n">
        <v>30</v>
      </c>
      <c r="C9" s="133" t="n">
        <f aca="false">'LICENCE PRO. 1ère ANNEE'!C118</f>
        <v>11862000</v>
      </c>
      <c r="D9" s="133" t="n">
        <f aca="false">'LICENCE PRO. 1ère ANNEE'!D118</f>
        <v>9625500</v>
      </c>
      <c r="E9" s="134" t="n">
        <f aca="false">C9-D9</f>
        <v>2236500</v>
      </c>
      <c r="F9" s="135"/>
    </row>
    <row r="10" customFormat="false" ht="15" hidden="false" customHeight="false" outlineLevel="0" collapsed="false">
      <c r="A10" s="131" t="s">
        <v>850</v>
      </c>
      <c r="B10" s="132" t="n">
        <v>30</v>
      </c>
      <c r="C10" s="133" t="n">
        <f aca="false">'LICENCE PRO. 2è-3è-4è ANNEE'!C269</f>
        <v>11662000</v>
      </c>
      <c r="D10" s="133" t="n">
        <f aca="false">'LICENCE PRO. 2è-3è-4è ANNEE'!D269</f>
        <v>9780000</v>
      </c>
      <c r="E10" s="134" t="n">
        <f aca="false">C10-D10</f>
        <v>1882000</v>
      </c>
      <c r="F10" s="135"/>
    </row>
    <row r="11" customFormat="false" ht="15" hidden="false" customHeight="false" outlineLevel="0" collapsed="false">
      <c r="A11" s="131" t="s">
        <v>851</v>
      </c>
      <c r="B11" s="132" t="n">
        <v>25</v>
      </c>
      <c r="C11" s="133" t="n">
        <f aca="false">'LICENCE PRO. 2è-3è-4è ANNEE'!C303</f>
        <v>8330000</v>
      </c>
      <c r="D11" s="133" t="n">
        <f aca="false">'LICENCE PRO. 2è-3è-4è ANNEE'!D303</f>
        <v>5175000</v>
      </c>
      <c r="E11" s="134" t="n">
        <f aca="false">C11-D11</f>
        <v>3155000</v>
      </c>
      <c r="F11" s="135"/>
    </row>
    <row r="12" customFormat="false" ht="15" hidden="false" customHeight="false" outlineLevel="0" collapsed="false">
      <c r="A12" s="131" t="s">
        <v>852</v>
      </c>
      <c r="B12" s="132" t="n">
        <v>34</v>
      </c>
      <c r="C12" s="133" t="n">
        <f aca="false">'LICENCE PRO. 2è-3è-4è ANNEE'!C346</f>
        <v>14361000</v>
      </c>
      <c r="D12" s="133" t="n">
        <f aca="false">'LICENCE PRO. 2è-3è-4è ANNEE'!D346</f>
        <v>6709000</v>
      </c>
      <c r="E12" s="134" t="n">
        <f aca="false">C12-D12</f>
        <v>7652000</v>
      </c>
      <c r="F12" s="135"/>
    </row>
    <row r="13" customFormat="false" ht="8.25" hidden="false" customHeight="true" outlineLevel="0" collapsed="false">
      <c r="A13" s="136"/>
      <c r="B13" s="137"/>
      <c r="C13" s="138"/>
      <c r="D13" s="138"/>
      <c r="E13" s="138"/>
      <c r="F13" s="139"/>
    </row>
    <row r="14" customFormat="false" ht="15" hidden="false" customHeight="false" outlineLevel="0" collapsed="false">
      <c r="A14" s="131" t="s">
        <v>853</v>
      </c>
      <c r="B14" s="132" t="n">
        <v>24</v>
      </c>
      <c r="C14" s="133" t="n">
        <f aca="false">'LICENCE PRO. 1ère ANNEE'!C175</f>
        <v>9996000</v>
      </c>
      <c r="D14" s="133" t="n">
        <f aca="false">'LICENCE PRO. 1ère ANNEE'!D175</f>
        <v>9034000</v>
      </c>
      <c r="E14" s="133" t="n">
        <f aca="false">C14-D17</f>
        <v>7396900</v>
      </c>
      <c r="F14" s="140"/>
    </row>
    <row r="15" customFormat="false" ht="15" hidden="false" customHeight="false" outlineLevel="0" collapsed="false">
      <c r="A15" s="131" t="s">
        <v>854</v>
      </c>
      <c r="B15" s="132" t="n">
        <v>15</v>
      </c>
      <c r="C15" s="133" t="n">
        <f aca="false">'LICENCE PRO. 2è-3è-4è ANNEE'!C372</f>
        <v>5831000</v>
      </c>
      <c r="D15" s="133" t="n">
        <f aca="false">'LICENCE PRO. 2è-3è-4è ANNEE'!D372</f>
        <v>4658000</v>
      </c>
      <c r="E15" s="133" t="n">
        <f aca="false">C15-D15</f>
        <v>1173000</v>
      </c>
      <c r="F15" s="140"/>
    </row>
    <row r="16" customFormat="false" ht="15" hidden="false" customHeight="false" outlineLevel="0" collapsed="false">
      <c r="A16" s="131" t="s">
        <v>855</v>
      </c>
      <c r="B16" s="132" t="n">
        <v>9</v>
      </c>
      <c r="C16" s="133" t="n">
        <f aca="false">'LICENCE PRO. 2è-3è-4è ANNEE'!C390</f>
        <v>3748500</v>
      </c>
      <c r="D16" s="133" t="n">
        <f aca="false">'LICENCE PRO. 2è-3è-4è ANNEE'!D390</f>
        <v>3332000</v>
      </c>
      <c r="E16" s="133" t="n">
        <f aca="false">C16-D16</f>
        <v>416500</v>
      </c>
      <c r="F16" s="140"/>
    </row>
    <row r="17" customFormat="false" ht="15" hidden="false" customHeight="false" outlineLevel="0" collapsed="false">
      <c r="A17" s="131" t="s">
        <v>856</v>
      </c>
      <c r="B17" s="132" t="n">
        <v>11</v>
      </c>
      <c r="C17" s="133" t="n">
        <f aca="false">'LICENCE PRO. 2è-3è-4è ANNEE'!C409</f>
        <v>4165050</v>
      </c>
      <c r="D17" s="133" t="n">
        <f aca="false">'LICENCE PRO. 2è-3è-4è ANNEE'!D409</f>
        <v>2599100</v>
      </c>
      <c r="E17" s="133" t="n">
        <f aca="false">C17-D17</f>
        <v>1565950</v>
      </c>
      <c r="F17" s="140"/>
    </row>
    <row r="18" customFormat="false" ht="9" hidden="false" customHeight="true" outlineLevel="0" collapsed="false">
      <c r="A18" s="141"/>
      <c r="B18" s="141"/>
      <c r="C18" s="142"/>
      <c r="D18" s="142"/>
      <c r="E18" s="142"/>
      <c r="F18" s="143"/>
    </row>
    <row r="19" customFormat="false" ht="15" hidden="false" customHeight="false" outlineLevel="0" collapsed="false">
      <c r="A19" s="132" t="s">
        <v>857</v>
      </c>
      <c r="B19" s="132" t="n">
        <v>14</v>
      </c>
      <c r="C19" s="133" t="n">
        <f aca="false">'LICENCE PRO. 1ère ANNEE'!C198</f>
        <v>5831000</v>
      </c>
      <c r="D19" s="133" t="n">
        <f aca="false">'LICENCE PRO. 1ère ANNEE'!D198</f>
        <v>5830500</v>
      </c>
      <c r="E19" s="133" t="n">
        <f aca="false">C19-D19</f>
        <v>500</v>
      </c>
      <c r="F19" s="135"/>
    </row>
    <row r="20" customFormat="false" ht="15" hidden="false" customHeight="false" outlineLevel="0" collapsed="false">
      <c r="A20" s="132" t="s">
        <v>858</v>
      </c>
      <c r="B20" s="132" t="n">
        <v>24</v>
      </c>
      <c r="C20" s="133" t="n">
        <f aca="false">'LICENCE PRO. 2è-3è-4è ANNEE'!C444</f>
        <v>9996050</v>
      </c>
      <c r="D20" s="133" t="n">
        <f aca="false">'LICENCE PRO. 2è-3è-4è ANNEE'!D444</f>
        <v>9263500</v>
      </c>
      <c r="E20" s="133" t="n">
        <f aca="false">C20-D20</f>
        <v>732550</v>
      </c>
      <c r="F20" s="135"/>
    </row>
    <row r="21" customFormat="false" ht="15" hidden="false" customHeight="false" outlineLevel="0" collapsed="false">
      <c r="A21" s="132" t="s">
        <v>859</v>
      </c>
      <c r="B21" s="132" t="n">
        <v>20</v>
      </c>
      <c r="C21" s="133" t="n">
        <f aca="false">'LICENCE PRO. 2è-3è-4è ANNEE'!C473</f>
        <v>8330000</v>
      </c>
      <c r="D21" s="133" t="n">
        <f aca="false">'LICENCE PRO. 2è-3è-4è ANNEE'!D473</f>
        <v>7290500</v>
      </c>
      <c r="E21" s="133" t="n">
        <f aca="false">C21-D21</f>
        <v>1039500</v>
      </c>
      <c r="F21" s="135"/>
    </row>
    <row r="22" customFormat="false" ht="15" hidden="false" customHeight="false" outlineLevel="0" collapsed="false">
      <c r="A22" s="132" t="s">
        <v>860</v>
      </c>
      <c r="B22" s="132" t="n">
        <v>14</v>
      </c>
      <c r="C22" s="133" t="n">
        <f aca="false">'LICENCE PRO. 2è-3è-4è ANNEE'!C498</f>
        <v>5731000</v>
      </c>
      <c r="D22" s="133" t="n">
        <f aca="false">'LICENCE PRO. 2è-3è-4è ANNEE'!D498</f>
        <v>4676500</v>
      </c>
      <c r="E22" s="133" t="n">
        <f aca="false">C22-D22</f>
        <v>1054500</v>
      </c>
      <c r="F22" s="135"/>
    </row>
    <row r="23" customFormat="false" ht="8.25" hidden="false" customHeight="true" outlineLevel="0" collapsed="false">
      <c r="A23" s="144"/>
      <c r="B23" s="145"/>
      <c r="C23" s="146"/>
      <c r="D23" s="146"/>
      <c r="E23" s="146"/>
      <c r="F23" s="147"/>
    </row>
    <row r="24" customFormat="false" ht="15" hidden="false" customHeight="false" outlineLevel="0" collapsed="false">
      <c r="A24" s="131" t="s">
        <v>861</v>
      </c>
      <c r="B24" s="132" t="n">
        <v>14</v>
      </c>
      <c r="C24" s="133" t="n">
        <f aca="false">'LICENCE PRO. 2è-3è-4è ANNEE'!C810</f>
        <v>5414500</v>
      </c>
      <c r="D24" s="133" t="n">
        <f aca="false">'LICENCE PRO. 2è-3è-4è ANNEE'!D810</f>
        <v>4064000</v>
      </c>
      <c r="E24" s="133" t="n">
        <f aca="false">C24-D24</f>
        <v>1350500</v>
      </c>
      <c r="F24" s="135"/>
    </row>
    <row r="25" customFormat="false" ht="15" hidden="false" customHeight="false" outlineLevel="0" collapsed="false">
      <c r="A25" s="131" t="s">
        <v>862</v>
      </c>
      <c r="B25" s="132" t="n">
        <v>5</v>
      </c>
      <c r="C25" s="133" t="n">
        <f aca="false">'LICENCE PRO. 2è-3è-4è ANNEE'!C824</f>
        <v>2082500</v>
      </c>
      <c r="D25" s="133" t="n">
        <f aca="false">'LICENCE PRO. 2è-3è-4è ANNEE'!D824</f>
        <v>1691500</v>
      </c>
      <c r="E25" s="133" t="n">
        <f aca="false">C25-D25</f>
        <v>391000</v>
      </c>
      <c r="F25" s="135"/>
    </row>
    <row r="26" customFormat="false" ht="9" hidden="false" customHeight="true" outlineLevel="0" collapsed="false">
      <c r="A26" s="148"/>
      <c r="B26" s="149"/>
      <c r="C26" s="150"/>
      <c r="D26" s="151"/>
      <c r="E26" s="150"/>
      <c r="F26" s="152"/>
    </row>
    <row r="27" customFormat="false" ht="15" hidden="false" customHeight="false" outlineLevel="0" collapsed="false">
      <c r="A27" s="153" t="s">
        <v>863</v>
      </c>
      <c r="B27" s="154" t="n">
        <v>13</v>
      </c>
      <c r="C27" s="155" t="n">
        <f aca="false">'LICENCE PRO. 1ère ANNEE'!C141</f>
        <v>5414500</v>
      </c>
      <c r="D27" s="156" t="n">
        <f aca="false">'LICENCE PRO. 1ère ANNEE'!D141</f>
        <v>5415500</v>
      </c>
      <c r="E27" s="157" t="n">
        <f aca="false">C27-D27</f>
        <v>-1000</v>
      </c>
      <c r="F27" s="158"/>
    </row>
    <row r="28" customFormat="false" ht="15" hidden="false" customHeight="false" outlineLevel="0" collapsed="false">
      <c r="A28" s="131" t="s">
        <v>864</v>
      </c>
      <c r="B28" s="132" t="n">
        <v>13</v>
      </c>
      <c r="C28" s="133" t="n">
        <f aca="false">'LICENCE PRO. 2è-3è-4è ANNEE'!C631</f>
        <v>4581500</v>
      </c>
      <c r="D28" s="133" t="n">
        <f aca="false">'LICENCE PRO. 2è-3è-4è ANNEE'!D631</f>
        <v>4275000</v>
      </c>
      <c r="E28" s="133" t="n">
        <f aca="false">C28-D28</f>
        <v>306500</v>
      </c>
      <c r="F28" s="140"/>
    </row>
    <row r="29" customFormat="false" ht="15" hidden="false" customHeight="false" outlineLevel="0" collapsed="false">
      <c r="A29" s="131" t="s">
        <v>865</v>
      </c>
      <c r="B29" s="132" t="n">
        <v>16</v>
      </c>
      <c r="C29" s="133" t="n">
        <f aca="false">'LICENCE PRO. 2è-3è-4è ANNEE'!C656</f>
        <v>6664000</v>
      </c>
      <c r="D29" s="133" t="n">
        <f aca="false">'LICENCE PRO. 2è-3è-4è ANNEE'!D656</f>
        <v>6081000</v>
      </c>
      <c r="E29" s="133" t="n">
        <f aca="false">C29-D29</f>
        <v>583000</v>
      </c>
      <c r="F29" s="140"/>
    </row>
    <row r="30" customFormat="false" ht="15" hidden="false" customHeight="false" outlineLevel="0" collapsed="false">
      <c r="A30" s="131" t="s">
        <v>866</v>
      </c>
      <c r="B30" s="132" t="n">
        <v>13</v>
      </c>
      <c r="C30" s="133" t="n">
        <f aca="false">'LICENCE PRO. 2è-3è-4è ANNEE'!C678</f>
        <v>5414550</v>
      </c>
      <c r="D30" s="133" t="n">
        <f aca="false">'LICENCE PRO. 2è-3è-4è ANNEE'!D678</f>
        <v>4348000</v>
      </c>
      <c r="E30" s="133" t="n">
        <f aca="false">C30-D30</f>
        <v>1066550</v>
      </c>
      <c r="F30" s="159"/>
    </row>
    <row r="31" customFormat="false" ht="11.25" hidden="false" customHeight="true" outlineLevel="0" collapsed="false">
      <c r="A31" s="145"/>
      <c r="B31" s="160"/>
      <c r="C31" s="161"/>
      <c r="D31" s="161"/>
      <c r="E31" s="161"/>
      <c r="F31" s="147"/>
    </row>
    <row r="32" customFormat="false" ht="15" hidden="false" customHeight="false" outlineLevel="0" collapsed="false">
      <c r="A32" s="131" t="s">
        <v>867</v>
      </c>
      <c r="B32" s="132" t="n">
        <v>47</v>
      </c>
      <c r="C32" s="133" t="n">
        <f aca="false">'LICENCE PRO. 1ère ANNEE'!C80</f>
        <v>19575500</v>
      </c>
      <c r="D32" s="133" t="n">
        <f aca="false">'LICENCE PRO. 1ère ANNEE'!D80</f>
        <v>18532000</v>
      </c>
      <c r="E32" s="133" t="n">
        <f aca="false">C32-D32</f>
        <v>1043500</v>
      </c>
      <c r="F32" s="140"/>
    </row>
    <row r="33" customFormat="false" ht="15" hidden="false" customHeight="false" outlineLevel="0" collapsed="false">
      <c r="A33" s="131" t="s">
        <v>868</v>
      </c>
      <c r="B33" s="132" t="n">
        <v>21</v>
      </c>
      <c r="C33" s="133" t="n">
        <f aca="false">'LICENCE PRO. 2è-3è-4è ANNEE'!C143</f>
        <v>7913500</v>
      </c>
      <c r="D33" s="133" t="n">
        <f aca="false">'LICENCE PRO. 2è-3è-4è ANNEE'!D143</f>
        <v>6647500</v>
      </c>
      <c r="E33" s="133" t="n">
        <f aca="false">C33-D33</f>
        <v>1266000</v>
      </c>
      <c r="F33" s="140"/>
    </row>
    <row r="34" customFormat="false" ht="15" hidden="false" customHeight="false" outlineLevel="0" collapsed="false">
      <c r="A34" s="131" t="s">
        <v>869</v>
      </c>
      <c r="B34" s="132" t="n">
        <v>31</v>
      </c>
      <c r="C34" s="133" t="n">
        <f aca="false">'LICENCE PRO. 2è-3è-4è ANNEE'!C183</f>
        <v>11662000</v>
      </c>
      <c r="D34" s="133" t="n">
        <f aca="false">'LICENCE PRO. 2è-3è-4è ANNEE'!D183</f>
        <v>6931000</v>
      </c>
      <c r="E34" s="133" t="n">
        <f aca="false">C34-D34</f>
        <v>4731000</v>
      </c>
      <c r="F34" s="140"/>
    </row>
    <row r="35" customFormat="false" ht="15" hidden="false" customHeight="false" outlineLevel="0" collapsed="false">
      <c r="A35" s="131" t="s">
        <v>870</v>
      </c>
      <c r="B35" s="132" t="n">
        <v>35</v>
      </c>
      <c r="C35" s="133" t="n">
        <f aca="false">'LICENCE PRO. 2è-3è-4è ANNEE'!C227</f>
        <v>14577500</v>
      </c>
      <c r="D35" s="133" t="n">
        <f aca="false">'LICENCE PRO. 2è-3è-4è ANNEE'!D227</f>
        <v>8510000</v>
      </c>
      <c r="E35" s="133" t="n">
        <f aca="false">C35-D35</f>
        <v>6067500</v>
      </c>
      <c r="F35" s="140"/>
    </row>
    <row r="36" customFormat="false" ht="11.25" hidden="false" customHeight="true" outlineLevel="0" collapsed="false">
      <c r="A36" s="145"/>
      <c r="B36" s="160"/>
      <c r="C36" s="161"/>
      <c r="D36" s="161"/>
      <c r="E36" s="161"/>
      <c r="F36" s="162"/>
    </row>
    <row r="37" customFormat="false" ht="15" hidden="false" customHeight="false" outlineLevel="0" collapsed="false">
      <c r="A37" s="131" t="s">
        <v>871</v>
      </c>
      <c r="B37" s="132" t="n">
        <v>12</v>
      </c>
      <c r="C37" s="133" t="n">
        <f aca="false">'LICENCE PRO. 1ère ANNEE'!C23</f>
        <v>4998000</v>
      </c>
      <c r="D37" s="133" t="n">
        <f aca="false">'LICENCE PRO. 1ère ANNEE'!D23</f>
        <v>4585000</v>
      </c>
      <c r="E37" s="133" t="n">
        <f aca="false">C37-D37</f>
        <v>413000</v>
      </c>
      <c r="F37" s="140"/>
    </row>
    <row r="38" customFormat="false" ht="15" hidden="false" customHeight="false" outlineLevel="0" collapsed="false">
      <c r="A38" s="131" t="s">
        <v>872</v>
      </c>
      <c r="B38" s="132" t="n">
        <v>15</v>
      </c>
      <c r="C38" s="133" t="n">
        <f aca="false">'LICENCE PRO. 2è-3è-4è ANNEE'!C25</f>
        <v>4998000</v>
      </c>
      <c r="D38" s="133" t="n">
        <f aca="false">'LICENCE PRO. 2è-3è-4è ANNEE'!D25</f>
        <v>4937500</v>
      </c>
      <c r="E38" s="163" t="n">
        <f aca="false">C38-D38</f>
        <v>60500</v>
      </c>
      <c r="F38" s="140"/>
    </row>
    <row r="39" customFormat="false" ht="15" hidden="false" customHeight="false" outlineLevel="0" collapsed="false">
      <c r="A39" s="131" t="s">
        <v>873</v>
      </c>
      <c r="B39" s="132" t="n">
        <v>26</v>
      </c>
      <c r="C39" s="133" t="n">
        <f aca="false">'LICENCE PRO. 2è-3è-4è ANNEE'!C63</f>
        <v>10829000</v>
      </c>
      <c r="D39" s="133" t="n">
        <f aca="false">'LICENCE PRO. 2è-3è-4è ANNEE'!D63</f>
        <v>7803000</v>
      </c>
      <c r="E39" s="163" t="n">
        <f aca="false">C39-D39</f>
        <v>3026000</v>
      </c>
      <c r="F39" s="140"/>
    </row>
    <row r="40" customFormat="false" ht="15" hidden="false" customHeight="false" outlineLevel="0" collapsed="false">
      <c r="A40" s="131" t="s">
        <v>874</v>
      </c>
      <c r="B40" s="164" t="n">
        <v>34</v>
      </c>
      <c r="C40" s="133" t="n">
        <f aca="false">'LICENCE PRO. 2è-3è-4è ANNEE'!C108</f>
        <v>14161000</v>
      </c>
      <c r="D40" s="133" t="n">
        <f aca="false">'LICENCE PRO. 2è-3è-4è ANNEE'!D108</f>
        <v>8848500</v>
      </c>
      <c r="E40" s="163" t="n">
        <f aca="false">C40-D40</f>
        <v>5312500</v>
      </c>
      <c r="F40" s="165"/>
    </row>
    <row r="41" customFormat="false" ht="12.75" hidden="false" customHeight="true" outlineLevel="0" collapsed="false">
      <c r="A41" s="166"/>
      <c r="B41" s="167"/>
      <c r="C41" s="168"/>
      <c r="D41" s="168"/>
      <c r="E41" s="168"/>
      <c r="F41" s="169"/>
    </row>
    <row r="42" customFormat="false" ht="15" hidden="false" customHeight="false" outlineLevel="0" collapsed="false">
      <c r="A42" s="170" t="s">
        <v>875</v>
      </c>
      <c r="B42" s="132" t="n">
        <v>9</v>
      </c>
      <c r="C42" s="133" t="n">
        <f aca="false">'LICENCE PRO. 2è-3è-4è ANNEE'!C752</f>
        <v>3748500</v>
      </c>
      <c r="D42" s="133" t="n">
        <f aca="false">'LICENCE PRO. 2è-3è-4è ANNEE'!D752</f>
        <v>1916500</v>
      </c>
      <c r="E42" s="163" t="n">
        <f aca="false">C42-D42</f>
        <v>1832000</v>
      </c>
      <c r="F42" s="140"/>
    </row>
    <row r="43" customFormat="false" ht="15" hidden="false" customHeight="false" outlineLevel="0" collapsed="false">
      <c r="A43" s="170" t="s">
        <v>876</v>
      </c>
      <c r="B43" s="171" t="n">
        <v>9</v>
      </c>
      <c r="C43" s="133" t="n">
        <f aca="false">'LICENCE PRO. 2è-3è-4è ANNEE'!C769</f>
        <v>3748500</v>
      </c>
      <c r="D43" s="133" t="n">
        <f aca="false">'LICENCE PRO. 2è-3è-4è ANNEE'!D769</f>
        <v>2516000</v>
      </c>
      <c r="E43" s="163" t="n">
        <f aca="false">C43-D43</f>
        <v>1232500</v>
      </c>
      <c r="F43" s="140"/>
    </row>
    <row r="44" customFormat="false" ht="15" hidden="false" customHeight="false" outlineLevel="0" collapsed="false">
      <c r="A44" s="170" t="s">
        <v>877</v>
      </c>
      <c r="B44" s="171" t="n">
        <v>11</v>
      </c>
      <c r="C44" s="133" t="n">
        <f aca="false">'LICENCE PRO. 2è-3è-4è ANNEE'!C788</f>
        <v>4581500</v>
      </c>
      <c r="D44" s="133" t="n">
        <f aca="false">'LICENCE PRO. 2è-3è-4è ANNEE'!D788</f>
        <v>2915500</v>
      </c>
      <c r="E44" s="163" t="n">
        <f aca="false">C44-D44</f>
        <v>1666000</v>
      </c>
      <c r="F44" s="140"/>
    </row>
    <row r="45" customFormat="false" ht="10.5" hidden="false" customHeight="true" outlineLevel="0" collapsed="false">
      <c r="A45" s="148"/>
      <c r="B45" s="172"/>
      <c r="C45" s="150"/>
      <c r="D45" s="150"/>
      <c r="E45" s="150"/>
      <c r="F45" s="173"/>
    </row>
    <row r="46" customFormat="false" ht="15" hidden="false" customHeight="false" outlineLevel="0" collapsed="false">
      <c r="A46" s="170" t="s">
        <v>878</v>
      </c>
      <c r="B46" s="171" t="n">
        <v>23</v>
      </c>
      <c r="C46" s="133" t="n">
        <f aca="false">'LICENCE PRO. 1ère ANNEE'!C270</f>
        <v>9579500</v>
      </c>
      <c r="D46" s="133" t="n">
        <f aca="false">'LICENCE PRO. 1ère ANNEE'!D270</f>
        <v>9579500</v>
      </c>
      <c r="E46" s="133" t="n">
        <f aca="false">C46-D46</f>
        <v>0</v>
      </c>
      <c r="F46" s="140"/>
    </row>
    <row r="47" customFormat="false" ht="11.25" hidden="false" customHeight="true" outlineLevel="0" collapsed="false">
      <c r="A47" s="148"/>
      <c r="B47" s="172"/>
      <c r="C47" s="150"/>
      <c r="D47" s="150"/>
      <c r="E47" s="150"/>
      <c r="F47" s="173"/>
    </row>
    <row r="48" customFormat="false" ht="15" hidden="false" customHeight="false" outlineLevel="0" collapsed="false">
      <c r="A48" s="170" t="s">
        <v>879</v>
      </c>
      <c r="B48" s="171" t="n">
        <v>32</v>
      </c>
      <c r="C48" s="133" t="n">
        <f aca="false">'LICENCE PRO. 1ère ANNEE'!C238</f>
        <v>12911500</v>
      </c>
      <c r="D48" s="133" t="n">
        <f aca="false">'LICENCE PRO. 1ère ANNEE'!D238</f>
        <v>12914500</v>
      </c>
      <c r="E48" s="133" t="n">
        <f aca="false">C48-D48</f>
        <v>-3000</v>
      </c>
      <c r="F48" s="140"/>
    </row>
    <row r="49" customFormat="false" ht="15" hidden="false" customHeight="false" outlineLevel="0" collapsed="false">
      <c r="A49" s="170" t="s">
        <v>880</v>
      </c>
      <c r="B49" s="171" t="n">
        <v>98</v>
      </c>
      <c r="C49" s="133" t="n">
        <f aca="false">'LICENCE PRO. 2è-3è-4è ANNEE'!C607</f>
        <v>40400500</v>
      </c>
      <c r="D49" s="133" t="n">
        <f aca="false">'LICENCE PRO. 2è-3è-4è ANNEE'!D607</f>
        <v>40404550</v>
      </c>
      <c r="E49" s="133" t="n">
        <f aca="false">C49-D49</f>
        <v>-4050</v>
      </c>
      <c r="F49" s="140"/>
    </row>
    <row r="50" customFormat="false" ht="10.5" hidden="false" customHeight="true" outlineLevel="0" collapsed="false">
      <c r="A50" s="174"/>
      <c r="B50" s="175"/>
      <c r="C50" s="176"/>
      <c r="D50" s="176"/>
      <c r="E50" s="176"/>
      <c r="F50" s="177"/>
    </row>
    <row r="51" customFormat="false" ht="15" hidden="false" customHeight="false" outlineLevel="0" collapsed="false">
      <c r="A51" s="178" t="s">
        <v>881</v>
      </c>
      <c r="B51" s="179" t="n">
        <v>8</v>
      </c>
      <c r="C51" s="180" t="n">
        <f aca="false">'LICENCE PRO. 1ère ANNEE'!C289</f>
        <v>3332000</v>
      </c>
      <c r="D51" s="180" t="n">
        <f aca="false">'LICENCE PRO. 1ère ANNEE'!D289</f>
        <v>2398500</v>
      </c>
      <c r="E51" s="180" t="n">
        <f aca="false">C51-D51</f>
        <v>933500</v>
      </c>
      <c r="F51" s="181"/>
    </row>
    <row r="52" customFormat="false" ht="15" hidden="false" customHeight="false" outlineLevel="0" collapsed="false">
      <c r="A52" s="178" t="s">
        <v>882</v>
      </c>
      <c r="B52" s="179" t="n">
        <v>27</v>
      </c>
      <c r="C52" s="180" t="n">
        <f aca="false">'LICENCE PRO. 2è-3è-4è ANNEE'!C718</f>
        <v>11245500</v>
      </c>
      <c r="D52" s="180" t="n">
        <f aca="false">'LICENCE PRO. 2è-3è-4è ANNEE'!D718</f>
        <v>10306000</v>
      </c>
      <c r="E52" s="180" t="n">
        <f aca="false">C52-D52</f>
        <v>939500</v>
      </c>
      <c r="F52" s="181"/>
    </row>
    <row r="53" customFormat="false" ht="15" hidden="false" customHeight="false" outlineLevel="0" collapsed="false">
      <c r="A53" s="178" t="s">
        <v>883</v>
      </c>
      <c r="B53" s="179" t="n">
        <v>5</v>
      </c>
      <c r="C53" s="180" t="n">
        <f aca="false">'LICENCE PRO. 2è-3è-4è ANNEE'!C733</f>
        <v>2082500</v>
      </c>
      <c r="D53" s="180" t="n">
        <f aca="false">'LICENCE PRO. 2è-3è-4è ANNEE'!D733</f>
        <v>2083000</v>
      </c>
      <c r="E53" s="180" t="n">
        <f aca="false">C53-D53</f>
        <v>-500</v>
      </c>
      <c r="F53" s="181"/>
    </row>
    <row r="54" customFormat="false" ht="16.5" hidden="false" customHeight="true" outlineLevel="0" collapsed="false">
      <c r="A54" s="148"/>
      <c r="B54" s="182"/>
      <c r="C54" s="150" t="n">
        <f aca="false">[1]TroisAn!E458</f>
        <v>0</v>
      </c>
      <c r="D54" s="150" t="n">
        <f aca="false">[1]TroisAn!C458</f>
        <v>0</v>
      </c>
      <c r="E54" s="150" t="n">
        <f aca="false">C54-D54</f>
        <v>0</v>
      </c>
      <c r="F54" s="173"/>
    </row>
    <row r="55" customFormat="false" ht="22.5" hidden="false" customHeight="true" outlineLevel="0" collapsed="false">
      <c r="A55" s="122" t="s">
        <v>884</v>
      </c>
      <c r="B55" s="183" t="n">
        <f aca="false">SUM(B9:B54)</f>
        <v>767</v>
      </c>
      <c r="C55" s="183" t="n">
        <f aca="false">SUM(C9:C54)</f>
        <v>309759650</v>
      </c>
      <c r="D55" s="184" t="n">
        <f aca="false">SUM(D9:D54)</f>
        <v>255677150</v>
      </c>
      <c r="E55" s="183" t="n">
        <f aca="false">SUM(E9:E54)</f>
        <v>60517400</v>
      </c>
      <c r="F55" s="185" t="n">
        <f aca="false">D55/C55</f>
        <v>0.825404955099865</v>
      </c>
      <c r="K55" s="1" t="s">
        <v>383</v>
      </c>
    </row>
    <row r="56" customFormat="false" ht="15" hidden="false" customHeight="false" outlineLevel="0" collapsed="false">
      <c r="A56" s="186"/>
      <c r="B56" s="186"/>
      <c r="C56" s="187"/>
      <c r="D56" s="187"/>
      <c r="E56" s="187"/>
      <c r="F56" s="188"/>
    </row>
    <row r="61" customFormat="false" ht="15" hidden="false" customHeight="false" outlineLevel="0" collapsed="false">
      <c r="E61" s="1" t="s">
        <v>885</v>
      </c>
    </row>
    <row r="65" customFormat="false" ht="15" hidden="false" customHeight="false" outlineLevel="0" collapsed="false">
      <c r="G65" s="189"/>
      <c r="I65" s="18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E2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15" activeCellId="0" sqref="B15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17.71"/>
    <col collapsed="false" customWidth="true" hidden="false" outlineLevel="0" max="2" min="2" style="1" width="17.29"/>
    <col collapsed="false" customWidth="true" hidden="false" outlineLevel="0" max="3" min="3" style="1" width="16.29"/>
    <col collapsed="false" customWidth="true" hidden="false" outlineLevel="0" max="4" min="4" style="1" width="16"/>
  </cols>
  <sheetData>
    <row r="6" customFormat="false" ht="19.7" hidden="false" customHeight="false" outlineLevel="0" collapsed="false">
      <c r="A6" s="190" t="s">
        <v>886</v>
      </c>
    </row>
    <row r="8" customFormat="false" ht="26.85" hidden="false" customHeight="false" outlineLevel="0" collapsed="false">
      <c r="A8" s="191" t="s">
        <v>887</v>
      </c>
      <c r="B8" s="192" t="s">
        <v>888</v>
      </c>
      <c r="C8" s="192" t="s">
        <v>889</v>
      </c>
      <c r="D8" s="192" t="s">
        <v>890</v>
      </c>
    </row>
    <row r="9" customFormat="false" ht="25.5" hidden="false" customHeight="true" outlineLevel="0" collapsed="false">
      <c r="A9" s="193" t="s">
        <v>891</v>
      </c>
      <c r="B9" s="194" t="n">
        <v>7512250</v>
      </c>
      <c r="C9" s="194" t="n">
        <v>4709700</v>
      </c>
      <c r="D9" s="194" t="n">
        <v>1678950</v>
      </c>
      <c r="E9" s="189" t="n">
        <f aca="false">B9+C9+D9</f>
        <v>13900900</v>
      </c>
    </row>
    <row r="10" customFormat="false" ht="24" hidden="false" customHeight="true" outlineLevel="0" collapsed="false">
      <c r="A10" s="195" t="s">
        <v>892</v>
      </c>
      <c r="B10" s="196" t="n">
        <v>31473700</v>
      </c>
      <c r="C10" s="196" t="n">
        <v>5189750</v>
      </c>
      <c r="D10" s="196" t="n">
        <f aca="false">1248000+744300</f>
        <v>1992300</v>
      </c>
      <c r="E10" s="189" t="n">
        <f aca="false">B10+C10+D10</f>
        <v>38655750</v>
      </c>
    </row>
    <row r="11" customFormat="false" ht="24.75" hidden="false" customHeight="true" outlineLevel="0" collapsed="false">
      <c r="A11" s="195" t="s">
        <v>893</v>
      </c>
      <c r="B11" s="196"/>
      <c r="C11" s="196"/>
      <c r="D11" s="196"/>
      <c r="E11" s="189" t="n">
        <f aca="false">B11+C11+D11</f>
        <v>0</v>
      </c>
    </row>
    <row r="12" customFormat="false" ht="26.25" hidden="false" customHeight="true" outlineLevel="0" collapsed="false">
      <c r="A12" s="195" t="s">
        <v>894</v>
      </c>
      <c r="B12" s="196"/>
      <c r="C12" s="196"/>
      <c r="D12" s="196"/>
      <c r="E12" s="189" t="n">
        <f aca="false">B12+C12+D12</f>
        <v>0</v>
      </c>
    </row>
    <row r="13" customFormat="false" ht="22.5" hidden="false" customHeight="true" outlineLevel="0" collapsed="false">
      <c r="A13" s="195" t="s">
        <v>895</v>
      </c>
      <c r="B13" s="196"/>
      <c r="C13" s="196"/>
      <c r="D13" s="196"/>
      <c r="E13" s="189" t="n">
        <f aca="false">B13+C13+D13</f>
        <v>0</v>
      </c>
    </row>
    <row r="14" customFormat="false" ht="26.25" hidden="false" customHeight="true" outlineLevel="0" collapsed="false">
      <c r="A14" s="195" t="s">
        <v>896</v>
      </c>
      <c r="B14" s="196"/>
      <c r="C14" s="196"/>
      <c r="D14" s="196"/>
      <c r="E14" s="189" t="n">
        <f aca="false">B14+C14+D14</f>
        <v>0</v>
      </c>
    </row>
    <row r="15" customFormat="false" ht="24.75" hidden="false" customHeight="true" outlineLevel="0" collapsed="false">
      <c r="A15" s="195" t="s">
        <v>897</v>
      </c>
      <c r="B15" s="196"/>
      <c r="C15" s="196"/>
      <c r="D15" s="196"/>
      <c r="E15" s="189" t="n">
        <f aca="false">B15+C15+D15</f>
        <v>0</v>
      </c>
    </row>
    <row r="16" customFormat="false" ht="26.25" hidden="false" customHeight="true" outlineLevel="0" collapsed="false">
      <c r="A16" s="195" t="s">
        <v>898</v>
      </c>
      <c r="B16" s="196"/>
      <c r="C16" s="196"/>
      <c r="D16" s="196"/>
      <c r="E16" s="189" t="n">
        <f aca="false">B16+C16+D16</f>
        <v>0</v>
      </c>
    </row>
    <row r="17" customFormat="false" ht="25.5" hidden="false" customHeight="true" outlineLevel="0" collapsed="false">
      <c r="A17" s="195" t="s">
        <v>899</v>
      </c>
      <c r="B17" s="196"/>
      <c r="C17" s="196"/>
      <c r="D17" s="196"/>
      <c r="E17" s="189" t="n">
        <f aca="false">B17+C17+D17</f>
        <v>0</v>
      </c>
    </row>
    <row r="18" customFormat="false" ht="22.5" hidden="false" customHeight="true" outlineLevel="0" collapsed="false">
      <c r="A18" s="195" t="s">
        <v>900</v>
      </c>
      <c r="B18" s="196"/>
      <c r="C18" s="196"/>
      <c r="D18" s="196"/>
      <c r="E18" s="189" t="n">
        <f aca="false">B18+C18+D18</f>
        <v>0</v>
      </c>
    </row>
    <row r="19" customFormat="false" ht="27.75" hidden="false" customHeight="true" outlineLevel="0" collapsed="false">
      <c r="A19" s="195" t="s">
        <v>901</v>
      </c>
      <c r="B19" s="197"/>
      <c r="C19" s="197"/>
      <c r="D19" s="196"/>
      <c r="E19" s="189" t="n">
        <f aca="false">B19+C19+D19</f>
        <v>0</v>
      </c>
    </row>
    <row r="20" customFormat="false" ht="27.75" hidden="false" customHeight="true" outlineLevel="0" collapsed="false">
      <c r="A20" s="195" t="s">
        <v>902</v>
      </c>
      <c r="B20" s="198"/>
      <c r="C20" s="198"/>
      <c r="D20" s="199"/>
      <c r="E20" s="189" t="n">
        <f aca="false">B20+C20+D20</f>
        <v>0</v>
      </c>
    </row>
    <row r="21" customFormat="false" ht="24.75" hidden="false" customHeight="true" outlineLevel="0" collapsed="false">
      <c r="A21" s="200" t="s">
        <v>903</v>
      </c>
      <c r="B21" s="201" t="n">
        <f aca="false">SUM(B9:B18)</f>
        <v>38985950</v>
      </c>
      <c r="C21" s="201" t="n">
        <f aca="false">SUM(C9:C20)</f>
        <v>9899450</v>
      </c>
      <c r="D21" s="201" t="n">
        <f aca="false">SUM(D9:D18)</f>
        <v>3671250</v>
      </c>
      <c r="E21" s="189" t="n">
        <f aca="false">SUM(E9:E20)</f>
        <v>52556650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6:E1048576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K41" activeCellId="0" sqref="K41"/>
    </sheetView>
  </sheetViews>
  <sheetFormatPr defaultColWidth="11.00390625" defaultRowHeight="15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32.15"/>
    <col collapsed="false" customWidth="true" hidden="false" outlineLevel="0" max="3" min="3" style="1" width="14.57"/>
  </cols>
  <sheetData>
    <row r="6" customFormat="false" ht="17.35" hidden="false" customHeight="false" outlineLevel="0" collapsed="false">
      <c r="A6" s="2"/>
      <c r="B6" s="2" t="s">
        <v>0</v>
      </c>
    </row>
    <row r="8" customFormat="false" ht="17.25" hidden="false" customHeight="false" outlineLevel="0" collapsed="false">
      <c r="B8" s="3" t="s">
        <v>1</v>
      </c>
    </row>
    <row r="11" customFormat="false" ht="17.25" hidden="false" customHeight="false" outlineLevel="0" collapsed="false">
      <c r="B11" s="4" t="s">
        <v>2</v>
      </c>
      <c r="D11" s="5" t="s">
        <v>220</v>
      </c>
    </row>
    <row r="13" customFormat="false" ht="15" hidden="false" customHeight="false" outlineLevel="0" collapsed="false">
      <c r="A13" s="6" t="s">
        <v>4</v>
      </c>
      <c r="B13" s="42" t="s">
        <v>5</v>
      </c>
      <c r="C13" s="43" t="s">
        <v>6</v>
      </c>
      <c r="D13" s="44" t="s">
        <v>7</v>
      </c>
      <c r="E13" s="27" t="s">
        <v>8</v>
      </c>
    </row>
    <row r="14" customFormat="false" ht="15" hidden="false" customHeight="false" outlineLevel="0" collapsed="false">
      <c r="A14" s="14" t="n">
        <v>5</v>
      </c>
      <c r="B14" s="11" t="s">
        <v>225</v>
      </c>
      <c r="C14" s="12" t="n">
        <v>416500</v>
      </c>
      <c r="D14" s="12" t="n">
        <f aca="false">100000+116500</f>
        <v>216500</v>
      </c>
      <c r="E14" s="13" t="n">
        <f aca="false">C14-D14</f>
        <v>200000</v>
      </c>
    </row>
    <row r="15" customFormat="false" ht="17.35" hidden="false" customHeight="false" outlineLevel="0" collapsed="false">
      <c r="A15" s="17"/>
      <c r="B15" s="18" t="s">
        <v>21</v>
      </c>
      <c r="C15" s="19"/>
      <c r="D15" s="20"/>
      <c r="E15" s="21"/>
    </row>
    <row r="16" customFormat="false" ht="18.75" hidden="false" customHeight="false" outlineLevel="0" collapsed="false">
      <c r="B16" s="31"/>
      <c r="C16" s="32"/>
      <c r="D16" s="33"/>
      <c r="E16" s="34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2015-02-05T14:12:00Z</dcterms:created>
  <dc:creator>HP</dc:creator>
  <dc:description/>
  <dc:language>fr-FR</dc:language>
  <cp:lastModifiedBy/>
  <cp:lastPrinted>2010-04-02T02:06:00Z</cp:lastPrinted>
  <dcterms:modified xsi:type="dcterms:W3CDTF">2024-12-23T05:35:50Z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B430BC4DAA054D449D2F5BF080DFCEDB_12</vt:lpwstr>
  </property>
  <property fmtid="{D5CDD505-2E9C-101B-9397-08002B2CF9AE}" pid="3" name="KSOProductBuildVer">
    <vt:lpwstr>1036-12.2.0.17119</vt:lpwstr>
  </property>
</Properties>
</file>