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_IGNORER_1" sheetId="1" state="visible" r:id="rId3"/>
    <sheet name="LICENCE PRO. 1ère ANNEE" sheetId="2" state="visible" r:id="rId4"/>
    <sheet name="LICENCE PRO. 2è-3è-4è ANNEE" sheetId="3" state="visible" r:id="rId5"/>
    <sheet name="INGENIEUR" sheetId="4" state="visible" r:id="rId6"/>
    <sheet name="A_IGNORER_2" sheetId="5" state="visible" r:id="rId7"/>
    <sheet name="A_IGNORER_4" sheetId="6" state="visible" r:id="rId8"/>
    <sheet name="A_IGNORER_3" sheetId="7" state="visible" r:id="rId9"/>
    <sheet name="A_IGNORER_5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858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sharedStrings.xml><?xml version="1.0" encoding="utf-8"?>
<sst xmlns="http://schemas.openxmlformats.org/spreadsheetml/2006/main" count="1632" uniqueCount="1056">
  <si>
    <t xml:space="preserve">LICENCE PROFESSIONNELLE 2015-2016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</si>
  <si>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</si>
  <si>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1ère Année</t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</si>
  <si>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</si>
  <si>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</si>
  <si>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</si>
  <si>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</si>
  <si>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</si>
  <si>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t xml:space="preserve">CAPO Wenceslas Mahougbé</t>
  </si>
  <si>
    <t xml:space="preserve">ABDOU HASSAN Idrissou</t>
  </si>
  <si>
    <t xml:space="preserve">AIBATIN Alexis</t>
  </si>
  <si>
    <t xml:space="preserve">AKPO Naomie Pulcherie</t>
  </si>
  <si>
    <t xml:space="preserve">ALPHA BIO Mikaila</t>
  </si>
  <si>
    <t xml:space="preserve">BIO OURE Fadel</t>
  </si>
  <si>
    <t xml:space="preserve">DJOMAMOU YAVE Amel Prisel</t>
  </si>
  <si>
    <t xml:space="preserve">DODO ISSA Aminou</t>
  </si>
  <si>
    <t xml:space="preserve">DOUHAKOUA Sambieni</t>
  </si>
  <si>
    <t xml:space="preserve">GANDAHO J. Christian</t>
  </si>
  <si>
    <t xml:space="preserve">GNITANGNI A. Emilie</t>
  </si>
  <si>
    <t xml:space="preserve">HANGBE MAX Ulrich G.</t>
  </si>
  <si>
    <t xml:space="preserve">LOKONON Wilfried Codjo T.</t>
  </si>
  <si>
    <t xml:space="preserve">MADOUGOU Moumouni</t>
  </si>
  <si>
    <t xml:space="preserve">MAYAKI ADAMOU Nafissatou</t>
  </si>
  <si>
    <t xml:space="preserve">MOUNIROU Widad A. M.</t>
  </si>
  <si>
    <t xml:space="preserve">OYENIRAN Michel Kolawolé</t>
  </si>
  <si>
    <t xml:space="preserve">SANNI Zalikatou</t>
  </si>
  <si>
    <t xml:space="preserve">SENOU M. Bienvenu</t>
  </si>
  <si>
    <t xml:space="preserve">SINDEMION C. Flore</t>
  </si>
  <si>
    <t xml:space="preserve">TOHOZIN Hector Eustache</t>
  </si>
  <si>
    <t xml:space="preserve">TOKOURA LAFIA Kora</t>
  </si>
  <si>
    <t xml:space="preserve">BALANCE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</si>
  <si>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</si>
  <si>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ABOUDOU SANDA Saroukou A.</t>
  </si>
  <si>
    <t xml:space="preserve">ADANDONON Paulin B. Stanislas</t>
  </si>
  <si>
    <t xml:space="preserve">ADEH Pacome</t>
  </si>
  <si>
    <t xml:space="preserve">AHONSOU ATSOU Donatien</t>
  </si>
  <si>
    <t xml:space="preserve">AHOUANGANSI Florentin(redouble)</t>
  </si>
  <si>
    <t xml:space="preserve">AKOFFODJI Contant Rollant</t>
  </si>
  <si>
    <t xml:space="preserve">AKOUEDENOUDJE Retis L. S.</t>
  </si>
  <si>
    <t xml:space="preserve">ALASSI K. Ghislain (redouble)</t>
  </si>
  <si>
    <t xml:space="preserve">ABD</t>
  </si>
  <si>
    <t xml:space="preserve">ALIOU Mouhamadou</t>
  </si>
  <si>
    <t xml:space="preserve">ASSIFA DRAMANE Zaliatou</t>
  </si>
  <si>
    <t xml:space="preserve">AVOCEVOU E. Ignace</t>
  </si>
  <si>
    <t xml:space="preserve">BANOUWIN Limombi Rodrigue</t>
  </si>
  <si>
    <t xml:space="preserve">BATCHO Fiacre Fructueux B.</t>
  </si>
  <si>
    <t xml:space="preserve">DADDAH Damase</t>
  </si>
  <si>
    <t xml:space="preserve">EDO KOKOU Bertrand</t>
  </si>
  <si>
    <t xml:space="preserve">GBEMETONOU  T. Vivien Rodrigue</t>
  </si>
  <si>
    <t xml:space="preserve">GBESSO René</t>
  </si>
  <si>
    <t xml:space="preserve">HETCHILI Habib</t>
  </si>
  <si>
    <t xml:space="preserve">HOUENOU Aimé Jésugnon</t>
  </si>
  <si>
    <t xml:space="preserve">HOUNKONNOU M. Emmanuel</t>
  </si>
  <si>
    <t xml:space="preserve">HOUNSA Astrid S. N.</t>
  </si>
  <si>
    <t xml:space="preserve">KASSA KOUASSI Maxime Rodrigue</t>
  </si>
  <si>
    <t xml:space="preserve">KOUASSIVI HOUNKPATIN Hilarion</t>
  </si>
  <si>
    <t xml:space="preserve">KOUAVO Y. Jean Baptiste</t>
  </si>
  <si>
    <t xml:space="preserve">KOUVEGLO Alban Romeo</t>
  </si>
  <si>
    <t xml:space="preserve">KPEDE Alexis</t>
  </si>
  <si>
    <t xml:space="preserve">MABOUDOU M. A. Badiou</t>
  </si>
  <si>
    <t xml:space="preserve">MAHINOU KODJO Enyonam</t>
  </si>
  <si>
    <t xml:space="preserve">OLOUKOU Serges</t>
  </si>
  <si>
    <t xml:space="preserve">TCHARO Orou (redouble)</t>
  </si>
  <si>
    <t xml:space="preserve">TCHARO Yokossi</t>
  </si>
  <si>
    <t xml:space="preserve">YOKOSSI KOUANDETE Tchowe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</si>
  <si>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</si>
  <si>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ADJAKPE Codjo Paulin</t>
  </si>
  <si>
    <t xml:space="preserve">ADJANOHOUN M. Zoulkifl AKAMBI</t>
  </si>
  <si>
    <t xml:space="preserve">AGBADJAGAN Victor Marcel</t>
  </si>
  <si>
    <t xml:space="preserve">ATCHA NOUGBOGNON Elie</t>
  </si>
  <si>
    <t xml:space="preserve">BABA ABDOU Halidou</t>
  </si>
  <si>
    <t xml:space="preserve">CHOGOLOU Bidjokè Yvonne</t>
  </si>
  <si>
    <t xml:space="preserve">DAKOSSI Constant</t>
  </si>
  <si>
    <t xml:space="preserve">DJABOUTOUBOUTOU Mansourou</t>
  </si>
  <si>
    <t xml:space="preserve">EZROU Appolinaire Koffi</t>
  </si>
  <si>
    <t xml:space="preserve">FANDOHAN S. Donald</t>
  </si>
  <si>
    <t xml:space="preserve">FATON Ossanou Come</t>
  </si>
  <si>
    <t xml:space="preserve">GBENAHOU Vinongbe Placide</t>
  </si>
  <si>
    <t xml:space="preserve">GBETOUNOU K. Aubin</t>
  </si>
  <si>
    <t xml:space="preserve">HOUNGUE V. Dénis</t>
  </si>
  <si>
    <t xml:space="preserve">KITIHOUN Michel (redouble)</t>
  </si>
  <si>
    <t xml:space="preserve">TCHOUMADO TOHOSSI Rodolphe</t>
  </si>
  <si>
    <t xml:space="preserve">TOGBE William (redouble)</t>
  </si>
  <si>
    <t xml:space="preserve">YEMADJRO Laurence Rebecca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</si>
  <si>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HYGIENE ET CONTRÔLE DE QUALITE DES DENREES ALIMENTAIRES</t>
    </r>
  </si>
  <si>
    <t xml:space="preserve">ADOLIGBE Aubierge</t>
  </si>
  <si>
    <t xml:space="preserve">AGOHOUNDJE E. Hector Espero</t>
  </si>
  <si>
    <t xml:space="preserve">ALLADAYE Sènan Clotilde</t>
  </si>
  <si>
    <t xml:space="preserve">DOHEMETO SESSI Marthe Falone</t>
  </si>
  <si>
    <t xml:space="preserve">HODONOU A. Robert</t>
  </si>
  <si>
    <t xml:space="preserve">HOUNDJI O. Raoul K.</t>
  </si>
  <si>
    <t xml:space="preserve">ISSIFOU B. Abdoulaye</t>
  </si>
  <si>
    <t xml:space="preserve">KIATTI T. Crespin</t>
  </si>
  <si>
    <t xml:space="preserve">LANLENOU Elvire L. M.</t>
  </si>
  <si>
    <t xml:space="preserve">MAHOUNON Laure Semevo</t>
  </si>
  <si>
    <t xml:space="preserve">MARTINS K. Romaric</t>
  </si>
  <si>
    <t xml:space="preserve">MEDEBAHO M. Dieudonné</t>
  </si>
  <si>
    <t xml:space="preserve">MOUSSA Rafiatou</t>
  </si>
  <si>
    <t xml:space="preserve">NOUDAMADJO Yollande M. W.</t>
  </si>
  <si>
    <t xml:space="preserve">OTCHOUN D. Chrysante C.</t>
  </si>
  <si>
    <t xml:space="preserve">SOGNON Juliette</t>
  </si>
  <si>
    <t xml:space="preserve">SOSSOU D. V. Pamphile</t>
  </si>
  <si>
    <t xml:space="preserve">WANTOFIO Corneille</t>
  </si>
  <si>
    <t xml:space="preserve">YEDJENOU T. D. Donatien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</si>
  <si>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ANALYSES BIOMEDICALES</t>
    </r>
  </si>
  <si>
    <t xml:space="preserve">AKOTEGNON G. Mireille Mathilde</t>
  </si>
  <si>
    <t xml:space="preserve">BARRA Faycal</t>
  </si>
  <si>
    <t xml:space="preserve">CAKPO Comlan Gérôme</t>
  </si>
  <si>
    <t xml:space="preserve">DADJO D. H. Evrard</t>
  </si>
  <si>
    <t xml:space="preserve">GBAGUIDI S. Basile</t>
  </si>
  <si>
    <t xml:space="preserve">HOUNGNON Dorothée</t>
  </si>
  <si>
    <t xml:space="preserve">NOUGBODOHOUE Aristide</t>
  </si>
  <si>
    <t xml:space="preserve">OKE Finangnon Magloire</t>
  </si>
  <si>
    <t xml:space="preserve">SEMEVO Nadine Armande A.</t>
  </si>
  <si>
    <t xml:space="preserve">TAMOU Nehemie</t>
  </si>
  <si>
    <t xml:space="preserve">TOSSA Monsoyi Reine</t>
  </si>
  <si>
    <t xml:space="preserve">YANTIKOUA Sophie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</si>
  <si>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BIO HYGIENNE ET SECURITE SANITAIRE</t>
    </r>
  </si>
  <si>
    <t xml:space="preserve">ABDOULAYE F. Tamimou</t>
  </si>
  <si>
    <t xml:space="preserve">ABOGOUNRI W. Fatimata</t>
  </si>
  <si>
    <t xml:space="preserve">AGBADJA O. Claurie Ashley</t>
  </si>
  <si>
    <t xml:space="preserve">AGBOWAI B. Armelle</t>
  </si>
  <si>
    <t xml:space="preserve">AHOUANDJINOU Romea</t>
  </si>
  <si>
    <t xml:space="preserve">AHOUANNOU Enagnon Jocelyne</t>
  </si>
  <si>
    <t xml:space="preserve">AHOYO J. S. Paulette Sylvie</t>
  </si>
  <si>
    <t xml:space="preserve">ALI SEDAMI O. Aurore</t>
  </si>
  <si>
    <t xml:space="preserve">ALINGO AYABA Irene Solange</t>
  </si>
  <si>
    <t xml:space="preserve">ALLE K. Didier</t>
  </si>
  <si>
    <t xml:space="preserve">ALTINI Foussena </t>
  </si>
  <si>
    <t xml:space="preserve">AMOUSSOU Chantale Christiane</t>
  </si>
  <si>
    <t xml:space="preserve">ANATO Francky</t>
  </si>
  <si>
    <t xml:space="preserve">ASSAH AGBOMADJI Etienne</t>
  </si>
  <si>
    <t xml:space="preserve">ASSAH Mesmin</t>
  </si>
  <si>
    <t xml:space="preserve">ASSOSSOU Seraphin</t>
  </si>
  <si>
    <t xml:space="preserve">ATIOUKPE AFFOUDJI S.C. Leonard</t>
  </si>
  <si>
    <t xml:space="preserve">ATTIBA C. Wilfrief</t>
  </si>
  <si>
    <t xml:space="preserve">BADOU A. S. R. Chantal</t>
  </si>
  <si>
    <t xml:space="preserve">BA-KASSIN Marceline</t>
  </si>
  <si>
    <t xml:space="preserve">BATCHO A. Lucienne</t>
  </si>
  <si>
    <t xml:space="preserve">BEHANZIN Josiane Bai Nadine</t>
  </si>
  <si>
    <t xml:space="preserve">BIO ADAM Raliatou</t>
  </si>
  <si>
    <t xml:space="preserve">BOKO Abicou Eric Cyriaque</t>
  </si>
  <si>
    <t xml:space="preserve">BOSSOU S. Aimé Justin</t>
  </si>
  <si>
    <t xml:space="preserve">BOTCHI C. Alselme</t>
  </si>
  <si>
    <t xml:space="preserve">BOURAIMA SADISSOU Kolawolé</t>
  </si>
  <si>
    <t xml:space="preserve">DAOUDA Salamatou</t>
  </si>
  <si>
    <t xml:space="preserve">DAVID DENADI Aurelie</t>
  </si>
  <si>
    <t xml:space="preserve">DE SOUZA O. Judith</t>
  </si>
  <si>
    <t xml:space="preserve">DEGBELO Y. Nadege Carine</t>
  </si>
  <si>
    <t xml:space="preserve">DEGBOGBAHOUN Albert Jose</t>
  </si>
  <si>
    <t xml:space="preserve">DJABOUTOU Olivier Gally</t>
  </si>
  <si>
    <t xml:space="preserve">EGOULETY SARA Oluwa Cheyi</t>
  </si>
  <si>
    <t xml:space="preserve">GAÏ Martine</t>
  </si>
  <si>
    <t xml:space="preserve">GBAGUIDI Doris</t>
  </si>
  <si>
    <t xml:space="preserve">GBEGBE Myrlène</t>
  </si>
  <si>
    <t xml:space="preserve">GBEMANON Videva Lydie</t>
  </si>
  <si>
    <t xml:space="preserve">GBENOU Elsie</t>
  </si>
  <si>
    <t xml:space="preserve">GBETO Laure AMADJI</t>
  </si>
  <si>
    <t xml:space="preserve">GNONKPE Medard</t>
  </si>
  <si>
    <t xml:space="preserve">GOUVI A. Wilfried</t>
  </si>
  <si>
    <t xml:space="preserve">HENRY Faïth AYODELE M.</t>
  </si>
  <si>
    <t xml:space="preserve">HOUNSA S. Nadine</t>
  </si>
  <si>
    <t xml:space="preserve">HOUNTONGBE F. Douce Gloria</t>
  </si>
  <si>
    <t xml:space="preserve">KLELE G. Christine</t>
  </si>
  <si>
    <t xml:space="preserve">KOUASSI AMIN Louise Fideline</t>
  </si>
  <si>
    <t xml:space="preserve">KOUTCHIKA Tanagnon Olga</t>
  </si>
  <si>
    <t xml:space="preserve">LAGNIKA Yazid Akin-Ola</t>
  </si>
  <si>
    <t xml:space="preserve">LIMA Lucine Sandrine</t>
  </si>
  <si>
    <t xml:space="preserve">MAMADOU ODJO Yvette Tatiana</t>
  </si>
  <si>
    <t xml:space="preserve">MEHOUNOU Yemalin Edith</t>
  </si>
  <si>
    <t xml:space="preserve">MIGAN Francine Almandine Y. </t>
  </si>
  <si>
    <t xml:space="preserve">MIGAN GANDONOU T. Edwige </t>
  </si>
  <si>
    <t xml:space="preserve">OLIKOYI  ADUKE Oladjobi Y. O.</t>
  </si>
  <si>
    <t xml:space="preserve">OLOUOSSA A. Bertin</t>
  </si>
  <si>
    <t xml:space="preserve">OREKAN ADEYEMI Adjikè Charlotte</t>
  </si>
  <si>
    <t xml:space="preserve">OREKAN R. K. Mariette</t>
  </si>
  <si>
    <t xml:space="preserve">PIO Adiatou</t>
  </si>
  <si>
    <t xml:space="preserve">PORIMATE N. Dieudonné</t>
  </si>
  <si>
    <t xml:space="preserve">SEFOU Moheimed</t>
  </si>
  <si>
    <t xml:space="preserve">SOLEVO Francois</t>
  </si>
  <si>
    <t xml:space="preserve">TOHOUE Nestor</t>
  </si>
  <si>
    <t xml:space="preserve">TOMAVO Mireille</t>
  </si>
  <si>
    <t xml:space="preserve">TOTTIN GBETONDJI Frejus</t>
  </si>
  <si>
    <t xml:space="preserve">TOVIDE J. Celestine</t>
  </si>
  <si>
    <t xml:space="preserve">VIGNON Valerie</t>
  </si>
  <si>
    <t xml:space="preserve">VODOUNSI O. Serge</t>
  </si>
  <si>
    <t xml:space="preserve">WALIOU Moucharafou</t>
  </si>
  <si>
    <t xml:space="preserve">ZANNOU Y Nadine Estelle</t>
  </si>
  <si>
    <t xml:space="preserve">ZOHOUN G. Sylvie</t>
  </si>
  <si>
    <t xml:space="preserve">ZOSSOUNGBO A. Corinne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</si>
  <si>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</si>
  <si>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</si>
  <si>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2ème Année</t>
  </si>
  <si>
    <t xml:space="preserve">ADAMOU I. Badarou</t>
  </si>
  <si>
    <t xml:space="preserve">AGBOTON J. Noëlie</t>
  </si>
  <si>
    <t xml:space="preserve">AGOSSOUKPE Mahugnon Pièrre</t>
  </si>
  <si>
    <t xml:space="preserve">ALASSANE Sahadou Soulé F.</t>
  </si>
  <si>
    <t xml:space="preserve">BAGNAN Ahmed Habib</t>
  </si>
  <si>
    <t xml:space="preserve">BONI I. Landry</t>
  </si>
  <si>
    <t xml:space="preserve">DONOU Hermann Frédéric</t>
  </si>
  <si>
    <t xml:space="preserve">DRANON Hercules Quentin</t>
  </si>
  <si>
    <t xml:space="preserve">FANOU Y. Rodolphe</t>
  </si>
  <si>
    <t xml:space="preserve">HOUNKPATIN H. Torrentale Salva A.</t>
  </si>
  <si>
    <t xml:space="preserve">LAOUROU O. Jean</t>
  </si>
  <si>
    <t xml:space="preserve">LOKOSSI Franck</t>
  </si>
  <si>
    <t xml:space="preserve">REPPORT</t>
  </si>
  <si>
    <t xml:space="preserve">2016-2017</t>
  </si>
  <si>
    <t xml:space="preserve">MAMAN CHABI A. Razack</t>
  </si>
  <si>
    <t xml:space="preserve">SOSSOU Auguste Romain</t>
  </si>
  <si>
    <t xml:space="preserve">YACOUBOU Sakiratou</t>
  </si>
  <si>
    <t xml:space="preserve">3ème Année</t>
  </si>
  <si>
    <t xml:space="preserve">AGBATO Gouvidé Aurel G.</t>
  </si>
  <si>
    <t xml:space="preserve">AGONKPO Arnaud Boris</t>
  </si>
  <si>
    <t xml:space="preserve">AHOKIIN Codjo Bertin</t>
  </si>
  <si>
    <t xml:space="preserve">ASSOUMANOU IMOROU AbdeL A. A.</t>
  </si>
  <si>
    <t xml:space="preserve">AYINON Sètondé Mireille</t>
  </si>
  <si>
    <t xml:space="preserve">CAKPO Alfred Jeannot Codjo(redouble)</t>
  </si>
  <si>
    <t xml:space="preserve">DEGUENONVO Fréjust U. Y.M. (redouble)</t>
  </si>
  <si>
    <t xml:space="preserve">DJINAHIN Felicien</t>
  </si>
  <si>
    <t xml:space="preserve">DJOUBALI Jeannot</t>
  </si>
  <si>
    <t xml:space="preserve">KASSA FANOUVI C. Benoit</t>
  </si>
  <si>
    <t xml:space="preserve">KASSIN Akochayé Ibitoyé Barthélémy</t>
  </si>
  <si>
    <t xml:space="preserve">SERO Abdel-Fadel </t>
  </si>
  <si>
    <t xml:space="preserve">SOSSOUHOUNTO Ibrahima Satarou</t>
  </si>
  <si>
    <t xml:space="preserve">ZALE Sabi Stasnislas</t>
  </si>
  <si>
    <t xml:space="preserve">ZAMMASSOU Y. Prudence</t>
  </si>
  <si>
    <t xml:space="preserve">4ème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</si>
  <si>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GESTION DE L'ENVIRONNEMENT</t>
    </r>
  </si>
  <si>
    <t xml:space="preserve">NOM ET PRENOMS</t>
  </si>
  <si>
    <t xml:space="preserve">ABEL  SERIKI Yaî Dick Georges</t>
  </si>
  <si>
    <t xml:space="preserve">ADEOSSI Job</t>
  </si>
  <si>
    <t xml:space="preserve">AGBENGA Gbinsa Moussa</t>
  </si>
  <si>
    <t xml:space="preserve">AHOUANGAN Montcho Raoul</t>
  </si>
  <si>
    <t xml:space="preserve">AHOUANSE Mèvognon Marcel</t>
  </si>
  <si>
    <t xml:space="preserve">ALIHOU - ABOU Ibrahim</t>
  </si>
  <si>
    <t xml:space="preserve">AMADOU SANNI Alidou</t>
  </si>
  <si>
    <t xml:space="preserve">ASSANI Abodounrin Roger Ayouba</t>
  </si>
  <si>
    <t xml:space="preserve">ATANNON Arnaud Dieudonné Sonagnon</t>
  </si>
  <si>
    <t xml:space="preserve">AVOHA Honoré</t>
  </si>
  <si>
    <t xml:space="preserve">BIO ADAM Dado Souaîba</t>
  </si>
  <si>
    <t xml:space="preserve">BONSE Abdel - Aziz</t>
  </si>
  <si>
    <t xml:space="preserve">DOSSOU Manassé</t>
  </si>
  <si>
    <t xml:space="preserve">GANZO Coovi Fabrice</t>
  </si>
  <si>
    <t xml:space="preserve">HOUNDEGLA Sètchémè Anges A.</t>
  </si>
  <si>
    <t xml:space="preserve">HOUNGBO Laz</t>
  </si>
  <si>
    <t xml:space="preserve">KINIGBE Charles Galbert</t>
  </si>
  <si>
    <t xml:space="preserve">KOLANI N. Archille (redoubl)</t>
  </si>
  <si>
    <t xml:space="preserve">KOUMASSA Akogbé Lauriano M. K.</t>
  </si>
  <si>
    <t xml:space="preserve">lokossou Edjrossè Gladys</t>
  </si>
  <si>
    <t xml:space="preserve">METO Cocou Frédéric</t>
  </si>
  <si>
    <t xml:space="preserve">SAKA SEIDOU Sayouti</t>
  </si>
  <si>
    <t xml:space="preserve">SEHONOU Aimé</t>
  </si>
  <si>
    <t xml:space="preserve">SOULE BONI Adidjatou</t>
  </si>
  <si>
    <t xml:space="preserve">ABDOULAYE MAMA Eliassou</t>
  </si>
  <si>
    <t xml:space="preserve">ADIBA D. Clément</t>
  </si>
  <si>
    <t xml:space="preserve">AFFO ADAM Abdoul Hakim</t>
  </si>
  <si>
    <t xml:space="preserve">AGBOTOME K. Bertin</t>
  </si>
  <si>
    <t xml:space="preserve">ALIDOU BIAO Affoussatou</t>
  </si>
  <si>
    <t xml:space="preserve">AMOUSSOU Augustine</t>
  </si>
  <si>
    <t xml:space="preserve">ARAYE Ifèdé Eric</t>
  </si>
  <si>
    <t xml:space="preserve">ASSANI Yazid</t>
  </si>
  <si>
    <t xml:space="preserve">BADE A. Hippolyte</t>
  </si>
  <si>
    <t xml:space="preserve">BAH DANMON Alimi</t>
  </si>
  <si>
    <t xml:space="preserve">BAPARAPE Saleck</t>
  </si>
  <si>
    <t xml:space="preserve">BIONAN Sanni Kousséni</t>
  </si>
  <si>
    <t xml:space="preserve">BLENON Thomas </t>
  </si>
  <si>
    <t xml:space="preserve">CHABI O. A. Régine</t>
  </si>
  <si>
    <t xml:space="preserve">DESSOUASSI A. G. Bibiane</t>
  </si>
  <si>
    <t xml:space="preserve">DOKOTO SAKA Gniré Zouhératou(redouble)</t>
  </si>
  <si>
    <t xml:space="preserve">DJAGLO G. Ella</t>
  </si>
  <si>
    <t xml:space="preserve">FAGBEDJI D. Pierre</t>
  </si>
  <si>
    <t xml:space="preserve">GAWE Wilfrief</t>
  </si>
  <si>
    <t xml:space="preserve">GBENONCHI Adelphe</t>
  </si>
  <si>
    <t xml:space="preserve">GNAMMI Y. Dieu Donné</t>
  </si>
  <si>
    <t xml:space="preserve">GNONLONFOUN E. Valentin</t>
  </si>
  <si>
    <t xml:space="preserve">GOUNOU Gérard</t>
  </si>
  <si>
    <t xml:space="preserve">HESSOU M. C. Samson</t>
  </si>
  <si>
    <t xml:space="preserve">HOUDE Gratien</t>
  </si>
  <si>
    <t xml:space="preserve">ISSA Hasmi</t>
  </si>
  <si>
    <t xml:space="preserve">ISSIFOU Oumar</t>
  </si>
  <si>
    <t xml:space="preserve">KENALI B. Togbédji</t>
  </si>
  <si>
    <t xml:space="preserve">KOGBEDJI Dieu Donné Y.</t>
  </si>
  <si>
    <t xml:space="preserve">KOGUI GOUNOU Sabi Koto</t>
  </si>
  <si>
    <t xml:space="preserve">KPOGBOZAN A. G. Odile</t>
  </si>
  <si>
    <t xml:space="preserve">LISSANON T. Gabriel</t>
  </si>
  <si>
    <t xml:space="preserve">LOKOSSOU A. Christine</t>
  </si>
  <si>
    <t xml:space="preserve">NONKOUDJE Assogba</t>
  </si>
  <si>
    <t xml:space="preserve">OROU MERE Y. Waliou</t>
  </si>
  <si>
    <t xml:space="preserve">PEDE W. Sétan</t>
  </si>
  <si>
    <t xml:space="preserve">RAMANOU N. H. Epiphane</t>
  </si>
  <si>
    <t xml:space="preserve">SEGBADJO L. Stanislas</t>
  </si>
  <si>
    <t xml:space="preserve">TIDJANI Clémence T. M.</t>
  </si>
  <si>
    <t xml:space="preserve">YACOUBOU Amidou</t>
  </si>
  <si>
    <t xml:space="preserve">ZATO SALIFOU Nassirou</t>
  </si>
  <si>
    <t xml:space="preserve">AGBOTON Abigail</t>
  </si>
  <si>
    <t xml:space="preserve">ZOROBOURAGUI Loukmane</t>
  </si>
  <si>
    <t xml:space="preserve">AGASSOUNON Eyonkpon Samson M.</t>
  </si>
  <si>
    <t xml:space="preserve">AGOUGOU Ehuzu Kossi Ghislain</t>
  </si>
  <si>
    <t xml:space="preserve">AHONONGA Noël Comlan</t>
  </si>
  <si>
    <t xml:space="preserve">AMOUSSOUGA Sêdjro Arnaud Gildas</t>
  </si>
  <si>
    <t xml:space="preserve">ASSAN AOUDOU Abdoudou Malick</t>
  </si>
  <si>
    <t xml:space="preserve">AVOGBE Germain</t>
  </si>
  <si>
    <t xml:space="preserve">BAGRI B. Christ</t>
  </si>
  <si>
    <t xml:space="preserve">BIAO Dieudonné Eloïme</t>
  </si>
  <si>
    <t xml:space="preserve">BOUKARI S. Samoussiyatou </t>
  </si>
  <si>
    <t xml:space="preserve">DANSOU Abdel Bachirou </t>
  </si>
  <si>
    <t xml:space="preserve">DAVOU Géofroid Gérard Mathieu</t>
  </si>
  <si>
    <t xml:space="preserve">DOVONON Adonis Romaric N.</t>
  </si>
  <si>
    <t xml:space="preserve">ENDEMI MORAT SERO Taïrou R.</t>
  </si>
  <si>
    <t xml:space="preserve">FELIHO Bonaventure Sèdjro</t>
  </si>
  <si>
    <t xml:space="preserve">GAHOUE M. Moudjibou </t>
  </si>
  <si>
    <t xml:space="preserve">GUEDOU Imelle</t>
  </si>
  <si>
    <t xml:space="preserve">GUERRA Amina</t>
  </si>
  <si>
    <t xml:space="preserve">HESSA Evarisre</t>
  </si>
  <si>
    <t xml:space="preserve">MADJIDE Akuavi Odile</t>
  </si>
  <si>
    <t xml:space="preserve">ZALE Vilonnou Lauriano</t>
  </si>
  <si>
    <t xml:space="preserve">ZIME Safiatou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</si>
  <si>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</si>
  <si>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ADANLAO Marthe</t>
  </si>
  <si>
    <t xml:space="preserve">ADJAOKE Laïfoya Bonaventure</t>
  </si>
  <si>
    <t xml:space="preserve">AGBADJI Fidèle</t>
  </si>
  <si>
    <t xml:space="preserve">AGBESSI Dossou Bertrand</t>
  </si>
  <si>
    <t xml:space="preserve">AGNONDO TOSSA Mèmèvègni jérémie</t>
  </si>
  <si>
    <t xml:space="preserve">AGUENOU Gilles</t>
  </si>
  <si>
    <t xml:space="preserve">ALFA MAMA Mouhibatou</t>
  </si>
  <si>
    <t xml:space="preserve">ASSOU Amètognonnou Claude Martin</t>
  </si>
  <si>
    <t xml:space="preserve">BADOU Parfait</t>
  </si>
  <si>
    <t xml:space="preserve">BANDIRI Orou Gani Darius</t>
  </si>
  <si>
    <t xml:space="preserve">BEKOU Ironou Romuald</t>
  </si>
  <si>
    <t xml:space="preserve">BISSIRIOU Bassitou Olatoundji A.</t>
  </si>
  <si>
    <t xml:space="preserve">DANGOU Hafiz</t>
  </si>
  <si>
    <t xml:space="preserve">DRAMANE Azimou</t>
  </si>
  <si>
    <t xml:space="preserve">GNAN BAMOI Emmanuel</t>
  </si>
  <si>
    <t xml:space="preserve">HOUNKPE Arnaud Ghislain Mahussi</t>
  </si>
  <si>
    <t xml:space="preserve">KANOUSSOU Malossé Léonel</t>
  </si>
  <si>
    <t xml:space="preserve">KENOU A. Jérodé</t>
  </si>
  <si>
    <t xml:space="preserve">KIAROU Pascal</t>
  </si>
  <si>
    <t xml:space="preserve">KINDJINOU Sessinou Rollant</t>
  </si>
  <si>
    <t xml:space="preserve">KORA YOROU Doué</t>
  </si>
  <si>
    <t xml:space="preserve">MAYABA B. Richard </t>
  </si>
  <si>
    <t xml:space="preserve">MIKPON Yessito Blandine</t>
  </si>
  <si>
    <t xml:space="preserve">MOUTOUAMA Dorcasse Yébokô</t>
  </si>
  <si>
    <t xml:space="preserve">OUSMANE IBRAHIMA Souléîmane</t>
  </si>
  <si>
    <t xml:space="preserve">SALAMI Latifou</t>
  </si>
  <si>
    <t xml:space="preserve">SOMASSE Mèlonou Eli Rodrigue</t>
  </si>
  <si>
    <t xml:space="preserve">TENGUE Daniel Djidjoho</t>
  </si>
  <si>
    <t xml:space="preserve">ADANDE Sourou Gérard(redouble)</t>
  </si>
  <si>
    <t xml:space="preserve">AHIDE Z. Théophile</t>
  </si>
  <si>
    <t xml:space="preserve">ATTANGBE M. Aristide C.T.</t>
  </si>
  <si>
    <t xml:space="preserve">AVENON Constant</t>
  </si>
  <si>
    <t xml:space="preserve">AYAKPON DON Ulrich</t>
  </si>
  <si>
    <t xml:space="preserve">AYAKPON M. G. Aesène</t>
  </si>
  <si>
    <t xml:space="preserve">AZELOKONON S. O. Amour</t>
  </si>
  <si>
    <t xml:space="preserve">BIAOU Bienvenue</t>
  </si>
  <si>
    <t xml:space="preserve">DEGLA T. Martial</t>
  </si>
  <si>
    <t xml:space="preserve">DJIDAHO Moïse</t>
  </si>
  <si>
    <t xml:space="preserve">EDAH Coffi Rose</t>
  </si>
  <si>
    <t xml:space="preserve">EZOUN Sunday (redouble)</t>
  </si>
  <si>
    <t xml:space="preserve">GBAHANYASSI Yves Davy</t>
  </si>
  <si>
    <t xml:space="preserve">HEDOKINGBE Juste S.</t>
  </si>
  <si>
    <t xml:space="preserve">HOUINSA Dossa Christian</t>
  </si>
  <si>
    <t xml:space="preserve">HOUNSOUVI Z. D. Adolphe</t>
  </si>
  <si>
    <t xml:space="preserve">KITI K. C. Claude</t>
  </si>
  <si>
    <t xml:space="preserve">KPANOU S. Florent</t>
  </si>
  <si>
    <t xml:space="preserve">LOHENTO Donald</t>
  </si>
  <si>
    <t xml:space="preserve">MEDENOUVO Mathieu</t>
  </si>
  <si>
    <t xml:space="preserve">NAMIMA Claver T.</t>
  </si>
  <si>
    <t xml:space="preserve">OROU KOBORO Bachirou</t>
  </si>
  <si>
    <t xml:space="preserve">OUANTA Philippe</t>
  </si>
  <si>
    <t xml:space="preserve">SETONDJI Tamègnon Mariano(redouble)</t>
  </si>
  <si>
    <t xml:space="preserve">SOTON A. Aimé </t>
  </si>
  <si>
    <t xml:space="preserve">ZANNOU S. O. Bertrand</t>
  </si>
  <si>
    <t xml:space="preserve">ZOUNTOUNNOU Aimé</t>
  </si>
  <si>
    <t xml:space="preserve">ADITI H. Gaël</t>
  </si>
  <si>
    <t xml:space="preserve">AGBANA Kossi Augustin</t>
  </si>
  <si>
    <t xml:space="preserve">AGBOKONI C. Julien</t>
  </si>
  <si>
    <t xml:space="preserve">ALAVO Angelos. Gérard </t>
  </si>
  <si>
    <t xml:space="preserve">ALITONOU B. Arcadius Luc</t>
  </si>
  <si>
    <t xml:space="preserve">ALLE Viannez Géraud Gabriel(redouble)</t>
  </si>
  <si>
    <t xml:space="preserve">ASSOGBA Yvon</t>
  </si>
  <si>
    <t xml:space="preserve">BANCOLE B. Rico Romuald</t>
  </si>
  <si>
    <t xml:space="preserve">BATOKO ISSAKA Issa</t>
  </si>
  <si>
    <t xml:space="preserve">BINOÏ Vivien Mawounou</t>
  </si>
  <si>
    <t xml:space="preserve">CHABI SIDI W. Azedine</t>
  </si>
  <si>
    <t xml:space="preserve">COMLAN C. Virgile</t>
  </si>
  <si>
    <t xml:space="preserve">DANHOUEGNON Dègla Syvestre</t>
  </si>
  <si>
    <t xml:space="preserve">DANSI Paulin </t>
  </si>
  <si>
    <t xml:space="preserve">DOSSOU Théophile</t>
  </si>
  <si>
    <t xml:space="preserve">FOLY Mesmin</t>
  </si>
  <si>
    <t xml:space="preserve">GAMBA Abdel Wahidi</t>
  </si>
  <si>
    <t xml:space="preserve">GANGAN Félicien</t>
  </si>
  <si>
    <t xml:space="preserve">GBAGUIDI T. Sosthène (redoubl)</t>
  </si>
  <si>
    <t xml:space="preserve">GNIMADI Sèmèvo Arsène Elie</t>
  </si>
  <si>
    <t xml:space="preserve">GOUNOUDE Nontchégbèhin Hébert O.</t>
  </si>
  <si>
    <t xml:space="preserve">HOUEGBELO GOUSSIN T. Felix</t>
  </si>
  <si>
    <t xml:space="preserve">HOUESSOU A Theophile</t>
  </si>
  <si>
    <t xml:space="preserve">KASSOUIN Assana</t>
  </si>
  <si>
    <t xml:space="preserve">KOUOLA Ahmed</t>
  </si>
  <si>
    <t xml:space="preserve">LISSASSI M. Achille E.</t>
  </si>
  <si>
    <t xml:space="preserve">MESSANH Aude Grégoire</t>
  </si>
  <si>
    <t xml:space="preserve">NICO Kadukpè Roméo</t>
  </si>
  <si>
    <t xml:space="preserve">NONVIGNON Eric</t>
  </si>
  <si>
    <t xml:space="preserve">OWO-ETCHO Bonê Firmine</t>
  </si>
  <si>
    <t xml:space="preserve">SOVOESSI N. Patrice Joël</t>
  </si>
  <si>
    <t xml:space="preserve">TOGBOSSI Cocou Robert</t>
  </si>
  <si>
    <t xml:space="preserve">YEMEZIN Comlan François-Xavier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</si>
  <si>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</si>
  <si>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ACHIMI Massaoudou Fèmi</t>
  </si>
  <si>
    <t xml:space="preserve">ADAM CHABI DARDAYE Nonsou</t>
  </si>
  <si>
    <t xml:space="preserve">AGBOGNIHOUE Bidossessi Parfait</t>
  </si>
  <si>
    <t xml:space="preserve">AGLOSSI Expédie Esékiel</t>
  </si>
  <si>
    <t xml:space="preserve">AHOUEDOKE Olouwafèmi Emmanuel</t>
  </si>
  <si>
    <t xml:space="preserve">APITHY Serges </t>
  </si>
  <si>
    <t xml:space="preserve">MAIRIE COT</t>
  </si>
  <si>
    <t xml:space="preserve">AZONNAWE Monhéloki Enaboua</t>
  </si>
  <si>
    <t xml:space="preserve">BAGRI Euloge Slim</t>
  </si>
  <si>
    <t xml:space="preserve">GANSE Codjo Wenceslas</t>
  </si>
  <si>
    <t xml:space="preserve">GBAGUIDA Martin</t>
  </si>
  <si>
    <t xml:space="preserve">GOUASSANGNI Cohovi Hodonou Rémy</t>
  </si>
  <si>
    <t xml:space="preserve">GUEDOU Yélingnan Hifranc Oscar</t>
  </si>
  <si>
    <t xml:space="preserve">HADOMIHOU Sègnègnon Bienvenue</t>
  </si>
  <si>
    <t xml:space="preserve">HODONOU Agossou Arsène</t>
  </si>
  <si>
    <t xml:space="preserve">KEDE Amangbégnon Marc</t>
  </si>
  <si>
    <t xml:space="preserve">N'PO T. N'DAH Antoine</t>
  </si>
  <si>
    <t xml:space="preserve">TCHADJA Essotinah Romaric</t>
  </si>
  <si>
    <t xml:space="preserve">TOSSOU Emile</t>
  </si>
  <si>
    <t xml:space="preserve">AGBOTON J. Euloge Narcisse G. S.</t>
  </si>
  <si>
    <t xml:space="preserve">AHONOUHOUN Médard</t>
  </si>
  <si>
    <t xml:space="preserve">AISSOUN ADODIGBE Francis Vivien</t>
  </si>
  <si>
    <t xml:space="preserve">ANIAMBOSSOU Coffi Dénis</t>
  </si>
  <si>
    <t xml:space="preserve">BAGBONON MISSIMAHU Mea</t>
  </si>
  <si>
    <t xml:space="preserve">BIO Mantani</t>
  </si>
  <si>
    <t xml:space="preserve">D'ALMEIDA Armand D. Kouassi</t>
  </si>
  <si>
    <t xml:space="preserve">DAVODOUN T. Constantin</t>
  </si>
  <si>
    <t xml:space="preserve">DEGILA Gisèle Francine Alice G.</t>
  </si>
  <si>
    <t xml:space="preserve">GUEDOU Pascal Bernadin</t>
  </si>
  <si>
    <t xml:space="preserve">HOUINDO Guy S.</t>
  </si>
  <si>
    <t xml:space="preserve">HOUNDETON Joly Gabin</t>
  </si>
  <si>
    <t xml:space="preserve">HOUNDJO E. C. Cyrille</t>
  </si>
  <si>
    <t xml:space="preserve">HOUNGBADJI Christian Eunis E. T.</t>
  </si>
  <si>
    <t xml:space="preserve">HOUNWANOU ALODJI C. Mathias</t>
  </si>
  <si>
    <t xml:space="preserve">KANGNI I. Jacob F.</t>
  </si>
  <si>
    <t xml:space="preserve">KINKPE Gildas Didier K. V.</t>
  </si>
  <si>
    <t xml:space="preserve">KOTTIN Stanislas G.</t>
  </si>
  <si>
    <t xml:space="preserve">SAÏZONOU Narcisse S.</t>
  </si>
  <si>
    <t xml:space="preserve">SEDAMI Sègbédji Bertrand(redouble)</t>
  </si>
  <si>
    <t xml:space="preserve">SESSOU F. I. Rolande</t>
  </si>
  <si>
    <t xml:space="preserve">SOSSOU S. Francis</t>
  </si>
  <si>
    <t xml:space="preserve">SOUNKOTO Vincent Florent</t>
  </si>
  <si>
    <t xml:space="preserve">TCHEKPE Emmanuel</t>
  </si>
  <si>
    <t xml:space="preserve">TOFFODJI Blaise</t>
  </si>
  <si>
    <t xml:space="preserve">TOTONGNON AGOSSOU René Jules</t>
  </si>
  <si>
    <t xml:space="preserve">TOUNGAKOUAGOU K. Sokoka</t>
  </si>
  <si>
    <t xml:space="preserve">ZINZINDOHOUE Mahouwètin Tobi S.(redouble)</t>
  </si>
  <si>
    <t xml:space="preserve">AGNISSE K. Magloire</t>
  </si>
  <si>
    <t xml:space="preserve">BANDEIRA Gbéïgbéna Kodjo Angelo</t>
  </si>
  <si>
    <t xml:space="preserve">HOUESSOU Adéfounsi Gildas Félicien(redouble)</t>
  </si>
  <si>
    <t xml:space="preserve">HOUMAVO Wilfried Rolland C.</t>
  </si>
  <si>
    <t xml:space="preserve">HOUNKPOSSO A, Janvier</t>
  </si>
  <si>
    <t xml:space="preserve">KOUHOSSOUNON Florence Adjoavi</t>
  </si>
  <si>
    <t xml:space="preserve">OGOUDINA Vianou Germain</t>
  </si>
  <si>
    <t xml:space="preserve">OLOUKOTOUN Parfait</t>
  </si>
  <si>
    <t xml:space="preserve">SEDJRO Bonaventure Joël</t>
  </si>
  <si>
    <t xml:space="preserve">SEGNON Carlos Carmel G.</t>
  </si>
  <si>
    <t xml:space="preserve">TELLA Comlan Stanislas Odjoladé L.</t>
  </si>
  <si>
    <t xml:space="preserve">TOGUI-LOGUI Vladimira Chimène</t>
  </si>
  <si>
    <t xml:space="preserve">VIERA Mouléro Fidèl Cécil</t>
  </si>
  <si>
    <t xml:space="preserve">4ème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</si>
  <si>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ELECTRIQUE</t>
    </r>
  </si>
  <si>
    <t xml:space="preserve">ADIKPETO Kocou Luc</t>
  </si>
  <si>
    <t xml:space="preserve">ADJOVI Arnaud M.</t>
  </si>
  <si>
    <t xml:space="preserve">AHOSSOUHE Zaïki Wilfrid Mètotongi</t>
  </si>
  <si>
    <t xml:space="preserve">APOVO Affodoté Lionnel Patrick</t>
  </si>
  <si>
    <t xml:space="preserve">ATTISSO Koffi Mawuli</t>
  </si>
  <si>
    <t xml:space="preserve">CHANCOUIN Romaric Souin Sèdjro N.</t>
  </si>
  <si>
    <t xml:space="preserve">DOSSA Vèdéssè Constantin</t>
  </si>
  <si>
    <t xml:space="preserve">KOTCHOFA SEIDOU Armaud</t>
  </si>
  <si>
    <t xml:space="preserve">YETONGBE Félix</t>
  </si>
  <si>
    <t xml:space="preserve">ACHOUKE W. Flora O.</t>
  </si>
  <si>
    <t xml:space="preserve">AGBATCHI Yvette O.A.</t>
  </si>
  <si>
    <t xml:space="preserve">AGOÏNON C. Elisée</t>
  </si>
  <si>
    <t xml:space="preserve">ALLOGNON Laurent</t>
  </si>
  <si>
    <t xml:space="preserve">ALLOGNON René Y. Enassouwan</t>
  </si>
  <si>
    <t xml:space="preserve">ASSANI Mohamed</t>
  </si>
  <si>
    <t xml:space="preserve">BAOUA SADOU Zakiatou</t>
  </si>
  <si>
    <t xml:space="preserve">DEBLEO L. Sylvère</t>
  </si>
  <si>
    <t xml:space="preserve">FAGNISSE A. Fernand</t>
  </si>
  <si>
    <t xml:space="preserve">HOUNKOKOE M. E. Thomas</t>
  </si>
  <si>
    <t xml:space="preserve">HOUNKPE Sébastiennne</t>
  </si>
  <si>
    <t xml:space="preserve">HOUNTONDJI Nicolas</t>
  </si>
  <si>
    <t xml:space="preserve">KOSSA Juliette</t>
  </si>
  <si>
    <t xml:space="preserve">LEGUEDE K. Jules</t>
  </si>
  <si>
    <t xml:space="preserve">MIGNANWANDE OUSSOU Anselme M.</t>
  </si>
  <si>
    <t xml:space="preserve">MONLIQUI D. Colette</t>
  </si>
  <si>
    <t xml:space="preserve">ADJOU Abraham Hervé T.</t>
  </si>
  <si>
    <t xml:space="preserve">AHOUISSOU Mesmin Maurille</t>
  </si>
  <si>
    <t xml:space="preserve">ALINGO TOHIO C. S.Bruce</t>
  </si>
  <si>
    <t xml:space="preserve">ANAGO Jules. Coffi Nouwou</t>
  </si>
  <si>
    <t xml:space="preserve">BLAKA Ulrich Samuel</t>
  </si>
  <si>
    <t xml:space="preserve">BOUBAKAR Mêgnon Rolland R.</t>
  </si>
  <si>
    <t xml:space="preserve">DEGNON Ansavi</t>
  </si>
  <si>
    <t xml:space="preserve">DOGBLE Ablavi Edwige</t>
  </si>
  <si>
    <t xml:space="preserve">FIOGBE Prudencio</t>
  </si>
  <si>
    <t xml:space="preserve">HOUNKANLIN Achille C. O.</t>
  </si>
  <si>
    <t xml:space="preserve">HOUNMONDJI Djahou Elie</t>
  </si>
  <si>
    <t xml:space="preserve">HOUNZINME Gbêtondji Edmond</t>
  </si>
  <si>
    <t xml:space="preserve">IDRISSOU Sakinatou</t>
  </si>
  <si>
    <t xml:space="preserve">KOUKOU Missinwa</t>
  </si>
  <si>
    <t xml:space="preserve">LAWIN Eustache Pierre R. A.</t>
  </si>
  <si>
    <t xml:space="preserve">MAHOUNON Véronique Avotchékpo L.</t>
  </si>
  <si>
    <t xml:space="preserve">NOUNAGNON F. Gilles Ernest</t>
  </si>
  <si>
    <t xml:space="preserve">PLOGOUN Crépine</t>
  </si>
  <si>
    <t xml:space="preserve">SAGBO Akomabou Sylvestre</t>
  </si>
  <si>
    <t xml:space="preserve">SAYO ISSA Tamala</t>
  </si>
  <si>
    <t xml:space="preserve">SEKPON Selligbena Patricia N.</t>
  </si>
  <si>
    <t xml:space="preserve">SEWADE Alex</t>
  </si>
  <si>
    <t xml:space="preserve">SIMBIA Lucie N'Koua</t>
  </si>
  <si>
    <t xml:space="preserve">SOSSOU Alowamon Pélagie</t>
  </si>
  <si>
    <t xml:space="preserve">,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</si>
  <si>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HYGIENE ET CONTRÔLE DE QUALITE DES DENREES ALIMENTAIRES</t>
    </r>
  </si>
  <si>
    <t xml:space="preserve">ADOVI Tonami Jean Carlos</t>
  </si>
  <si>
    <t xml:space="preserve">ALFA GAMBARI Karimatou</t>
  </si>
  <si>
    <t xml:space="preserve">AVADEME Hounsou Léopold</t>
  </si>
  <si>
    <t xml:space="preserve">AYETITON Maroufou</t>
  </si>
  <si>
    <t xml:space="preserve">BELLO Djelilatou</t>
  </si>
  <si>
    <t xml:space="preserve">DEGBO S Elodie</t>
  </si>
  <si>
    <t xml:space="preserve">GBAGUIDI Sêwanou Cesaire Gratien</t>
  </si>
  <si>
    <t xml:space="preserve">GOUNOU N'GOBI OROU Bonigui</t>
  </si>
  <si>
    <t xml:space="preserve">IBRAHIMA M. MOUF</t>
  </si>
  <si>
    <t xml:space="preserve">KAKANAKOU Orémus Christ-Marie S</t>
  </si>
  <si>
    <t xml:space="preserve">MAMA SANNI Moutaïrou</t>
  </si>
  <si>
    <t xml:space="preserve">MAMA GAMBARI Malick</t>
  </si>
  <si>
    <t xml:space="preserve">MOUSSA Aboudou Djèlili</t>
  </si>
  <si>
    <t xml:space="preserve">N'VENIHOUNDE HOUANNADE Gilbert</t>
  </si>
  <si>
    <t xml:space="preserve">NACCIMENTO Paul Patrick</t>
  </si>
  <si>
    <t xml:space="preserve">SAHOSSI Baï Chantal Colomb</t>
  </si>
  <si>
    <t xml:space="preserve">SEMADEGBE Kuessi Jérôme</t>
  </si>
  <si>
    <t xml:space="preserve">SOUSSIA Joël </t>
  </si>
  <si>
    <t xml:space="preserve">TOGBE Apélété Gaspard</t>
  </si>
  <si>
    <t xml:space="preserve">TOSSA Kouessi Charbel</t>
  </si>
  <si>
    <t xml:space="preserve">ADJASSA A. Ruth P.</t>
  </si>
  <si>
    <t xml:space="preserve">ADJOVI Christiane Raymonde(redouble)</t>
  </si>
  <si>
    <t xml:space="preserve">AGBANGNAN Moïse M.</t>
  </si>
  <si>
    <t xml:space="preserve">AMETEPE Yaovi Fabius</t>
  </si>
  <si>
    <t xml:space="preserve">AMOUZOUVI K. Elisabeth</t>
  </si>
  <si>
    <t xml:space="preserve">ASSOGBA A. Sandrine</t>
  </si>
  <si>
    <t xml:space="preserve">ASSOUWAN N. Alice</t>
  </si>
  <si>
    <t xml:space="preserve">ATCHOGNON Thérèse</t>
  </si>
  <si>
    <t xml:space="preserve">ATOESSI Laurence</t>
  </si>
  <si>
    <t xml:space="preserve">BAGAN G. Benjamin</t>
  </si>
  <si>
    <t xml:space="preserve">BIO YERIMA Kora (redouble)</t>
  </si>
  <si>
    <t xml:space="preserve">BOKOSSA Xavier Dumas Felix.</t>
  </si>
  <si>
    <t xml:space="preserve">DAZOCLANCLOUNON Honore</t>
  </si>
  <si>
    <t xml:space="preserve">DAZOGBO Stanislas N.</t>
  </si>
  <si>
    <t xml:space="preserve">DEDO A. Sandrine</t>
  </si>
  <si>
    <t xml:space="preserve">DOTOU Assou Pamphile</t>
  </si>
  <si>
    <t xml:space="preserve">EDAH Pauline</t>
  </si>
  <si>
    <t xml:space="preserve">GANYE HESSOU A. Blandine</t>
  </si>
  <si>
    <t xml:space="preserve">GAUTHO CLAUDINE Hermine A.(redoubl)</t>
  </si>
  <si>
    <t xml:space="preserve">HOUSSOU M. Marcelle</t>
  </si>
  <si>
    <t xml:space="preserve">KOUTON Blandine M.</t>
  </si>
  <si>
    <t xml:space="preserve">KPEDEHOUNSI C. Alain</t>
  </si>
  <si>
    <t xml:space="preserve">MARTINS Chantal Pascaline</t>
  </si>
  <si>
    <t xml:space="preserve">SALISSOU Ali Faroundine(redouble)</t>
  </si>
  <si>
    <t xml:space="preserve">SAMSON ALBERIC T. Wilfrid</t>
  </si>
  <si>
    <t xml:space="preserve">SEGUE B. Viviane</t>
  </si>
  <si>
    <r>
      <rPr>
        <sz val="12"/>
        <color theme="1"/>
        <rFont val="Arial Narrow"/>
        <family val="0"/>
        <charset val="134"/>
      </rPr>
      <t xml:space="preserve">SOSSA C</t>
    </r>
    <r>
      <rPr>
        <sz val="11"/>
        <color theme="1"/>
        <rFont val="Arial Narrow"/>
        <family val="0"/>
        <charset val="134"/>
      </rPr>
      <t xml:space="preserve">HARRISSE</t>
    </r>
  </si>
  <si>
    <t xml:space="preserve">SOSSOUKPE AMEDE Priscilla Gisele</t>
  </si>
  <si>
    <t xml:space="preserve">TCHOBO Hervé Yves M. O.</t>
  </si>
  <si>
    <t xml:space="preserve">TUYABA T. Valère</t>
  </si>
  <si>
    <t xml:space="preserve">VODOUNOU M. Arsene Maxime</t>
  </si>
  <si>
    <t xml:space="preserve">WHANNOU Y. Germaine Justine</t>
  </si>
  <si>
    <t xml:space="preserve">YACOUBOU Zakari A.</t>
  </si>
  <si>
    <t xml:space="preserve">ZOSSOU S. B. Arnaud</t>
  </si>
  <si>
    <t xml:space="preserve">AGOSSOU N. Prosper</t>
  </si>
  <si>
    <t xml:space="preserve">AKIBOU AKANNI Iliyas</t>
  </si>
  <si>
    <t xml:space="preserve">ARO K. Isabelle</t>
  </si>
  <si>
    <t xml:space="preserve">ASSANKPON Emeline Chantal P.</t>
  </si>
  <si>
    <t xml:space="preserve">ASSOCLE Henriette M.</t>
  </si>
  <si>
    <t xml:space="preserve">AVOHOU Mathieu</t>
  </si>
  <si>
    <t xml:space="preserve">BABADJIHOU S. Françoise F.</t>
  </si>
  <si>
    <t xml:space="preserve">BIO MORA Kassim</t>
  </si>
  <si>
    <t xml:space="preserve">BOKO A. Edouard</t>
  </si>
  <si>
    <t xml:space="preserve">BOKO K. Prisca Sèna</t>
  </si>
  <si>
    <t xml:space="preserve">CAPO CHICHI Edouard Norbert</t>
  </si>
  <si>
    <t xml:space="preserve">CHALLA Anasthasie</t>
  </si>
  <si>
    <t xml:space="preserve">DJEHOUNKPETE L. Paul</t>
  </si>
  <si>
    <t xml:space="preserve">FATON H. Clément</t>
  </si>
  <si>
    <t xml:space="preserve">GLELE-MELE G.T.Franck Comlan</t>
  </si>
  <si>
    <t xml:space="preserve">HOSSOU Noukpo</t>
  </si>
  <si>
    <t xml:space="preserve">HOUNSOU E. Solange</t>
  </si>
  <si>
    <t xml:space="preserve">HOUNSOU Ghislaine Sylvie S.</t>
  </si>
  <si>
    <t xml:space="preserve">NOUAGOVI Firmine E.</t>
  </si>
  <si>
    <t xml:space="preserve">OKE S. Olivier</t>
  </si>
  <si>
    <t xml:space="preserve">SEFOUNON Richard</t>
  </si>
  <si>
    <t xml:space="preserve">TAMEGNON Bertille</t>
  </si>
  <si>
    <t xml:space="preserve">TOKPANOU K. Hubert Carbel</t>
  </si>
  <si>
    <t xml:space="preserve">TOVIDE Dona Alphonsine</t>
  </si>
  <si>
    <t xml:space="preserve">ZINSOU Michel</t>
  </si>
  <si>
    <t xml:space="preserve">ZOGBLATIN Celestin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</si>
  <si>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 BIOMEDICALE</t>
    </r>
  </si>
  <si>
    <t xml:space="preserve">ABATTY Estelle Ida</t>
  </si>
  <si>
    <t xml:space="preserve">ADELAKOUN Chegun Honoré</t>
  </si>
  <si>
    <t xml:space="preserve">ADIMI Nadine Yéba</t>
  </si>
  <si>
    <t xml:space="preserve">ADJIDOWE Sourou Firmin</t>
  </si>
  <si>
    <t xml:space="preserve">ADOGBO-MEDAGBE Sèdami F.H. Luc</t>
  </si>
  <si>
    <t xml:space="preserve">ADOHOUNBLESSI Bastide</t>
  </si>
  <si>
    <t xml:space="preserve">AGBANGNANOU Y. D. Ulrich</t>
  </si>
  <si>
    <t xml:space="preserve">AGNILA Soumaïla</t>
  </si>
  <si>
    <t xml:space="preserve">AGUIDISSOU Armel Edgar Koffi</t>
  </si>
  <si>
    <t xml:space="preserve">AHOGNI Gustave</t>
  </si>
  <si>
    <t xml:space="preserve">AHOLOUKPE Huguette Houéfa Irène</t>
  </si>
  <si>
    <t xml:space="preserve">AKIBOU Maroufou Irénée</t>
  </si>
  <si>
    <t xml:space="preserve">AKPODE Sèmèvo Benoît</t>
  </si>
  <si>
    <t xml:space="preserve">ALLABI Sessi Rachel Yolande</t>
  </si>
  <si>
    <t xml:space="preserve">ALLODOHOUNDE Bernard</t>
  </si>
  <si>
    <t xml:space="preserve">AMAVI ANOUVI Pelula Firmine</t>
  </si>
  <si>
    <t xml:space="preserve">APOVO Zinsou Jean Hervé</t>
  </si>
  <si>
    <t xml:space="preserve">ARAYE Okpè Abadjayé Evelyne</t>
  </si>
  <si>
    <t xml:space="preserve">AREKPA Karamatou</t>
  </si>
  <si>
    <t xml:space="preserve">ASSANI Saïdath</t>
  </si>
  <si>
    <t xml:space="preserve">ASSOGBA Bessan Jean</t>
  </si>
  <si>
    <t xml:space="preserve">ASSOGBA Monlou Claudine</t>
  </si>
  <si>
    <t xml:space="preserve">ATANHLOUETO Bricette Ayaba</t>
  </si>
  <si>
    <t xml:space="preserve">BADAROU Fataî Djidjoho</t>
  </si>
  <si>
    <t xml:space="preserve">BANCOLE Makandjou-Ola E. Marie-N.</t>
  </si>
  <si>
    <t xml:space="preserve">BIAOU Chabi Ibidonni David</t>
  </si>
  <si>
    <t xml:space="preserve">BOLEAN Sourou Thierry</t>
  </si>
  <si>
    <t xml:space="preserve">BOTON Rolland Harold Elias D.</t>
  </si>
  <si>
    <t xml:space="preserve">CAPO-CHICHI Florentin César</t>
  </si>
  <si>
    <t xml:space="preserve">CHADARE Augias Olougbemi</t>
  </si>
  <si>
    <t xml:space="preserve">CHOGOLOU Cyriaque</t>
  </si>
  <si>
    <t xml:space="preserve">DAGBA Afifonsi Roselyne Liliane</t>
  </si>
  <si>
    <t xml:space="preserve">DAGBA Gabin</t>
  </si>
  <si>
    <t xml:space="preserve">DANVI Ogoudegnon Jacques</t>
  </si>
  <si>
    <t xml:space="preserve">DOFONSOUHOU Toundé Florent</t>
  </si>
  <si>
    <t xml:space="preserve">DOFONWAKOU Yénalin Marcelin</t>
  </si>
  <si>
    <t xml:space="preserve">DOSSOU-TOGBE John-Ross</t>
  </si>
  <si>
    <t xml:space="preserve">ENIANLOKO Yaya Delphine</t>
  </si>
  <si>
    <t xml:space="preserve">ESSOUN Oyéwolé Wassi</t>
  </si>
  <si>
    <t xml:space="preserve">EZIN Wilfried</t>
  </si>
  <si>
    <t xml:space="preserve">FAMBO Machel</t>
  </si>
  <si>
    <t xml:space="preserve">FANDOHAN Antoine</t>
  </si>
  <si>
    <t xml:space="preserve">FATOUMBI Lorette Saîda M.</t>
  </si>
  <si>
    <t xml:space="preserve">FAYALO Comlan Gilbert</t>
  </si>
  <si>
    <t xml:space="preserve">GBETOKPANOU Jean-Baptiste R.</t>
  </si>
  <si>
    <t xml:space="preserve">GERARD NANA Aïchatou</t>
  </si>
  <si>
    <t xml:space="preserve">GNINOU Nicaise</t>
  </si>
  <si>
    <t xml:space="preserve">GNONHOUE Clorinde</t>
  </si>
  <si>
    <t xml:space="preserve">GNONLONFIN DOHOU Wilfried M.</t>
  </si>
  <si>
    <t xml:space="preserve">GOUSSI Mariette</t>
  </si>
  <si>
    <t xml:space="preserve">HAMIDOU Yaya Koladé</t>
  </si>
  <si>
    <t xml:space="preserve">HOUNDAYI Sylvie Enagnon</t>
  </si>
  <si>
    <t xml:space="preserve">HOUNKANRIN Yéyinou Hombéline</t>
  </si>
  <si>
    <t xml:space="preserve">HOUNKPONOU Sègla Raoul R.</t>
  </si>
  <si>
    <t xml:space="preserve">KAGBO Cosme</t>
  </si>
  <si>
    <t xml:space="preserve">KANGBETO Clotaire Clovis Claude</t>
  </si>
  <si>
    <t xml:space="preserve">KIKISSAGBE Wanvêmi Honorine</t>
  </si>
  <si>
    <t xml:space="preserve">KIOSSOU Romaric</t>
  </si>
  <si>
    <t xml:space="preserve">KOTTO Sonagnon Augustin A.</t>
  </si>
  <si>
    <t xml:space="preserve">KOUASSI Melkior Yaovi</t>
  </si>
  <si>
    <t xml:space="preserve">KPEKOU Tossou Cyriaque</t>
  </si>
  <si>
    <t xml:space="preserve">KPODJEDO Yéhomè Jeanne</t>
  </si>
  <si>
    <t xml:space="preserve">KPOZE Rodrigue Justin Sètchégbé</t>
  </si>
  <si>
    <t xml:space="preserve">LANIKPEKOUN Nafiou-Olakou Désiré</t>
  </si>
  <si>
    <t xml:space="preserve">LANTEYI G. S. Michel</t>
  </si>
  <si>
    <t xml:space="preserve">LOUMEDJINON Frank</t>
  </si>
  <si>
    <t xml:space="preserve">MAHINOU Cossi Eliace</t>
  </si>
  <si>
    <t xml:space="preserve">MAKPONSE Afiavi Houénafa Esther O.</t>
  </si>
  <si>
    <t xml:space="preserve">MALENOU Dieu-donné</t>
  </si>
  <si>
    <t xml:space="preserve">MEVODJO Pascaline Akovognon</t>
  </si>
  <si>
    <t xml:space="preserve">MONTEIRO Amamath Aïda</t>
  </si>
  <si>
    <t xml:space="preserve">NATABOU Olandé Christiane</t>
  </si>
  <si>
    <t xml:space="preserve">NOUAGOVI Marcellin H. Dieudonné</t>
  </si>
  <si>
    <t xml:space="preserve">ODO Yaba Charlotte</t>
  </si>
  <si>
    <t xml:space="preserve">OGOUMOUIWA Innocent</t>
  </si>
  <si>
    <t xml:space="preserve"> </t>
  </si>
  <si>
    <t xml:space="preserve">OKE Alfred Juste</t>
  </si>
  <si>
    <t xml:space="preserve">OLADIKPO Bella Honorine Titibla</t>
  </si>
  <si>
    <t xml:space="preserve">OSSENI Mombereola Taliatou</t>
  </si>
  <si>
    <t xml:space="preserve">PARAÏSO Abdou Raïmi Alladé</t>
  </si>
  <si>
    <t xml:space="preserve">QUENUM Sèdjro Ella Gildas</t>
  </si>
  <si>
    <t xml:space="preserve">SABI CISSE F. Séîdou</t>
  </si>
  <si>
    <t xml:space="preserve">SAOSSI Dèhouégnon Paul</t>
  </si>
  <si>
    <t xml:space="preserve">SIANOU Houénagnon Antoine</t>
  </si>
  <si>
    <t xml:space="preserve">SOMAKPO Félicienne</t>
  </si>
  <si>
    <t xml:space="preserve">SOUKPO Dossou Jean-Marie</t>
  </si>
  <si>
    <t xml:space="preserve">TCHINCOUN Ayawovi</t>
  </si>
  <si>
    <t xml:space="preserve">TOKPANOU Médard Nounagnon</t>
  </si>
  <si>
    <t xml:space="preserve">TOKPO W. Nicephore</t>
  </si>
  <si>
    <t xml:space="preserve">TOLLO Pulcherie Claire</t>
  </si>
  <si>
    <t xml:space="preserve">WOROU OLOU Frédéric</t>
  </si>
  <si>
    <t xml:space="preserve">YESSOUFOU Aziz Akanni</t>
  </si>
  <si>
    <t xml:space="preserve">ZODOME Pélagie</t>
  </si>
  <si>
    <t xml:space="preserve">ZOHOU Bruno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</si>
  <si>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</t>
    </r>
  </si>
  <si>
    <t xml:space="preserve">ABOUI Geraud Joanexe</t>
  </si>
  <si>
    <t xml:space="preserve">ADAM Amidou</t>
  </si>
  <si>
    <t xml:space="preserve">AGOLIGAN M. Romaric</t>
  </si>
  <si>
    <t xml:space="preserve">BIO ZATO Lafia</t>
  </si>
  <si>
    <t xml:space="preserve">DJIKINHEDO Elisabeth</t>
  </si>
  <si>
    <t xml:space="preserve">DJITRINOU Marinhos</t>
  </si>
  <si>
    <t xml:space="preserve">GNIMAVO Edwige</t>
  </si>
  <si>
    <t xml:space="preserve">HOUNYOVI Y. Rolande Estelle</t>
  </si>
  <si>
    <t xml:space="preserve">KOBA A. O. Franck</t>
  </si>
  <si>
    <t xml:space="preserve">LAWANI T. Rafiou</t>
  </si>
  <si>
    <t xml:space="preserve">KASSA T. Justin</t>
  </si>
  <si>
    <t xml:space="preserve">PEDRO A. Safal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</si>
  <si>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ANIMALE</t>
    </r>
  </si>
  <si>
    <t xml:space="preserve">ABDOULAYE Rashidi</t>
  </si>
  <si>
    <t xml:space="preserve">ALIOU Mikdar</t>
  </si>
  <si>
    <t xml:space="preserve">AMOUSSA Madinatou Dohonou</t>
  </si>
  <si>
    <t xml:space="preserve">CHITOU NAFIOU Nadjimou</t>
  </si>
  <si>
    <t xml:space="preserve">DAFIA-YAROU gounou Zimé H.</t>
  </si>
  <si>
    <t xml:space="preserve">ELECHO Abibola Abdoul Raïmy</t>
  </si>
  <si>
    <t xml:space="preserve">ENOUHERAN Mondoukpè Hermionne</t>
  </si>
  <si>
    <t xml:space="preserve">GBAGUIDI V. Posidius </t>
  </si>
  <si>
    <t xml:space="preserve">KODJA Mirtha</t>
  </si>
  <si>
    <t xml:space="preserve">KOUAKANOU Donaldo Beaugelais</t>
  </si>
  <si>
    <t xml:space="preserve">MIGAN Marizouk Arèmou</t>
  </si>
  <si>
    <t xml:space="preserve">TOHOUN Cossi Hervé Marc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</si>
  <si>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ANIMALE</t>
    </r>
  </si>
  <si>
    <t xml:space="preserve">ADOUKONOU Codjo Roland Baudoin</t>
  </si>
  <si>
    <t xml:space="preserve">AGOSSOU Médéssè Augustin</t>
  </si>
  <si>
    <t xml:space="preserve"> ALLADAYE Victorin</t>
  </si>
  <si>
    <t xml:space="preserve">ASSANI Farid Kolawolé</t>
  </si>
  <si>
    <t xml:space="preserve">BORO SOULE Aliou</t>
  </si>
  <si>
    <t xml:space="preserve">BOURAI José Antonio</t>
  </si>
  <si>
    <t xml:space="preserve">CHABI O. Ismaël</t>
  </si>
  <si>
    <t xml:space="preserve">GONGUE Abou</t>
  </si>
  <si>
    <t xml:space="preserve">HOUMBADE Comlan Emmanuel</t>
  </si>
  <si>
    <t xml:space="preserve">HOUNKPATIN Faustin Comlan</t>
  </si>
  <si>
    <t xml:space="preserve">MEDEGAN Mêtchédé Christian B.</t>
  </si>
  <si>
    <t xml:space="preserve">MONRA Séïdou</t>
  </si>
  <si>
    <t xml:space="preserve">SAGBOHAN E. H. Oméga ei Sadate</t>
  </si>
  <si>
    <t xml:space="preserve">SOGLOHOUN Pascal Yaovi</t>
  </si>
  <si>
    <t xml:space="preserve">YABI Oyédégbin Moïse</t>
  </si>
  <si>
    <t xml:space="preserve">YEHOUENOU Sèdjro Joseph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</si>
  <si>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GEOMETRE TOPOGRAPHE</t>
    </r>
  </si>
  <si>
    <t xml:space="preserve">ADJAHINI Abliba Arsène Fiacre(redouble)</t>
  </si>
  <si>
    <t xml:space="preserve">ANANI Charles Lebon</t>
  </si>
  <si>
    <t xml:space="preserve">DOSSOU Akouègnikan Fabrice(redouble)</t>
  </si>
  <si>
    <t xml:space="preserve">HOUINSA Dominique A.M.</t>
  </si>
  <si>
    <t xml:space="preserve">KOUCHOELO N. Tobias</t>
  </si>
  <si>
    <t xml:space="preserve">SEDJRO Gérard</t>
  </si>
  <si>
    <t xml:space="preserve">SETOSSI Severin</t>
  </si>
  <si>
    <t xml:space="preserve">DAMALA M. Djamal Deen</t>
  </si>
  <si>
    <t xml:space="preserve">WOROU B. K. Franc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</si>
  <si>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</si>
  <si>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ADJOKANNOU Quentin Koffi</t>
  </si>
  <si>
    <t xml:space="preserve">AFOUDA Malé Charles</t>
  </si>
  <si>
    <t xml:space="preserve">AHOLOU Tankpinou Sèna Victorin</t>
  </si>
  <si>
    <t xml:space="preserve">AHOUANADI Dètondji Olivier</t>
  </si>
  <si>
    <t xml:space="preserve">AKABASSI-TOGAN Mêtognon A.</t>
  </si>
  <si>
    <t xml:space="preserve">ASSOGBA Dèdènou Tindo Prudencio</t>
  </si>
  <si>
    <t xml:space="preserve">AKAMBI A. Chakour B.</t>
  </si>
  <si>
    <t xml:space="preserve">DANHAZOUN Sètondji Euloge</t>
  </si>
  <si>
    <t xml:space="preserve">DETONDJI Yémonho Midoché</t>
  </si>
  <si>
    <t xml:space="preserve">DJESSOU Djima Randal</t>
  </si>
  <si>
    <t xml:space="preserve">DOSSOU Dénis Ogouchinan</t>
  </si>
  <si>
    <t xml:space="preserve">FAGLA MEDEGAN Bignon</t>
  </si>
  <si>
    <t xml:space="preserve">FIOGBE Epiphane</t>
  </si>
  <si>
    <t xml:space="preserve">FOLLY Houéssou Félix</t>
  </si>
  <si>
    <t xml:space="preserve">GANSA Marc</t>
  </si>
  <si>
    <t xml:space="preserve">HOUNWANOU Yélian Fernand</t>
  </si>
  <si>
    <t xml:space="preserve">KAKPO Gildas</t>
  </si>
  <si>
    <t xml:space="preserve">KOKOUVI AYI Bertrand Modeste O.</t>
  </si>
  <si>
    <t xml:space="preserve">KPAKPA SOGLO Gratien H.</t>
  </si>
  <si>
    <t xml:space="preserve">KPELOUSSI Olivier</t>
  </si>
  <si>
    <t xml:space="preserve">LEKOYO M. Hippolyte</t>
  </si>
  <si>
    <t xml:space="preserve">MIVEDE Houégninou Olivier</t>
  </si>
  <si>
    <t xml:space="preserve">NOUHOTO Félix</t>
  </si>
  <si>
    <t xml:space="preserve">ALI RAMATH ABEKE</t>
  </si>
  <si>
    <t xml:space="preserve">VIVENAGBO Landry Cokou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</si>
  <si>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GEOMETRE TOPOGRAPHE </t>
    </r>
  </si>
  <si>
    <t xml:space="preserve">ABOU Sakaryaou</t>
  </si>
  <si>
    <t xml:space="preserve">DO REGO Augias Fresnel</t>
  </si>
  <si>
    <t xml:space="preserve">GARBA Fouléra</t>
  </si>
  <si>
    <t xml:space="preserve">NONFON Kossi Angélino</t>
  </si>
  <si>
    <t xml:space="preserve">ZOUNMATOUN Yétonhou Romain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</si>
  <si>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MAINTENANCE INDUSTRIELLE</t>
    </r>
  </si>
  <si>
    <t xml:space="preserve">ADANGUEDE F. Zinsou Damien</t>
  </si>
  <si>
    <t xml:space="preserve">BIWINTON Aristide W.</t>
  </si>
  <si>
    <t xml:space="preserve">DJOKPE Mahunan Enorc Prudencio H.</t>
  </si>
  <si>
    <t xml:space="preserve">GANYE A. Damien </t>
  </si>
  <si>
    <t xml:space="preserve">HINGLO Mèssomon Elvis</t>
  </si>
  <si>
    <t xml:space="preserve">HOUNGBEDJI H. Roland </t>
  </si>
  <si>
    <t xml:space="preserve">4éme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</si>
  <si>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MAINTENANCE INDUSTRIELLE</t>
    </r>
  </si>
  <si>
    <t xml:space="preserve">BONI Abdoulaye</t>
  </si>
  <si>
    <t xml:space="preserve">GBAGUIDI Corette Sonia A.</t>
  </si>
  <si>
    <t xml:space="preserve">GNONHOUE T. Joseph</t>
  </si>
  <si>
    <t xml:space="preserve">HESSOU Kokou Castro</t>
  </si>
  <si>
    <t xml:space="preserve">HOUNSOU SEIVE Hermann Mahoussi</t>
  </si>
  <si>
    <t xml:space="preserve">QUENUM Mahutin Elisée Hervé</t>
  </si>
  <si>
    <t xml:space="preserve">SAVI Djidjoho Fructueux</t>
  </si>
  <si>
    <t xml:space="preserve">TELLA OSSE Obafèmi David</t>
  </si>
  <si>
    <t xml:space="preserve">TOSSOU Ménonma Eric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</si>
  <si>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RURAL</t>
    </r>
  </si>
  <si>
    <t xml:space="preserve">AHAMIDE Yves Tolofon</t>
  </si>
  <si>
    <t xml:space="preserve">AHOMLANTO Arthur S. Henricot Sonagnon</t>
  </si>
  <si>
    <t xml:space="preserve">BAGUIRI TAMOU Bio Guio</t>
  </si>
  <si>
    <t xml:space="preserve">DAHATO Honoré</t>
  </si>
  <si>
    <t xml:space="preserve">DANMADO Cocou Serge</t>
  </si>
  <si>
    <t xml:space="preserve">DOMINGO Mathilde Denise H.</t>
  </si>
  <si>
    <t xml:space="preserve">DOSSA Didier</t>
  </si>
  <si>
    <t xml:space="preserve">FIHOUNDE Aristide Kokou</t>
  </si>
  <si>
    <t xml:space="preserve">HOUESSIONON Iltas Johanès</t>
  </si>
  <si>
    <t xml:space="preserve">HOUNKANRIN Zéphirin</t>
  </si>
  <si>
    <t xml:space="preserve">SASSOU Adotévi Jean-Vincent</t>
  </si>
  <si>
    <t xml:space="preserve">SEHOMI Comlanvi Gintonsou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</si>
  <si>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</si>
  <si>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INGENIEUR GEOMETRE TOPOGRAPHE 2015-2016</t>
  </si>
  <si>
    <t xml:space="preserve">2ème Année de spécialité</t>
  </si>
  <si>
    <t xml:space="preserve">ABOKI Senami Satingo Emmanuel</t>
  </si>
  <si>
    <t xml:space="preserve">ADJAHO Nathalie</t>
  </si>
  <si>
    <t xml:space="preserve">AFORA Kéda K. Myrianne Josée</t>
  </si>
  <si>
    <t xml:space="preserve">AHLOUMESSOU Codjo Amadin</t>
  </si>
  <si>
    <t xml:space="preserve">AHOYA-AKPODE Yélian Renaud</t>
  </si>
  <si>
    <t xml:space="preserve">AIZO Christelle Marie-Agathe D.</t>
  </si>
  <si>
    <t xml:space="preserve">AKOWANOU Robert</t>
  </si>
  <si>
    <t xml:space="preserve">ALLAGBE Benjamin</t>
  </si>
  <si>
    <t xml:space="preserve">ALLASSANE Aboudou S. Boladji</t>
  </si>
  <si>
    <t xml:space="preserve">BALOGOUN Amanian Hervé</t>
  </si>
  <si>
    <t xml:space="preserve">CODJIA Vital Christian</t>
  </si>
  <si>
    <t xml:space="preserve">DJEDOKANSI Cyprien</t>
  </si>
  <si>
    <t xml:space="preserve">DOVONON Togbédji Nicodème</t>
  </si>
  <si>
    <t xml:space="preserve">GODO Yénoukoumè Sylvain</t>
  </si>
  <si>
    <t xml:space="preserve">GONCALVES Octaviano</t>
  </si>
  <si>
    <t xml:space="preserve">HOUNDADJO Edmond</t>
  </si>
  <si>
    <t xml:space="preserve">HOUNKANRIN Fiacre Pérince F.</t>
  </si>
  <si>
    <t xml:space="preserve">HOUNKPE Coffi Roger Modeste</t>
  </si>
  <si>
    <t xml:space="preserve">KIKI SENA Samson</t>
  </si>
  <si>
    <t xml:space="preserve">LAWSON Hypolyte A. A. I.</t>
  </si>
  <si>
    <t xml:space="preserve">MEBOUNOU Codjo Claude</t>
  </si>
  <si>
    <t xml:space="preserve">RADJI Abel Rasack</t>
  </si>
  <si>
    <t xml:space="preserve">SOSSOU Matinkpon Alexandre</t>
  </si>
  <si>
    <t xml:space="preserve">TCHEGNONSI B. Bienvenu Parmenas</t>
  </si>
  <si>
    <t xml:space="preserve">TONOUKOIN Codjo Francis</t>
  </si>
  <si>
    <t xml:space="preserve">ZOFFOUN Nounagnon Firmin</t>
  </si>
  <si>
    <t xml:space="preserve">ZOUNLI Yélian Olivier</t>
  </si>
  <si>
    <t xml:space="preserve">INGENIEUR DE CONCEPTION  EN GENIE CIVIL 2015-2016</t>
  </si>
  <si>
    <t xml:space="preserve">ADJAHO V. Olivier Poitiers</t>
  </si>
  <si>
    <t xml:space="preserve">AGBE Narcisse Vignon</t>
  </si>
  <si>
    <t xml:space="preserve">AGLI Arnaud</t>
  </si>
  <si>
    <t xml:space="preserve">AGOSSOU C. Fabrice</t>
  </si>
  <si>
    <t xml:space="preserve">DADONOUGBO T. Mathieu</t>
  </si>
  <si>
    <t xml:space="preserve">de SOUZA Fiacre Sewanou</t>
  </si>
  <si>
    <t xml:space="preserve">DOSSA Y. C. Placide A.</t>
  </si>
  <si>
    <t xml:space="preserve">KOLEOCHO SALAMI Laïssi</t>
  </si>
  <si>
    <t xml:space="preserve">KOLOYITO Luc</t>
  </si>
  <si>
    <t xml:space="preserve">KOUHONOU Hector A.</t>
  </si>
  <si>
    <t xml:space="preserve">LANTONKPODE  Stanislas</t>
  </si>
  <si>
    <t xml:space="preserve">MATCHOUDO TCHOUMON Bani</t>
  </si>
  <si>
    <t xml:space="preserve">MICHOZOUNNOU N. Benoit</t>
  </si>
  <si>
    <t xml:space="preserve">MILOHIN Claude</t>
  </si>
  <si>
    <t xml:space="preserve">M'PO MBIMA KOUAGOU Soukou</t>
  </si>
  <si>
    <t xml:space="preserve">NOUNAWON Sena Herve</t>
  </si>
  <si>
    <t xml:space="preserve">OROULA S. Michel</t>
  </si>
  <si>
    <t xml:space="preserve">SAGBOHAN D. Joël</t>
  </si>
  <si>
    <t xml:space="preserve">VICHEMEY Samson</t>
  </si>
  <si>
    <t xml:space="preserve">Année de stage</t>
  </si>
  <si>
    <t xml:space="preserve">ADANZOUNNON S. Maxime</t>
  </si>
  <si>
    <t xml:space="preserve">AGBAHEY Mireille Evelyne</t>
  </si>
  <si>
    <t xml:space="preserve">AGON Marcos Oscar</t>
  </si>
  <si>
    <t xml:space="preserve">AGOSSADOU Koffi Ghislain</t>
  </si>
  <si>
    <t xml:space="preserve">AKOWE SARE K. Marieta</t>
  </si>
  <si>
    <t xml:space="preserve">BABALIYE Olivier</t>
  </si>
  <si>
    <t xml:space="preserve">BIO NIGAN Cherrifatou</t>
  </si>
  <si>
    <t xml:space="preserve">DJIMONNAN Paulin</t>
  </si>
  <si>
    <t xml:space="preserve">FATOMON Ange Osée</t>
  </si>
  <si>
    <t xml:space="preserve">GBEGBO Eric</t>
  </si>
  <si>
    <t xml:space="preserve">HOUNSOU A. Wenceslas</t>
  </si>
  <si>
    <t xml:space="preserve">KOUDJE Basile</t>
  </si>
  <si>
    <t xml:space="preserve">KOUKOUBOU Christian Angelo</t>
  </si>
  <si>
    <t xml:space="preserve">KPODEKON Sènami Généviève</t>
  </si>
  <si>
    <t xml:space="preserve">KPOTCHEME Coffi D. Stanislas</t>
  </si>
  <si>
    <t xml:space="preserve">MOUSTAPHA SOULE Boladji</t>
  </si>
  <si>
    <t xml:space="preserve">SESSOU Comlan Eugène</t>
  </si>
  <si>
    <t xml:space="preserve">INGENIEUR EN GENIE CIVIL 2015-2016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</si>
  <si>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CIVIL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</si>
  <si>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</si>
  <si>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</si>
  <si>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 DAGBA Y. Eric</t>
  </si>
  <si>
    <t xml:space="preserve">ADJOVI Ezekiel</t>
  </si>
  <si>
    <t xml:space="preserve">ALLOHOUMBO M. Virgile Copernick</t>
  </si>
  <si>
    <t xml:space="preserve">AMOUSSOU Comlan Prudencio</t>
  </si>
  <si>
    <t xml:space="preserve">ASSOGBA S. Christel</t>
  </si>
  <si>
    <t xml:space="preserve">DEGBESSOU Donald</t>
  </si>
  <si>
    <t xml:space="preserve">DJOSSOU Bénoit</t>
  </si>
  <si>
    <t xml:space="preserve">FAVI Marcelline Imeda</t>
  </si>
  <si>
    <t xml:space="preserve">GBAKOUE Zinhoué H. Bernadine</t>
  </si>
  <si>
    <t xml:space="preserve">GUEDE Jean Bosco Giovanni</t>
  </si>
  <si>
    <t xml:space="preserve">KAHO RHODE Dagbégnikin</t>
  </si>
  <si>
    <t xml:space="preserve">KOTCHE B. Christel</t>
  </si>
  <si>
    <t xml:space="preserve">LOKOSSOU CYR Edgard Y.</t>
  </si>
  <si>
    <t xml:space="preserve">MEHOU GBEDOLO Désiré Hugues</t>
  </si>
  <si>
    <t xml:space="preserve">PATINVOH Fiacre Candide</t>
  </si>
  <si>
    <t xml:space="preserve">TOUMENOU Liberty S. Brice</t>
  </si>
  <si>
    <t xml:space="preserve">KABA AKOTCHAYE Martinien</t>
  </si>
  <si>
    <t xml:space="preserve">AVOTRICAN Thierry Cedric</t>
  </si>
  <si>
    <t xml:space="preserve">   RECAPITULATIF DES RECETTES PAR FILIERS AU TITRE DE 2015-2016</t>
  </si>
  <si>
    <t xml:space="preserve">                                                                                                                    </t>
  </si>
  <si>
    <t xml:space="preserve">               Fait le 31 Décembre 2016</t>
  </si>
  <si>
    <t xml:space="preserve">FILIERES / ANNEE</t>
  </si>
  <si>
    <t xml:space="preserve">Eff.</t>
  </si>
  <si>
    <t xml:space="preserve">MONTANT TOTAL</t>
  </si>
  <si>
    <t xml:space="preserve">MONTANT RECOUVRE</t>
  </si>
  <si>
    <t xml:space="preserve">RESTE A RECOUVRER</t>
  </si>
  <si>
    <t xml:space="preserve">TAUX DE RECOUVREMENT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</si>
  <si>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</si>
  <si>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</si>
  <si>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</si>
  <si>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</si>
  <si>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</si>
  <si>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</si>
  <si>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</si>
  <si>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</si>
  <si>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1</t>
  </si>
  <si>
    <t xml:space="preserve">HCQDA 2</t>
  </si>
  <si>
    <t xml:space="preserve">HCQDA4</t>
  </si>
  <si>
    <t xml:space="preserve">HCQDA 3</t>
  </si>
  <si>
    <t xml:space="preserve">G.R 4</t>
  </si>
  <si>
    <t xml:space="preserve">P.A 2</t>
  </si>
  <si>
    <t xml:space="preserve">P.A 3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</si>
  <si>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</si>
  <si>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</si>
  <si>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</si>
  <si>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</si>
  <si>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</si>
  <si>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2</t>
  </si>
  <si>
    <t xml:space="preserve">Env. 3</t>
  </si>
  <si>
    <t xml:space="preserve">Env. 4</t>
  </si>
  <si>
    <t xml:space="preserve">M. I 3</t>
  </si>
  <si>
    <t xml:space="preserve">M I.4</t>
  </si>
  <si>
    <t xml:space="preserve">BHSS1</t>
  </si>
  <si>
    <t xml:space="preserve">BHSS2</t>
  </si>
  <si>
    <t xml:space="preserve">                   </t>
  </si>
  <si>
    <t xml:space="preserve">ABM1</t>
  </si>
  <si>
    <t xml:space="preserve">ABM2</t>
  </si>
  <si>
    <t xml:space="preserve">ABM3</t>
  </si>
  <si>
    <t xml:space="preserve">;</t>
  </si>
  <si>
    <t xml:space="preserve">GT2</t>
  </si>
  <si>
    <t xml:space="preserve">GT4</t>
  </si>
  <si>
    <t xml:space="preserve">GT3</t>
  </si>
  <si>
    <t xml:space="preserve">TOTAL:  </t>
  </si>
  <si>
    <t xml:space="preserve">                     </t>
  </si>
  <si>
    <t xml:space="preserve">      RECETTES GLOBALES DE 2016</t>
  </si>
  <si>
    <t xml:space="preserve">Mois</t>
  </si>
  <si>
    <t xml:space="preserve">Formation à Distance </t>
  </si>
  <si>
    <t xml:space="preserve">Formation continue</t>
  </si>
  <si>
    <t xml:space="preserve">Autre Recettes</t>
  </si>
  <si>
    <t xml:space="preserve">Janvier</t>
  </si>
  <si>
    <t xml:space="preserve">Février</t>
  </si>
  <si>
    <t xml:space="preserve">Mars 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</si>
  <si>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</si>
  <si>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</si>
  <si>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</si>
  <si>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</si>
  <si>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</si>
  <si>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</si>
  <si>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</si>
  <si>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</si>
  <si>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</si>
  <si>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TOTAL</t>
  </si>
  <si>
    <t xml:space="preserve">SENON M. Bienvenu</t>
  </si>
  <si>
    <t xml:space="preserve">ACEVOU E. Ignace</t>
  </si>
  <si>
    <t xml:space="preserve">AHIDE ZINSOU Théophile</t>
  </si>
  <si>
    <t xml:space="preserve">AHOUANGANSI Florentin (redouble)</t>
  </si>
  <si>
    <t xml:space="preserve">ALIOU Mohamadou</t>
  </si>
  <si>
    <t xml:space="preserve">GUERRA IBRAHIM Aboubakari (redoubl)</t>
  </si>
  <si>
    <t xml:space="preserve">KITIHOUN Mchel (redouble)</t>
  </si>
  <si>
    <t xml:space="preserve">HOUANKOUN O. C Emmanuel (redoubl)</t>
  </si>
  <si>
    <t xml:space="preserve">LANIYONOU Robert (redouble)</t>
  </si>
  <si>
    <t xml:space="preserve">COURS PREPARATOIRES INGENIEURS GENIE CIVIL CAP EPAC 2016</t>
  </si>
  <si>
    <t xml:space="preserve">LISTE DE PRESENCE</t>
  </si>
  <si>
    <t xml:space="preserve">DATE: …………………………….</t>
  </si>
  <si>
    <t xml:space="preserve">NOMS ET PRENOMS</t>
  </si>
  <si>
    <t xml:space="preserve">Téléphones</t>
  </si>
  <si>
    <t xml:space="preserve">emails</t>
  </si>
  <si>
    <t xml:space="preserve">Signatures</t>
  </si>
  <si>
    <t xml:space="preserve">ADJOVI Ezéchiel</t>
  </si>
  <si>
    <t xml:space="preserve">ezkadjov@gmail.com</t>
  </si>
  <si>
    <t xml:space="preserve">AFOUDA Olatoudji Fabrice</t>
  </si>
  <si>
    <t xml:space="preserve">afouda96fabice@gmail.com</t>
  </si>
  <si>
    <t xml:space="preserve">AGBESSI Serge</t>
  </si>
  <si>
    <t xml:space="preserve">finagnonb@yahoo.fr</t>
  </si>
  <si>
    <t xml:space="preserve">AKAKPO Alfred</t>
  </si>
  <si>
    <t xml:space="preserve">ALLOGNON Rodrigue</t>
  </si>
  <si>
    <t xml:space="preserve">rodrigue.allognon@yahoo.fr </t>
  </si>
  <si>
    <t xml:space="preserve">1er Responsable</t>
  </si>
  <si>
    <t xml:space="preserve">ALLOHOUMBO Copernik</t>
  </si>
  <si>
    <t xml:space="preserve">allocop1@gmail.com</t>
  </si>
  <si>
    <t xml:space="preserve">prudencioamoussou@gmail.com</t>
  </si>
  <si>
    <t xml:space="preserve">ASSO Alidou Amos</t>
  </si>
  <si>
    <t xml:space="preserve">ASSOGBA S. C. Christel</t>
  </si>
  <si>
    <t xml:space="preserve">setchegbee1@yahoo.fr</t>
  </si>
  <si>
    <t xml:space="preserve">atcédric.91@gmail.com</t>
  </si>
  <si>
    <t xml:space="preserve">BOKOVO Oscar Coovi</t>
  </si>
  <si>
    <t xml:space="preserve">oscar.bokovo@yahoo.fr</t>
  </si>
  <si>
    <t xml:space="preserve">DAGBA M. Eric</t>
  </si>
  <si>
    <t xml:space="preserve">lapatmail@yahoo.fr</t>
  </si>
  <si>
    <t xml:space="preserve">DAKOSSI Abel</t>
  </si>
  <si>
    <t xml:space="preserve">abnahel@yahoo.fr</t>
  </si>
  <si>
    <t xml:space="preserve">DANOU R. Privat</t>
  </si>
  <si>
    <t xml:space="preserve">DJOSSOU Nougnon Berthelot</t>
  </si>
  <si>
    <t xml:space="preserve">djoertho@gmail.com</t>
  </si>
  <si>
    <t xml:space="preserve">DURAND Neil Giovani</t>
  </si>
  <si>
    <t xml:space="preserve">FAVI Imelda</t>
  </si>
  <si>
    <t xml:space="preserve">GBAKOUE Z. Bernadine</t>
  </si>
  <si>
    <t xml:space="preserve">GUEDE Giovanni</t>
  </si>
  <si>
    <t xml:space="preserve">ditoudogiovanni@gmail.com</t>
  </si>
  <si>
    <t xml:space="preserve">HOUKANDJI K. Jacques</t>
  </si>
  <si>
    <t xml:space="preserve">HOUKPETODE Eric</t>
  </si>
  <si>
    <t xml:space="preserve">heric1981@yahoo.fr</t>
  </si>
  <si>
    <t xml:space="preserve">HOUNLELOU Franck</t>
  </si>
  <si>
    <t xml:space="preserve">KAHO Rhode</t>
  </si>
  <si>
    <t xml:space="preserve">KahoRhode@gmail.com</t>
  </si>
  <si>
    <t xml:space="preserve">KOBA Akotchayé Martinien</t>
  </si>
  <si>
    <t xml:space="preserve">KOTO Madjeed</t>
  </si>
  <si>
    <t xml:space="preserve">madjeedkoto@yahoo.fr</t>
  </si>
  <si>
    <t xml:space="preserve">KOUDJEDON Jean marie</t>
  </si>
  <si>
    <t xml:space="preserve">jkoudjedon@gmail.com</t>
  </si>
  <si>
    <t xml:space="preserve">LINO Marielle KOTO MADJE</t>
  </si>
  <si>
    <t xml:space="preserve">barbaritalino@gmail.com</t>
  </si>
  <si>
    <t xml:space="preserve">MEHOU Hugues</t>
  </si>
  <si>
    <t xml:space="preserve">MENSAH Abel Négo</t>
  </si>
  <si>
    <t xml:space="preserve">abelnegomensah@gmail.com</t>
  </si>
  <si>
    <t xml:space="preserve">METODAKOU Herbert</t>
  </si>
  <si>
    <t xml:space="preserve">metodakouherbert@outlook.fr</t>
  </si>
  <si>
    <t xml:space="preserve">OGOU Nel-Midas</t>
  </si>
  <si>
    <t xml:space="preserve">OGOUNGBE Armand Franck</t>
  </si>
  <si>
    <t xml:space="preserve">OUSMANE Issaka</t>
  </si>
  <si>
    <t xml:space="preserve">PADONOU Carmel</t>
  </si>
  <si>
    <t xml:space="preserve">PATINVOH Fiacre C.</t>
  </si>
  <si>
    <t xml:space="preserve">paficama@gmail.com</t>
  </si>
  <si>
    <t xml:space="preserve">SEGNON Claude F.</t>
  </si>
  <si>
    <t xml:space="preserve">97190432 /64383880</t>
  </si>
  <si>
    <t xml:space="preserve">aiejotechno@yahoo.fr</t>
  </si>
  <si>
    <t xml:space="preserve">SODEDJI Nadine</t>
  </si>
  <si>
    <t xml:space="preserve">SOVI Géraud Sèna</t>
  </si>
  <si>
    <t xml:space="preserve">TCHEHOUALI Corine F. P.</t>
  </si>
  <si>
    <t xml:space="preserve">TCHEHOUALI Nadège</t>
  </si>
  <si>
    <t xml:space="preserve">2è Responsable</t>
  </si>
  <si>
    <t xml:space="preserve">THOTO B. E. Evrard</t>
  </si>
  <si>
    <t xml:space="preserve">TOFFA H. Joel</t>
  </si>
  <si>
    <t xml:space="preserve">htoffa@yahoo.fr</t>
  </si>
  <si>
    <t xml:space="preserve">TONI Diane</t>
  </si>
  <si>
    <t xml:space="preserve">TOSSA H. Polycarpe</t>
  </si>
  <si>
    <t xml:space="preserve">herpoly@2000yahoo.fr</t>
  </si>
  <si>
    <t xml:space="preserve">TOUMENOU Liberty</t>
  </si>
  <si>
    <t xml:space="preserve">ZINGBE Luc</t>
  </si>
  <si>
    <t xml:space="preserve">Ing.GC stage</t>
  </si>
  <si>
    <t xml:space="preserve">Ing. G.Topo 2</t>
  </si>
  <si>
    <t xml:space="preserve">Ing. GC1</t>
  </si>
  <si>
    <t xml:space="preserve">Ing. GC Prépa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</si>
</sst>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General"/>
    <numFmt numFmtId="167" formatCode="0\ %"/>
    <numFmt numFmtId="168" formatCode="0.00\ %"/>
  </numFmts>
  <fonts count="5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4"/>
      <color theme="1"/>
      <name val="Elephant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2"/>
      <name val="Arial Narrow"/>
      <family val="0"/>
      <charset val="134"/>
    </font>
    <font>
      <sz val="12"/>
      <name val="Calibri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4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sz val="10"/>
      <color theme="1"/>
      <name val="Calibri"/>
      <family val="0"/>
      <charset val="134"/>
    </font>
    <font>
      <b val="true"/>
      <sz val="14"/>
      <color theme="1"/>
      <name val="Aharoni"/>
      <family val="0"/>
      <charset val="177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sz val="9"/>
      <color theme="1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sz val="12"/>
      <color rgb="FFFF0000"/>
      <name val="Calibri"/>
      <family val="0"/>
      <charset val="134"/>
    </font>
    <font>
      <b val="true"/>
      <sz val="12"/>
      <color theme="1" tint="0.2499"/>
      <name val="Arial Narrow"/>
      <family val="0"/>
      <charset val="134"/>
    </font>
    <font>
      <sz val="11"/>
      <color theme="1"/>
      <name val="Arial Narrow"/>
      <family val="0"/>
      <charset val="134"/>
    </font>
    <font>
      <b val="true"/>
      <sz val="16"/>
      <color theme="1"/>
      <name val="Calibri"/>
      <family val="0"/>
      <charset val="134"/>
    </font>
    <font>
      <sz val="10"/>
      <name val="Arial"/>
      <family val="2"/>
    </font>
    <font>
      <sz val="9"/>
      <name val="Tahoma"/>
      <family val="0"/>
      <charset val="134"/>
    </font>
    <font>
      <sz val="12"/>
      <color theme="1"/>
      <name val="Elephant"/>
      <family val="0"/>
      <charset val="134"/>
    </font>
    <font>
      <sz val="14"/>
      <color rgb="FF00B050"/>
      <name val="Calibri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7" tint="0.5999"/>
      <name val="Albertus MT Lt"/>
      <family val="0"/>
      <charset val="134"/>
    </font>
    <font>
      <b val="true"/>
      <sz val="12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0"/>
      <color theme="7" tint="0.3999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16"/>
      <name val="Arial"/>
      <family val="0"/>
      <charset val="134"/>
    </font>
    <font>
      <sz val="12"/>
      <name val="Arial"/>
      <family val="0"/>
      <charset val="134"/>
    </font>
    <font>
      <b val="true"/>
      <sz val="12"/>
      <color theme="1"/>
      <name val="Eras Demi ITC"/>
      <family val="0"/>
      <charset val="134"/>
    </font>
    <font>
      <u val="single"/>
      <sz val="11"/>
      <color theme="10"/>
      <name val="Calibri"/>
      <family val="0"/>
      <charset val="134"/>
    </font>
    <font>
      <b val="true"/>
      <u val="single"/>
      <sz val="11"/>
      <color theme="10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BFBFBF"/>
      </patternFill>
    </fill>
    <fill>
      <patternFill patternType="solid">
        <fgColor theme="0" tint="-0.25"/>
        <bgColor rgb="FFCCC1DA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slantDashDot"/>
      <right style="dashed"/>
      <top style="slantDashDot"/>
      <bottom style="dashed"/>
      <diagonal/>
    </border>
    <border diagonalUp="false" diagonalDown="false">
      <left style="dashed"/>
      <right style="dashed"/>
      <top style="slantDashDot"/>
      <bottom style="dashed"/>
      <diagonal/>
    </border>
    <border diagonalUp="false" diagonalDown="false">
      <left style="slantDashDot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dashed"/>
      <top/>
      <bottom style="slantDashDot"/>
      <diagonal/>
    </border>
    <border diagonalUp="false" diagonalDown="false">
      <left style="thin"/>
      <right style="double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3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0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6" fillId="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4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7" fillId="4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4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4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2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9" fillId="4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7" fillId="0" borderId="1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2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2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2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" borderId="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5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3A2C7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97131306"/>
        <c:axId val="10920857"/>
      </c:barChart>
      <c:catAx>
        <c:axId val="97131306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0920857"/>
        <c:crosses val="autoZero"/>
        <c:auto val="1"/>
        <c:lblAlgn val="ctr"/>
        <c:lblOffset val="100"/>
        <c:noMultiLvlLbl val="0"/>
      </c:catAx>
      <c:valAx>
        <c:axId val="109208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71313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375480</xdr:colOff>
      <xdr:row>31</xdr:row>
      <xdr:rowOff>164160</xdr:rowOff>
    </xdr:to>
    <xdr:graphicFrame>
      <xdr:nvGraphicFramePr>
        <xdr:cNvPr id="0" name="Graphique 1"/>
        <xdr:cNvGraphicFramePr/>
      </xdr:nvGraphicFramePr>
      <xdr:xfrm>
        <a:off x="0" y="0"/>
        <a:ext cx="9802800" cy="60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zkadjov@gmail.com" TargetMode="External"/><Relationship Id="rId2" Type="http://schemas.openxmlformats.org/officeDocument/2006/relationships/hyperlink" Target="mailto:afouda96fabice@gmail.com" TargetMode="External"/><Relationship Id="rId3" Type="http://schemas.openxmlformats.org/officeDocument/2006/relationships/hyperlink" Target="mailto:finagnonb@yahoo.fr" TargetMode="External"/><Relationship Id="rId4" Type="http://schemas.openxmlformats.org/officeDocument/2006/relationships/hyperlink" Target="mailto:rodrigue.allognon@yahoo.fr" TargetMode="External"/><Relationship Id="rId5" Type="http://schemas.openxmlformats.org/officeDocument/2006/relationships/hyperlink" Target="mailto:allocop1@gmail.com" TargetMode="External"/><Relationship Id="rId6" Type="http://schemas.openxmlformats.org/officeDocument/2006/relationships/hyperlink" Target="mailto:prudencioamoussou@gmail.com" TargetMode="External"/><Relationship Id="rId7" Type="http://schemas.openxmlformats.org/officeDocument/2006/relationships/hyperlink" Target="mailto:setchegbee1@yahoo.fr" TargetMode="External"/><Relationship Id="rId8" Type="http://schemas.openxmlformats.org/officeDocument/2006/relationships/hyperlink" Target="mailto:atc&#233;dric.91@gmail.com" TargetMode="External"/><Relationship Id="rId9" Type="http://schemas.openxmlformats.org/officeDocument/2006/relationships/hyperlink" Target="mailto:oscar.bokovo@yahoo.fr" TargetMode="External"/><Relationship Id="rId10" Type="http://schemas.openxmlformats.org/officeDocument/2006/relationships/hyperlink" Target="mailto:lapatmail@yahoo.fr" TargetMode="External"/><Relationship Id="rId11" Type="http://schemas.openxmlformats.org/officeDocument/2006/relationships/hyperlink" Target="mailto:abnahel@yahoo.fr" TargetMode="External"/><Relationship Id="rId12" Type="http://schemas.openxmlformats.org/officeDocument/2006/relationships/hyperlink" Target="mailto:djoertho@gmail.com" TargetMode="External"/><Relationship Id="rId13" Type="http://schemas.openxmlformats.org/officeDocument/2006/relationships/hyperlink" Target="mailto:ditoudogiovanni@gmail.com" TargetMode="External"/><Relationship Id="rId14" Type="http://schemas.openxmlformats.org/officeDocument/2006/relationships/hyperlink" Target="mailto:heric1981@yahoo.fr" TargetMode="External"/><Relationship Id="rId15" Type="http://schemas.openxmlformats.org/officeDocument/2006/relationships/hyperlink" Target="mailto:KahoRhode@gmail.com" TargetMode="External"/><Relationship Id="rId16" Type="http://schemas.openxmlformats.org/officeDocument/2006/relationships/hyperlink" Target="mailto:madjeedkoto@yahoo.fr" TargetMode="External"/><Relationship Id="rId17" Type="http://schemas.openxmlformats.org/officeDocument/2006/relationships/hyperlink" Target="mailto:jkoudjedon@gmail.com" TargetMode="External"/><Relationship Id="rId18" Type="http://schemas.openxmlformats.org/officeDocument/2006/relationships/hyperlink" Target="mailto:barbaritalino@gmail.com" TargetMode="External"/><Relationship Id="rId19" Type="http://schemas.openxmlformats.org/officeDocument/2006/relationships/hyperlink" Target="mailto:abelnegomensah@gmail.com" TargetMode="External"/><Relationship Id="rId20" Type="http://schemas.openxmlformats.org/officeDocument/2006/relationships/hyperlink" Target="mailto:metodakouherbert@outlook.fr" TargetMode="External"/><Relationship Id="rId21" Type="http://schemas.openxmlformats.org/officeDocument/2006/relationships/hyperlink" Target="mailto:paficama@gmail.com" TargetMode="External"/><Relationship Id="rId22" Type="http://schemas.openxmlformats.org/officeDocument/2006/relationships/hyperlink" Target="mailto:aiejotechno@yahoo.fr" TargetMode="External"/><Relationship Id="rId23" Type="http://schemas.openxmlformats.org/officeDocument/2006/relationships/hyperlink" Target="mailto:htoffa@yahoo.fr" TargetMode="External"/><Relationship Id="rId24" Type="http://schemas.openxmlformats.org/officeDocument/2006/relationships/hyperlink" Target="mailto:herpoly@2000yahoo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E1048576"/>
  <sheetViews>
    <sheetView showFormulas="false" showGridLines="true" showRowColHeaders="true" showZeros="true" rightToLeft="false" tabSelected="true" showOutlineSymbols="true" defaultGridColor="true" view="normal" topLeftCell="A216" colorId="64" zoomScale="98" zoomScaleNormal="98" zoomScalePageLayoutView="100" workbookViewId="0">
      <selection pane="topLeft" activeCell="B236" activeCellId="0" sqref="B236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30.14"/>
    <col collapsed="false" customWidth="true" hidden="false" outlineLevel="0" max="3" min="3" style="0" width="16.14"/>
    <col collapsed="false" customWidth="true" hidden="false" outlineLevel="0" max="4" min="4" style="0" width="12.29"/>
    <col collapsed="false" customWidth="true" hidden="false" outlineLevel="0" max="5" min="5" style="0" width="12.71"/>
    <col collapsed="false" customWidth="true" hidden="false" outlineLevel="0" max="16384" min="16369" style="0" width="11.53"/>
  </cols>
  <sheetData>
    <row r="5" customFormat="false" ht="17.35" hidden="false" customHeight="false" outlineLevel="0" collapsed="false">
      <c r="A5" s="1"/>
      <c r="B5" s="2" t="s">
        <v>0</v>
      </c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1"/>
    </row>
    <row r="8" customFormat="false" ht="17.25" hidden="false" customHeight="false" outlineLevel="0" collapsed="false">
      <c r="A8" s="1"/>
      <c r="B8" s="3" t="s">
        <v>1</v>
      </c>
      <c r="D8" s="4" t="s">
        <v>2</v>
      </c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5" t="s">
        <v>3</v>
      </c>
      <c r="B10" s="6" t="s">
        <v>4</v>
      </c>
      <c r="C10" s="7" t="s">
        <v>5</v>
      </c>
      <c r="D10" s="8" t="s">
        <v>6</v>
      </c>
      <c r="E10" s="9" t="s">
        <v>7</v>
      </c>
    </row>
    <row r="11" customFormat="false" ht="15" hidden="false" customHeight="false" outlineLevel="0" collapsed="false">
      <c r="A11" s="10" t="n">
        <v>1</v>
      </c>
      <c r="B11" s="11" t="s">
        <v>8</v>
      </c>
      <c r="C11" s="12" t="n">
        <v>416500</v>
      </c>
      <c r="D11" s="12" t="n">
        <f aca="false">390000+26500</f>
        <v>416500</v>
      </c>
      <c r="E11" s="13" t="n">
        <f aca="false">C11-D11</f>
        <v>0</v>
      </c>
    </row>
    <row r="12" customFormat="false" ht="15" hidden="false" customHeight="false" outlineLevel="0" collapsed="false">
      <c r="A12" s="10" t="n">
        <v>2</v>
      </c>
      <c r="B12" s="14" t="s">
        <v>9</v>
      </c>
      <c r="C12" s="12" t="n">
        <v>416500</v>
      </c>
      <c r="D12" s="12" t="n">
        <f aca="false">226500+190000</f>
        <v>416500</v>
      </c>
      <c r="E12" s="13" t="n">
        <f aca="false">C12-D12</f>
        <v>0</v>
      </c>
    </row>
    <row r="13" customFormat="false" ht="15" hidden="false" customHeight="false" outlineLevel="0" collapsed="false">
      <c r="A13" s="10" t="n">
        <v>3</v>
      </c>
      <c r="B13" s="14" t="s">
        <v>10</v>
      </c>
      <c r="C13" s="12" t="n">
        <v>416500</v>
      </c>
      <c r="D13" s="12" t="n">
        <f aca="false">200000+216000</f>
        <v>416000</v>
      </c>
      <c r="E13" s="13" t="n">
        <f aca="false">C13-D13</f>
        <v>500</v>
      </c>
    </row>
    <row r="14" customFormat="false" ht="15" hidden="false" customHeight="false" outlineLevel="0" collapsed="false">
      <c r="A14" s="10" t="n">
        <v>4</v>
      </c>
      <c r="B14" s="14" t="s">
        <v>11</v>
      </c>
      <c r="C14" s="12" t="n">
        <v>416500</v>
      </c>
      <c r="D14" s="12" t="n">
        <f aca="false">216000+200000+500</f>
        <v>416500</v>
      </c>
      <c r="E14" s="13" t="n">
        <f aca="false">C14-D14</f>
        <v>0</v>
      </c>
    </row>
    <row r="15" customFormat="false" ht="15" hidden="false" customHeight="false" outlineLevel="0" collapsed="false">
      <c r="A15" s="10" t="n">
        <v>5</v>
      </c>
      <c r="B15" s="14" t="s">
        <v>12</v>
      </c>
      <c r="C15" s="12" t="n">
        <v>416500</v>
      </c>
      <c r="D15" s="12" t="n">
        <f aca="false">20000+180000</f>
        <v>200000</v>
      </c>
      <c r="E15" s="13" t="n">
        <f aca="false">C15-D15</f>
        <v>216500</v>
      </c>
    </row>
    <row r="16" customFormat="false" ht="15" hidden="false" customHeight="false" outlineLevel="0" collapsed="false">
      <c r="A16" s="10" t="n">
        <v>6</v>
      </c>
      <c r="B16" s="14" t="s">
        <v>13</v>
      </c>
      <c r="C16" s="12" t="n">
        <v>416500</v>
      </c>
      <c r="D16" s="12" t="n">
        <f aca="false">200000+100000</f>
        <v>300000</v>
      </c>
      <c r="E16" s="13" t="n">
        <f aca="false">C16-D16</f>
        <v>116500</v>
      </c>
    </row>
    <row r="17" customFormat="false" ht="15" hidden="false" customHeight="false" outlineLevel="0" collapsed="false">
      <c r="A17" s="10" t="n">
        <v>7</v>
      </c>
      <c r="B17" s="14" t="s">
        <v>14</v>
      </c>
      <c r="C17" s="12" t="n">
        <v>416500</v>
      </c>
      <c r="D17" s="12" t="n">
        <f aca="false">216000+110000+90000+500</f>
        <v>416500</v>
      </c>
      <c r="E17" s="13" t="n">
        <f aca="false">C17-D17</f>
        <v>0</v>
      </c>
    </row>
    <row r="18" customFormat="false" ht="15" hidden="false" customHeight="false" outlineLevel="0" collapsed="false">
      <c r="A18" s="10" t="n">
        <v>8</v>
      </c>
      <c r="B18" s="14" t="s">
        <v>15</v>
      </c>
      <c r="C18" s="12" t="n">
        <v>416500</v>
      </c>
      <c r="D18" s="12" t="n">
        <f aca="false">250000+85000</f>
        <v>335000</v>
      </c>
      <c r="E18" s="13" t="n">
        <f aca="false">C18-D18</f>
        <v>81500</v>
      </c>
    </row>
    <row r="19" customFormat="false" ht="15" hidden="false" customHeight="false" outlineLevel="0" collapsed="false">
      <c r="A19" s="10" t="n">
        <v>9</v>
      </c>
      <c r="B19" s="14" t="s">
        <v>16</v>
      </c>
      <c r="C19" s="12" t="n">
        <v>416500</v>
      </c>
      <c r="D19" s="12" t="n">
        <f aca="false">150000+65000+100000</f>
        <v>315000</v>
      </c>
      <c r="E19" s="13" t="n">
        <f aca="false">C19-D19</f>
        <v>101500</v>
      </c>
    </row>
    <row r="20" customFormat="false" ht="15" hidden="false" customHeight="false" outlineLevel="0" collapsed="false">
      <c r="A20" s="10" t="n">
        <v>10</v>
      </c>
      <c r="B20" s="14" t="s">
        <v>17</v>
      </c>
      <c r="C20" s="12" t="n">
        <v>416500</v>
      </c>
      <c r="D20" s="12" t="n">
        <f aca="false">216500+100000</f>
        <v>316500</v>
      </c>
      <c r="E20" s="13" t="n">
        <f aca="false">C20-D20</f>
        <v>100000</v>
      </c>
    </row>
    <row r="21" customFormat="false" ht="15" hidden="false" customHeight="false" outlineLevel="0" collapsed="false">
      <c r="A21" s="10" t="n">
        <v>11</v>
      </c>
      <c r="B21" s="14" t="s">
        <v>18</v>
      </c>
      <c r="C21" s="12" t="n">
        <v>416500</v>
      </c>
      <c r="D21" s="12" t="n">
        <f aca="false">200000+217500</f>
        <v>417500</v>
      </c>
      <c r="E21" s="13" t="n">
        <f aca="false">C21-D21</f>
        <v>-1000</v>
      </c>
    </row>
    <row r="22" customFormat="false" ht="15" hidden="false" customHeight="false" outlineLevel="0" collapsed="false">
      <c r="A22" s="10" t="n">
        <v>12</v>
      </c>
      <c r="B22" s="14" t="s">
        <v>19</v>
      </c>
      <c r="C22" s="12" t="n">
        <v>416500</v>
      </c>
      <c r="D22" s="12" t="n">
        <f aca="false">120000+100000+100000</f>
        <v>320000</v>
      </c>
      <c r="E22" s="13" t="n">
        <f aca="false">C22-D22</f>
        <v>96500</v>
      </c>
    </row>
    <row r="23" customFormat="false" ht="15" hidden="false" customHeight="false" outlineLevel="0" collapsed="false">
      <c r="A23" s="10" t="n">
        <v>13</v>
      </c>
      <c r="B23" s="14" t="s">
        <v>20</v>
      </c>
      <c r="C23" s="12" t="n">
        <v>416500</v>
      </c>
      <c r="D23" s="12" t="n">
        <f aca="false">200000+100000+40000+76000</f>
        <v>416000</v>
      </c>
      <c r="E23" s="13" t="n">
        <f aca="false">C23-D23</f>
        <v>500</v>
      </c>
    </row>
    <row r="24" customFormat="false" ht="15" hidden="false" customHeight="false" outlineLevel="0" collapsed="false">
      <c r="A24" s="10" t="n">
        <v>14</v>
      </c>
      <c r="B24" s="14" t="s">
        <v>21</v>
      </c>
      <c r="C24" s="12" t="n">
        <v>416500</v>
      </c>
      <c r="D24" s="12" t="n">
        <f aca="false">416500</f>
        <v>416500</v>
      </c>
      <c r="E24" s="13" t="n">
        <f aca="false">C24-D24</f>
        <v>0</v>
      </c>
    </row>
    <row r="25" customFormat="false" ht="15" hidden="false" customHeight="false" outlineLevel="0" collapsed="false">
      <c r="A25" s="10" t="n">
        <v>15</v>
      </c>
      <c r="B25" s="14" t="s">
        <v>22</v>
      </c>
      <c r="C25" s="12" t="n">
        <v>416500</v>
      </c>
      <c r="D25" s="12" t="n">
        <f aca="false">200000+216000</f>
        <v>416000</v>
      </c>
      <c r="E25" s="13" t="n">
        <f aca="false">C25-D25</f>
        <v>500</v>
      </c>
    </row>
    <row r="26" customFormat="false" ht="15" hidden="false" customHeight="false" outlineLevel="0" collapsed="false">
      <c r="A26" s="10" t="n">
        <v>16</v>
      </c>
      <c r="B26" s="14" t="s">
        <v>23</v>
      </c>
      <c r="C26" s="12" t="n">
        <v>416500</v>
      </c>
      <c r="D26" s="12" t="n">
        <f aca="false">100000+240000+26500</f>
        <v>366500</v>
      </c>
      <c r="E26" s="13" t="n">
        <f aca="false">C26-D26</f>
        <v>50000</v>
      </c>
    </row>
    <row r="27" customFormat="false" ht="15" hidden="false" customHeight="false" outlineLevel="0" collapsed="false">
      <c r="A27" s="10" t="n">
        <v>17</v>
      </c>
      <c r="B27" s="11" t="s">
        <v>24</v>
      </c>
      <c r="C27" s="12" t="n">
        <v>416500</v>
      </c>
      <c r="D27" s="12" t="n">
        <f aca="false">200000+216500</f>
        <v>416500</v>
      </c>
      <c r="E27" s="13" t="n">
        <f aca="false">C27-D27</f>
        <v>0</v>
      </c>
    </row>
    <row r="28" customFormat="false" ht="15" hidden="false" customHeight="false" outlineLevel="0" collapsed="false">
      <c r="A28" s="10" t="n">
        <v>18</v>
      </c>
      <c r="B28" s="14" t="s">
        <v>25</v>
      </c>
      <c r="C28" s="12" t="n">
        <v>416500</v>
      </c>
      <c r="D28" s="12" t="n">
        <f aca="false">200000+216500</f>
        <v>416500</v>
      </c>
      <c r="E28" s="13" t="n">
        <f aca="false">C28-D28</f>
        <v>0</v>
      </c>
    </row>
    <row r="29" customFormat="false" ht="15" hidden="false" customHeight="false" outlineLevel="0" collapsed="false">
      <c r="A29" s="10" t="n">
        <v>19</v>
      </c>
      <c r="B29" s="14" t="s">
        <v>26</v>
      </c>
      <c r="C29" s="12" t="n">
        <v>416500</v>
      </c>
      <c r="D29" s="12" t="n">
        <f aca="false">216000+200000</f>
        <v>416000</v>
      </c>
      <c r="E29" s="13" t="n">
        <f aca="false">C29-D29</f>
        <v>500</v>
      </c>
    </row>
    <row r="30" customFormat="false" ht="15" hidden="false" customHeight="false" outlineLevel="0" collapsed="false">
      <c r="A30" s="15" t="n">
        <v>20</v>
      </c>
      <c r="B30" s="16" t="s">
        <v>27</v>
      </c>
      <c r="C30" s="12" t="n">
        <v>416500</v>
      </c>
      <c r="D30" s="17" t="n">
        <f aca="false">210000+206500</f>
        <v>416500</v>
      </c>
      <c r="E30" s="13" t="n">
        <f aca="false">C30-D30</f>
        <v>0</v>
      </c>
    </row>
    <row r="31" customFormat="false" ht="15" hidden="false" customHeight="false" outlineLevel="0" collapsed="false">
      <c r="A31" s="15" t="n">
        <v>21</v>
      </c>
      <c r="B31" s="14" t="s">
        <v>28</v>
      </c>
      <c r="C31" s="18" t="n">
        <v>416500</v>
      </c>
      <c r="D31" s="18" t="n">
        <f aca="false">216000</f>
        <v>216000</v>
      </c>
      <c r="E31" s="19" t="n">
        <f aca="false">C31-D31</f>
        <v>200500</v>
      </c>
    </row>
    <row r="32" customFormat="false" ht="15" hidden="false" customHeight="false" outlineLevel="0" collapsed="false">
      <c r="A32" s="10" t="n">
        <v>22</v>
      </c>
      <c r="B32" s="20" t="s">
        <v>29</v>
      </c>
      <c r="C32" s="12" t="n">
        <v>416500</v>
      </c>
      <c r="D32" s="12" t="n">
        <f aca="false">216500+200000</f>
        <v>416500</v>
      </c>
      <c r="E32" s="13" t="n">
        <f aca="false">C32-D32</f>
        <v>0</v>
      </c>
    </row>
    <row r="33" customFormat="false" ht="17.35" hidden="false" customHeight="false" outlineLevel="0" collapsed="false">
      <c r="A33" s="21"/>
      <c r="B33" s="22" t="s">
        <v>30</v>
      </c>
      <c r="C33" s="23" t="n">
        <f aca="false">SUM(C11:C32)</f>
        <v>9163000</v>
      </c>
      <c r="D33" s="24" t="n">
        <f aca="false">SUM(D11:D32)</f>
        <v>8199000</v>
      </c>
      <c r="E33" s="25" t="n">
        <f aca="false">C33-D33</f>
        <v>964000</v>
      </c>
    </row>
    <row r="36" customFormat="false" ht="17.35" hidden="false" customHeight="false" outlineLevel="0" collapsed="false">
      <c r="B36" s="2" t="s">
        <v>0</v>
      </c>
      <c r="C36" s="2"/>
    </row>
    <row r="38" customFormat="false" ht="15" hidden="false" customHeight="false" outlineLevel="0" collapsed="false">
      <c r="A38" s="1"/>
    </row>
    <row r="39" customFormat="false" ht="17.25" hidden="false" customHeight="false" outlineLevel="0" collapsed="false">
      <c r="A39" s="1"/>
      <c r="B39" s="3" t="s">
        <v>31</v>
      </c>
      <c r="D39" s="4" t="s">
        <v>2</v>
      </c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5" t="s">
        <v>3</v>
      </c>
      <c r="B41" s="6" t="s">
        <v>4</v>
      </c>
      <c r="C41" s="7" t="s">
        <v>5</v>
      </c>
      <c r="D41" s="8" t="s">
        <v>6</v>
      </c>
      <c r="E41" s="9" t="s">
        <v>7</v>
      </c>
    </row>
    <row r="42" customFormat="false" ht="15" hidden="false" customHeight="false" outlineLevel="0" collapsed="false">
      <c r="A42" s="10" t="n">
        <v>1</v>
      </c>
      <c r="B42" s="16" t="s">
        <v>32</v>
      </c>
      <c r="C42" s="12" t="n">
        <v>416500</v>
      </c>
      <c r="D42" s="17" t="n">
        <f aca="false">170000+100000</f>
        <v>270000</v>
      </c>
      <c r="E42" s="13" t="n">
        <f aca="false">C42-D42</f>
        <v>146500</v>
      </c>
    </row>
    <row r="43" customFormat="false" ht="15" hidden="false" customHeight="false" outlineLevel="0" collapsed="false">
      <c r="A43" s="26" t="n">
        <v>2</v>
      </c>
      <c r="B43" s="16" t="s">
        <v>33</v>
      </c>
      <c r="C43" s="12" t="n">
        <v>416500</v>
      </c>
      <c r="D43" s="17" t="n">
        <f aca="false">250000+166000</f>
        <v>416000</v>
      </c>
      <c r="E43" s="13" t="n">
        <f aca="false">C43-D43</f>
        <v>500</v>
      </c>
    </row>
    <row r="44" customFormat="false" ht="15" hidden="false" customHeight="false" outlineLevel="0" collapsed="false">
      <c r="A44" s="26" t="n">
        <v>3</v>
      </c>
      <c r="B44" s="16" t="s">
        <v>34</v>
      </c>
      <c r="C44" s="12" t="n">
        <v>416500</v>
      </c>
      <c r="D44" s="17" t="n">
        <f aca="false">400000+16500</f>
        <v>416500</v>
      </c>
      <c r="E44" s="13" t="n">
        <f aca="false">C44-D44</f>
        <v>0</v>
      </c>
    </row>
    <row r="45" customFormat="false" ht="15" hidden="false" customHeight="false" outlineLevel="0" collapsed="false">
      <c r="A45" s="10" t="n">
        <v>4</v>
      </c>
      <c r="B45" s="16" t="s">
        <v>35</v>
      </c>
      <c r="C45" s="12" t="n">
        <v>416500</v>
      </c>
      <c r="D45" s="17" t="n">
        <f aca="false">216000+150500+50000</f>
        <v>416500</v>
      </c>
      <c r="E45" s="13" t="n">
        <f aca="false">C45-D45</f>
        <v>0</v>
      </c>
    </row>
    <row r="46" customFormat="false" ht="15" hidden="false" customHeight="false" outlineLevel="0" collapsed="false">
      <c r="A46" s="10" t="n">
        <v>5</v>
      </c>
      <c r="B46" s="16" t="s">
        <v>36</v>
      </c>
      <c r="C46" s="12" t="n">
        <v>416500</v>
      </c>
      <c r="D46" s="17"/>
      <c r="E46" s="13" t="n">
        <f aca="false">C46-D46</f>
        <v>416500</v>
      </c>
    </row>
    <row r="47" customFormat="false" ht="15" hidden="false" customHeight="false" outlineLevel="0" collapsed="false">
      <c r="A47" s="10" t="n">
        <v>6</v>
      </c>
      <c r="B47" s="16" t="s">
        <v>37</v>
      </c>
      <c r="C47" s="12" t="n">
        <v>416500</v>
      </c>
      <c r="D47" s="17" t="n">
        <f aca="false">100000+33500+50000+50000+50000+50000+50000</f>
        <v>383500</v>
      </c>
      <c r="E47" s="13" t="n">
        <f aca="false">C47-D47</f>
        <v>33000</v>
      </c>
    </row>
    <row r="48" customFormat="false" ht="15" hidden="false" customHeight="false" outlineLevel="0" collapsed="false">
      <c r="A48" s="10" t="n">
        <v>7</v>
      </c>
      <c r="B48" s="16" t="s">
        <v>38</v>
      </c>
      <c r="C48" s="12" t="n">
        <v>416500</v>
      </c>
      <c r="D48" s="17" t="n">
        <f aca="false">120000+96000+50000+100000</f>
        <v>366000</v>
      </c>
      <c r="E48" s="13" t="n">
        <f aca="false">C48-D48</f>
        <v>50500</v>
      </c>
    </row>
    <row r="49" customFormat="false" ht="15" hidden="false" customHeight="false" outlineLevel="0" collapsed="false">
      <c r="A49" s="10" t="n">
        <v>8</v>
      </c>
      <c r="B49" s="16" t="s">
        <v>39</v>
      </c>
      <c r="C49" s="12" t="s">
        <v>40</v>
      </c>
      <c r="D49" s="17"/>
      <c r="E49" s="13" t="s">
        <v>40</v>
      </c>
    </row>
    <row r="50" customFormat="false" ht="15" hidden="false" customHeight="false" outlineLevel="0" collapsed="false">
      <c r="A50" s="10" t="n">
        <v>9</v>
      </c>
      <c r="B50" s="16" t="s">
        <v>41</v>
      </c>
      <c r="C50" s="12" t="n">
        <v>416500</v>
      </c>
      <c r="D50" s="17" t="n">
        <f aca="false">216000+200000+500</f>
        <v>416500</v>
      </c>
      <c r="E50" s="13" t="n">
        <f aca="false">C50-D50</f>
        <v>0</v>
      </c>
    </row>
    <row r="51" customFormat="false" ht="15" hidden="false" customHeight="false" outlineLevel="0" collapsed="false">
      <c r="A51" s="10" t="n">
        <v>10</v>
      </c>
      <c r="B51" s="16" t="s">
        <v>42</v>
      </c>
      <c r="C51" s="12" t="n">
        <v>416500</v>
      </c>
      <c r="D51" s="17" t="n">
        <f aca="false">216000+201500</f>
        <v>417500</v>
      </c>
      <c r="E51" s="13" t="n">
        <f aca="false">C51-D51</f>
        <v>-1000</v>
      </c>
    </row>
    <row r="52" customFormat="false" ht="15" hidden="false" customHeight="false" outlineLevel="0" collapsed="false">
      <c r="A52" s="15" t="n">
        <v>11</v>
      </c>
      <c r="B52" s="16" t="s">
        <v>43</v>
      </c>
      <c r="C52" s="12" t="n">
        <v>416500</v>
      </c>
      <c r="D52" s="17" t="n">
        <f aca="false">216500</f>
        <v>216500</v>
      </c>
      <c r="E52" s="13" t="n">
        <f aca="false">C52-D52</f>
        <v>200000</v>
      </c>
    </row>
    <row r="53" customFormat="false" ht="15" hidden="false" customHeight="false" outlineLevel="0" collapsed="false">
      <c r="A53" s="10" t="n">
        <v>12</v>
      </c>
      <c r="B53" s="16" t="s">
        <v>44</v>
      </c>
      <c r="C53" s="12" t="n">
        <v>416500</v>
      </c>
      <c r="D53" s="17" t="n">
        <f aca="false">200000+216500</f>
        <v>416500</v>
      </c>
      <c r="E53" s="13" t="n">
        <f aca="false">C53-D53</f>
        <v>0</v>
      </c>
    </row>
    <row r="54" customFormat="false" ht="15" hidden="false" customHeight="false" outlineLevel="0" collapsed="false">
      <c r="A54" s="10" t="n">
        <v>13</v>
      </c>
      <c r="B54" s="16" t="s">
        <v>45</v>
      </c>
      <c r="C54" s="12" t="n">
        <v>416500</v>
      </c>
      <c r="D54" s="17" t="n">
        <f aca="false">216500+100000</f>
        <v>316500</v>
      </c>
      <c r="E54" s="13" t="n">
        <f aca="false">C54-D54</f>
        <v>100000</v>
      </c>
    </row>
    <row r="55" customFormat="false" ht="15" hidden="false" customHeight="false" outlineLevel="0" collapsed="false">
      <c r="A55" s="10" t="n">
        <v>14</v>
      </c>
      <c r="B55" s="16" t="s">
        <v>46</v>
      </c>
      <c r="C55" s="12" t="n">
        <v>416500</v>
      </c>
      <c r="D55" s="17" t="n">
        <f aca="false">208000+208000+500</f>
        <v>416500</v>
      </c>
      <c r="E55" s="13" t="n">
        <f aca="false">C55-D55</f>
        <v>0</v>
      </c>
    </row>
    <row r="56" customFormat="false" ht="15" hidden="false" customHeight="false" outlineLevel="0" collapsed="false">
      <c r="A56" s="10" t="n">
        <v>15</v>
      </c>
      <c r="B56" s="16" t="s">
        <v>47</v>
      </c>
      <c r="C56" s="12" t="n">
        <v>416500</v>
      </c>
      <c r="D56" s="17" t="n">
        <f aca="false">216500+100000</f>
        <v>316500</v>
      </c>
      <c r="E56" s="13" t="n">
        <f aca="false">C56-D56</f>
        <v>100000</v>
      </c>
    </row>
    <row r="57" customFormat="false" ht="15" hidden="false" customHeight="false" outlineLevel="0" collapsed="false">
      <c r="A57" s="10" t="n">
        <v>16</v>
      </c>
      <c r="B57" s="16" t="s">
        <v>48</v>
      </c>
      <c r="C57" s="18" t="n">
        <v>225000</v>
      </c>
      <c r="D57" s="27" t="n">
        <f aca="false">116000+100000+9000</f>
        <v>225000</v>
      </c>
      <c r="E57" s="19" t="n">
        <f aca="false">C57-D57</f>
        <v>0</v>
      </c>
    </row>
    <row r="58" customFormat="false" ht="15" hidden="false" customHeight="false" outlineLevel="0" collapsed="false">
      <c r="A58" s="10" t="n">
        <v>17</v>
      </c>
      <c r="B58" s="16" t="s">
        <v>49</v>
      </c>
      <c r="C58" s="12" t="n">
        <v>416500</v>
      </c>
      <c r="D58" s="17" t="n">
        <f aca="false">216500+100000+100000</f>
        <v>416500</v>
      </c>
      <c r="E58" s="13" t="n">
        <f aca="false">C58-D58</f>
        <v>0</v>
      </c>
    </row>
    <row r="59" customFormat="false" ht="15" hidden="false" customHeight="false" outlineLevel="0" collapsed="false">
      <c r="A59" s="10" t="n">
        <v>18</v>
      </c>
      <c r="B59" s="16" t="s">
        <v>50</v>
      </c>
      <c r="C59" s="12" t="n">
        <v>416500</v>
      </c>
      <c r="D59" s="17" t="n">
        <f aca="false">215000+201000</f>
        <v>416000</v>
      </c>
      <c r="E59" s="13" t="n">
        <f aca="false">C59-D59</f>
        <v>500</v>
      </c>
    </row>
    <row r="60" customFormat="false" ht="15" hidden="false" customHeight="false" outlineLevel="0" collapsed="false">
      <c r="A60" s="10" t="n">
        <v>19</v>
      </c>
      <c r="B60" s="16" t="s">
        <v>51</v>
      </c>
      <c r="C60" s="12" t="n">
        <v>416500</v>
      </c>
      <c r="D60" s="17" t="n">
        <f aca="false">216000+200500</f>
        <v>416500</v>
      </c>
      <c r="E60" s="13" t="n">
        <f aca="false">C60-D60</f>
        <v>0</v>
      </c>
    </row>
    <row r="61" customFormat="false" ht="15" hidden="false" customHeight="false" outlineLevel="0" collapsed="false">
      <c r="A61" s="10" t="n">
        <v>20</v>
      </c>
      <c r="B61" s="16" t="s">
        <v>52</v>
      </c>
      <c r="C61" s="12" t="n">
        <v>416500</v>
      </c>
      <c r="D61" s="17" t="n">
        <f aca="false">216500+100000+50000+50000</f>
        <v>416500</v>
      </c>
      <c r="E61" s="13" t="n">
        <f aca="false">C61-D61</f>
        <v>0</v>
      </c>
    </row>
    <row r="62" customFormat="false" ht="15" hidden="false" customHeight="false" outlineLevel="0" collapsed="false">
      <c r="A62" s="10" t="n">
        <v>21</v>
      </c>
      <c r="B62" s="16" t="s">
        <v>53</v>
      </c>
      <c r="C62" s="12" t="n">
        <v>416500</v>
      </c>
      <c r="D62" s="17" t="n">
        <f aca="false">210000+100000</f>
        <v>310000</v>
      </c>
      <c r="E62" s="13" t="n">
        <f aca="false">C62-D62</f>
        <v>106500</v>
      </c>
    </row>
    <row r="63" customFormat="false" ht="15" hidden="false" customHeight="false" outlineLevel="0" collapsed="false">
      <c r="A63" s="10" t="n">
        <v>22</v>
      </c>
      <c r="B63" s="16" t="s">
        <v>54</v>
      </c>
      <c r="C63" s="12" t="n">
        <v>416500</v>
      </c>
      <c r="D63" s="17" t="n">
        <f aca="false">216500+100000</f>
        <v>316500</v>
      </c>
      <c r="E63" s="13" t="n">
        <f aca="false">C63-D63</f>
        <v>100000</v>
      </c>
    </row>
    <row r="64" customFormat="false" ht="15" hidden="false" customHeight="false" outlineLevel="0" collapsed="false">
      <c r="A64" s="10" t="n">
        <v>23</v>
      </c>
      <c r="B64" s="16" t="s">
        <v>55</v>
      </c>
      <c r="C64" s="12" t="n">
        <v>416500</v>
      </c>
      <c r="D64" s="17" t="n">
        <f aca="false">216500+110000+90000</f>
        <v>416500</v>
      </c>
      <c r="E64" s="13" t="n">
        <f aca="false">C64-D64</f>
        <v>0</v>
      </c>
    </row>
    <row r="65" customFormat="false" ht="15" hidden="false" customHeight="false" outlineLevel="0" collapsed="false">
      <c r="A65" s="10" t="n">
        <v>24</v>
      </c>
      <c r="B65" s="16" t="s">
        <v>56</v>
      </c>
      <c r="C65" s="12" t="n">
        <v>416500</v>
      </c>
      <c r="D65" s="17" t="n">
        <f aca="false">250000+166500</f>
        <v>416500</v>
      </c>
      <c r="E65" s="13" t="n">
        <f aca="false">C65-D65</f>
        <v>0</v>
      </c>
    </row>
    <row r="66" customFormat="false" ht="15" hidden="false" customHeight="false" outlineLevel="0" collapsed="false">
      <c r="A66" s="10" t="n">
        <v>25</v>
      </c>
      <c r="B66" s="16" t="s">
        <v>57</v>
      </c>
      <c r="C66" s="12" t="n">
        <v>416500</v>
      </c>
      <c r="D66" s="17" t="n">
        <f aca="false">200000+216500</f>
        <v>416500</v>
      </c>
      <c r="E66" s="13" t="n">
        <f aca="false">C66-D66</f>
        <v>0</v>
      </c>
    </row>
    <row r="67" customFormat="false" ht="15" hidden="false" customHeight="false" outlineLevel="0" collapsed="false">
      <c r="A67" s="10" t="n">
        <v>26</v>
      </c>
      <c r="B67" s="16" t="s">
        <v>58</v>
      </c>
      <c r="C67" s="12" t="n">
        <v>416500</v>
      </c>
      <c r="D67" s="17" t="n">
        <f aca="false">216500</f>
        <v>216500</v>
      </c>
      <c r="E67" s="13" t="n">
        <f aca="false">C67-D67</f>
        <v>200000</v>
      </c>
    </row>
    <row r="68" customFormat="false" ht="15" hidden="false" customHeight="false" outlineLevel="0" collapsed="false">
      <c r="A68" s="10" t="n">
        <v>27</v>
      </c>
      <c r="B68" s="16" t="s">
        <v>59</v>
      </c>
      <c r="C68" s="12" t="n">
        <v>416500</v>
      </c>
      <c r="D68" s="17" t="n">
        <f aca="false">120000+100000+80000+116500</f>
        <v>416500</v>
      </c>
      <c r="E68" s="13" t="n">
        <f aca="false">C68-D68</f>
        <v>0</v>
      </c>
    </row>
    <row r="69" customFormat="false" ht="15" hidden="false" customHeight="false" outlineLevel="0" collapsed="false">
      <c r="A69" s="10" t="n">
        <v>28</v>
      </c>
      <c r="B69" s="16" t="s">
        <v>60</v>
      </c>
      <c r="C69" s="12" t="n">
        <v>416500</v>
      </c>
      <c r="D69" s="17" t="n">
        <f aca="false">216500+200000</f>
        <v>416500</v>
      </c>
      <c r="E69" s="13" t="n">
        <f aca="false">C69-D69</f>
        <v>0</v>
      </c>
    </row>
    <row r="70" customFormat="false" ht="15" hidden="false" customHeight="false" outlineLevel="0" collapsed="false">
      <c r="A70" s="10" t="n">
        <v>29</v>
      </c>
      <c r="B70" s="16" t="s">
        <v>61</v>
      </c>
      <c r="C70" s="12" t="n">
        <v>416500</v>
      </c>
      <c r="D70" s="17" t="n">
        <f aca="false">200000+216500</f>
        <v>416500</v>
      </c>
      <c r="E70" s="13" t="n">
        <f aca="false">C70-D70</f>
        <v>0</v>
      </c>
    </row>
    <row r="71" customFormat="false" ht="15" hidden="false" customHeight="false" outlineLevel="0" collapsed="false">
      <c r="A71" s="10" t="n">
        <v>30</v>
      </c>
      <c r="B71" s="16" t="s">
        <v>62</v>
      </c>
      <c r="C71" s="12" t="n">
        <v>416500</v>
      </c>
      <c r="D71" s="17"/>
      <c r="E71" s="13" t="n">
        <f aca="false">C71-D71</f>
        <v>416500</v>
      </c>
    </row>
    <row r="72" customFormat="false" ht="15" hidden="false" customHeight="false" outlineLevel="0" collapsed="false">
      <c r="A72" s="10" t="n">
        <v>31</v>
      </c>
      <c r="B72" s="16" t="s">
        <v>63</v>
      </c>
      <c r="C72" s="12" t="n">
        <v>416500</v>
      </c>
      <c r="D72" s="17" t="n">
        <f aca="false">100000</f>
        <v>100000</v>
      </c>
      <c r="E72" s="13" t="n">
        <f aca="false">C72-D72</f>
        <v>316500</v>
      </c>
    </row>
    <row r="73" customFormat="false" ht="15" hidden="false" customHeight="false" outlineLevel="0" collapsed="false">
      <c r="A73" s="10" t="n">
        <v>32</v>
      </c>
      <c r="B73" s="16" t="s">
        <v>64</v>
      </c>
      <c r="C73" s="12" t="n">
        <v>416500</v>
      </c>
      <c r="D73" s="17" t="n">
        <f aca="false">100000+150000</f>
        <v>250000</v>
      </c>
      <c r="E73" s="13" t="n">
        <f aca="false">C73-D73</f>
        <v>166500</v>
      </c>
    </row>
    <row r="74" customFormat="false" ht="17.35" hidden="false" customHeight="false" outlineLevel="0" collapsed="false">
      <c r="A74" s="21"/>
      <c r="B74" s="22" t="s">
        <v>30</v>
      </c>
      <c r="C74" s="23" t="n">
        <f aca="false">SUM(C42:C73)</f>
        <v>12720000</v>
      </c>
      <c r="D74" s="24" t="n">
        <f aca="false">SUM(D42:D73)</f>
        <v>10367500</v>
      </c>
      <c r="E74" s="25" t="n">
        <f aca="false">SUM(E42:E73)</f>
        <v>2352500</v>
      </c>
    </row>
    <row r="75" customFormat="false" ht="17.35" hidden="false" customHeight="false" outlineLevel="0" collapsed="false">
      <c r="B75" s="28"/>
      <c r="C75" s="29"/>
      <c r="D75" s="30"/>
      <c r="E75" s="31"/>
    </row>
    <row r="76" customFormat="false" ht="17.35" hidden="false" customHeight="false" outlineLevel="0" collapsed="false">
      <c r="B76" s="28"/>
      <c r="C76" s="29"/>
      <c r="D76" s="30"/>
      <c r="E76" s="31"/>
    </row>
    <row r="77" customFormat="false" ht="15" hidden="false" customHeight="false" outlineLevel="0" collapsed="false">
      <c r="A77" s="32"/>
    </row>
    <row r="78" customFormat="false" ht="17.35" hidden="false" customHeight="false" outlineLevel="0" collapsed="false">
      <c r="A78" s="1"/>
      <c r="B78" s="2" t="s">
        <v>0</v>
      </c>
    </row>
    <row r="79" customFormat="false" ht="17.35" hidden="false" customHeight="false" outlineLevel="0" collapsed="false">
      <c r="A79" s="33"/>
    </row>
    <row r="80" customFormat="false" ht="15" hidden="false" customHeight="false" outlineLevel="0" collapsed="false">
      <c r="A80" s="1"/>
    </row>
    <row r="81" customFormat="false" ht="17.25" hidden="false" customHeight="false" outlineLevel="0" collapsed="false">
      <c r="A81" s="1"/>
      <c r="B81" s="3" t="s">
        <v>65</v>
      </c>
    </row>
    <row r="82" customFormat="false" ht="15" hidden="false" customHeight="false" outlineLevel="0" collapsed="false">
      <c r="A82" s="1"/>
      <c r="D82" s="4" t="s">
        <v>2</v>
      </c>
    </row>
    <row r="83" customFormat="false" ht="15" hidden="false" customHeight="false" outlineLevel="0" collapsed="false">
      <c r="A83" s="1"/>
    </row>
    <row r="84" customFormat="false" ht="15" hidden="false" customHeight="false" outlineLevel="0" collapsed="false">
      <c r="A84" s="5" t="s">
        <v>3</v>
      </c>
      <c r="B84" s="6" t="s">
        <v>4</v>
      </c>
      <c r="C84" s="7" t="s">
        <v>5</v>
      </c>
      <c r="D84" s="8" t="s">
        <v>6</v>
      </c>
      <c r="E84" s="9" t="s">
        <v>7</v>
      </c>
    </row>
    <row r="85" customFormat="false" ht="15" hidden="false" customHeight="false" outlineLevel="0" collapsed="false">
      <c r="A85" s="0" t="n">
        <v>1</v>
      </c>
      <c r="B85" s="14" t="s">
        <v>66</v>
      </c>
      <c r="C85" s="12" t="n">
        <v>416500</v>
      </c>
      <c r="D85" s="12" t="n">
        <f aca="false">150000+50000</f>
        <v>200000</v>
      </c>
      <c r="E85" s="13" t="n">
        <f aca="false">C85-D85</f>
        <v>216500</v>
      </c>
    </row>
    <row r="86" customFormat="false" ht="15" hidden="false" customHeight="false" outlineLevel="0" collapsed="false">
      <c r="A86" s="0" t="n">
        <v>2</v>
      </c>
      <c r="B86" s="14" t="s">
        <v>67</v>
      </c>
      <c r="C86" s="12" t="n">
        <v>416500</v>
      </c>
      <c r="D86" s="12" t="n">
        <f aca="false">220000+196500</f>
        <v>416500</v>
      </c>
      <c r="E86" s="13" t="n">
        <f aca="false">C86-D86</f>
        <v>0</v>
      </c>
    </row>
    <row r="87" customFormat="false" ht="15" hidden="false" customHeight="false" outlineLevel="0" collapsed="false">
      <c r="A87" s="10" t="n">
        <v>3</v>
      </c>
      <c r="B87" s="14" t="s">
        <v>68</v>
      </c>
      <c r="C87" s="12" t="n">
        <v>416500</v>
      </c>
      <c r="D87" s="12" t="n">
        <f aca="false">266500+150000</f>
        <v>416500</v>
      </c>
      <c r="E87" s="13" t="n">
        <f aca="false">C87-D87</f>
        <v>0</v>
      </c>
    </row>
    <row r="88" customFormat="false" ht="15" hidden="false" customHeight="false" outlineLevel="0" collapsed="false">
      <c r="A88" s="26" t="n">
        <v>4</v>
      </c>
      <c r="B88" s="16" t="s">
        <v>69</v>
      </c>
      <c r="C88" s="12" t="n">
        <v>416500</v>
      </c>
      <c r="D88" s="17" t="n">
        <f aca="false">100000+100000</f>
        <v>200000</v>
      </c>
      <c r="E88" s="13" t="n">
        <f aca="false">C88-D88</f>
        <v>216500</v>
      </c>
    </row>
    <row r="89" customFormat="false" ht="15" hidden="false" customHeight="false" outlineLevel="0" collapsed="false">
      <c r="A89" s="10" t="n">
        <v>5</v>
      </c>
      <c r="B89" s="14" t="s">
        <v>70</v>
      </c>
      <c r="C89" s="12" t="n">
        <v>416500</v>
      </c>
      <c r="D89" s="12" t="n">
        <f aca="false">200000+16000+100000</f>
        <v>316000</v>
      </c>
      <c r="E89" s="13" t="n">
        <f aca="false">C89-D89</f>
        <v>100500</v>
      </c>
    </row>
    <row r="90" customFormat="false" ht="15" hidden="false" customHeight="false" outlineLevel="0" collapsed="false">
      <c r="A90" s="26" t="n">
        <v>6</v>
      </c>
      <c r="B90" s="34" t="s">
        <v>71</v>
      </c>
      <c r="C90" s="12" t="n">
        <v>416500</v>
      </c>
      <c r="D90" s="12" t="n">
        <f aca="false">200000</f>
        <v>200000</v>
      </c>
      <c r="E90" s="13" t="n">
        <f aca="false">C90-D90</f>
        <v>216500</v>
      </c>
    </row>
    <row r="91" customFormat="false" ht="15" hidden="false" customHeight="false" outlineLevel="0" collapsed="false">
      <c r="A91" s="26" t="n">
        <v>7</v>
      </c>
      <c r="B91" s="34" t="s">
        <v>72</v>
      </c>
      <c r="C91" s="12" t="n">
        <v>416500</v>
      </c>
      <c r="D91" s="12" t="n">
        <f aca="false">150000+66000</f>
        <v>216000</v>
      </c>
      <c r="E91" s="13" t="n">
        <f aca="false">C91-D91</f>
        <v>200500</v>
      </c>
    </row>
    <row r="92" customFormat="false" ht="15" hidden="false" customHeight="false" outlineLevel="0" collapsed="false">
      <c r="A92" s="10" t="n">
        <v>8</v>
      </c>
      <c r="B92" s="14" t="s">
        <v>73</v>
      </c>
      <c r="C92" s="12" t="n">
        <v>416500</v>
      </c>
      <c r="D92" s="12" t="n">
        <f aca="false">216500+200000</f>
        <v>416500</v>
      </c>
      <c r="E92" s="13" t="n">
        <f aca="false">C92-D92</f>
        <v>0</v>
      </c>
    </row>
    <row r="93" customFormat="false" ht="15" hidden="false" customHeight="false" outlineLevel="0" collapsed="false">
      <c r="A93" s="26" t="n">
        <v>9</v>
      </c>
      <c r="B93" s="14" t="s">
        <v>74</v>
      </c>
      <c r="C93" s="12" t="n">
        <v>416500</v>
      </c>
      <c r="D93" s="12" t="n">
        <f aca="false">120000+100000+100000+50000+46500</f>
        <v>416500</v>
      </c>
      <c r="E93" s="13" t="n">
        <f aca="false">C93-D93</f>
        <v>0</v>
      </c>
    </row>
    <row r="94" customFormat="false" ht="15" hidden="false" customHeight="false" outlineLevel="0" collapsed="false">
      <c r="A94" s="26" t="n">
        <v>10</v>
      </c>
      <c r="B94" s="14" t="s">
        <v>75</v>
      </c>
      <c r="C94" s="12" t="n">
        <v>416500</v>
      </c>
      <c r="D94" s="12" t="n">
        <f aca="false">216500+100000+100000</f>
        <v>416500</v>
      </c>
      <c r="E94" s="13" t="n">
        <f aca="false">C94-D94</f>
        <v>0</v>
      </c>
    </row>
    <row r="95" customFormat="false" ht="15" hidden="false" customHeight="false" outlineLevel="0" collapsed="false">
      <c r="A95" s="10" t="n">
        <v>11</v>
      </c>
      <c r="B95" s="14" t="s">
        <v>76</v>
      </c>
      <c r="C95" s="12" t="n">
        <v>416500</v>
      </c>
      <c r="D95" s="12" t="n">
        <f aca="false">200000</f>
        <v>200000</v>
      </c>
      <c r="E95" s="13" t="n">
        <f aca="false">C95-D95</f>
        <v>216500</v>
      </c>
    </row>
    <row r="96" customFormat="false" ht="15" hidden="false" customHeight="false" outlineLevel="0" collapsed="false">
      <c r="A96" s="35" t="n">
        <v>12</v>
      </c>
      <c r="B96" s="14" t="s">
        <v>77</v>
      </c>
      <c r="C96" s="12" t="n">
        <v>416500</v>
      </c>
      <c r="D96" s="12" t="n">
        <f aca="false">216000+200000</f>
        <v>416000</v>
      </c>
      <c r="E96" s="13" t="n">
        <f aca="false">C96-D96</f>
        <v>500</v>
      </c>
    </row>
    <row r="97" customFormat="false" ht="15" hidden="false" customHeight="false" outlineLevel="0" collapsed="false">
      <c r="A97" s="10" t="n">
        <v>13</v>
      </c>
      <c r="B97" s="14" t="s">
        <v>78</v>
      </c>
      <c r="C97" s="12" t="n">
        <v>416500</v>
      </c>
      <c r="D97" s="12" t="n">
        <f aca="false">100000+200000+66500</f>
        <v>366500</v>
      </c>
      <c r="E97" s="13" t="n">
        <f aca="false">C97-D97</f>
        <v>50000</v>
      </c>
    </row>
    <row r="98" customFormat="false" ht="15" hidden="false" customHeight="false" outlineLevel="0" collapsed="false">
      <c r="A98" s="26" t="n">
        <v>14</v>
      </c>
      <c r="B98" s="14" t="s">
        <v>79</v>
      </c>
      <c r="C98" s="12" t="n">
        <v>416500</v>
      </c>
      <c r="D98" s="12" t="n">
        <f aca="false">216000+100000+100000</f>
        <v>416000</v>
      </c>
      <c r="E98" s="13" t="n">
        <f aca="false">C98-D98</f>
        <v>500</v>
      </c>
    </row>
    <row r="99" customFormat="false" ht="15" hidden="false" customHeight="false" outlineLevel="0" collapsed="false">
      <c r="A99" s="10" t="n">
        <v>15</v>
      </c>
      <c r="B99" s="14" t="s">
        <v>80</v>
      </c>
      <c r="C99" s="12" t="n">
        <v>416500</v>
      </c>
      <c r="D99" s="12" t="n">
        <f aca="false">100000</f>
        <v>100000</v>
      </c>
      <c r="E99" s="13" t="n">
        <f aca="false">C99-D99</f>
        <v>316500</v>
      </c>
    </row>
    <row r="100" customFormat="false" ht="15" hidden="false" customHeight="false" outlineLevel="0" collapsed="false">
      <c r="A100" s="35" t="n">
        <v>16</v>
      </c>
      <c r="B100" s="14" t="s">
        <v>81</v>
      </c>
      <c r="C100" s="12" t="n">
        <v>416500</v>
      </c>
      <c r="D100" s="12" t="n">
        <f aca="false">200000+116000</f>
        <v>316000</v>
      </c>
      <c r="E100" s="13" t="n">
        <f aca="false">C100-D100</f>
        <v>100500</v>
      </c>
    </row>
    <row r="101" customFormat="false" ht="15" hidden="false" customHeight="false" outlineLevel="0" collapsed="false">
      <c r="A101" s="35" t="n">
        <v>17</v>
      </c>
      <c r="B101" s="14" t="s">
        <v>82</v>
      </c>
      <c r="C101" s="12" t="n">
        <v>416500</v>
      </c>
      <c r="D101" s="12"/>
      <c r="E101" s="13" t="n">
        <f aca="false">C101-D101</f>
        <v>416500</v>
      </c>
    </row>
    <row r="102" customFormat="false" ht="15" hidden="false" customHeight="false" outlineLevel="0" collapsed="false">
      <c r="A102" s="35" t="n">
        <v>18</v>
      </c>
      <c r="B102" s="14" t="s">
        <v>83</v>
      </c>
      <c r="C102" s="12" t="n">
        <v>416500</v>
      </c>
      <c r="D102" s="12" t="n">
        <f aca="false">200000</f>
        <v>200000</v>
      </c>
      <c r="E102" s="13" t="n">
        <f aca="false">C102-D102</f>
        <v>216500</v>
      </c>
    </row>
    <row r="103" customFormat="false" ht="17.35" hidden="false" customHeight="false" outlineLevel="0" collapsed="false">
      <c r="A103" s="21"/>
      <c r="B103" s="22" t="s">
        <v>30</v>
      </c>
      <c r="C103" s="23" t="n">
        <f aca="false">SUM(C85:C102)</f>
        <v>7497000</v>
      </c>
      <c r="D103" s="24" t="n">
        <f aca="false">SUM(D85:D102)</f>
        <v>5229000</v>
      </c>
      <c r="E103" s="25" t="n">
        <f aca="false">SUM(E85:E102)</f>
        <v>2268000</v>
      </c>
    </row>
    <row r="105" customFormat="false" ht="17.35" hidden="false" customHeight="false" outlineLevel="0" collapsed="false">
      <c r="B105" s="2" t="s">
        <v>0</v>
      </c>
    </row>
    <row r="106" customFormat="false" ht="15" hidden="false" customHeight="false" outlineLevel="0" collapsed="false">
      <c r="A106" s="1"/>
    </row>
    <row r="107" customFormat="false" ht="15" hidden="false" customHeight="false" outlineLevel="0" collapsed="false">
      <c r="A107" s="1"/>
    </row>
    <row r="108" customFormat="false" ht="17.25" hidden="false" customHeight="false" outlineLevel="0" collapsed="false">
      <c r="A108" s="1"/>
      <c r="B108" s="3" t="s">
        <v>84</v>
      </c>
    </row>
    <row r="109" customFormat="false" ht="15" hidden="false" customHeight="false" outlineLevel="0" collapsed="false">
      <c r="A109" s="1"/>
      <c r="E109" s="4" t="s">
        <v>2</v>
      </c>
    </row>
    <row r="110" customFormat="false" ht="15" hidden="false" customHeight="false" outlineLevel="0" collapsed="false">
      <c r="A110" s="1"/>
    </row>
    <row r="111" customFormat="false" ht="15" hidden="false" customHeight="false" outlineLevel="0" collapsed="false">
      <c r="A111" s="5" t="s">
        <v>3</v>
      </c>
      <c r="B111" s="6" t="s">
        <v>4</v>
      </c>
      <c r="C111" s="7" t="s">
        <v>5</v>
      </c>
      <c r="D111" s="8" t="s">
        <v>6</v>
      </c>
      <c r="E111" s="9" t="s">
        <v>7</v>
      </c>
    </row>
    <row r="112" customFormat="false" ht="15" hidden="false" customHeight="false" outlineLevel="0" collapsed="false">
      <c r="A112" s="10" t="n">
        <v>1</v>
      </c>
      <c r="B112" s="20" t="s">
        <v>85</v>
      </c>
      <c r="C112" s="12" t="n">
        <v>416500</v>
      </c>
      <c r="D112" s="12" t="n">
        <f aca="false">230000+186000</f>
        <v>416000</v>
      </c>
      <c r="E112" s="13" t="n">
        <f aca="false">C112-D112</f>
        <v>500</v>
      </c>
    </row>
    <row r="113" customFormat="false" ht="15" hidden="false" customHeight="false" outlineLevel="0" collapsed="false">
      <c r="A113" s="10" t="n">
        <v>2</v>
      </c>
      <c r="B113" s="14" t="s">
        <v>86</v>
      </c>
      <c r="C113" s="12" t="n">
        <v>416500</v>
      </c>
      <c r="D113" s="12" t="n">
        <f aca="false">216500+200000</f>
        <v>416500</v>
      </c>
      <c r="E113" s="13" t="n">
        <f aca="false">C113-D113</f>
        <v>0</v>
      </c>
    </row>
    <row r="114" customFormat="false" ht="15" hidden="false" customHeight="false" outlineLevel="0" collapsed="false">
      <c r="A114" s="15" t="n">
        <v>3</v>
      </c>
      <c r="B114" s="14" t="s">
        <v>87</v>
      </c>
      <c r="C114" s="12" t="n">
        <v>416500</v>
      </c>
      <c r="D114" s="12" t="n">
        <f aca="false">250000+166500</f>
        <v>416500</v>
      </c>
      <c r="E114" s="13" t="n">
        <f aca="false">C114-D114</f>
        <v>0</v>
      </c>
    </row>
    <row r="115" customFormat="false" ht="15" hidden="false" customHeight="false" outlineLevel="0" collapsed="false">
      <c r="A115" s="10" t="n">
        <v>4</v>
      </c>
      <c r="B115" s="14" t="s">
        <v>88</v>
      </c>
      <c r="C115" s="12" t="n">
        <v>416500</v>
      </c>
      <c r="D115" s="12" t="n">
        <f aca="false">100000</f>
        <v>100000</v>
      </c>
      <c r="E115" s="13" t="n">
        <f aca="false">C115-D115</f>
        <v>316500</v>
      </c>
    </row>
    <row r="116" customFormat="false" ht="15" hidden="false" customHeight="false" outlineLevel="0" collapsed="false">
      <c r="A116" s="10" t="n">
        <v>5</v>
      </c>
      <c r="B116" s="14" t="s">
        <v>89</v>
      </c>
      <c r="C116" s="12" t="n">
        <v>416500</v>
      </c>
      <c r="D116" s="12" t="n">
        <v>416500</v>
      </c>
      <c r="E116" s="13" t="n">
        <f aca="false">C116-D116</f>
        <v>0</v>
      </c>
    </row>
    <row r="117" customFormat="false" ht="15" hidden="false" customHeight="false" outlineLevel="0" collapsed="false">
      <c r="A117" s="10" t="n">
        <v>6</v>
      </c>
      <c r="B117" s="14" t="s">
        <v>90</v>
      </c>
      <c r="C117" s="12" t="n">
        <v>416500</v>
      </c>
      <c r="D117" s="12" t="n">
        <f aca="false">200000+216000</f>
        <v>416000</v>
      </c>
      <c r="E117" s="13" t="n">
        <f aca="false">C117-D117</f>
        <v>500</v>
      </c>
    </row>
    <row r="118" customFormat="false" ht="15" hidden="false" customHeight="false" outlineLevel="0" collapsed="false">
      <c r="A118" s="10" t="n">
        <v>7</v>
      </c>
      <c r="B118" s="14" t="s">
        <v>91</v>
      </c>
      <c r="C118" s="12" t="n">
        <v>416500</v>
      </c>
      <c r="D118" s="12" t="n">
        <f aca="false">216500+200000</f>
        <v>416500</v>
      </c>
      <c r="E118" s="13" t="n">
        <f aca="false">C118-D118</f>
        <v>0</v>
      </c>
    </row>
    <row r="119" customFormat="false" ht="15" hidden="false" customHeight="false" outlineLevel="0" collapsed="false">
      <c r="A119" s="10" t="n">
        <v>8</v>
      </c>
      <c r="B119" s="14" t="s">
        <v>92</v>
      </c>
      <c r="C119" s="12" t="n">
        <v>416500</v>
      </c>
      <c r="D119" s="12" t="n">
        <f aca="false">160500+250000</f>
        <v>410500</v>
      </c>
      <c r="E119" s="13" t="n">
        <f aca="false">C119-D119</f>
        <v>6000</v>
      </c>
    </row>
    <row r="120" customFormat="false" ht="15" hidden="false" customHeight="false" outlineLevel="0" collapsed="false">
      <c r="A120" s="10" t="n">
        <v>9</v>
      </c>
      <c r="B120" s="14" t="s">
        <v>93</v>
      </c>
      <c r="C120" s="12" t="n">
        <v>416500</v>
      </c>
      <c r="D120" s="12" t="n">
        <f aca="false">216500+200000</f>
        <v>416500</v>
      </c>
      <c r="E120" s="13" t="n">
        <f aca="false">C120-D120</f>
        <v>0</v>
      </c>
    </row>
    <row r="121" customFormat="false" ht="15" hidden="false" customHeight="false" outlineLevel="0" collapsed="false">
      <c r="A121" s="10" t="n">
        <v>10</v>
      </c>
      <c r="B121" s="36" t="s">
        <v>94</v>
      </c>
      <c r="C121" s="12" t="n">
        <v>416500</v>
      </c>
      <c r="D121" s="37" t="n">
        <f aca="false">216500+200000</f>
        <v>416500</v>
      </c>
      <c r="E121" s="13" t="n">
        <f aca="false">C121-D121</f>
        <v>0</v>
      </c>
    </row>
    <row r="122" customFormat="false" ht="15" hidden="false" customHeight="false" outlineLevel="0" collapsed="false">
      <c r="A122" s="10" t="n">
        <v>11</v>
      </c>
      <c r="B122" s="14" t="s">
        <v>95</v>
      </c>
      <c r="C122" s="12" t="n">
        <v>416500</v>
      </c>
      <c r="D122" s="12" t="n">
        <f aca="false">216000+55000+105500+20000+20000</f>
        <v>416500</v>
      </c>
      <c r="E122" s="13" t="n">
        <f aca="false">C122-D122</f>
        <v>0</v>
      </c>
    </row>
    <row r="123" customFormat="false" ht="15" hidden="false" customHeight="false" outlineLevel="0" collapsed="false">
      <c r="A123" s="10" t="n">
        <v>12</v>
      </c>
      <c r="B123" s="36" t="s">
        <v>96</v>
      </c>
      <c r="C123" s="12" t="n">
        <v>416500</v>
      </c>
      <c r="D123" s="37" t="n">
        <f aca="false">216500+200000</f>
        <v>416500</v>
      </c>
      <c r="E123" s="13" t="n">
        <f aca="false">C123-D123</f>
        <v>0</v>
      </c>
    </row>
    <row r="124" customFormat="false" ht="15" hidden="false" customHeight="false" outlineLevel="0" collapsed="false">
      <c r="A124" s="10" t="n">
        <v>13</v>
      </c>
      <c r="B124" s="38" t="s">
        <v>97</v>
      </c>
      <c r="C124" s="12" t="n">
        <v>416500</v>
      </c>
      <c r="D124" s="37" t="n">
        <f aca="false">130000+70000+216000</f>
        <v>416000</v>
      </c>
      <c r="E124" s="13" t="n">
        <f aca="false">C124-D124</f>
        <v>500</v>
      </c>
    </row>
    <row r="125" customFormat="false" ht="15" hidden="false" customHeight="false" outlineLevel="0" collapsed="false">
      <c r="A125" s="10" t="n">
        <v>14</v>
      </c>
      <c r="B125" s="36" t="s">
        <v>98</v>
      </c>
      <c r="C125" s="12" t="n">
        <v>416500</v>
      </c>
      <c r="D125" s="37" t="n">
        <f aca="false">200000+116500+100000</f>
        <v>416500</v>
      </c>
      <c r="E125" s="13" t="n">
        <f aca="false">C125-D125</f>
        <v>0</v>
      </c>
    </row>
    <row r="126" customFormat="false" ht="15" hidden="false" customHeight="false" outlineLevel="0" collapsed="false">
      <c r="A126" s="10" t="n">
        <v>15</v>
      </c>
      <c r="B126" s="36" t="s">
        <v>99</v>
      </c>
      <c r="C126" s="12" t="n">
        <v>416500</v>
      </c>
      <c r="D126" s="37" t="n">
        <f aca="false">230000+110000+76500</f>
        <v>416500</v>
      </c>
      <c r="E126" s="13" t="n">
        <f aca="false">C126-D126</f>
        <v>0</v>
      </c>
    </row>
    <row r="127" customFormat="false" ht="15" hidden="false" customHeight="false" outlineLevel="0" collapsed="false">
      <c r="A127" s="10" t="n">
        <v>16</v>
      </c>
      <c r="B127" s="36" t="s">
        <v>100</v>
      </c>
      <c r="C127" s="12" t="n">
        <v>416500</v>
      </c>
      <c r="D127" s="37" t="n">
        <f aca="false">200000+200000+16500</f>
        <v>416500</v>
      </c>
      <c r="E127" s="13" t="n">
        <f aca="false">C127-D127</f>
        <v>0</v>
      </c>
    </row>
    <row r="128" customFormat="false" ht="15" hidden="false" customHeight="false" outlineLevel="0" collapsed="false">
      <c r="A128" s="10" t="n">
        <v>17</v>
      </c>
      <c r="B128" s="14" t="s">
        <v>101</v>
      </c>
      <c r="C128" s="12" t="n">
        <v>416500</v>
      </c>
      <c r="D128" s="37" t="n">
        <f aca="false">220000+100000+96500</f>
        <v>416500</v>
      </c>
      <c r="E128" s="13" t="n">
        <f aca="false">C128-D128</f>
        <v>0</v>
      </c>
    </row>
    <row r="129" customFormat="false" ht="15" hidden="false" customHeight="false" outlineLevel="0" collapsed="false">
      <c r="A129" s="10" t="n">
        <v>18</v>
      </c>
      <c r="B129" s="14" t="s">
        <v>102</v>
      </c>
      <c r="C129" s="12" t="n">
        <v>416500</v>
      </c>
      <c r="D129" s="12" t="n">
        <f aca="false">150000+50000+66500</f>
        <v>266500</v>
      </c>
      <c r="E129" s="13" t="n">
        <f aca="false">C129-D129</f>
        <v>150000</v>
      </c>
    </row>
    <row r="130" customFormat="false" ht="15" hidden="false" customHeight="false" outlineLevel="0" collapsed="false">
      <c r="A130" s="10" t="n">
        <v>19</v>
      </c>
      <c r="B130" s="39" t="s">
        <v>103</v>
      </c>
      <c r="C130" s="12" t="n">
        <v>416500</v>
      </c>
      <c r="D130" s="37" t="n">
        <f aca="false">216000+200000</f>
        <v>416000</v>
      </c>
      <c r="E130" s="13" t="n">
        <f aca="false">C130-D130</f>
        <v>500</v>
      </c>
    </row>
    <row r="131" customFormat="false" ht="17.35" hidden="false" customHeight="false" outlineLevel="0" collapsed="false">
      <c r="A131" s="21"/>
      <c r="B131" s="22" t="s">
        <v>30</v>
      </c>
      <c r="C131" s="23" t="n">
        <f aca="false">SUM(C112:C130)</f>
        <v>7913500</v>
      </c>
      <c r="D131" s="24" t="n">
        <f aca="false">SUM(D112:D130)</f>
        <v>7439000</v>
      </c>
      <c r="E131" s="25" t="n">
        <f aca="false">SUM(E112:E130)</f>
        <v>474500</v>
      </c>
    </row>
    <row r="133" customFormat="false" ht="17.35" hidden="false" customHeight="false" outlineLevel="0" collapsed="false">
      <c r="A133" s="1"/>
      <c r="B133" s="2" t="s">
        <v>0</v>
      </c>
    </row>
    <row r="134" customFormat="false" ht="17.35" hidden="false" customHeight="false" outlineLevel="0" collapsed="false">
      <c r="A134" s="33"/>
    </row>
    <row r="135" customFormat="false" ht="15" hidden="false" customHeight="false" outlineLevel="0" collapsed="false">
      <c r="A135" s="1"/>
    </row>
    <row r="136" customFormat="false" ht="17.25" hidden="false" customHeight="false" outlineLevel="0" collapsed="false">
      <c r="A136" s="1"/>
      <c r="B136" s="3" t="s">
        <v>104</v>
      </c>
    </row>
    <row r="137" customFormat="false" ht="15" hidden="false" customHeight="false" outlineLevel="0" collapsed="false">
      <c r="A137" s="1"/>
      <c r="D137" s="4" t="s">
        <v>2</v>
      </c>
    </row>
    <row r="138" customFormat="false" ht="15" hidden="false" customHeight="false" outlineLevel="0" collapsed="false">
      <c r="A138" s="1"/>
    </row>
    <row r="139" customFormat="false" ht="15" hidden="false" customHeight="false" outlineLevel="0" collapsed="false">
      <c r="A139" s="5" t="s">
        <v>3</v>
      </c>
      <c r="B139" s="6" t="s">
        <v>4</v>
      </c>
      <c r="C139" s="7" t="s">
        <v>5</v>
      </c>
      <c r="D139" s="8" t="s">
        <v>6</v>
      </c>
      <c r="E139" s="9" t="s">
        <v>7</v>
      </c>
    </row>
    <row r="140" customFormat="false" ht="15" hidden="false" customHeight="false" outlineLevel="0" collapsed="false">
      <c r="A140" s="10" t="n">
        <v>1</v>
      </c>
      <c r="B140" s="14" t="s">
        <v>105</v>
      </c>
      <c r="C140" s="12" t="n">
        <v>416500</v>
      </c>
      <c r="D140" s="12" t="n">
        <f aca="false">216000+200000</f>
        <v>416000</v>
      </c>
      <c r="E140" s="13" t="n">
        <f aca="false">C140-D140</f>
        <v>500</v>
      </c>
    </row>
    <row r="141" customFormat="false" ht="15" hidden="false" customHeight="false" outlineLevel="0" collapsed="false">
      <c r="A141" s="10" t="n">
        <v>2</v>
      </c>
      <c r="B141" s="14" t="s">
        <v>106</v>
      </c>
      <c r="C141" s="12" t="n">
        <v>416500</v>
      </c>
      <c r="D141" s="12" t="n">
        <f aca="false">200000+217000</f>
        <v>417000</v>
      </c>
      <c r="E141" s="13" t="n">
        <f aca="false">C141-D141</f>
        <v>-500</v>
      </c>
    </row>
    <row r="142" customFormat="false" ht="15" hidden="false" customHeight="false" outlineLevel="0" collapsed="false">
      <c r="A142" s="26" t="n">
        <v>3</v>
      </c>
      <c r="B142" s="14" t="s">
        <v>107</v>
      </c>
      <c r="C142" s="12" t="n">
        <v>416500</v>
      </c>
      <c r="D142" s="12" t="n">
        <f aca="false">200000</f>
        <v>200000</v>
      </c>
      <c r="E142" s="13" t="n">
        <f aca="false">C142-D142</f>
        <v>216500</v>
      </c>
    </row>
    <row r="143" customFormat="false" ht="15" hidden="false" customHeight="false" outlineLevel="0" collapsed="false">
      <c r="A143" s="10" t="n">
        <v>4</v>
      </c>
      <c r="B143" s="14" t="s">
        <v>108</v>
      </c>
      <c r="C143" s="12" t="n">
        <v>416500</v>
      </c>
      <c r="D143" s="12" t="n">
        <f aca="false">220000+196500</f>
        <v>416500</v>
      </c>
      <c r="E143" s="13" t="n">
        <f aca="false">C143-D143</f>
        <v>0</v>
      </c>
    </row>
    <row r="144" customFormat="false" ht="15" hidden="false" customHeight="false" outlineLevel="0" collapsed="false">
      <c r="A144" s="26" t="n">
        <v>5</v>
      </c>
      <c r="B144" s="14" t="s">
        <v>109</v>
      </c>
      <c r="C144" s="12" t="n">
        <v>416500</v>
      </c>
      <c r="D144" s="12" t="n">
        <f aca="false">200000+200000+16500</f>
        <v>416500</v>
      </c>
      <c r="E144" s="13" t="n">
        <f aca="false">C144-D144</f>
        <v>0</v>
      </c>
    </row>
    <row r="145" customFormat="false" ht="15" hidden="false" customHeight="false" outlineLevel="0" collapsed="false">
      <c r="A145" s="35" t="n">
        <v>6</v>
      </c>
      <c r="B145" s="14" t="s">
        <v>110</v>
      </c>
      <c r="C145" s="12" t="n">
        <v>416500</v>
      </c>
      <c r="D145" s="12" t="n">
        <f aca="false">216000+200500</f>
        <v>416500</v>
      </c>
      <c r="E145" s="13" t="n">
        <f aca="false">C145-D145</f>
        <v>0</v>
      </c>
    </row>
    <row r="146" customFormat="false" ht="15" hidden="false" customHeight="false" outlineLevel="0" collapsed="false">
      <c r="A146" s="26" t="n">
        <v>7</v>
      </c>
      <c r="B146" s="14" t="s">
        <v>111</v>
      </c>
      <c r="C146" s="12" t="n">
        <v>416500</v>
      </c>
      <c r="D146" s="12" t="n">
        <f aca="false">200000+216000+500</f>
        <v>416500</v>
      </c>
      <c r="E146" s="13" t="n">
        <f aca="false">C146-D146</f>
        <v>0</v>
      </c>
    </row>
    <row r="147" customFormat="false" ht="15" hidden="false" customHeight="false" outlineLevel="0" collapsed="false">
      <c r="A147" s="10" t="n">
        <v>8</v>
      </c>
      <c r="B147" s="14" t="s">
        <v>112</v>
      </c>
      <c r="C147" s="12" t="n">
        <v>416500</v>
      </c>
      <c r="D147" s="12" t="n">
        <f aca="false">216500+200000</f>
        <v>416500</v>
      </c>
      <c r="E147" s="13" t="n">
        <f aca="false">C147-D147</f>
        <v>0</v>
      </c>
    </row>
    <row r="148" customFormat="false" ht="15" hidden="false" customHeight="false" outlineLevel="0" collapsed="false">
      <c r="A148" s="26" t="n">
        <v>9</v>
      </c>
      <c r="B148" s="14" t="s">
        <v>113</v>
      </c>
      <c r="C148" s="12" t="n">
        <v>416500</v>
      </c>
      <c r="D148" s="12" t="n">
        <f aca="false">216500+200000</f>
        <v>416500</v>
      </c>
      <c r="E148" s="13" t="n">
        <f aca="false">C148-D148</f>
        <v>0</v>
      </c>
    </row>
    <row r="149" customFormat="false" ht="15" hidden="false" customHeight="false" outlineLevel="0" collapsed="false">
      <c r="A149" s="10" t="n">
        <v>10</v>
      </c>
      <c r="B149" s="14" t="s">
        <v>114</v>
      </c>
      <c r="C149" s="12" t="n">
        <v>416500</v>
      </c>
      <c r="D149" s="12" t="n">
        <f aca="false">300000+116500</f>
        <v>416500</v>
      </c>
      <c r="E149" s="13" t="n">
        <f aca="false">C149-D149</f>
        <v>0</v>
      </c>
    </row>
    <row r="150" customFormat="false" ht="15" hidden="false" customHeight="false" outlineLevel="0" collapsed="false">
      <c r="A150" s="10" t="n">
        <v>11</v>
      </c>
      <c r="B150" s="14" t="s">
        <v>115</v>
      </c>
      <c r="C150" s="12" t="n">
        <v>416500</v>
      </c>
      <c r="D150" s="12" t="n">
        <f aca="false">216000+200500</f>
        <v>416500</v>
      </c>
      <c r="E150" s="13" t="n">
        <f aca="false">C150-D150</f>
        <v>0</v>
      </c>
    </row>
    <row r="151" customFormat="false" ht="15" hidden="false" customHeight="false" outlineLevel="0" collapsed="false">
      <c r="A151" s="35" t="n">
        <v>12</v>
      </c>
      <c r="B151" s="14" t="s">
        <v>116</v>
      </c>
      <c r="C151" s="12" t="n">
        <v>416500</v>
      </c>
      <c r="D151" s="12" t="n">
        <f aca="false">216500+200000</f>
        <v>416500</v>
      </c>
      <c r="E151" s="13" t="n">
        <f aca="false">C151-D151</f>
        <v>0</v>
      </c>
    </row>
    <row r="152" customFormat="false" ht="17.35" hidden="false" customHeight="false" outlineLevel="0" collapsed="false">
      <c r="A152" s="21"/>
      <c r="B152" s="22" t="s">
        <v>30</v>
      </c>
      <c r="C152" s="23" t="n">
        <f aca="false">SUM(C140:C151)</f>
        <v>4998000</v>
      </c>
      <c r="D152" s="24" t="n">
        <f aca="false">SUM(D140:D151)</f>
        <v>4781500</v>
      </c>
      <c r="E152" s="25" t="n">
        <f aca="false">SUM(E140:E151)</f>
        <v>216500</v>
      </c>
    </row>
    <row r="153" customFormat="false" ht="17.35" hidden="false" customHeight="false" outlineLevel="0" collapsed="false">
      <c r="B153" s="28"/>
      <c r="C153" s="29"/>
      <c r="D153" s="30"/>
      <c r="E153" s="31"/>
    </row>
    <row r="154" customFormat="false" ht="17.35" hidden="false" customHeight="false" outlineLevel="0" collapsed="false">
      <c r="A154" s="1"/>
      <c r="B154" s="2" t="s">
        <v>0</v>
      </c>
    </row>
    <row r="155" customFormat="false" ht="17.35" hidden="false" customHeight="false" outlineLevel="0" collapsed="false">
      <c r="A155" s="33"/>
    </row>
    <row r="156" customFormat="false" ht="15" hidden="false" customHeight="false" outlineLevel="0" collapsed="false">
      <c r="A156" s="1"/>
    </row>
    <row r="157" customFormat="false" ht="17.25" hidden="false" customHeight="false" outlineLevel="0" collapsed="false">
      <c r="A157" s="1"/>
      <c r="B157" s="3" t="s">
        <v>117</v>
      </c>
    </row>
    <row r="158" customFormat="false" ht="15" hidden="false" customHeight="false" outlineLevel="0" collapsed="false">
      <c r="A158" s="1"/>
      <c r="D158" s="4" t="s">
        <v>2</v>
      </c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5" t="s">
        <v>3</v>
      </c>
      <c r="B160" s="6" t="s">
        <v>4</v>
      </c>
      <c r="C160" s="7" t="s">
        <v>5</v>
      </c>
      <c r="D160" s="8" t="s">
        <v>6</v>
      </c>
      <c r="E160" s="9" t="s">
        <v>7</v>
      </c>
    </row>
    <row r="161" customFormat="false" ht="15" hidden="false" customHeight="false" outlineLevel="0" collapsed="false">
      <c r="A161" s="10" t="n">
        <v>1</v>
      </c>
      <c r="B161" s="14" t="s">
        <v>118</v>
      </c>
      <c r="C161" s="12" t="n">
        <v>416500</v>
      </c>
      <c r="D161" s="12" t="n">
        <f aca="false">216000+200000</f>
        <v>416000</v>
      </c>
      <c r="E161" s="13" t="n">
        <f aca="false">C161-D161</f>
        <v>500</v>
      </c>
    </row>
    <row r="162" customFormat="false" ht="15" hidden="false" customHeight="false" outlineLevel="0" collapsed="false">
      <c r="A162" s="26" t="n">
        <v>2</v>
      </c>
      <c r="B162" s="14" t="s">
        <v>119</v>
      </c>
      <c r="C162" s="12" t="n">
        <v>416500</v>
      </c>
      <c r="D162" s="12" t="n">
        <f aca="false">216000+200500</f>
        <v>416500</v>
      </c>
      <c r="E162" s="13" t="n">
        <f aca="false">C162-D162</f>
        <v>0</v>
      </c>
    </row>
    <row r="163" customFormat="false" ht="15" hidden="false" customHeight="false" outlineLevel="0" collapsed="false">
      <c r="A163" s="10" t="n">
        <v>3</v>
      </c>
      <c r="B163" s="14" t="s">
        <v>120</v>
      </c>
      <c r="C163" s="12" t="n">
        <v>416500</v>
      </c>
      <c r="D163" s="12"/>
      <c r="E163" s="13" t="n">
        <f aca="false">C163-D163</f>
        <v>416500</v>
      </c>
    </row>
    <row r="164" customFormat="false" ht="15" hidden="false" customHeight="false" outlineLevel="0" collapsed="false">
      <c r="A164" s="26" t="n">
        <v>4</v>
      </c>
      <c r="B164" s="14" t="s">
        <v>121</v>
      </c>
      <c r="C164" s="12" t="n">
        <v>416500</v>
      </c>
      <c r="D164" s="12" t="n">
        <f aca="false">216500+200000</f>
        <v>416500</v>
      </c>
      <c r="E164" s="13" t="n">
        <f aca="false">C164-D164</f>
        <v>0</v>
      </c>
    </row>
    <row r="165" customFormat="false" ht="15" hidden="false" customHeight="false" outlineLevel="0" collapsed="false">
      <c r="A165" s="26" t="n">
        <v>5</v>
      </c>
      <c r="B165" s="14" t="s">
        <v>122</v>
      </c>
      <c r="C165" s="12" t="n">
        <v>416500</v>
      </c>
      <c r="D165" s="12" t="n">
        <f aca="false">216500+200000</f>
        <v>416500</v>
      </c>
      <c r="E165" s="13" t="n">
        <f aca="false">C165-D165</f>
        <v>0</v>
      </c>
    </row>
    <row r="166" customFormat="false" ht="15" hidden="false" customHeight="false" outlineLevel="0" collapsed="false">
      <c r="A166" s="10" t="n">
        <v>6</v>
      </c>
      <c r="B166" s="14" t="s">
        <v>123</v>
      </c>
      <c r="C166" s="12" t="n">
        <v>416500</v>
      </c>
      <c r="D166" s="12" t="n">
        <f aca="false">200000+10500+56000+150000</f>
        <v>416500</v>
      </c>
      <c r="E166" s="13" t="n">
        <f aca="false">C166-D166</f>
        <v>0</v>
      </c>
    </row>
    <row r="167" customFormat="false" ht="15" hidden="false" customHeight="false" outlineLevel="0" collapsed="false">
      <c r="A167" s="26" t="n">
        <v>7</v>
      </c>
      <c r="B167" s="14" t="s">
        <v>124</v>
      </c>
      <c r="C167" s="12" t="n">
        <v>416500</v>
      </c>
      <c r="D167" s="12" t="n">
        <f aca="false">116000+100000+200500</f>
        <v>416500</v>
      </c>
      <c r="E167" s="13" t="n">
        <f aca="false">C167-D167</f>
        <v>0</v>
      </c>
    </row>
    <row r="168" customFormat="false" ht="15" hidden="false" customHeight="false" outlineLevel="0" collapsed="false">
      <c r="A168" s="10" t="n">
        <v>8</v>
      </c>
      <c r="B168" s="14" t="s">
        <v>125</v>
      </c>
      <c r="C168" s="12" t="n">
        <v>416500</v>
      </c>
      <c r="D168" s="12" t="n">
        <f aca="false">416000</f>
        <v>416000</v>
      </c>
      <c r="E168" s="13" t="n">
        <f aca="false">C168-D168</f>
        <v>500</v>
      </c>
    </row>
    <row r="169" customFormat="false" ht="15" hidden="false" customHeight="false" outlineLevel="0" collapsed="false">
      <c r="A169" s="26" t="n">
        <v>9</v>
      </c>
      <c r="B169" s="14" t="s">
        <v>126</v>
      </c>
      <c r="C169" s="12" t="n">
        <v>416500</v>
      </c>
      <c r="D169" s="12" t="n">
        <f aca="false">100000+100000+216000</f>
        <v>416000</v>
      </c>
      <c r="E169" s="13" t="n">
        <f aca="false">C169-D169</f>
        <v>500</v>
      </c>
    </row>
    <row r="170" customFormat="false" ht="15" hidden="false" customHeight="false" outlineLevel="0" collapsed="false">
      <c r="A170" s="10" t="n">
        <v>10</v>
      </c>
      <c r="B170" s="14" t="s">
        <v>127</v>
      </c>
      <c r="C170" s="12" t="n">
        <v>416500</v>
      </c>
      <c r="D170" s="12" t="n">
        <f aca="false">200000+216000</f>
        <v>416000</v>
      </c>
      <c r="E170" s="13" t="n">
        <f aca="false">C170-D170</f>
        <v>500</v>
      </c>
    </row>
    <row r="171" customFormat="false" ht="15" hidden="false" customHeight="false" outlineLevel="0" collapsed="false">
      <c r="A171" s="35" t="n">
        <v>11</v>
      </c>
      <c r="B171" s="14" t="s">
        <v>128</v>
      </c>
      <c r="C171" s="12" t="n">
        <v>416500</v>
      </c>
      <c r="D171" s="12" t="n">
        <f aca="false">216500+200000</f>
        <v>416500</v>
      </c>
      <c r="E171" s="13" t="n">
        <f aca="false">C171-D171</f>
        <v>0</v>
      </c>
    </row>
    <row r="172" customFormat="false" ht="15" hidden="false" customHeight="false" outlineLevel="0" collapsed="false">
      <c r="A172" s="26" t="n">
        <v>12</v>
      </c>
      <c r="B172" s="14" t="s">
        <v>129</v>
      </c>
      <c r="C172" s="12" t="n">
        <v>416500</v>
      </c>
      <c r="D172" s="12" t="n">
        <f aca="false">216500+200000</f>
        <v>416500</v>
      </c>
      <c r="E172" s="13" t="n">
        <f aca="false">C172-D172</f>
        <v>0</v>
      </c>
    </row>
    <row r="173" customFormat="false" ht="15" hidden="false" customHeight="false" outlineLevel="0" collapsed="false">
      <c r="A173" s="10" t="n">
        <v>13</v>
      </c>
      <c r="B173" s="14" t="s">
        <v>130</v>
      </c>
      <c r="C173" s="12" t="n">
        <v>416500</v>
      </c>
      <c r="D173" s="12" t="n">
        <f aca="false">210000+206500</f>
        <v>416500</v>
      </c>
      <c r="E173" s="13" t="n">
        <f aca="false">C173-D173</f>
        <v>0</v>
      </c>
    </row>
    <row r="174" customFormat="false" ht="15" hidden="false" customHeight="false" outlineLevel="0" collapsed="false">
      <c r="A174" s="35" t="n">
        <v>14</v>
      </c>
      <c r="B174" s="14" t="s">
        <v>131</v>
      </c>
      <c r="C174" s="12" t="n">
        <v>416500</v>
      </c>
      <c r="D174" s="12" t="n">
        <f aca="false">219000+140000+57500</f>
        <v>416500</v>
      </c>
      <c r="E174" s="13" t="n">
        <f aca="false">C174-D174</f>
        <v>0</v>
      </c>
    </row>
    <row r="175" customFormat="false" ht="15" hidden="false" customHeight="false" outlineLevel="0" collapsed="false">
      <c r="A175" s="35" t="n">
        <v>15</v>
      </c>
      <c r="B175" s="14" t="s">
        <v>132</v>
      </c>
      <c r="C175" s="12" t="n">
        <v>416500</v>
      </c>
      <c r="D175" s="12" t="n">
        <f aca="false">216500+150000+50000</f>
        <v>416500</v>
      </c>
      <c r="E175" s="13" t="n">
        <f aca="false">C175-D175</f>
        <v>0</v>
      </c>
    </row>
    <row r="176" customFormat="false" ht="15" hidden="false" customHeight="false" outlineLevel="0" collapsed="false">
      <c r="A176" s="35" t="n">
        <v>16</v>
      </c>
      <c r="B176" s="14" t="s">
        <v>133</v>
      </c>
      <c r="C176" s="12" t="n">
        <v>416500</v>
      </c>
      <c r="D176" s="12" t="n">
        <f aca="false">200000</f>
        <v>200000</v>
      </c>
      <c r="E176" s="13" t="n">
        <f aca="false">C176-D176</f>
        <v>216500</v>
      </c>
    </row>
    <row r="177" customFormat="false" ht="15" hidden="false" customHeight="false" outlineLevel="0" collapsed="false">
      <c r="A177" s="35" t="n">
        <v>17</v>
      </c>
      <c r="B177" s="14" t="s">
        <v>134</v>
      </c>
      <c r="C177" s="12" t="n">
        <v>416500</v>
      </c>
      <c r="D177" s="12" t="n">
        <f aca="false">250000+166500</f>
        <v>416500</v>
      </c>
      <c r="E177" s="13" t="n">
        <f aca="false">C177-D177</f>
        <v>0</v>
      </c>
    </row>
    <row r="178" customFormat="false" ht="15" hidden="false" customHeight="false" outlineLevel="0" collapsed="false">
      <c r="A178" s="35" t="n">
        <v>18</v>
      </c>
      <c r="B178" s="14" t="s">
        <v>135</v>
      </c>
      <c r="C178" s="12" t="n">
        <v>416500</v>
      </c>
      <c r="D178" s="12" t="n">
        <f aca="false">216500+200000</f>
        <v>416500</v>
      </c>
      <c r="E178" s="13" t="n">
        <f aca="false">C178-D178</f>
        <v>0</v>
      </c>
    </row>
    <row r="179" customFormat="false" ht="15" hidden="false" customHeight="false" outlineLevel="0" collapsed="false">
      <c r="A179" s="35" t="n">
        <v>19</v>
      </c>
      <c r="B179" s="14" t="s">
        <v>136</v>
      </c>
      <c r="C179" s="12" t="n">
        <v>416500</v>
      </c>
      <c r="D179" s="12" t="n">
        <f aca="false">216000+200500</f>
        <v>416500</v>
      </c>
      <c r="E179" s="13" t="n">
        <f aca="false">C179-D179</f>
        <v>0</v>
      </c>
    </row>
    <row r="180" customFormat="false" ht="15" hidden="false" customHeight="false" outlineLevel="0" collapsed="false">
      <c r="A180" s="35" t="n">
        <v>20</v>
      </c>
      <c r="B180" s="14" t="s">
        <v>137</v>
      </c>
      <c r="C180" s="12" t="n">
        <v>416500</v>
      </c>
      <c r="D180" s="12" t="n">
        <f aca="false">216000+200000+500</f>
        <v>416500</v>
      </c>
      <c r="E180" s="13" t="n">
        <f aca="false">C180-D180</f>
        <v>0</v>
      </c>
    </row>
    <row r="181" customFormat="false" ht="15" hidden="false" customHeight="false" outlineLevel="0" collapsed="false">
      <c r="A181" s="35" t="n">
        <v>21</v>
      </c>
      <c r="B181" s="14" t="s">
        <v>138</v>
      </c>
      <c r="C181" s="12" t="n">
        <v>416500</v>
      </c>
      <c r="D181" s="12" t="n">
        <f aca="false">150000+66000+100000</f>
        <v>316000</v>
      </c>
      <c r="E181" s="13" t="n">
        <f aca="false">C181-D181</f>
        <v>100500</v>
      </c>
    </row>
    <row r="182" customFormat="false" ht="15" hidden="false" customHeight="false" outlineLevel="0" collapsed="false">
      <c r="A182" s="35" t="n">
        <v>22</v>
      </c>
      <c r="B182" s="14" t="s">
        <v>139</v>
      </c>
      <c r="C182" s="12" t="n">
        <v>416500</v>
      </c>
      <c r="D182" s="12" t="n">
        <f aca="false">216500+200000</f>
        <v>416500</v>
      </c>
      <c r="E182" s="13" t="n">
        <f aca="false">C182-D182</f>
        <v>0</v>
      </c>
    </row>
    <row r="183" customFormat="false" ht="15" hidden="false" customHeight="false" outlineLevel="0" collapsed="false">
      <c r="A183" s="35" t="n">
        <v>23</v>
      </c>
      <c r="B183" s="14" t="s">
        <v>140</v>
      </c>
      <c r="C183" s="12" t="n">
        <v>416500</v>
      </c>
      <c r="D183" s="12" t="n">
        <f aca="false">215000</f>
        <v>215000</v>
      </c>
      <c r="E183" s="13" t="n">
        <f aca="false">C183-D183</f>
        <v>201500</v>
      </c>
    </row>
    <row r="184" customFormat="false" ht="15" hidden="false" customHeight="false" outlineLevel="0" collapsed="false">
      <c r="A184" s="35" t="n">
        <v>24</v>
      </c>
      <c r="B184" s="14" t="s">
        <v>141</v>
      </c>
      <c r="C184" s="12" t="n">
        <v>416500</v>
      </c>
      <c r="D184" s="12" t="n">
        <f aca="false">216000</f>
        <v>216000</v>
      </c>
      <c r="E184" s="13" t="n">
        <f aca="false">C184-D184</f>
        <v>200500</v>
      </c>
    </row>
    <row r="185" customFormat="false" ht="15" hidden="false" customHeight="false" outlineLevel="0" collapsed="false">
      <c r="A185" s="35" t="n">
        <v>25</v>
      </c>
      <c r="B185" s="14" t="s">
        <v>142</v>
      </c>
      <c r="C185" s="12" t="n">
        <v>416500</v>
      </c>
      <c r="D185" s="12" t="n">
        <f aca="false">216000+100000</f>
        <v>316000</v>
      </c>
      <c r="E185" s="13" t="n">
        <f aca="false">C185-D185</f>
        <v>100500</v>
      </c>
    </row>
    <row r="186" customFormat="false" ht="15" hidden="false" customHeight="false" outlineLevel="0" collapsed="false">
      <c r="A186" s="35" t="n">
        <v>26</v>
      </c>
      <c r="B186" s="14" t="s">
        <v>143</v>
      </c>
      <c r="C186" s="12" t="n">
        <v>416500</v>
      </c>
      <c r="D186" s="12" t="n">
        <f aca="false">150000+66500+59000+1000+140000</f>
        <v>416500</v>
      </c>
      <c r="E186" s="13" t="n">
        <f aca="false">C186-D186</f>
        <v>0</v>
      </c>
    </row>
    <row r="187" customFormat="false" ht="15" hidden="false" customHeight="false" outlineLevel="0" collapsed="false">
      <c r="A187" s="35" t="n">
        <v>27</v>
      </c>
      <c r="B187" s="14" t="s">
        <v>144</v>
      </c>
      <c r="C187" s="12" t="n">
        <v>416500</v>
      </c>
      <c r="D187" s="12" t="n">
        <f aca="false">400000</f>
        <v>400000</v>
      </c>
      <c r="E187" s="13" t="n">
        <f aca="false">C187-D187</f>
        <v>16500</v>
      </c>
    </row>
    <row r="188" customFormat="false" ht="15" hidden="false" customHeight="false" outlineLevel="0" collapsed="false">
      <c r="A188" s="35" t="n">
        <v>28</v>
      </c>
      <c r="B188" s="14" t="s">
        <v>145</v>
      </c>
      <c r="C188" s="12" t="n">
        <v>416500</v>
      </c>
      <c r="D188" s="12" t="n">
        <f aca="false">216500+200000</f>
        <v>416500</v>
      </c>
      <c r="E188" s="13" t="n">
        <f aca="false">C188-D188</f>
        <v>0</v>
      </c>
    </row>
    <row r="189" customFormat="false" ht="15" hidden="false" customHeight="false" outlineLevel="0" collapsed="false">
      <c r="A189" s="35" t="n">
        <v>29</v>
      </c>
      <c r="B189" s="14" t="s">
        <v>146</v>
      </c>
      <c r="C189" s="12" t="n">
        <v>416500</v>
      </c>
      <c r="D189" s="12" t="n">
        <f aca="false">150000</f>
        <v>150000</v>
      </c>
      <c r="E189" s="13" t="n">
        <f aca="false">C189-D189</f>
        <v>266500</v>
      </c>
    </row>
    <row r="190" customFormat="false" ht="15" hidden="false" customHeight="false" outlineLevel="0" collapsed="false">
      <c r="A190" s="35" t="n">
        <v>30</v>
      </c>
      <c r="B190" s="14" t="s">
        <v>147</v>
      </c>
      <c r="C190" s="12" t="n">
        <v>416500</v>
      </c>
      <c r="D190" s="12" t="n">
        <f aca="false">150000+66500+100000+100000</f>
        <v>416500</v>
      </c>
      <c r="E190" s="13" t="n">
        <f aca="false">C190-D190</f>
        <v>0</v>
      </c>
    </row>
    <row r="191" customFormat="false" ht="15" hidden="false" customHeight="false" outlineLevel="0" collapsed="false">
      <c r="A191" s="35" t="n">
        <v>31</v>
      </c>
      <c r="B191" s="14" t="s">
        <v>148</v>
      </c>
      <c r="C191" s="12" t="n">
        <v>416500</v>
      </c>
      <c r="D191" s="12" t="n">
        <f aca="false">216500+100000+100000</f>
        <v>416500</v>
      </c>
      <c r="E191" s="13" t="n">
        <f aca="false">C191-D191</f>
        <v>0</v>
      </c>
    </row>
    <row r="192" customFormat="false" ht="15" hidden="false" customHeight="false" outlineLevel="0" collapsed="false">
      <c r="A192" s="35" t="n">
        <v>32</v>
      </c>
      <c r="B192" s="14" t="s">
        <v>149</v>
      </c>
      <c r="C192" s="18" t="n">
        <v>416500</v>
      </c>
      <c r="D192" s="18" t="n">
        <f aca="false">416500</f>
        <v>416500</v>
      </c>
      <c r="E192" s="19" t="n">
        <f aca="false">C192-D192</f>
        <v>0</v>
      </c>
    </row>
    <row r="193" customFormat="false" ht="15" hidden="false" customHeight="false" outlineLevel="0" collapsed="false">
      <c r="A193" s="35" t="n">
        <v>33</v>
      </c>
      <c r="B193" s="14" t="s">
        <v>150</v>
      </c>
      <c r="C193" s="12" t="n">
        <v>416500</v>
      </c>
      <c r="D193" s="12" t="n">
        <f aca="false">216500</f>
        <v>216500</v>
      </c>
      <c r="E193" s="13" t="n">
        <f aca="false">C193-D193</f>
        <v>200000</v>
      </c>
    </row>
    <row r="194" customFormat="false" ht="15" hidden="false" customHeight="false" outlineLevel="0" collapsed="false">
      <c r="A194" s="35" t="n">
        <v>34</v>
      </c>
      <c r="B194" s="14" t="s">
        <v>151</v>
      </c>
      <c r="C194" s="12" t="n">
        <v>416500</v>
      </c>
      <c r="D194" s="12" t="n">
        <f aca="false">216500+100000+100000</f>
        <v>416500</v>
      </c>
      <c r="E194" s="13" t="n">
        <f aca="false">C194-D194</f>
        <v>0</v>
      </c>
    </row>
    <row r="195" customFormat="false" ht="15" hidden="false" customHeight="false" outlineLevel="0" collapsed="false">
      <c r="A195" s="35" t="n">
        <v>35</v>
      </c>
      <c r="B195" s="14" t="s">
        <v>152</v>
      </c>
      <c r="C195" s="12" t="n">
        <v>416500</v>
      </c>
      <c r="D195" s="12" t="n">
        <f aca="false">216500+200000</f>
        <v>416500</v>
      </c>
      <c r="E195" s="13" t="n">
        <f aca="false">C195-D195</f>
        <v>0</v>
      </c>
    </row>
    <row r="196" customFormat="false" ht="15" hidden="false" customHeight="false" outlineLevel="0" collapsed="false">
      <c r="A196" s="35" t="n">
        <v>36</v>
      </c>
      <c r="B196" s="14" t="s">
        <v>153</v>
      </c>
      <c r="C196" s="12" t="n">
        <v>416500</v>
      </c>
      <c r="D196" s="12" t="n">
        <f aca="false">200000+217000</f>
        <v>417000</v>
      </c>
      <c r="E196" s="13" t="n">
        <f aca="false">C196-D196</f>
        <v>-500</v>
      </c>
    </row>
    <row r="197" customFormat="false" ht="15" hidden="false" customHeight="false" outlineLevel="0" collapsed="false">
      <c r="A197" s="35" t="n">
        <v>37</v>
      </c>
      <c r="B197" s="14" t="s">
        <v>154</v>
      </c>
      <c r="C197" s="12" t="n">
        <v>416500</v>
      </c>
      <c r="D197" s="12" t="n">
        <f aca="false">216000</f>
        <v>216000</v>
      </c>
      <c r="E197" s="13" t="n">
        <f aca="false">C197-D197</f>
        <v>200500</v>
      </c>
    </row>
    <row r="198" customFormat="false" ht="15" hidden="false" customHeight="false" outlineLevel="0" collapsed="false">
      <c r="A198" s="35" t="n">
        <v>38</v>
      </c>
      <c r="B198" s="14" t="s">
        <v>155</v>
      </c>
      <c r="C198" s="12" t="n">
        <v>416500</v>
      </c>
      <c r="D198" s="12" t="n">
        <f aca="false">216500+200000</f>
        <v>416500</v>
      </c>
      <c r="E198" s="13" t="n">
        <f aca="false">C198-D198</f>
        <v>0</v>
      </c>
    </row>
    <row r="199" customFormat="false" ht="15" hidden="false" customHeight="false" outlineLevel="0" collapsed="false">
      <c r="A199" s="35" t="n">
        <v>39</v>
      </c>
      <c r="B199" s="14" t="s">
        <v>156</v>
      </c>
      <c r="C199" s="12" t="n">
        <v>416500</v>
      </c>
      <c r="D199" s="12" t="n">
        <f aca="false">206000+210000</f>
        <v>416000</v>
      </c>
      <c r="E199" s="13" t="n">
        <f aca="false">C199-D199</f>
        <v>500</v>
      </c>
    </row>
    <row r="200" customFormat="false" ht="15" hidden="false" customHeight="false" outlineLevel="0" collapsed="false">
      <c r="A200" s="35" t="n">
        <v>40</v>
      </c>
      <c r="B200" s="14" t="s">
        <v>157</v>
      </c>
      <c r="C200" s="12" t="n">
        <v>416500</v>
      </c>
      <c r="D200" s="12" t="n">
        <f aca="false">216500+200000</f>
        <v>416500</v>
      </c>
      <c r="E200" s="13" t="n">
        <f aca="false">C200-D200</f>
        <v>0</v>
      </c>
    </row>
    <row r="201" customFormat="false" ht="15" hidden="false" customHeight="false" outlineLevel="0" collapsed="false">
      <c r="A201" s="35" t="n">
        <v>41</v>
      </c>
      <c r="B201" s="14" t="s">
        <v>158</v>
      </c>
      <c r="C201" s="12" t="n">
        <v>416500</v>
      </c>
      <c r="D201" s="12" t="n">
        <f aca="false">100000+100000+100000+100000+16500</f>
        <v>416500</v>
      </c>
      <c r="E201" s="13" t="n">
        <f aca="false">C201-D201</f>
        <v>0</v>
      </c>
    </row>
    <row r="202" customFormat="false" ht="15" hidden="false" customHeight="false" outlineLevel="0" collapsed="false">
      <c r="A202" s="35" t="n">
        <v>42</v>
      </c>
      <c r="B202" s="14" t="s">
        <v>159</v>
      </c>
      <c r="C202" s="12" t="n">
        <v>416500</v>
      </c>
      <c r="D202" s="12" t="n">
        <f aca="false">300000+116500</f>
        <v>416500</v>
      </c>
      <c r="E202" s="13" t="n">
        <f aca="false">C202-D202</f>
        <v>0</v>
      </c>
    </row>
    <row r="203" customFormat="false" ht="15" hidden="false" customHeight="false" outlineLevel="0" collapsed="false">
      <c r="A203" s="35" t="n">
        <v>43</v>
      </c>
      <c r="B203" s="14" t="s">
        <v>160</v>
      </c>
      <c r="C203" s="12" t="n">
        <v>416500</v>
      </c>
      <c r="D203" s="12" t="n">
        <f aca="false">216500+200000</f>
        <v>416500</v>
      </c>
      <c r="E203" s="13" t="n">
        <f aca="false">C203-D203</f>
        <v>0</v>
      </c>
    </row>
    <row r="204" customFormat="false" ht="15" hidden="false" customHeight="false" outlineLevel="0" collapsed="false">
      <c r="A204" s="35" t="n">
        <v>44</v>
      </c>
      <c r="B204" s="14" t="s">
        <v>161</v>
      </c>
      <c r="C204" s="12" t="n">
        <v>416500</v>
      </c>
      <c r="D204" s="12" t="n">
        <f aca="false">200000+216500</f>
        <v>416500</v>
      </c>
      <c r="E204" s="13" t="n">
        <f aca="false">C204-D204</f>
        <v>0</v>
      </c>
    </row>
    <row r="205" customFormat="false" ht="15" hidden="false" customHeight="false" outlineLevel="0" collapsed="false">
      <c r="A205" s="35" t="n">
        <v>45</v>
      </c>
      <c r="B205" s="14" t="s">
        <v>162</v>
      </c>
      <c r="C205" s="12" t="n">
        <v>416500</v>
      </c>
      <c r="D205" s="12" t="n">
        <f aca="false">216500+200000</f>
        <v>416500</v>
      </c>
      <c r="E205" s="13" t="n">
        <f aca="false">C205-D205</f>
        <v>0</v>
      </c>
    </row>
    <row r="206" customFormat="false" ht="15" hidden="false" customHeight="false" outlineLevel="0" collapsed="false">
      <c r="A206" s="35" t="n">
        <v>46</v>
      </c>
      <c r="B206" s="14" t="s">
        <v>163</v>
      </c>
      <c r="C206" s="12" t="n">
        <v>416500</v>
      </c>
      <c r="D206" s="12" t="n">
        <f aca="false">216500+200000</f>
        <v>416500</v>
      </c>
      <c r="E206" s="13" t="n">
        <f aca="false">C206-D206</f>
        <v>0</v>
      </c>
    </row>
    <row r="207" customFormat="false" ht="15" hidden="false" customHeight="false" outlineLevel="0" collapsed="false">
      <c r="A207" s="35" t="n">
        <v>47</v>
      </c>
      <c r="B207" s="14" t="s">
        <v>164</v>
      </c>
      <c r="C207" s="12" t="n">
        <v>416500</v>
      </c>
      <c r="D207" s="12" t="n">
        <f aca="false">216500+200000</f>
        <v>416500</v>
      </c>
      <c r="E207" s="13" t="n">
        <f aca="false">C207-D207</f>
        <v>0</v>
      </c>
    </row>
    <row r="208" customFormat="false" ht="15" hidden="false" customHeight="false" outlineLevel="0" collapsed="false">
      <c r="A208" s="35" t="n">
        <v>48</v>
      </c>
      <c r="B208" s="14" t="s">
        <v>165</v>
      </c>
      <c r="C208" s="12" t="n">
        <v>416500</v>
      </c>
      <c r="D208" s="12" t="n">
        <f aca="false">216000+200000</f>
        <v>416000</v>
      </c>
      <c r="E208" s="13" t="n">
        <f aca="false">C208-D208</f>
        <v>500</v>
      </c>
    </row>
    <row r="209" customFormat="false" ht="15" hidden="false" customHeight="false" outlineLevel="0" collapsed="false">
      <c r="A209" s="35" t="n">
        <v>49</v>
      </c>
      <c r="B209" s="14" t="s">
        <v>166</v>
      </c>
      <c r="C209" s="12" t="n">
        <v>416500</v>
      </c>
      <c r="D209" s="12" t="n">
        <f aca="false">220000+90000+80000+26500</f>
        <v>416500</v>
      </c>
      <c r="E209" s="13" t="n">
        <f aca="false">C209-D209</f>
        <v>0</v>
      </c>
    </row>
    <row r="210" customFormat="false" ht="15" hidden="false" customHeight="false" outlineLevel="0" collapsed="false">
      <c r="A210" s="35" t="n">
        <v>50</v>
      </c>
      <c r="B210" s="14" t="s">
        <v>167</v>
      </c>
      <c r="C210" s="12" t="n">
        <v>416500</v>
      </c>
      <c r="D210" s="12" t="n">
        <f aca="false">200000+200000+16500</f>
        <v>416500</v>
      </c>
      <c r="E210" s="13" t="n">
        <f aca="false">C210-D210</f>
        <v>0</v>
      </c>
    </row>
    <row r="211" customFormat="false" ht="15" hidden="false" customHeight="false" outlineLevel="0" collapsed="false">
      <c r="A211" s="35" t="n">
        <v>51</v>
      </c>
      <c r="B211" s="14" t="s">
        <v>168</v>
      </c>
      <c r="C211" s="12" t="n">
        <v>416500</v>
      </c>
      <c r="D211" s="12" t="n">
        <f aca="false">230000+186500</f>
        <v>416500</v>
      </c>
      <c r="E211" s="13" t="n">
        <f aca="false">C211-D211</f>
        <v>0</v>
      </c>
    </row>
    <row r="212" customFormat="false" ht="15" hidden="false" customHeight="false" outlineLevel="0" collapsed="false">
      <c r="A212" s="35" t="n">
        <v>52</v>
      </c>
      <c r="B212" s="14" t="s">
        <v>169</v>
      </c>
      <c r="C212" s="12" t="n">
        <v>416500</v>
      </c>
      <c r="D212" s="12" t="n">
        <f aca="false">216000+100000+100500</f>
        <v>416500</v>
      </c>
      <c r="E212" s="13" t="n">
        <f aca="false">C212-D212</f>
        <v>0</v>
      </c>
    </row>
    <row r="213" customFormat="false" ht="15" hidden="false" customHeight="false" outlineLevel="0" collapsed="false">
      <c r="A213" s="35" t="n">
        <v>53</v>
      </c>
      <c r="B213" s="14" t="s">
        <v>170</v>
      </c>
      <c r="C213" s="12" t="n">
        <v>416500</v>
      </c>
      <c r="D213" s="12" t="n">
        <f aca="false">216500+200000</f>
        <v>416500</v>
      </c>
      <c r="E213" s="13" t="n">
        <f aca="false">C213-D213</f>
        <v>0</v>
      </c>
    </row>
    <row r="214" customFormat="false" ht="15" hidden="false" customHeight="false" outlineLevel="0" collapsed="false">
      <c r="A214" s="35" t="n">
        <v>54</v>
      </c>
      <c r="B214" s="14" t="s">
        <v>171</v>
      </c>
      <c r="C214" s="12" t="n">
        <v>416500</v>
      </c>
      <c r="D214" s="12" t="n">
        <f aca="false">216500+200000</f>
        <v>416500</v>
      </c>
      <c r="E214" s="13" t="n">
        <f aca="false">C214-D214</f>
        <v>0</v>
      </c>
    </row>
    <row r="215" customFormat="false" ht="15" hidden="false" customHeight="false" outlineLevel="0" collapsed="false">
      <c r="A215" s="35" t="n">
        <v>55</v>
      </c>
      <c r="B215" s="14" t="s">
        <v>172</v>
      </c>
      <c r="C215" s="12" t="n">
        <v>416500</v>
      </c>
      <c r="D215" s="12" t="n">
        <f aca="false">216500+200000</f>
        <v>416500</v>
      </c>
      <c r="E215" s="13" t="n">
        <f aca="false">C215-D215</f>
        <v>0</v>
      </c>
    </row>
    <row r="216" customFormat="false" ht="15" hidden="false" customHeight="false" outlineLevel="0" collapsed="false">
      <c r="A216" s="35" t="n">
        <v>56</v>
      </c>
      <c r="B216" s="14" t="s">
        <v>173</v>
      </c>
      <c r="C216" s="12" t="n">
        <v>416500</v>
      </c>
      <c r="D216" s="12" t="n">
        <f aca="false">220000</f>
        <v>220000</v>
      </c>
      <c r="E216" s="13" t="n">
        <f aca="false">C216-D216</f>
        <v>196500</v>
      </c>
    </row>
    <row r="217" customFormat="false" ht="15" hidden="false" customHeight="false" outlineLevel="0" collapsed="false">
      <c r="A217" s="35" t="n">
        <v>57</v>
      </c>
      <c r="B217" s="14" t="s">
        <v>174</v>
      </c>
      <c r="C217" s="12" t="n">
        <v>416500</v>
      </c>
      <c r="D217" s="12" t="n">
        <f aca="false">216500+200000</f>
        <v>416500</v>
      </c>
      <c r="E217" s="13" t="n">
        <f aca="false">C217-D217</f>
        <v>0</v>
      </c>
    </row>
    <row r="218" customFormat="false" ht="15" hidden="false" customHeight="false" outlineLevel="0" collapsed="false">
      <c r="A218" s="35" t="n">
        <v>58</v>
      </c>
      <c r="B218" s="14" t="s">
        <v>175</v>
      </c>
      <c r="C218" s="12" t="n">
        <v>416500</v>
      </c>
      <c r="D218" s="12" t="n">
        <f aca="false">216500+200000</f>
        <v>416500</v>
      </c>
      <c r="E218" s="13" t="n">
        <f aca="false">C218-D218</f>
        <v>0</v>
      </c>
    </row>
    <row r="219" customFormat="false" ht="15" hidden="false" customHeight="false" outlineLevel="0" collapsed="false">
      <c r="A219" s="35" t="n">
        <v>59</v>
      </c>
      <c r="B219" s="14" t="s">
        <v>176</v>
      </c>
      <c r="C219" s="12" t="n">
        <v>416500</v>
      </c>
      <c r="D219" s="12" t="n">
        <f aca="false">220000+196000</f>
        <v>416000</v>
      </c>
      <c r="E219" s="13" t="n">
        <f aca="false">C219-D219</f>
        <v>500</v>
      </c>
    </row>
    <row r="220" customFormat="false" ht="15" hidden="false" customHeight="false" outlineLevel="0" collapsed="false">
      <c r="A220" s="35" t="n">
        <v>60</v>
      </c>
      <c r="B220" s="14" t="s">
        <v>177</v>
      </c>
      <c r="C220" s="12" t="n">
        <v>416500</v>
      </c>
      <c r="D220" s="12" t="n">
        <f aca="false">216500+200000</f>
        <v>416500</v>
      </c>
      <c r="E220" s="13" t="n">
        <f aca="false">C220-D220</f>
        <v>0</v>
      </c>
    </row>
    <row r="221" customFormat="false" ht="15" hidden="false" customHeight="false" outlineLevel="0" collapsed="false">
      <c r="A221" s="35" t="n">
        <v>61</v>
      </c>
      <c r="B221" s="14" t="s">
        <v>178</v>
      </c>
      <c r="C221" s="12" t="n">
        <v>416500</v>
      </c>
      <c r="D221" s="12" t="n">
        <f aca="false">216000+200500</f>
        <v>416500</v>
      </c>
      <c r="E221" s="13" t="n">
        <f aca="false">C221-D221</f>
        <v>0</v>
      </c>
    </row>
    <row r="222" customFormat="false" ht="15" hidden="false" customHeight="false" outlineLevel="0" collapsed="false">
      <c r="A222" s="35" t="n">
        <v>62</v>
      </c>
      <c r="B222" s="14" t="s">
        <v>179</v>
      </c>
      <c r="C222" s="12" t="n">
        <v>416500</v>
      </c>
      <c r="D222" s="12" t="n">
        <f aca="false">216500+150000+50000</f>
        <v>416500</v>
      </c>
      <c r="E222" s="13" t="n">
        <f aca="false">C222-D222</f>
        <v>0</v>
      </c>
    </row>
    <row r="223" customFormat="false" ht="15" hidden="false" customHeight="false" outlineLevel="0" collapsed="false">
      <c r="A223" s="35" t="n">
        <v>63</v>
      </c>
      <c r="B223" s="14" t="s">
        <v>180</v>
      </c>
      <c r="C223" s="12" t="n">
        <v>416500</v>
      </c>
      <c r="D223" s="12" t="n">
        <f aca="false">216000+200500</f>
        <v>416500</v>
      </c>
      <c r="E223" s="13" t="n">
        <f aca="false">C223-D223</f>
        <v>0</v>
      </c>
    </row>
    <row r="224" customFormat="false" ht="15" hidden="false" customHeight="false" outlineLevel="0" collapsed="false">
      <c r="A224" s="35" t="n">
        <v>64</v>
      </c>
      <c r="B224" s="14" t="s">
        <v>181</v>
      </c>
      <c r="C224" s="12" t="n">
        <v>416500</v>
      </c>
      <c r="D224" s="12" t="n">
        <f aca="false">216500+200000</f>
        <v>416500</v>
      </c>
      <c r="E224" s="13" t="n">
        <f aca="false">C224-D224</f>
        <v>0</v>
      </c>
    </row>
    <row r="225" customFormat="false" ht="15" hidden="false" customHeight="false" outlineLevel="0" collapsed="false">
      <c r="A225" s="35" t="n">
        <v>65</v>
      </c>
      <c r="B225" s="14" t="s">
        <v>182</v>
      </c>
      <c r="C225" s="12" t="n">
        <v>416500</v>
      </c>
      <c r="D225" s="12" t="n">
        <f aca="false">416500</f>
        <v>416500</v>
      </c>
      <c r="E225" s="13" t="n">
        <f aca="false">C225-D225</f>
        <v>0</v>
      </c>
    </row>
    <row r="226" customFormat="false" ht="15" hidden="false" customHeight="false" outlineLevel="0" collapsed="false">
      <c r="A226" s="35" t="n">
        <v>66</v>
      </c>
      <c r="B226" s="36" t="s">
        <v>183</v>
      </c>
      <c r="C226" s="12" t="n">
        <v>416500</v>
      </c>
      <c r="D226" s="37" t="n">
        <f aca="false">216500+200000</f>
        <v>416500</v>
      </c>
      <c r="E226" s="13" t="n">
        <f aca="false">C226-D226</f>
        <v>0</v>
      </c>
    </row>
    <row r="227" customFormat="false" ht="15" hidden="false" customHeight="false" outlineLevel="0" collapsed="false">
      <c r="A227" s="35" t="n">
        <v>67</v>
      </c>
      <c r="B227" s="36" t="s">
        <v>184</v>
      </c>
      <c r="C227" s="12" t="n">
        <v>416500</v>
      </c>
      <c r="D227" s="37" t="n">
        <f aca="false">216500+200000</f>
        <v>416500</v>
      </c>
      <c r="E227" s="13" t="n">
        <f aca="false">C227-D227</f>
        <v>0</v>
      </c>
    </row>
    <row r="228" customFormat="false" ht="15" hidden="false" customHeight="false" outlineLevel="0" collapsed="false">
      <c r="A228" s="35" t="n">
        <v>68</v>
      </c>
      <c r="B228" s="36" t="s">
        <v>185</v>
      </c>
      <c r="C228" s="12" t="n">
        <v>416500</v>
      </c>
      <c r="D228" s="37" t="n">
        <f aca="false">100000+100000</f>
        <v>200000</v>
      </c>
      <c r="E228" s="13" t="n">
        <f aca="false">C228-D228</f>
        <v>216500</v>
      </c>
    </row>
    <row r="229" customFormat="false" ht="15" hidden="false" customHeight="false" outlineLevel="0" collapsed="false">
      <c r="A229" s="35" t="n">
        <v>69</v>
      </c>
      <c r="B229" s="36" t="s">
        <v>186</v>
      </c>
      <c r="C229" s="12" t="n">
        <v>416500</v>
      </c>
      <c r="D229" s="37" t="n">
        <f aca="false">180000+100000+100000+36500</f>
        <v>416500</v>
      </c>
      <c r="E229" s="13" t="n">
        <f aca="false">C229-D229</f>
        <v>0</v>
      </c>
    </row>
    <row r="230" customFormat="false" ht="15" hidden="false" customHeight="false" outlineLevel="0" collapsed="false">
      <c r="A230" s="35" t="n">
        <v>70</v>
      </c>
      <c r="B230" s="14" t="s">
        <v>187</v>
      </c>
      <c r="C230" s="12" t="n">
        <v>416500</v>
      </c>
      <c r="D230" s="37" t="n">
        <f aca="false">216500+200000</f>
        <v>416500</v>
      </c>
      <c r="E230" s="13" t="n">
        <f aca="false">C230-D230</f>
        <v>0</v>
      </c>
    </row>
    <row r="231" customFormat="false" ht="15" hidden="false" customHeight="false" outlineLevel="0" collapsed="false">
      <c r="A231" s="15" t="n">
        <v>71</v>
      </c>
      <c r="B231" s="14" t="s">
        <v>188</v>
      </c>
      <c r="C231" s="12" t="n">
        <v>416500</v>
      </c>
      <c r="D231" s="12" t="n">
        <f aca="false">216500+200000</f>
        <v>416500</v>
      </c>
      <c r="E231" s="13" t="n">
        <f aca="false">C231-D231</f>
        <v>0</v>
      </c>
    </row>
    <row r="232" customFormat="false" ht="15" hidden="false" customHeight="false" outlineLevel="0" collapsed="false">
      <c r="A232" s="15" t="n">
        <v>72</v>
      </c>
      <c r="B232" s="14" t="s">
        <v>189</v>
      </c>
      <c r="C232" s="12" t="n">
        <v>416500</v>
      </c>
      <c r="D232" s="12" t="n">
        <f aca="false">216500+200000</f>
        <v>416500</v>
      </c>
      <c r="E232" s="13" t="n">
        <f aca="false">C232-D232</f>
        <v>0</v>
      </c>
    </row>
    <row r="233" customFormat="false" ht="17.35" hidden="false" customHeight="false" outlineLevel="0" collapsed="false">
      <c r="A233" s="21"/>
      <c r="B233" s="40" t="s">
        <v>30</v>
      </c>
      <c r="C233" s="23" t="n">
        <f aca="false">SUM(C161:C232)</f>
        <v>29988000</v>
      </c>
      <c r="D233" s="24" t="n">
        <f aca="false">SUM(D161:D232)</f>
        <v>27652500</v>
      </c>
      <c r="E233" s="25" t="n">
        <f aca="false">SUM(E161:E232)</f>
        <v>2335500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048576"/>
  <sheetViews>
    <sheetView showFormulas="false" showGridLines="true" showRowColHeaders="true" showZeros="true" rightToLeft="false" tabSelected="false" showOutlineSymbols="true" defaultGridColor="true" view="normal" topLeftCell="A835" colorId="64" zoomScale="100" zoomScaleNormal="100" zoomScalePageLayoutView="100" workbookViewId="0">
      <selection pane="topLeft" activeCell="H865" activeCellId="0" sqref="H86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4.57"/>
    <col collapsed="false" customWidth="true" hidden="false" outlineLevel="0" max="3" min="3" style="0" width="13.71"/>
    <col collapsed="false" customWidth="true" hidden="false" outlineLevel="0" max="4" min="4" style="0" width="14.43"/>
    <col collapsed="false" customWidth="true" hidden="false" outlineLevel="0" max="5" min="5" style="0" width="15.85"/>
    <col collapsed="false" customWidth="true" hidden="false" outlineLevel="0" max="16384" min="16358" style="0" width="11.53"/>
  </cols>
  <sheetData>
    <row r="3" customFormat="false" ht="17.35" hidden="false" customHeight="false" outlineLevel="0" collapsed="false">
      <c r="A3" s="2"/>
      <c r="B3" s="2" t="s">
        <v>0</v>
      </c>
    </row>
    <row r="5" customFormat="false" ht="17.25" hidden="false" customHeight="false" outlineLevel="0" collapsed="false">
      <c r="B5" s="41" t="s">
        <v>190</v>
      </c>
    </row>
    <row r="8" customFormat="false" ht="17.25" hidden="false" customHeight="false" outlineLevel="0" collapsed="false">
      <c r="B8" s="3" t="s">
        <v>191</v>
      </c>
      <c r="D8" s="4" t="s">
        <v>192</v>
      </c>
    </row>
    <row r="10" customFormat="false" ht="15" hidden="false" customHeight="false" outlineLevel="0" collapsed="false">
      <c r="A10" s="5" t="s">
        <v>3</v>
      </c>
      <c r="B10" s="6" t="s">
        <v>4</v>
      </c>
      <c r="C10" s="7" t="s">
        <v>5</v>
      </c>
      <c r="D10" s="8" t="s">
        <v>6</v>
      </c>
      <c r="E10" s="9" t="s">
        <v>7</v>
      </c>
    </row>
    <row r="11" customFormat="false" ht="15" hidden="false" customHeight="false" outlineLevel="0" collapsed="false">
      <c r="A11" s="0" t="n">
        <v>1</v>
      </c>
      <c r="B11" s="14" t="s">
        <v>193</v>
      </c>
      <c r="C11" s="12" t="n">
        <v>416500</v>
      </c>
      <c r="D11" s="12" t="n">
        <f aca="false">150000</f>
        <v>150000</v>
      </c>
      <c r="E11" s="13" t="n">
        <f aca="false">C11-D11</f>
        <v>266500</v>
      </c>
    </row>
    <row r="12" customFormat="false" ht="15" hidden="false" customHeight="false" outlineLevel="0" collapsed="false">
      <c r="A12" s="10" t="n">
        <v>2</v>
      </c>
      <c r="B12" s="14" t="s">
        <v>194</v>
      </c>
      <c r="C12" s="12" t="n">
        <v>416500</v>
      </c>
      <c r="D12" s="12" t="n">
        <f aca="false">100000+100000+216500</f>
        <v>416500</v>
      </c>
      <c r="E12" s="13" t="n">
        <f aca="false">C12-D12</f>
        <v>0</v>
      </c>
    </row>
    <row r="13" customFormat="false" ht="15" hidden="false" customHeight="false" outlineLevel="0" collapsed="false">
      <c r="A13" s="10" t="n">
        <v>3</v>
      </c>
      <c r="B13" s="14" t="s">
        <v>195</v>
      </c>
      <c r="C13" s="12" t="n">
        <v>416500</v>
      </c>
      <c r="D13" s="12" t="n">
        <f aca="false">200000+216500</f>
        <v>416500</v>
      </c>
      <c r="E13" s="13" t="n">
        <f aca="false">C13-D13</f>
        <v>0</v>
      </c>
    </row>
    <row r="14" customFormat="false" ht="15" hidden="false" customHeight="false" outlineLevel="0" collapsed="false">
      <c r="A14" s="10" t="n">
        <v>4</v>
      </c>
      <c r="B14" s="14" t="s">
        <v>196</v>
      </c>
      <c r="C14" s="12" t="n">
        <v>416500</v>
      </c>
      <c r="D14" s="12" t="n">
        <f aca="false">100000+316500</f>
        <v>416500</v>
      </c>
      <c r="E14" s="13" t="n">
        <f aca="false">C14-D14</f>
        <v>0</v>
      </c>
    </row>
    <row r="15" customFormat="false" ht="15" hidden="false" customHeight="false" outlineLevel="0" collapsed="false">
      <c r="A15" s="10" t="n">
        <v>5</v>
      </c>
      <c r="B15" s="14" t="s">
        <v>197</v>
      </c>
      <c r="C15" s="12" t="n">
        <v>416500</v>
      </c>
      <c r="D15" s="12" t="n">
        <f aca="false">3500+100000+120000</f>
        <v>223500</v>
      </c>
      <c r="E15" s="13" t="n">
        <f aca="false">C15-D15</f>
        <v>193000</v>
      </c>
    </row>
    <row r="16" customFormat="false" ht="15" hidden="false" customHeight="false" outlineLevel="0" collapsed="false">
      <c r="A16" s="10" t="n">
        <v>6</v>
      </c>
      <c r="B16" s="14" t="s">
        <v>198</v>
      </c>
      <c r="C16" s="12" t="n">
        <v>416500</v>
      </c>
      <c r="D16" s="12"/>
      <c r="E16" s="13" t="n">
        <f aca="false">C16-D16</f>
        <v>416500</v>
      </c>
    </row>
    <row r="17" customFormat="false" ht="15" hidden="false" customHeight="false" outlineLevel="0" collapsed="false">
      <c r="A17" s="10" t="n">
        <v>7</v>
      </c>
      <c r="B17" s="14" t="s">
        <v>199</v>
      </c>
      <c r="C17" s="12" t="n">
        <v>416500</v>
      </c>
      <c r="D17" s="12" t="n">
        <f aca="false">150000</f>
        <v>150000</v>
      </c>
      <c r="E17" s="13" t="n">
        <f aca="false">C17-D17</f>
        <v>266500</v>
      </c>
    </row>
    <row r="18" customFormat="false" ht="15" hidden="false" customHeight="false" outlineLevel="0" collapsed="false">
      <c r="A18" s="10" t="n">
        <v>8</v>
      </c>
      <c r="B18" s="14" t="s">
        <v>200</v>
      </c>
      <c r="C18" s="12" t="n">
        <v>416500</v>
      </c>
      <c r="D18" s="12" t="n">
        <v>416500</v>
      </c>
      <c r="E18" s="13" t="n">
        <f aca="false">C18-D18</f>
        <v>0</v>
      </c>
    </row>
    <row r="19" customFormat="false" ht="15" hidden="false" customHeight="false" outlineLevel="0" collapsed="false">
      <c r="A19" s="10" t="n">
        <v>9</v>
      </c>
      <c r="B19" s="14" t="s">
        <v>201</v>
      </c>
      <c r="C19" s="12" t="n">
        <v>416500</v>
      </c>
      <c r="D19" s="12" t="n">
        <f aca="false">220500</f>
        <v>220500</v>
      </c>
      <c r="E19" s="13" t="n">
        <f aca="false">C19-D19</f>
        <v>196000</v>
      </c>
    </row>
    <row r="20" customFormat="false" ht="15" hidden="false" customHeight="false" outlineLevel="0" collapsed="false">
      <c r="A20" s="10" t="n">
        <v>10</v>
      </c>
      <c r="B20" s="14" t="s">
        <v>202</v>
      </c>
      <c r="C20" s="12" t="n">
        <v>416500</v>
      </c>
      <c r="D20" s="12" t="n">
        <f aca="false">199500+67000+150000</f>
        <v>416500</v>
      </c>
      <c r="E20" s="13" t="n">
        <f aca="false">C20-D20</f>
        <v>0</v>
      </c>
    </row>
    <row r="21" customFormat="false" ht="15" hidden="false" customHeight="false" outlineLevel="0" collapsed="false">
      <c r="A21" s="10" t="n">
        <v>11</v>
      </c>
      <c r="B21" s="14" t="s">
        <v>203</v>
      </c>
      <c r="C21" s="12" t="n">
        <v>416500</v>
      </c>
      <c r="D21" s="12" t="n">
        <f aca="false">101000+100000+60000</f>
        <v>261000</v>
      </c>
      <c r="E21" s="13" t="n">
        <f aca="false">C21-D21</f>
        <v>155500</v>
      </c>
    </row>
    <row r="22" customFormat="false" ht="15" hidden="false" customHeight="false" outlineLevel="0" collapsed="false">
      <c r="A22" s="10" t="n">
        <v>12</v>
      </c>
      <c r="B22" s="16" t="s">
        <v>204</v>
      </c>
      <c r="C22" s="12" t="s">
        <v>205</v>
      </c>
      <c r="D22" s="12"/>
      <c r="E22" s="13" t="s">
        <v>206</v>
      </c>
    </row>
    <row r="23" customFormat="false" ht="15" hidden="false" customHeight="false" outlineLevel="0" collapsed="false">
      <c r="A23" s="10" t="n">
        <v>13</v>
      </c>
      <c r="B23" s="14" t="s">
        <v>207</v>
      </c>
      <c r="C23" s="12" t="n">
        <v>416500</v>
      </c>
      <c r="D23" s="12" t="n">
        <f aca="false">180000</f>
        <v>180000</v>
      </c>
      <c r="E23" s="13" t="n">
        <f aca="false">C23-D23</f>
        <v>236500</v>
      </c>
    </row>
    <row r="24" customFormat="false" ht="15" hidden="false" customHeight="false" outlineLevel="0" collapsed="false">
      <c r="A24" s="10" t="n">
        <v>14</v>
      </c>
      <c r="B24" s="14" t="s">
        <v>208</v>
      </c>
      <c r="C24" s="12" t="n">
        <v>416500</v>
      </c>
      <c r="D24" s="12"/>
      <c r="E24" s="13" t="n">
        <f aca="false">C24-D24</f>
        <v>416500</v>
      </c>
    </row>
    <row r="25" customFormat="false" ht="15" hidden="false" customHeight="false" outlineLevel="0" collapsed="false">
      <c r="A25" s="10" t="n">
        <v>15</v>
      </c>
      <c r="B25" s="14" t="s">
        <v>209</v>
      </c>
      <c r="C25" s="12" t="n">
        <v>416500</v>
      </c>
      <c r="D25" s="12" t="n">
        <f aca="false">100000</f>
        <v>100000</v>
      </c>
      <c r="E25" s="13" t="n">
        <f aca="false">C25-D25</f>
        <v>316500</v>
      </c>
    </row>
    <row r="26" customFormat="false" ht="17.35" hidden="false" customHeight="false" outlineLevel="0" collapsed="false">
      <c r="A26" s="21"/>
      <c r="B26" s="22" t="s">
        <v>30</v>
      </c>
      <c r="C26" s="23" t="n">
        <f aca="false">SUM(C11:C25)</f>
        <v>5831000</v>
      </c>
      <c r="D26" s="24" t="n">
        <f aca="false">SUM(D11:D25)</f>
        <v>3367500</v>
      </c>
      <c r="E26" s="25" t="n">
        <f aca="false">SUM(E11:E25)</f>
        <v>2463500</v>
      </c>
    </row>
    <row r="31" customFormat="false" ht="17.35" hidden="false" customHeight="false" outlineLevel="0" collapsed="false">
      <c r="A31" s="2"/>
      <c r="B31" s="2" t="s">
        <v>0</v>
      </c>
    </row>
    <row r="33" customFormat="false" ht="17.25" hidden="false" customHeight="false" outlineLevel="0" collapsed="false">
      <c r="B33" s="41" t="s">
        <v>190</v>
      </c>
    </row>
    <row r="36" customFormat="false" ht="17.25" hidden="false" customHeight="false" outlineLevel="0" collapsed="false">
      <c r="B36" s="3" t="s">
        <v>191</v>
      </c>
      <c r="D36" s="4" t="s">
        <v>210</v>
      </c>
    </row>
    <row r="38" customFormat="false" ht="15" hidden="false" customHeight="false" outlineLevel="0" collapsed="false">
      <c r="A38" s="5" t="s">
        <v>3</v>
      </c>
      <c r="B38" s="6" t="s">
        <v>4</v>
      </c>
      <c r="C38" s="7" t="s">
        <v>5</v>
      </c>
      <c r="D38" s="8" t="s">
        <v>6</v>
      </c>
      <c r="E38" s="9" t="s">
        <v>7</v>
      </c>
    </row>
    <row r="39" customFormat="false" ht="15" hidden="false" customHeight="false" outlineLevel="0" collapsed="false">
      <c r="A39" s="0" t="n">
        <v>1</v>
      </c>
      <c r="B39" s="14" t="s">
        <v>211</v>
      </c>
      <c r="C39" s="12" t="n">
        <v>416500</v>
      </c>
      <c r="D39" s="12" t="n">
        <v>416500</v>
      </c>
      <c r="E39" s="13" t="n">
        <f aca="false">C39-D39</f>
        <v>0</v>
      </c>
    </row>
    <row r="40" customFormat="false" ht="15" hidden="false" customHeight="false" outlineLevel="0" collapsed="false">
      <c r="A40" s="10" t="n">
        <v>2</v>
      </c>
      <c r="B40" s="14" t="s">
        <v>212</v>
      </c>
      <c r="C40" s="12" t="n">
        <v>416500</v>
      </c>
      <c r="D40" s="12" t="n">
        <f aca="false">33500+150000</f>
        <v>183500</v>
      </c>
      <c r="E40" s="13" t="n">
        <f aca="false">C40-D40</f>
        <v>233000</v>
      </c>
    </row>
    <row r="41" customFormat="false" ht="15" hidden="false" customHeight="false" outlineLevel="0" collapsed="false">
      <c r="A41" s="10" t="n">
        <v>3</v>
      </c>
      <c r="B41" s="14" t="s">
        <v>213</v>
      </c>
      <c r="C41" s="12" t="n">
        <v>416500</v>
      </c>
      <c r="D41" s="12"/>
      <c r="E41" s="13" t="n">
        <f aca="false">C41-D41</f>
        <v>416500</v>
      </c>
    </row>
    <row r="42" customFormat="false" ht="15" hidden="false" customHeight="false" outlineLevel="0" collapsed="false">
      <c r="A42" s="10" t="n">
        <v>4</v>
      </c>
      <c r="B42" s="14" t="s">
        <v>214</v>
      </c>
      <c r="C42" s="12" t="n">
        <v>416500</v>
      </c>
      <c r="D42" s="12" t="n">
        <v>216500</v>
      </c>
      <c r="E42" s="13" t="n">
        <f aca="false">C42-D42</f>
        <v>200000</v>
      </c>
    </row>
    <row r="43" customFormat="false" ht="15" hidden="false" customHeight="false" outlineLevel="0" collapsed="false">
      <c r="A43" s="10" t="n">
        <v>5</v>
      </c>
      <c r="B43" s="14" t="s">
        <v>215</v>
      </c>
      <c r="C43" s="12" t="n">
        <v>416500</v>
      </c>
      <c r="D43" s="12" t="n">
        <f aca="false">50000</f>
        <v>50000</v>
      </c>
      <c r="E43" s="13" t="n">
        <f aca="false">C43-D43</f>
        <v>366500</v>
      </c>
    </row>
    <row r="44" customFormat="false" ht="15" hidden="false" customHeight="false" outlineLevel="0" collapsed="false">
      <c r="A44" s="10" t="n">
        <v>6</v>
      </c>
      <c r="B44" s="42" t="s">
        <v>216</v>
      </c>
      <c r="C44" s="43" t="n">
        <v>416500</v>
      </c>
      <c r="D44" s="43"/>
      <c r="E44" s="44" t="n">
        <f aca="false">C44-D44</f>
        <v>416500</v>
      </c>
    </row>
    <row r="45" customFormat="false" ht="15" hidden="false" customHeight="false" outlineLevel="0" collapsed="false">
      <c r="A45" s="10" t="n">
        <v>7</v>
      </c>
      <c r="B45" s="42" t="s">
        <v>217</v>
      </c>
      <c r="C45" s="45" t="s">
        <v>40</v>
      </c>
      <c r="D45" s="43"/>
      <c r="E45" s="46" t="s">
        <v>40</v>
      </c>
    </row>
    <row r="46" customFormat="false" ht="15" hidden="false" customHeight="false" outlineLevel="0" collapsed="false">
      <c r="A46" s="10" t="n">
        <v>8</v>
      </c>
      <c r="B46" s="14" t="s">
        <v>218</v>
      </c>
      <c r="C46" s="12" t="n">
        <v>416500</v>
      </c>
      <c r="D46" s="12" t="n">
        <f aca="false">83500</f>
        <v>83500</v>
      </c>
      <c r="E46" s="13" t="n">
        <f aca="false">C46-D46</f>
        <v>333000</v>
      </c>
    </row>
    <row r="47" customFormat="false" ht="15" hidden="false" customHeight="false" outlineLevel="0" collapsed="false">
      <c r="A47" s="10" t="n">
        <v>9</v>
      </c>
      <c r="B47" s="14" t="s">
        <v>219</v>
      </c>
      <c r="C47" s="12" t="n">
        <v>416500</v>
      </c>
      <c r="D47" s="12" t="n">
        <f aca="false">100000+100000</f>
        <v>200000</v>
      </c>
      <c r="E47" s="13" t="n">
        <f aca="false">C47-D47</f>
        <v>216500</v>
      </c>
    </row>
    <row r="48" customFormat="false" ht="15" hidden="false" customHeight="false" outlineLevel="0" collapsed="false">
      <c r="A48" s="10" t="n">
        <v>10</v>
      </c>
      <c r="B48" s="14" t="s">
        <v>220</v>
      </c>
      <c r="C48" s="12" t="n">
        <v>416500</v>
      </c>
      <c r="D48" s="12"/>
      <c r="E48" s="13" t="n">
        <f aca="false">C48-D48</f>
        <v>416500</v>
      </c>
    </row>
    <row r="49" customFormat="false" ht="15" hidden="false" customHeight="false" outlineLevel="0" collapsed="false">
      <c r="A49" s="10" t="n">
        <v>11</v>
      </c>
      <c r="B49" s="14" t="s">
        <v>221</v>
      </c>
      <c r="C49" s="12" t="n">
        <v>416500</v>
      </c>
      <c r="D49" s="12"/>
      <c r="E49" s="13" t="n">
        <f aca="false">C49-D49</f>
        <v>416500</v>
      </c>
    </row>
    <row r="50" customFormat="false" ht="15" hidden="false" customHeight="false" outlineLevel="0" collapsed="false">
      <c r="A50" s="10" t="n">
        <v>12</v>
      </c>
      <c r="B50" s="14" t="s">
        <v>222</v>
      </c>
      <c r="C50" s="12" t="n">
        <v>416500</v>
      </c>
      <c r="D50" s="12"/>
      <c r="E50" s="13" t="n">
        <f aca="false">C50-D50</f>
        <v>416500</v>
      </c>
    </row>
    <row r="51" customFormat="false" ht="15" hidden="false" customHeight="false" outlineLevel="0" collapsed="false">
      <c r="A51" s="10" t="n">
        <v>13</v>
      </c>
      <c r="B51" s="14" t="s">
        <v>223</v>
      </c>
      <c r="C51" s="12" t="n">
        <v>416500</v>
      </c>
      <c r="D51" s="12"/>
      <c r="E51" s="13" t="n">
        <f aca="false">C51-D51</f>
        <v>416500</v>
      </c>
    </row>
    <row r="52" customFormat="false" ht="15" hidden="false" customHeight="false" outlineLevel="0" collapsed="false">
      <c r="A52" s="10" t="n">
        <v>14</v>
      </c>
      <c r="B52" s="14" t="s">
        <v>224</v>
      </c>
      <c r="C52" s="12" t="n">
        <v>416500</v>
      </c>
      <c r="D52" s="12" t="n">
        <v>34000</v>
      </c>
      <c r="E52" s="13" t="n">
        <f aca="false">C52-D52</f>
        <v>382500</v>
      </c>
    </row>
    <row r="53" customFormat="false" ht="15" hidden="false" customHeight="false" outlineLevel="0" collapsed="false">
      <c r="A53" s="10" t="n">
        <v>15</v>
      </c>
      <c r="B53" s="14" t="s">
        <v>225</v>
      </c>
      <c r="C53" s="12" t="n">
        <v>416500</v>
      </c>
      <c r="D53" s="12" t="n">
        <f aca="false">147000+75000</f>
        <v>222000</v>
      </c>
      <c r="E53" s="13" t="n">
        <f aca="false">C53-D53</f>
        <v>194500</v>
      </c>
    </row>
    <row r="54" customFormat="false" ht="17.35" hidden="false" customHeight="false" outlineLevel="0" collapsed="false">
      <c r="A54" s="21"/>
      <c r="B54" s="22" t="s">
        <v>30</v>
      </c>
      <c r="C54" s="23" t="n">
        <f aca="false">SUM(C39:C53)</f>
        <v>5831000</v>
      </c>
      <c r="D54" s="24" t="n">
        <f aca="false">SUM(D39:D53)</f>
        <v>1406000</v>
      </c>
      <c r="E54" s="25" t="n">
        <f aca="false">SUM(E39:E53)</f>
        <v>4425000</v>
      </c>
    </row>
    <row r="55" customFormat="false" ht="17.35" hidden="false" customHeight="false" outlineLevel="0" collapsed="false">
      <c r="B55" s="28"/>
      <c r="C55" s="29"/>
      <c r="D55" s="30"/>
      <c r="E55" s="31"/>
    </row>
    <row r="56" customFormat="false" ht="17.35" hidden="false" customHeight="false" outlineLevel="0" collapsed="false">
      <c r="B56" s="28"/>
      <c r="C56" s="29"/>
      <c r="D56" s="30"/>
      <c r="E56" s="31"/>
    </row>
    <row r="57" customFormat="false" ht="17.35" hidden="false" customHeight="false" outlineLevel="0" collapsed="false">
      <c r="B57" s="28"/>
      <c r="C57" s="29"/>
      <c r="D57" s="30"/>
      <c r="E57" s="31"/>
    </row>
    <row r="58" customFormat="false" ht="17.35" hidden="false" customHeight="false" outlineLevel="0" collapsed="false">
      <c r="A58" s="2"/>
      <c r="B58" s="2" t="s">
        <v>0</v>
      </c>
    </row>
    <row r="59" customFormat="false" ht="17.35" hidden="false" customHeight="false" outlineLevel="0" collapsed="false">
      <c r="B59" s="28"/>
      <c r="C59" s="29"/>
      <c r="D59" s="30"/>
      <c r="E59" s="31"/>
    </row>
    <row r="60" customFormat="false" ht="17.25" hidden="false" customHeight="false" outlineLevel="0" collapsed="false">
      <c r="B60" s="41" t="s">
        <v>190</v>
      </c>
    </row>
    <row r="61" customFormat="false" ht="17.35" hidden="false" customHeight="false" outlineLevel="0" collapsed="false">
      <c r="B61" s="28"/>
      <c r="C61" s="29"/>
      <c r="D61" s="30"/>
      <c r="E61" s="31"/>
    </row>
    <row r="62" customFormat="false" ht="17.35" hidden="false" customHeight="false" outlineLevel="0" collapsed="false">
      <c r="B62" s="47" t="s">
        <v>226</v>
      </c>
    </row>
    <row r="63" customFormat="false" ht="15" hidden="false" customHeight="false" outlineLevel="0" collapsed="false">
      <c r="B63" s="3" t="s">
        <v>227</v>
      </c>
    </row>
    <row r="65" customFormat="false" ht="15" hidden="false" customHeight="false" outlineLevel="0" collapsed="false">
      <c r="A65" s="48" t="s">
        <v>3</v>
      </c>
      <c r="B65" s="49" t="s">
        <v>228</v>
      </c>
      <c r="C65" s="7" t="s">
        <v>5</v>
      </c>
      <c r="D65" s="50" t="s">
        <v>6</v>
      </c>
      <c r="E65" s="9" t="s">
        <v>7</v>
      </c>
    </row>
    <row r="66" customFormat="false" ht="15" hidden="false" customHeight="false" outlineLevel="0" collapsed="false">
      <c r="A66" s="51" t="n">
        <v>1</v>
      </c>
      <c r="B66" s="42" t="s">
        <v>229</v>
      </c>
      <c r="C66" s="43" t="n">
        <v>416500</v>
      </c>
      <c r="D66" s="43"/>
      <c r="E66" s="44" t="n">
        <f aca="false">C66-D66</f>
        <v>416500</v>
      </c>
    </row>
    <row r="67" customFormat="false" ht="15" hidden="false" customHeight="false" outlineLevel="0" collapsed="false">
      <c r="A67" s="51" t="n">
        <v>2</v>
      </c>
      <c r="B67" s="42" t="s">
        <v>230</v>
      </c>
      <c r="C67" s="43" t="n">
        <v>416500</v>
      </c>
      <c r="D67" s="43" t="n">
        <f aca="false">202000</f>
        <v>202000</v>
      </c>
      <c r="E67" s="44" t="n">
        <f aca="false">C67-D67</f>
        <v>214500</v>
      </c>
    </row>
    <row r="68" customFormat="false" ht="15" hidden="false" customHeight="false" outlineLevel="0" collapsed="false">
      <c r="A68" s="52" t="n">
        <v>3</v>
      </c>
      <c r="B68" s="42" t="s">
        <v>231</v>
      </c>
      <c r="C68" s="43" t="n">
        <v>416500</v>
      </c>
      <c r="D68" s="43"/>
      <c r="E68" s="44" t="n">
        <f aca="false">C68-D68</f>
        <v>416500</v>
      </c>
    </row>
    <row r="69" customFormat="false" ht="15" hidden="false" customHeight="false" outlineLevel="0" collapsed="false">
      <c r="A69" s="51" t="n">
        <v>4</v>
      </c>
      <c r="B69" s="42" t="s">
        <v>232</v>
      </c>
      <c r="C69" s="43" t="n">
        <v>416500</v>
      </c>
      <c r="D69" s="43" t="n">
        <f aca="false">316500</f>
        <v>316500</v>
      </c>
      <c r="E69" s="44" t="n">
        <f aca="false">C69-D69</f>
        <v>100000</v>
      </c>
    </row>
    <row r="70" customFormat="false" ht="15" hidden="false" customHeight="false" outlineLevel="0" collapsed="false">
      <c r="A70" s="51" t="n">
        <v>5</v>
      </c>
      <c r="B70" s="53" t="s">
        <v>233</v>
      </c>
      <c r="C70" s="43" t="n">
        <v>416500</v>
      </c>
      <c r="D70" s="43"/>
      <c r="E70" s="44" t="n">
        <f aca="false">C70-D70</f>
        <v>416500</v>
      </c>
    </row>
    <row r="71" customFormat="false" ht="15" hidden="false" customHeight="false" outlineLevel="0" collapsed="false">
      <c r="A71" s="51" t="n">
        <v>6</v>
      </c>
      <c r="B71" s="42" t="s">
        <v>234</v>
      </c>
      <c r="C71" s="43" t="n">
        <v>416500</v>
      </c>
      <c r="D71" s="43" t="n">
        <f aca="false">200000</f>
        <v>200000</v>
      </c>
      <c r="E71" s="44" t="n">
        <f aca="false">C71-D71</f>
        <v>216500</v>
      </c>
    </row>
    <row r="72" customFormat="false" ht="15" hidden="false" customHeight="false" outlineLevel="0" collapsed="false">
      <c r="A72" s="51" t="n">
        <v>7</v>
      </c>
      <c r="B72" s="42" t="s">
        <v>235</v>
      </c>
      <c r="C72" s="43" t="n">
        <v>416500</v>
      </c>
      <c r="D72" s="43" t="n">
        <f aca="false">49500+26000+100000+51000+30000+160000</f>
        <v>416500</v>
      </c>
      <c r="E72" s="44" t="n">
        <f aca="false">C72-D72</f>
        <v>0</v>
      </c>
    </row>
    <row r="73" customFormat="false" ht="15" hidden="false" customHeight="false" outlineLevel="0" collapsed="false">
      <c r="A73" s="51" t="n">
        <v>8</v>
      </c>
      <c r="B73" s="42" t="s">
        <v>236</v>
      </c>
      <c r="C73" s="43" t="n">
        <v>416500</v>
      </c>
      <c r="D73" s="43" t="n">
        <f aca="false">100000+316500</f>
        <v>416500</v>
      </c>
      <c r="E73" s="44" t="n">
        <f aca="false">C73-D73</f>
        <v>0</v>
      </c>
    </row>
    <row r="74" customFormat="false" ht="15" hidden="false" customHeight="false" outlineLevel="0" collapsed="false">
      <c r="A74" s="51" t="n">
        <v>9</v>
      </c>
      <c r="B74" s="42" t="s">
        <v>237</v>
      </c>
      <c r="C74" s="43" t="n">
        <v>416500</v>
      </c>
      <c r="D74" s="43"/>
      <c r="E74" s="44" t="n">
        <f aca="false">C74-D74</f>
        <v>416500</v>
      </c>
    </row>
    <row r="75" customFormat="false" ht="15" hidden="false" customHeight="false" outlineLevel="0" collapsed="false">
      <c r="A75" s="51" t="n">
        <v>10</v>
      </c>
      <c r="B75" s="42" t="s">
        <v>238</v>
      </c>
      <c r="C75" s="43" t="n">
        <v>416500</v>
      </c>
      <c r="D75" s="43" t="n">
        <f aca="false">200000</f>
        <v>200000</v>
      </c>
      <c r="E75" s="44" t="n">
        <f aca="false">C75-D75</f>
        <v>216500</v>
      </c>
    </row>
    <row r="76" customFormat="false" ht="15" hidden="false" customHeight="false" outlineLevel="0" collapsed="false">
      <c r="A76" s="51" t="n">
        <v>11</v>
      </c>
      <c r="B76" s="42" t="s">
        <v>239</v>
      </c>
      <c r="C76" s="43" t="n">
        <v>416500</v>
      </c>
      <c r="D76" s="43"/>
      <c r="E76" s="44" t="n">
        <f aca="false">C76-D76</f>
        <v>416500</v>
      </c>
    </row>
    <row r="77" customFormat="false" ht="15" hidden="false" customHeight="false" outlineLevel="0" collapsed="false">
      <c r="A77" s="51" t="n">
        <v>12</v>
      </c>
      <c r="B77" s="42" t="s">
        <v>240</v>
      </c>
      <c r="C77" s="43" t="n">
        <v>416500</v>
      </c>
      <c r="D77" s="43"/>
      <c r="E77" s="44" t="n">
        <f aca="false">C77-D77</f>
        <v>416500</v>
      </c>
    </row>
    <row r="78" customFormat="false" ht="15" hidden="false" customHeight="false" outlineLevel="0" collapsed="false">
      <c r="A78" s="51" t="n">
        <v>13</v>
      </c>
      <c r="B78" s="42" t="s">
        <v>241</v>
      </c>
      <c r="C78" s="43" t="n">
        <v>416500</v>
      </c>
      <c r="D78" s="43" t="n">
        <f aca="false">100000</f>
        <v>100000</v>
      </c>
      <c r="E78" s="44" t="n">
        <f aca="false">C78-D78</f>
        <v>316500</v>
      </c>
    </row>
    <row r="79" customFormat="false" ht="15" hidden="false" customHeight="false" outlineLevel="0" collapsed="false">
      <c r="A79" s="51" t="n">
        <v>14</v>
      </c>
      <c r="B79" s="42" t="s">
        <v>242</v>
      </c>
      <c r="C79" s="43" t="n">
        <v>416500</v>
      </c>
      <c r="D79" s="43" t="n">
        <f aca="false">210000+206500</f>
        <v>416500</v>
      </c>
      <c r="E79" s="44" t="n">
        <f aca="false">C79-D79</f>
        <v>0</v>
      </c>
    </row>
    <row r="80" customFormat="false" ht="15" hidden="false" customHeight="false" outlineLevel="0" collapsed="false">
      <c r="A80" s="51" t="n">
        <v>15</v>
      </c>
      <c r="B80" s="42" t="s">
        <v>243</v>
      </c>
      <c r="C80" s="43" t="n">
        <v>416500</v>
      </c>
      <c r="D80" s="43"/>
      <c r="E80" s="44" t="n">
        <f aca="false">C80-D80</f>
        <v>416500</v>
      </c>
    </row>
    <row r="81" customFormat="false" ht="15" hidden="false" customHeight="false" outlineLevel="0" collapsed="false">
      <c r="A81" s="51" t="n">
        <v>16</v>
      </c>
      <c r="B81" s="42" t="s">
        <v>244</v>
      </c>
      <c r="C81" s="43" t="n">
        <v>416500</v>
      </c>
      <c r="D81" s="43" t="n">
        <f aca="false">15500+200000+201000</f>
        <v>416500</v>
      </c>
      <c r="E81" s="44" t="n">
        <f aca="false">C81-D81</f>
        <v>0</v>
      </c>
    </row>
    <row r="82" customFormat="false" ht="15" hidden="false" customHeight="false" outlineLevel="0" collapsed="false">
      <c r="A82" s="51" t="n">
        <v>17</v>
      </c>
      <c r="B82" s="42" t="s">
        <v>245</v>
      </c>
      <c r="C82" s="43" t="n">
        <v>416500</v>
      </c>
      <c r="D82" s="43"/>
      <c r="E82" s="44" t="n">
        <f aca="false">C82-D82</f>
        <v>416500</v>
      </c>
    </row>
    <row r="83" customFormat="false" ht="15" hidden="false" customHeight="false" outlineLevel="0" collapsed="false">
      <c r="A83" s="51" t="n">
        <v>18</v>
      </c>
      <c r="B83" s="42" t="s">
        <v>246</v>
      </c>
      <c r="C83" s="43" t="n">
        <v>416500</v>
      </c>
      <c r="D83" s="43"/>
      <c r="E83" s="44" t="n">
        <f aca="false">C83-D83</f>
        <v>416500</v>
      </c>
    </row>
    <row r="84" customFormat="false" ht="15" hidden="false" customHeight="false" outlineLevel="0" collapsed="false">
      <c r="A84" s="51" t="n">
        <v>19</v>
      </c>
      <c r="B84" s="42" t="s">
        <v>247</v>
      </c>
      <c r="C84" s="43" t="n">
        <v>416500</v>
      </c>
      <c r="D84" s="43"/>
      <c r="E84" s="44" t="n">
        <f aca="false">C84-D84</f>
        <v>416500</v>
      </c>
    </row>
    <row r="85" customFormat="false" ht="15" hidden="false" customHeight="false" outlineLevel="0" collapsed="false">
      <c r="A85" s="51" t="n">
        <v>20</v>
      </c>
      <c r="B85" s="53" t="s">
        <v>248</v>
      </c>
      <c r="C85" s="43" t="n">
        <v>416500</v>
      </c>
      <c r="D85" s="43" t="n">
        <f aca="false">150000+216500+50000</f>
        <v>416500</v>
      </c>
      <c r="E85" s="44" t="n">
        <f aca="false">C85-D85</f>
        <v>0</v>
      </c>
    </row>
    <row r="86" customFormat="false" ht="15" hidden="false" customHeight="false" outlineLevel="0" collapsed="false">
      <c r="A86" s="51" t="n">
        <v>21</v>
      </c>
      <c r="B86" s="54" t="s">
        <v>249</v>
      </c>
      <c r="C86" s="43" t="n">
        <v>416500</v>
      </c>
      <c r="D86" s="43" t="n">
        <f aca="false">266500</f>
        <v>266500</v>
      </c>
      <c r="E86" s="44" t="n">
        <f aca="false">C86-D86</f>
        <v>150000</v>
      </c>
    </row>
    <row r="87" customFormat="false" ht="15" hidden="false" customHeight="false" outlineLevel="0" collapsed="false">
      <c r="A87" s="51" t="n">
        <v>22</v>
      </c>
      <c r="B87" s="42" t="s">
        <v>250</v>
      </c>
      <c r="C87" s="43" t="n">
        <v>416500</v>
      </c>
      <c r="D87" s="43"/>
      <c r="E87" s="44" t="n">
        <f aca="false">C87-D87</f>
        <v>416500</v>
      </c>
    </row>
    <row r="88" customFormat="false" ht="15" hidden="false" customHeight="false" outlineLevel="0" collapsed="false">
      <c r="A88" s="51" t="n">
        <v>23</v>
      </c>
      <c r="B88" s="55" t="s">
        <v>251</v>
      </c>
      <c r="C88" s="56" t="n">
        <v>416500</v>
      </c>
      <c r="D88" s="56" t="n">
        <f aca="false">266500</f>
        <v>266500</v>
      </c>
      <c r="E88" s="57" t="n">
        <f aca="false">C88-D88</f>
        <v>150000</v>
      </c>
    </row>
    <row r="89" customFormat="false" ht="15" hidden="false" customHeight="false" outlineLevel="0" collapsed="false">
      <c r="A89" s="51" t="n">
        <v>24</v>
      </c>
      <c r="B89" s="42" t="s">
        <v>252</v>
      </c>
      <c r="C89" s="43" t="n">
        <v>416500</v>
      </c>
      <c r="D89" s="43" t="n">
        <f aca="false">326500+100000</f>
        <v>426500</v>
      </c>
      <c r="E89" s="44" t="n">
        <f aca="false">C89-D89</f>
        <v>-10000</v>
      </c>
    </row>
    <row r="90" customFormat="false" ht="17.35" hidden="false" customHeight="false" outlineLevel="0" collapsed="false">
      <c r="A90" s="58"/>
      <c r="B90" s="59" t="s">
        <v>30</v>
      </c>
      <c r="C90" s="60" t="n">
        <f aca="false">SUM(C66:C89)</f>
        <v>9996000</v>
      </c>
      <c r="D90" s="61" t="n">
        <f aca="false">SUM(D66:D89)</f>
        <v>4060500</v>
      </c>
      <c r="E90" s="62" t="n">
        <f aca="false">SUM(E66:E89)</f>
        <v>5935500</v>
      </c>
    </row>
    <row r="91" customFormat="false" ht="17.35" hidden="false" customHeight="false" outlineLevel="0" collapsed="false">
      <c r="A91" s="52"/>
      <c r="B91" s="28"/>
      <c r="C91" s="29"/>
      <c r="D91" s="29"/>
      <c r="E91" s="31"/>
    </row>
    <row r="92" customFormat="false" ht="17.35" hidden="false" customHeight="false" outlineLevel="0" collapsed="false">
      <c r="A92" s="52"/>
      <c r="B92" s="28"/>
      <c r="C92" s="29"/>
      <c r="D92" s="29"/>
      <c r="E92" s="31"/>
    </row>
    <row r="93" customFormat="false" ht="17.35" hidden="false" customHeight="false" outlineLevel="0" collapsed="false">
      <c r="A93" s="1"/>
      <c r="B93" s="2" t="s">
        <v>0</v>
      </c>
    </row>
    <row r="94" customFormat="false" ht="15" hidden="false" customHeight="false" outlineLevel="0" collapsed="false">
      <c r="A94" s="1"/>
      <c r="B94" s="1"/>
      <c r="C94" s="1"/>
      <c r="D94" s="1"/>
      <c r="E94" s="1"/>
    </row>
    <row r="95" customFormat="false" ht="15" hidden="false" customHeight="false" outlineLevel="0" collapsed="false">
      <c r="A95" s="1"/>
      <c r="B95" s="1"/>
      <c r="C95" s="1"/>
      <c r="D95" s="1"/>
      <c r="E95" s="1"/>
    </row>
    <row r="96" customFormat="false" ht="15" hidden="false" customHeight="false" outlineLevel="0" collapsed="false">
      <c r="A96" s="1"/>
    </row>
    <row r="97" customFormat="false" ht="17.25" hidden="false" customHeight="false" outlineLevel="0" collapsed="false">
      <c r="A97" s="1"/>
      <c r="B97" s="3" t="s">
        <v>1</v>
      </c>
      <c r="D97" s="4" t="s">
        <v>192</v>
      </c>
    </row>
    <row r="98" customFormat="false" ht="15" hidden="false" customHeight="false" outlineLevel="0" collapsed="false">
      <c r="A98" s="1"/>
    </row>
    <row r="99" customFormat="false" ht="15" hidden="false" customHeight="false" outlineLevel="0" collapsed="false">
      <c r="A99" s="5" t="s">
        <v>3</v>
      </c>
      <c r="B99" s="6" t="s">
        <v>4</v>
      </c>
      <c r="C99" s="7" t="s">
        <v>5</v>
      </c>
      <c r="D99" s="8" t="s">
        <v>6</v>
      </c>
      <c r="E99" s="9" t="s">
        <v>7</v>
      </c>
    </row>
    <row r="100" customFormat="false" ht="15" hidden="false" customHeight="false" outlineLevel="0" collapsed="false">
      <c r="A100" s="26" t="n">
        <v>1</v>
      </c>
      <c r="B100" s="11" t="s">
        <v>253</v>
      </c>
      <c r="C100" s="12" t="n">
        <v>416500</v>
      </c>
      <c r="D100" s="12" t="n">
        <f aca="false">215000+200000</f>
        <v>415000</v>
      </c>
      <c r="E100" s="13" t="n">
        <f aca="false">C100-D100</f>
        <v>1500</v>
      </c>
    </row>
    <row r="101" customFormat="false" ht="15" hidden="false" customHeight="false" outlineLevel="0" collapsed="false">
      <c r="A101" s="10" t="n">
        <v>2</v>
      </c>
      <c r="B101" s="14" t="s">
        <v>254</v>
      </c>
      <c r="C101" s="12" t="n">
        <v>416500</v>
      </c>
      <c r="D101" s="12" t="n">
        <f aca="false">216500+200000</f>
        <v>416500</v>
      </c>
      <c r="E101" s="13" t="n">
        <f aca="false">C101-D101</f>
        <v>0</v>
      </c>
    </row>
    <row r="102" customFormat="false" ht="15" hidden="false" customHeight="false" outlineLevel="0" collapsed="false">
      <c r="A102" s="26" t="n">
        <v>3</v>
      </c>
      <c r="B102" s="14" t="s">
        <v>255</v>
      </c>
      <c r="C102" s="12" t="n">
        <v>416500</v>
      </c>
      <c r="D102" s="12" t="n">
        <f aca="false">9000+170000+230000+7500</f>
        <v>416500</v>
      </c>
      <c r="E102" s="13" t="n">
        <f aca="false">C102-D102</f>
        <v>0</v>
      </c>
    </row>
    <row r="103" customFormat="false" ht="15" hidden="false" customHeight="false" outlineLevel="0" collapsed="false">
      <c r="A103" s="0" t="n">
        <v>4</v>
      </c>
      <c r="B103" s="14" t="s">
        <v>256</v>
      </c>
      <c r="C103" s="12" t="n">
        <v>416500</v>
      </c>
      <c r="D103" s="12" t="n">
        <f aca="false">79500+137000+100000+50000+30000+20000</f>
        <v>416500</v>
      </c>
      <c r="E103" s="13" t="n">
        <f aca="false">C103-D103</f>
        <v>0</v>
      </c>
    </row>
    <row r="104" customFormat="false" ht="15" hidden="false" customHeight="false" outlineLevel="0" collapsed="false">
      <c r="A104" s="26" t="n">
        <v>5</v>
      </c>
      <c r="B104" s="14" t="s">
        <v>257</v>
      </c>
      <c r="C104" s="12" t="n">
        <v>416500</v>
      </c>
      <c r="D104" s="12" t="n">
        <f aca="false">100000+200000</f>
        <v>300000</v>
      </c>
      <c r="E104" s="13" t="n">
        <f aca="false">C104-D104</f>
        <v>116500</v>
      </c>
    </row>
    <row r="105" customFormat="false" ht="15" hidden="false" customHeight="false" outlineLevel="0" collapsed="false">
      <c r="A105" s="10" t="n">
        <v>6</v>
      </c>
      <c r="B105" s="14" t="s">
        <v>258</v>
      </c>
      <c r="C105" s="12" t="n">
        <v>416500</v>
      </c>
      <c r="D105" s="12" t="n">
        <f aca="false">200000+216500</f>
        <v>416500</v>
      </c>
      <c r="E105" s="13" t="n">
        <f aca="false">C105-D105</f>
        <v>0</v>
      </c>
    </row>
    <row r="106" customFormat="false" ht="15" hidden="false" customHeight="false" outlineLevel="0" collapsed="false">
      <c r="A106" s="26" t="n">
        <v>7</v>
      </c>
      <c r="B106" s="14" t="s">
        <v>259</v>
      </c>
      <c r="C106" s="12" t="n">
        <v>416500</v>
      </c>
      <c r="D106" s="12" t="n">
        <f aca="false">100000+50000+269950</f>
        <v>419950</v>
      </c>
      <c r="E106" s="13" t="n">
        <f aca="false">C106-D106</f>
        <v>-3450</v>
      </c>
    </row>
    <row r="107" customFormat="false" ht="15" hidden="false" customHeight="false" outlineLevel="0" collapsed="false">
      <c r="A107" s="10" t="n">
        <v>1</v>
      </c>
      <c r="B107" s="14" t="s">
        <v>260</v>
      </c>
      <c r="C107" s="12" t="n">
        <v>416500</v>
      </c>
      <c r="D107" s="12" t="n">
        <f aca="false">59500+160000</f>
        <v>219500</v>
      </c>
      <c r="E107" s="13" t="n">
        <f aca="false">C107-D107</f>
        <v>197000</v>
      </c>
    </row>
    <row r="108" customFormat="false" ht="15" hidden="false" customHeight="false" outlineLevel="0" collapsed="false">
      <c r="A108" s="26" t="n">
        <v>2</v>
      </c>
      <c r="B108" s="14" t="s">
        <v>261</v>
      </c>
      <c r="C108" s="12" t="n">
        <v>416500</v>
      </c>
      <c r="D108" s="12" t="n">
        <f aca="false">200000+216000</f>
        <v>416000</v>
      </c>
      <c r="E108" s="13" t="n">
        <f aca="false">C108-D108</f>
        <v>500</v>
      </c>
    </row>
    <row r="109" customFormat="false" ht="15" hidden="false" customHeight="false" outlineLevel="0" collapsed="false">
      <c r="A109" s="10" t="n">
        <v>3</v>
      </c>
      <c r="B109" s="14" t="s">
        <v>262</v>
      </c>
      <c r="C109" s="12" t="n">
        <v>416500</v>
      </c>
      <c r="D109" s="12" t="n">
        <f aca="false">150000+117000</f>
        <v>267000</v>
      </c>
      <c r="E109" s="13" t="n">
        <f aca="false">C109-D109</f>
        <v>149500</v>
      </c>
    </row>
    <row r="110" customFormat="false" ht="15" hidden="false" customHeight="false" outlineLevel="0" collapsed="false">
      <c r="A110" s="10" t="n">
        <v>4</v>
      </c>
      <c r="B110" s="14" t="s">
        <v>263</v>
      </c>
      <c r="C110" s="12" t="n">
        <v>416500</v>
      </c>
      <c r="D110" s="12" t="n">
        <f aca="false">69500+131000+200000+20000</f>
        <v>420500</v>
      </c>
      <c r="E110" s="13" t="n">
        <f aca="false">C110-D110</f>
        <v>-4000</v>
      </c>
    </row>
    <row r="111" customFormat="false" ht="15" hidden="false" customHeight="false" outlineLevel="0" collapsed="false">
      <c r="A111" s="10" t="n">
        <v>5</v>
      </c>
      <c r="B111" s="14" t="s">
        <v>264</v>
      </c>
      <c r="C111" s="12" t="n">
        <v>416500</v>
      </c>
      <c r="D111" s="12" t="n">
        <f aca="false">200000+150000+66500</f>
        <v>416500</v>
      </c>
      <c r="E111" s="13" t="n">
        <f aca="false">C111-D111</f>
        <v>0</v>
      </c>
    </row>
    <row r="112" customFormat="false" ht="15" hidden="false" customHeight="false" outlineLevel="0" collapsed="false">
      <c r="A112" s="10" t="n">
        <v>6</v>
      </c>
      <c r="B112" s="14" t="s">
        <v>265</v>
      </c>
      <c r="C112" s="12" t="n">
        <v>416500</v>
      </c>
      <c r="D112" s="12"/>
      <c r="E112" s="13" t="n">
        <f aca="false">C112-D112</f>
        <v>416500</v>
      </c>
    </row>
    <row r="113" customFormat="false" ht="15" hidden="false" customHeight="false" outlineLevel="0" collapsed="false">
      <c r="A113" s="10" t="n">
        <v>7</v>
      </c>
      <c r="B113" s="14" t="s">
        <v>266</v>
      </c>
      <c r="C113" s="12" t="n">
        <v>416500</v>
      </c>
      <c r="D113" s="12" t="n">
        <f aca="false">216500</f>
        <v>216500</v>
      </c>
      <c r="E113" s="13" t="n">
        <f aca="false">C113-D113</f>
        <v>200000</v>
      </c>
    </row>
    <row r="114" customFormat="false" ht="15" hidden="false" customHeight="false" outlineLevel="0" collapsed="false">
      <c r="A114" s="10" t="n">
        <v>8</v>
      </c>
      <c r="B114" s="14" t="s">
        <v>267</v>
      </c>
      <c r="C114" s="12" t="n">
        <v>416500</v>
      </c>
      <c r="D114" s="12"/>
      <c r="E114" s="13" t="n">
        <f aca="false">C114-D114</f>
        <v>416500</v>
      </c>
    </row>
    <row r="115" customFormat="false" ht="15" hidden="false" customHeight="false" outlineLevel="0" collapsed="false">
      <c r="A115" s="10" t="n">
        <v>9</v>
      </c>
      <c r="B115" s="14" t="s">
        <v>268</v>
      </c>
      <c r="C115" s="12" t="n">
        <v>416500</v>
      </c>
      <c r="D115" s="12" t="n">
        <f aca="false">216500</f>
        <v>216500</v>
      </c>
      <c r="E115" s="13" t="n">
        <f aca="false">C115-D115</f>
        <v>200000</v>
      </c>
    </row>
    <row r="116" customFormat="false" ht="15" hidden="false" customHeight="false" outlineLevel="0" collapsed="false">
      <c r="A116" s="10" t="n">
        <v>10</v>
      </c>
      <c r="B116" s="14" t="s">
        <v>269</v>
      </c>
      <c r="C116" s="12" t="n">
        <v>416500</v>
      </c>
      <c r="D116" s="12" t="n">
        <f aca="false">396000</f>
        <v>396000</v>
      </c>
      <c r="E116" s="13" t="n">
        <f aca="false">C116-D116</f>
        <v>20500</v>
      </c>
    </row>
    <row r="117" customFormat="false" ht="15" hidden="false" customHeight="false" outlineLevel="0" collapsed="false">
      <c r="A117" s="10" t="n">
        <v>11</v>
      </c>
      <c r="B117" s="14" t="s">
        <v>270</v>
      </c>
      <c r="C117" s="12" t="n">
        <v>416500</v>
      </c>
      <c r="D117" s="12" t="n">
        <f aca="false">117500+100000</f>
        <v>217500</v>
      </c>
      <c r="E117" s="13" t="n">
        <f aca="false">C117-D117</f>
        <v>199000</v>
      </c>
    </row>
    <row r="118" customFormat="false" ht="15" hidden="false" customHeight="false" outlineLevel="0" collapsed="false">
      <c r="A118" s="10" t="n">
        <v>12</v>
      </c>
      <c r="B118" s="14" t="s">
        <v>271</v>
      </c>
      <c r="C118" s="12" t="n">
        <v>416500</v>
      </c>
      <c r="D118" s="12" t="n">
        <f aca="false">200000</f>
        <v>200000</v>
      </c>
      <c r="E118" s="13" t="n">
        <f aca="false">C118-D118</f>
        <v>216500</v>
      </c>
    </row>
    <row r="119" customFormat="false" ht="15" hidden="false" customHeight="false" outlineLevel="0" collapsed="false">
      <c r="A119" s="10" t="n">
        <v>13</v>
      </c>
      <c r="B119" s="14" t="s">
        <v>272</v>
      </c>
      <c r="C119" s="12" t="n">
        <v>416500</v>
      </c>
      <c r="D119" s="12" t="n">
        <f aca="false">59500+45000+100000</f>
        <v>204500</v>
      </c>
      <c r="E119" s="13" t="n">
        <f aca="false">C119-D119</f>
        <v>212000</v>
      </c>
    </row>
    <row r="120" customFormat="false" ht="15" hidden="false" customHeight="false" outlineLevel="0" collapsed="false">
      <c r="A120" s="10" t="n">
        <v>14</v>
      </c>
      <c r="B120" s="14" t="s">
        <v>273</v>
      </c>
      <c r="C120" s="12" t="n">
        <v>416500</v>
      </c>
      <c r="D120" s="12" t="n">
        <f aca="false">200000+200000</f>
        <v>400000</v>
      </c>
      <c r="E120" s="13" t="n">
        <f aca="false">C120-D120</f>
        <v>16500</v>
      </c>
    </row>
    <row r="121" customFormat="false" ht="15" hidden="false" customHeight="false" outlineLevel="0" collapsed="false">
      <c r="A121" s="10" t="n">
        <v>15</v>
      </c>
      <c r="B121" s="14" t="s">
        <v>274</v>
      </c>
      <c r="C121" s="12" t="n">
        <v>416500</v>
      </c>
      <c r="D121" s="12"/>
      <c r="E121" s="13" t="n">
        <f aca="false">C121-D121</f>
        <v>416500</v>
      </c>
    </row>
    <row r="122" customFormat="false" ht="15" hidden="false" customHeight="false" outlineLevel="0" collapsed="false">
      <c r="A122" s="10" t="n">
        <v>16</v>
      </c>
      <c r="B122" s="14" t="s">
        <v>275</v>
      </c>
      <c r="C122" s="12" t="n">
        <v>416500</v>
      </c>
      <c r="D122" s="12" t="n">
        <f aca="false">53000+150000</f>
        <v>203000</v>
      </c>
      <c r="E122" s="13" t="n">
        <f aca="false">C122-D122</f>
        <v>213500</v>
      </c>
    </row>
    <row r="123" customFormat="false" ht="15" hidden="false" customHeight="false" outlineLevel="0" collapsed="false">
      <c r="A123" s="10" t="n">
        <v>17</v>
      </c>
      <c r="B123" s="14" t="s">
        <v>276</v>
      </c>
      <c r="C123" s="12" t="n">
        <v>416500</v>
      </c>
      <c r="D123" s="12" t="n">
        <f aca="false">160000+100000+106500+50000</f>
        <v>416500</v>
      </c>
      <c r="E123" s="13" t="n">
        <f aca="false">C123-D123</f>
        <v>0</v>
      </c>
    </row>
    <row r="124" customFormat="false" ht="15" hidden="false" customHeight="false" outlineLevel="0" collapsed="false">
      <c r="A124" s="10" t="n">
        <v>18</v>
      </c>
      <c r="B124" s="14" t="s">
        <v>277</v>
      </c>
      <c r="C124" s="12" t="n">
        <v>416500</v>
      </c>
      <c r="D124" s="12" t="n">
        <f aca="false">216500+200000</f>
        <v>416500</v>
      </c>
      <c r="E124" s="13" t="n">
        <f aca="false">C124-D124</f>
        <v>0</v>
      </c>
    </row>
    <row r="125" customFormat="false" ht="15" hidden="false" customHeight="false" outlineLevel="0" collapsed="false">
      <c r="A125" s="10" t="n">
        <v>19</v>
      </c>
      <c r="B125" s="14" t="s">
        <v>278</v>
      </c>
      <c r="C125" s="12" t="n">
        <v>416500</v>
      </c>
      <c r="D125" s="12" t="n">
        <f aca="false">200000+216500</f>
        <v>416500</v>
      </c>
      <c r="E125" s="13" t="n">
        <f aca="false">C125-D125</f>
        <v>0</v>
      </c>
    </row>
    <row r="126" customFormat="false" ht="15" hidden="false" customHeight="false" outlineLevel="0" collapsed="false">
      <c r="A126" s="10" t="n">
        <v>20</v>
      </c>
      <c r="B126" s="14" t="s">
        <v>279</v>
      </c>
      <c r="C126" s="12" t="n">
        <v>416500</v>
      </c>
      <c r="D126" s="12" t="n">
        <f aca="false">99500</f>
        <v>99500</v>
      </c>
      <c r="E126" s="13" t="n">
        <f aca="false">C126-D126</f>
        <v>317000</v>
      </c>
    </row>
    <row r="127" customFormat="false" ht="15" hidden="false" customHeight="false" outlineLevel="0" collapsed="false">
      <c r="A127" s="10" t="n">
        <v>21</v>
      </c>
      <c r="B127" s="14" t="s">
        <v>280</v>
      </c>
      <c r="C127" s="12" t="n">
        <v>416500</v>
      </c>
      <c r="D127" s="12" t="n">
        <f aca="false">200000</f>
        <v>200000</v>
      </c>
      <c r="E127" s="13" t="n">
        <f aca="false">C127-D127</f>
        <v>216500</v>
      </c>
    </row>
    <row r="128" customFormat="false" ht="15" hidden="false" customHeight="false" outlineLevel="0" collapsed="false">
      <c r="A128" s="10" t="n">
        <v>22</v>
      </c>
      <c r="B128" s="14" t="s">
        <v>281</v>
      </c>
      <c r="C128" s="12" t="n">
        <v>416500</v>
      </c>
      <c r="D128" s="12" t="n">
        <f aca="false">298500+50000</f>
        <v>348500</v>
      </c>
      <c r="E128" s="13" t="n">
        <f aca="false">C128-D128</f>
        <v>68000</v>
      </c>
    </row>
    <row r="129" customFormat="false" ht="15" hidden="false" customHeight="false" outlineLevel="0" collapsed="false">
      <c r="A129" s="10" t="n">
        <v>23</v>
      </c>
      <c r="B129" s="14" t="s">
        <v>282</v>
      </c>
      <c r="C129" s="12" t="n">
        <v>416500</v>
      </c>
      <c r="D129" s="12" t="n">
        <f aca="false">216500+200000</f>
        <v>416500</v>
      </c>
      <c r="E129" s="13" t="n">
        <f aca="false">C129-D129</f>
        <v>0</v>
      </c>
    </row>
    <row r="130" customFormat="false" ht="15" hidden="false" customHeight="false" outlineLevel="0" collapsed="false">
      <c r="A130" s="10" t="n">
        <v>24</v>
      </c>
      <c r="B130" s="14" t="s">
        <v>283</v>
      </c>
      <c r="C130" s="12" t="n">
        <v>416500</v>
      </c>
      <c r="D130" s="12" t="n">
        <f aca="false">100000+305000+11500</f>
        <v>416500</v>
      </c>
      <c r="E130" s="13" t="n">
        <f aca="false">C130-D130</f>
        <v>0</v>
      </c>
    </row>
    <row r="131" customFormat="false" ht="15" hidden="false" customHeight="false" outlineLevel="0" collapsed="false">
      <c r="A131" s="10" t="n">
        <v>25</v>
      </c>
      <c r="B131" s="14" t="s">
        <v>284</v>
      </c>
      <c r="C131" s="12" t="n">
        <v>416500</v>
      </c>
      <c r="D131" s="12" t="n">
        <f aca="false">65000+40000+30000+90000</f>
        <v>225000</v>
      </c>
      <c r="E131" s="13" t="n">
        <f aca="false">C131-D131</f>
        <v>191500</v>
      </c>
    </row>
    <row r="132" customFormat="false" ht="15" hidden="false" customHeight="false" outlineLevel="0" collapsed="false">
      <c r="A132" s="10" t="n">
        <v>26</v>
      </c>
      <c r="B132" s="14" t="s">
        <v>285</v>
      </c>
      <c r="C132" s="12" t="n">
        <v>416500</v>
      </c>
      <c r="D132" s="12" t="n">
        <f aca="false">100000+316500</f>
        <v>416500</v>
      </c>
      <c r="E132" s="13" t="n">
        <f aca="false">C132-D132</f>
        <v>0</v>
      </c>
    </row>
    <row r="133" customFormat="false" ht="15" hidden="false" customHeight="false" outlineLevel="0" collapsed="false">
      <c r="A133" s="10" t="n">
        <v>27</v>
      </c>
      <c r="B133" s="14" t="s">
        <v>286</v>
      </c>
      <c r="C133" s="12" t="n">
        <v>416500</v>
      </c>
      <c r="D133" s="12" t="n">
        <f aca="false">50000+100000</f>
        <v>150000</v>
      </c>
      <c r="E133" s="13" t="n">
        <f aca="false">C133-D133</f>
        <v>266500</v>
      </c>
    </row>
    <row r="134" customFormat="false" ht="15" hidden="false" customHeight="false" outlineLevel="0" collapsed="false">
      <c r="A134" s="10" t="n">
        <v>28</v>
      </c>
      <c r="B134" s="14" t="s">
        <v>287</v>
      </c>
      <c r="C134" s="18" t="n">
        <v>416500</v>
      </c>
      <c r="D134" s="18" t="n">
        <f aca="false">116500</f>
        <v>116500</v>
      </c>
      <c r="E134" s="19" t="n">
        <f aca="false">C134-D134</f>
        <v>300000</v>
      </c>
    </row>
    <row r="135" customFormat="false" ht="15" hidden="false" customHeight="false" outlineLevel="0" collapsed="false">
      <c r="A135" s="10" t="n">
        <v>29</v>
      </c>
      <c r="B135" s="14" t="s">
        <v>288</v>
      </c>
      <c r="C135" s="12" t="n">
        <v>416500</v>
      </c>
      <c r="D135" s="12"/>
      <c r="E135" s="13" t="n">
        <f aca="false">C135-D135</f>
        <v>416500</v>
      </c>
    </row>
    <row r="136" customFormat="false" ht="15" hidden="false" customHeight="false" outlineLevel="0" collapsed="false">
      <c r="A136" s="10" t="n">
        <v>30</v>
      </c>
      <c r="B136" s="14" t="s">
        <v>289</v>
      </c>
      <c r="C136" s="12" t="n">
        <v>416500</v>
      </c>
      <c r="D136" s="12"/>
      <c r="E136" s="13" t="n">
        <f aca="false">C136-D136</f>
        <v>416500</v>
      </c>
    </row>
    <row r="137" customFormat="false" ht="15" hidden="false" customHeight="false" outlineLevel="0" collapsed="false">
      <c r="A137" s="10" t="n">
        <v>31</v>
      </c>
      <c r="B137" s="14" t="s">
        <v>290</v>
      </c>
      <c r="C137" s="12" t="n">
        <v>416500</v>
      </c>
      <c r="D137" s="12" t="n">
        <f aca="false">100000</f>
        <v>100000</v>
      </c>
      <c r="E137" s="13" t="n">
        <f aca="false">C137-D137</f>
        <v>316500</v>
      </c>
    </row>
    <row r="138" customFormat="false" ht="15" hidden="false" customHeight="false" outlineLevel="0" collapsed="false">
      <c r="A138" s="10" t="n">
        <v>32</v>
      </c>
      <c r="B138" s="36" t="s">
        <v>291</v>
      </c>
      <c r="C138" s="12" t="n">
        <v>416500</v>
      </c>
      <c r="D138" s="37" t="n">
        <f aca="false">99500+100000+170000+47000</f>
        <v>416500</v>
      </c>
      <c r="E138" s="13" t="n">
        <f aca="false">C138-D138</f>
        <v>0</v>
      </c>
    </row>
    <row r="139" customFormat="false" ht="15" hidden="false" customHeight="false" outlineLevel="0" collapsed="false">
      <c r="A139" s="26" t="n">
        <v>33</v>
      </c>
      <c r="B139" s="14" t="s">
        <v>292</v>
      </c>
      <c r="C139" s="12" t="n">
        <v>416500</v>
      </c>
      <c r="D139" s="12" t="n">
        <f aca="false">100000+50000+200000</f>
        <v>350000</v>
      </c>
      <c r="E139" s="13" t="n">
        <f aca="false">C139-D139</f>
        <v>66500</v>
      </c>
    </row>
    <row r="140" customFormat="false" ht="15" hidden="false" customHeight="false" outlineLevel="0" collapsed="false">
      <c r="A140" s="26" t="n">
        <v>34</v>
      </c>
      <c r="B140" s="14" t="s">
        <v>293</v>
      </c>
      <c r="C140" s="12" t="n">
        <v>416500</v>
      </c>
      <c r="D140" s="12" t="n">
        <f aca="false">100000+100000+116500+100000</f>
        <v>416500</v>
      </c>
      <c r="E140" s="13" t="n">
        <f aca="false">C140-D140</f>
        <v>0</v>
      </c>
    </row>
    <row r="141" customFormat="false" ht="15" hidden="false" customHeight="false" outlineLevel="0" collapsed="false">
      <c r="A141" s="26" t="n">
        <v>35</v>
      </c>
      <c r="B141" s="14" t="s">
        <v>294</v>
      </c>
      <c r="C141" s="12" t="n">
        <v>416500</v>
      </c>
      <c r="D141" s="12" t="n">
        <f aca="false">99500+10000+100000+127000</f>
        <v>336500</v>
      </c>
      <c r="E141" s="13" t="n">
        <f aca="false">C141-D141</f>
        <v>80000</v>
      </c>
    </row>
    <row r="142" customFormat="false" ht="15" hidden="false" customHeight="false" outlineLevel="0" collapsed="false">
      <c r="A142" s="26" t="n">
        <v>36</v>
      </c>
      <c r="B142" s="14" t="s">
        <v>295</v>
      </c>
      <c r="C142" s="12" t="n">
        <v>416500</v>
      </c>
      <c r="D142" s="12" t="n">
        <f aca="false">231500+185000</f>
        <v>416500</v>
      </c>
      <c r="E142" s="13" t="n">
        <f aca="false">C142-D142</f>
        <v>0</v>
      </c>
    </row>
    <row r="143" customFormat="false" ht="17.35" hidden="false" customHeight="false" outlineLevel="0" collapsed="false">
      <c r="A143" s="21"/>
      <c r="B143" s="22" t="s">
        <v>30</v>
      </c>
      <c r="C143" s="23" t="n">
        <f aca="false">SUM(C100:C142)</f>
        <v>17909500</v>
      </c>
      <c r="D143" s="24" t="n">
        <f aca="false">SUM(D100:D142)</f>
        <v>12268950</v>
      </c>
      <c r="E143" s="25" t="n">
        <f aca="false">C143-D143</f>
        <v>5640550</v>
      </c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7.25" hidden="false" customHeight="false" outlineLevel="0" collapsed="false">
      <c r="A146" s="1"/>
      <c r="B146" s="3" t="s">
        <v>1</v>
      </c>
      <c r="D146" s="4" t="s">
        <v>210</v>
      </c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5" t="s">
        <v>3</v>
      </c>
      <c r="B148" s="6" t="s">
        <v>4</v>
      </c>
      <c r="C148" s="7" t="s">
        <v>5</v>
      </c>
      <c r="D148" s="8" t="s">
        <v>6</v>
      </c>
      <c r="E148" s="9" t="s">
        <v>7</v>
      </c>
    </row>
    <row r="149" customFormat="false" ht="15" hidden="false" customHeight="false" outlineLevel="0" collapsed="false">
      <c r="A149" s="51" t="n">
        <v>1</v>
      </c>
      <c r="B149" s="11" t="s">
        <v>296</v>
      </c>
      <c r="C149" s="12" t="n">
        <v>416500</v>
      </c>
      <c r="D149" s="12" t="n">
        <f aca="false">43500+373000</f>
        <v>416500</v>
      </c>
      <c r="E149" s="13" t="n">
        <f aca="false">C149-D149</f>
        <v>0</v>
      </c>
    </row>
    <row r="150" customFormat="false" ht="15" hidden="false" customHeight="false" outlineLevel="0" collapsed="false">
      <c r="A150" s="51" t="n">
        <v>2</v>
      </c>
      <c r="B150" s="14" t="s">
        <v>297</v>
      </c>
      <c r="C150" s="12" t="n">
        <v>416500</v>
      </c>
      <c r="D150" s="12"/>
      <c r="E150" s="13" t="n">
        <f aca="false">C150-D150</f>
        <v>416500</v>
      </c>
    </row>
    <row r="151" customFormat="false" ht="15" hidden="false" customHeight="false" outlineLevel="0" collapsed="false">
      <c r="A151" s="52" t="n">
        <v>3</v>
      </c>
      <c r="B151" s="14" t="s">
        <v>298</v>
      </c>
      <c r="C151" s="12" t="n">
        <v>416500</v>
      </c>
      <c r="D151" s="12" t="n">
        <f aca="false">63000+100000</f>
        <v>163000</v>
      </c>
      <c r="E151" s="13" t="n">
        <f aca="false">C151-D151</f>
        <v>253500</v>
      </c>
    </row>
    <row r="152" customFormat="false" ht="15" hidden="false" customHeight="false" outlineLevel="0" collapsed="false">
      <c r="A152" s="51" t="n">
        <v>4</v>
      </c>
      <c r="B152" s="14" t="s">
        <v>299</v>
      </c>
      <c r="C152" s="12" t="n">
        <v>416500</v>
      </c>
      <c r="D152" s="12" t="n">
        <f aca="false">200000</f>
        <v>200000</v>
      </c>
      <c r="E152" s="13" t="n">
        <f aca="false">C152-D152</f>
        <v>216500</v>
      </c>
    </row>
    <row r="153" customFormat="false" ht="15" hidden="false" customHeight="false" outlineLevel="0" collapsed="false">
      <c r="A153" s="51" t="n">
        <v>5</v>
      </c>
      <c r="B153" s="14" t="s">
        <v>300</v>
      </c>
      <c r="C153" s="12" t="n">
        <v>416500</v>
      </c>
      <c r="D153" s="12" t="n">
        <f aca="false">80000+336500</f>
        <v>416500</v>
      </c>
      <c r="E153" s="13" t="n">
        <f aca="false">C153-D153</f>
        <v>0</v>
      </c>
    </row>
    <row r="154" customFormat="false" ht="15" hidden="false" customHeight="false" outlineLevel="0" collapsed="false">
      <c r="A154" s="51" t="n">
        <v>6</v>
      </c>
      <c r="B154" s="14" t="s">
        <v>301</v>
      </c>
      <c r="C154" s="12" t="n">
        <v>416500</v>
      </c>
      <c r="D154" s="12" t="n">
        <f aca="false">25000</f>
        <v>25000</v>
      </c>
      <c r="E154" s="13" t="n">
        <f aca="false">C154-D154</f>
        <v>391500</v>
      </c>
    </row>
    <row r="155" customFormat="false" ht="15" hidden="false" customHeight="false" outlineLevel="0" collapsed="false">
      <c r="A155" s="51" t="n">
        <v>7</v>
      </c>
      <c r="B155" s="14" t="s">
        <v>302</v>
      </c>
      <c r="C155" s="12" t="n">
        <v>416500</v>
      </c>
      <c r="D155" s="12" t="n">
        <f aca="false">150000+100000+130000</f>
        <v>380000</v>
      </c>
      <c r="E155" s="13" t="n">
        <f aca="false">C155-D155</f>
        <v>36500</v>
      </c>
    </row>
    <row r="156" customFormat="false" ht="15" hidden="false" customHeight="false" outlineLevel="0" collapsed="false">
      <c r="A156" s="51" t="n">
        <v>8</v>
      </c>
      <c r="B156" s="14" t="s">
        <v>303</v>
      </c>
      <c r="C156" s="12" t="n">
        <v>416500</v>
      </c>
      <c r="D156" s="12" t="n">
        <f aca="false">216000+200500</f>
        <v>416500</v>
      </c>
      <c r="E156" s="13" t="n">
        <f aca="false">C156-D156</f>
        <v>0</v>
      </c>
    </row>
    <row r="157" customFormat="false" ht="15" hidden="false" customHeight="false" outlineLevel="0" collapsed="false">
      <c r="A157" s="51" t="n">
        <v>9</v>
      </c>
      <c r="B157" s="14" t="s">
        <v>304</v>
      </c>
      <c r="C157" s="12" t="n">
        <v>416500</v>
      </c>
      <c r="D157" s="12"/>
      <c r="E157" s="13" t="n">
        <f aca="false">C157-D157</f>
        <v>416500</v>
      </c>
    </row>
    <row r="158" customFormat="false" ht="15" hidden="false" customHeight="false" outlineLevel="0" collapsed="false">
      <c r="A158" s="51" t="n">
        <v>10</v>
      </c>
      <c r="B158" s="14" t="s">
        <v>305</v>
      </c>
      <c r="C158" s="12" t="n">
        <v>416500</v>
      </c>
      <c r="D158" s="12"/>
      <c r="E158" s="13" t="n">
        <f aca="false">C158-D158</f>
        <v>416500</v>
      </c>
    </row>
    <row r="159" customFormat="false" ht="15" hidden="false" customHeight="false" outlineLevel="0" collapsed="false">
      <c r="A159" s="51" t="n">
        <v>11</v>
      </c>
      <c r="B159" s="14" t="s">
        <v>306</v>
      </c>
      <c r="C159" s="12" t="n">
        <v>416500</v>
      </c>
      <c r="D159" s="12"/>
      <c r="E159" s="13" t="n">
        <f aca="false">C159-D159</f>
        <v>416500</v>
      </c>
    </row>
    <row r="160" customFormat="false" ht="15" hidden="false" customHeight="false" outlineLevel="0" collapsed="false">
      <c r="A160" s="51" t="n">
        <v>12</v>
      </c>
      <c r="B160" s="14" t="s">
        <v>307</v>
      </c>
      <c r="C160" s="12" t="n">
        <v>416500</v>
      </c>
      <c r="D160" s="12" t="n">
        <f aca="false">416500</f>
        <v>416500</v>
      </c>
      <c r="E160" s="13" t="n">
        <f aca="false">C160-D160</f>
        <v>0</v>
      </c>
    </row>
    <row r="161" customFormat="false" ht="15" hidden="false" customHeight="false" outlineLevel="0" collapsed="false">
      <c r="A161" s="51" t="n">
        <v>13</v>
      </c>
      <c r="B161" s="14" t="s">
        <v>308</v>
      </c>
      <c r="C161" s="12" t="n">
        <v>416500</v>
      </c>
      <c r="D161" s="12" t="n">
        <f aca="false">116500+200000</f>
        <v>316500</v>
      </c>
      <c r="E161" s="13" t="n">
        <f aca="false">C161-D161</f>
        <v>100000</v>
      </c>
    </row>
    <row r="162" customFormat="false" ht="15" hidden="false" customHeight="false" outlineLevel="0" collapsed="false">
      <c r="A162" s="51" t="n">
        <v>14</v>
      </c>
      <c r="B162" s="14" t="s">
        <v>309</v>
      </c>
      <c r="C162" s="12" t="n">
        <v>416500</v>
      </c>
      <c r="D162" s="12" t="n">
        <f aca="false">298500+118000</f>
        <v>416500</v>
      </c>
      <c r="E162" s="13" t="n">
        <f aca="false">C162-D162</f>
        <v>0</v>
      </c>
    </row>
    <row r="163" customFormat="false" ht="15" hidden="false" customHeight="false" outlineLevel="0" collapsed="false">
      <c r="A163" s="51" t="n">
        <v>15</v>
      </c>
      <c r="B163" s="14" t="s">
        <v>310</v>
      </c>
      <c r="C163" s="12" t="n">
        <v>416500</v>
      </c>
      <c r="D163" s="12" t="n">
        <f aca="false">167000</f>
        <v>167000</v>
      </c>
      <c r="E163" s="13" t="n">
        <f aca="false">C163-D163</f>
        <v>249500</v>
      </c>
    </row>
    <row r="164" customFormat="false" ht="15" hidden="false" customHeight="false" outlineLevel="0" collapsed="false">
      <c r="A164" s="51" t="n">
        <v>16</v>
      </c>
      <c r="B164" s="14" t="s">
        <v>311</v>
      </c>
      <c r="C164" s="12" t="s">
        <v>40</v>
      </c>
      <c r="D164" s="12"/>
      <c r="E164" s="13" t="s">
        <v>40</v>
      </c>
    </row>
    <row r="165" customFormat="false" ht="15" hidden="false" customHeight="false" outlineLevel="0" collapsed="false">
      <c r="A165" s="51" t="n">
        <v>17</v>
      </c>
      <c r="B165" s="14" t="s">
        <v>312</v>
      </c>
      <c r="C165" s="12" t="n">
        <v>416500</v>
      </c>
      <c r="D165" s="12" t="n">
        <f aca="false">150000+50000</f>
        <v>200000</v>
      </c>
      <c r="E165" s="13" t="n">
        <f aca="false">C165-D165</f>
        <v>216500</v>
      </c>
    </row>
    <row r="166" customFormat="false" ht="15" hidden="false" customHeight="false" outlineLevel="0" collapsed="false">
      <c r="A166" s="51" t="n">
        <v>18</v>
      </c>
      <c r="B166" s="14" t="s">
        <v>313</v>
      </c>
      <c r="C166" s="12" t="n">
        <v>416500</v>
      </c>
      <c r="D166" s="12"/>
      <c r="E166" s="13" t="n">
        <f aca="false">C166-D166</f>
        <v>416500</v>
      </c>
    </row>
    <row r="167" customFormat="false" ht="15" hidden="false" customHeight="false" outlineLevel="0" collapsed="false">
      <c r="A167" s="51" t="n">
        <v>19</v>
      </c>
      <c r="B167" s="14" t="s">
        <v>314</v>
      </c>
      <c r="C167" s="12" t="n">
        <v>416500</v>
      </c>
      <c r="D167" s="12" t="n">
        <f aca="false">50000+50000+50000</f>
        <v>150000</v>
      </c>
      <c r="E167" s="13" t="n">
        <f aca="false">C167-D167</f>
        <v>266500</v>
      </c>
    </row>
    <row r="168" customFormat="false" ht="15" hidden="false" customHeight="false" outlineLevel="0" collapsed="false">
      <c r="A168" s="51" t="n">
        <v>20</v>
      </c>
      <c r="B168" s="14" t="s">
        <v>315</v>
      </c>
      <c r="C168" s="12" t="n">
        <v>416500</v>
      </c>
      <c r="D168" s="12"/>
      <c r="E168" s="13" t="n">
        <f aca="false">C168-D168</f>
        <v>416500</v>
      </c>
    </row>
    <row r="169" customFormat="false" ht="15" hidden="false" customHeight="false" outlineLevel="0" collapsed="false">
      <c r="A169" s="51" t="n">
        <v>21</v>
      </c>
      <c r="B169" s="14" t="s">
        <v>316</v>
      </c>
      <c r="C169" s="12" t="n">
        <v>416500</v>
      </c>
      <c r="D169" s="12" t="n">
        <f aca="false">83500+170000</f>
        <v>253500</v>
      </c>
      <c r="E169" s="13" t="n">
        <f aca="false">C169-D169</f>
        <v>163000</v>
      </c>
    </row>
    <row r="170" customFormat="false" ht="17.35" hidden="false" customHeight="false" outlineLevel="0" collapsed="false">
      <c r="A170" s="21"/>
      <c r="B170" s="63" t="s">
        <v>30</v>
      </c>
      <c r="C170" s="23" t="n">
        <f aca="false">SUM(C149:C169)</f>
        <v>8330000</v>
      </c>
      <c r="D170" s="24" t="n">
        <f aca="false">SUM(D149:D169)</f>
        <v>3937500</v>
      </c>
      <c r="E170" s="25" t="n">
        <f aca="false">SUM(E149:E169)</f>
        <v>4392500</v>
      </c>
    </row>
    <row r="171" customFormat="false" ht="17.35" hidden="false" customHeight="false" outlineLevel="0" collapsed="false">
      <c r="B171" s="28"/>
      <c r="C171" s="29"/>
      <c r="D171" s="30"/>
      <c r="E171" s="31"/>
    </row>
    <row r="172" customFormat="false" ht="17.35" hidden="false" customHeight="false" outlineLevel="0" collapsed="false">
      <c r="B172" s="28"/>
      <c r="C172" s="29"/>
      <c r="D172" s="30"/>
      <c r="E172" s="31"/>
    </row>
    <row r="173" customFormat="false" ht="17.35" hidden="false" customHeight="false" outlineLevel="0" collapsed="false">
      <c r="A173" s="52"/>
      <c r="B173" s="2" t="s">
        <v>0</v>
      </c>
    </row>
    <row r="174" customFormat="false" ht="15" hidden="false" customHeight="false" outlineLevel="0" collapsed="false">
      <c r="A174" s="52"/>
    </row>
    <row r="175" customFormat="false" ht="17.35" hidden="false" customHeight="false" outlineLevel="0" collapsed="false">
      <c r="A175" s="52"/>
      <c r="B175" s="47" t="s">
        <v>226</v>
      </c>
    </row>
    <row r="176" customFormat="false" ht="15" hidden="false" customHeight="false" outlineLevel="0" collapsed="false">
      <c r="A176" s="52"/>
      <c r="B176" s="3" t="s">
        <v>317</v>
      </c>
    </row>
    <row r="177" customFormat="false" ht="15" hidden="false" customHeight="false" outlineLevel="0" collapsed="false">
      <c r="A177" s="52"/>
    </row>
    <row r="178" customFormat="false" ht="15" hidden="false" customHeight="false" outlineLevel="0" collapsed="false">
      <c r="A178" s="48" t="s">
        <v>3</v>
      </c>
      <c r="B178" s="49" t="s">
        <v>228</v>
      </c>
      <c r="C178" s="7" t="s">
        <v>5</v>
      </c>
      <c r="D178" s="50" t="s">
        <v>6</v>
      </c>
      <c r="E178" s="9" t="s">
        <v>7</v>
      </c>
    </row>
    <row r="179" customFormat="false" ht="15" hidden="false" customHeight="false" outlineLevel="0" collapsed="false">
      <c r="A179" s="10" t="n">
        <v>1</v>
      </c>
      <c r="B179" s="53" t="s">
        <v>318</v>
      </c>
      <c r="C179" s="43" t="n">
        <v>416500</v>
      </c>
      <c r="D179" s="43"/>
      <c r="E179" s="44" t="n">
        <f aca="false">C179-D179</f>
        <v>416500</v>
      </c>
    </row>
    <row r="180" customFormat="false" ht="15" hidden="false" customHeight="false" outlineLevel="0" collapsed="false">
      <c r="A180" s="10" t="n">
        <v>2</v>
      </c>
      <c r="B180" s="53" t="s">
        <v>319</v>
      </c>
      <c r="C180" s="43" t="n">
        <v>416500</v>
      </c>
      <c r="D180" s="43" t="n">
        <f aca="false">50000+366500</f>
        <v>416500</v>
      </c>
      <c r="E180" s="44" t="n">
        <f aca="false">C180-D180</f>
        <v>0</v>
      </c>
    </row>
    <row r="181" customFormat="false" ht="15" hidden="false" customHeight="false" outlineLevel="0" collapsed="false">
      <c r="A181" s="10" t="n">
        <v>3</v>
      </c>
      <c r="B181" s="53" t="s">
        <v>320</v>
      </c>
      <c r="C181" s="43" t="n">
        <v>416500</v>
      </c>
      <c r="D181" s="43" t="n">
        <f aca="false">116500+100000+150000+50000</f>
        <v>416500</v>
      </c>
      <c r="E181" s="44" t="n">
        <f aca="false">C181-D181</f>
        <v>0</v>
      </c>
    </row>
    <row r="182" customFormat="false" ht="15" hidden="false" customHeight="false" outlineLevel="0" collapsed="false">
      <c r="A182" s="10" t="n">
        <v>4</v>
      </c>
      <c r="B182" s="53" t="s">
        <v>321</v>
      </c>
      <c r="C182" s="43" t="n">
        <v>416500</v>
      </c>
      <c r="D182" s="43"/>
      <c r="E182" s="44" t="n">
        <f aca="false">C182-D182</f>
        <v>416500</v>
      </c>
    </row>
    <row r="183" customFormat="false" ht="15" hidden="false" customHeight="false" outlineLevel="0" collapsed="false">
      <c r="A183" s="10" t="n">
        <v>5</v>
      </c>
      <c r="B183" s="64" t="s">
        <v>322</v>
      </c>
      <c r="C183" s="43" t="n">
        <v>416500</v>
      </c>
      <c r="D183" s="43"/>
      <c r="E183" s="44" t="n">
        <f aca="false">C183-D183</f>
        <v>416500</v>
      </c>
    </row>
    <row r="184" customFormat="false" ht="15" hidden="false" customHeight="false" outlineLevel="0" collapsed="false">
      <c r="A184" s="10" t="n">
        <v>6</v>
      </c>
      <c r="B184" s="53" t="s">
        <v>323</v>
      </c>
      <c r="C184" s="43" t="n">
        <v>416500</v>
      </c>
      <c r="D184" s="43" t="n">
        <v>416500</v>
      </c>
      <c r="E184" s="44" t="n">
        <f aca="false">C184-D184</f>
        <v>0</v>
      </c>
    </row>
    <row r="185" customFormat="false" ht="15" hidden="false" customHeight="false" outlineLevel="0" collapsed="false">
      <c r="A185" s="10" t="n">
        <v>7</v>
      </c>
      <c r="B185" s="53" t="s">
        <v>324</v>
      </c>
      <c r="C185" s="43" t="n">
        <v>416500</v>
      </c>
      <c r="D185" s="43" t="n">
        <v>416500</v>
      </c>
      <c r="E185" s="44" t="n">
        <f aca="false">C185-D185</f>
        <v>0</v>
      </c>
    </row>
    <row r="186" customFormat="false" ht="15" hidden="false" customHeight="false" outlineLevel="0" collapsed="false">
      <c r="A186" s="10" t="n">
        <v>8</v>
      </c>
      <c r="B186" s="53" t="s">
        <v>325</v>
      </c>
      <c r="C186" s="43" t="n">
        <v>416500</v>
      </c>
      <c r="D186" s="43"/>
      <c r="E186" s="44" t="n">
        <f aca="false">C186-D186</f>
        <v>416500</v>
      </c>
    </row>
    <row r="187" customFormat="false" ht="15" hidden="false" customHeight="false" outlineLevel="0" collapsed="false">
      <c r="A187" s="10" t="n">
        <v>9</v>
      </c>
      <c r="B187" s="53" t="s">
        <v>326</v>
      </c>
      <c r="C187" s="43" t="n">
        <v>416500</v>
      </c>
      <c r="D187" s="43" t="n">
        <f aca="false">100000</f>
        <v>100000</v>
      </c>
      <c r="E187" s="44" t="n">
        <f aca="false">C187-D187</f>
        <v>316500</v>
      </c>
    </row>
    <row r="188" customFormat="false" ht="15" hidden="false" customHeight="false" outlineLevel="0" collapsed="false">
      <c r="A188" s="10" t="n">
        <v>10</v>
      </c>
      <c r="B188" s="53" t="s">
        <v>327</v>
      </c>
      <c r="C188" s="43" t="n">
        <v>416500</v>
      </c>
      <c r="D188" s="43"/>
      <c r="E188" s="44" t="n">
        <f aca="false">C188-D188</f>
        <v>416500</v>
      </c>
    </row>
    <row r="189" customFormat="false" ht="15" hidden="false" customHeight="false" outlineLevel="0" collapsed="false">
      <c r="A189" s="10" t="n">
        <v>11</v>
      </c>
      <c r="B189" s="53" t="s">
        <v>328</v>
      </c>
      <c r="C189" s="43" t="n">
        <v>416500</v>
      </c>
      <c r="D189" s="43"/>
      <c r="E189" s="44" t="n">
        <f aca="false">C189-D189</f>
        <v>416500</v>
      </c>
    </row>
    <row r="190" customFormat="false" ht="15" hidden="false" customHeight="false" outlineLevel="0" collapsed="false">
      <c r="A190" s="10" t="n">
        <v>12</v>
      </c>
      <c r="B190" s="53" t="s">
        <v>329</v>
      </c>
      <c r="C190" s="43" t="n">
        <v>416500</v>
      </c>
      <c r="D190" s="43" t="n">
        <v>416500</v>
      </c>
      <c r="E190" s="44" t="n">
        <f aca="false">C190-D190</f>
        <v>0</v>
      </c>
    </row>
    <row r="191" customFormat="false" ht="15" hidden="false" customHeight="false" outlineLevel="0" collapsed="false">
      <c r="A191" s="10" t="n">
        <v>13</v>
      </c>
      <c r="B191" s="42" t="s">
        <v>330</v>
      </c>
      <c r="C191" s="65" t="n">
        <v>416500</v>
      </c>
      <c r="D191" s="65"/>
      <c r="E191" s="66" t="n">
        <f aca="false">C191-D191</f>
        <v>416500</v>
      </c>
    </row>
    <row r="192" customFormat="false" ht="15" hidden="false" customHeight="false" outlineLevel="0" collapsed="false">
      <c r="A192" s="10" t="n">
        <v>14</v>
      </c>
      <c r="B192" s="53" t="s">
        <v>331</v>
      </c>
      <c r="C192" s="45" t="s">
        <v>40</v>
      </c>
      <c r="D192" s="43"/>
      <c r="E192" s="46" t="s">
        <v>40</v>
      </c>
    </row>
    <row r="193" customFormat="false" ht="15" hidden="false" customHeight="false" outlineLevel="0" collapsed="false">
      <c r="A193" s="10" t="n">
        <v>15</v>
      </c>
      <c r="B193" s="53" t="s">
        <v>332</v>
      </c>
      <c r="C193" s="43" t="n">
        <v>416500</v>
      </c>
      <c r="D193" s="43"/>
      <c r="E193" s="44" t="n">
        <f aca="false">C193-D193</f>
        <v>416500</v>
      </c>
    </row>
    <row r="194" customFormat="false" ht="15" hidden="false" customHeight="false" outlineLevel="0" collapsed="false">
      <c r="A194" s="10" t="n">
        <v>16</v>
      </c>
      <c r="B194" s="53" t="s">
        <v>333</v>
      </c>
      <c r="C194" s="43" t="n">
        <v>416500</v>
      </c>
      <c r="D194" s="43"/>
      <c r="E194" s="44" t="n">
        <f aca="false">C194-D194</f>
        <v>416500</v>
      </c>
    </row>
    <row r="195" customFormat="false" ht="15" hidden="false" customHeight="false" outlineLevel="0" collapsed="false">
      <c r="A195" s="10" t="n">
        <v>17</v>
      </c>
      <c r="B195" s="53" t="s">
        <v>334</v>
      </c>
      <c r="C195" s="43" t="n">
        <v>416500</v>
      </c>
      <c r="D195" s="43"/>
      <c r="E195" s="44" t="n">
        <f aca="false">C195-D195</f>
        <v>416500</v>
      </c>
    </row>
    <row r="196" customFormat="false" ht="15" hidden="false" customHeight="false" outlineLevel="0" collapsed="false">
      <c r="A196" s="10" t="n">
        <v>18</v>
      </c>
      <c r="B196" s="14" t="s">
        <v>335</v>
      </c>
      <c r="C196" s="43" t="n">
        <v>416500</v>
      </c>
      <c r="D196" s="43"/>
      <c r="E196" s="44" t="n">
        <f aca="false">C196-D196</f>
        <v>416500</v>
      </c>
    </row>
    <row r="197" customFormat="false" ht="15" hidden="false" customHeight="false" outlineLevel="0" collapsed="false">
      <c r="A197" s="10" t="n">
        <v>19</v>
      </c>
      <c r="B197" s="67" t="s">
        <v>336</v>
      </c>
      <c r="C197" s="43" t="n">
        <v>416500</v>
      </c>
      <c r="D197" s="43"/>
      <c r="E197" s="44" t="n">
        <f aca="false">C197-D197</f>
        <v>416500</v>
      </c>
    </row>
    <row r="198" customFormat="false" ht="15" hidden="false" customHeight="false" outlineLevel="0" collapsed="false">
      <c r="A198" s="15" t="n">
        <v>20</v>
      </c>
      <c r="B198" s="53" t="s">
        <v>337</v>
      </c>
      <c r="C198" s="43" t="n">
        <v>416500</v>
      </c>
      <c r="D198" s="43"/>
      <c r="E198" s="44" t="n">
        <f aca="false">C198-D198</f>
        <v>416500</v>
      </c>
    </row>
    <row r="199" customFormat="false" ht="15" hidden="false" customHeight="false" outlineLevel="0" collapsed="false">
      <c r="A199" s="10" t="n">
        <v>21</v>
      </c>
      <c r="B199" s="53" t="s">
        <v>338</v>
      </c>
      <c r="C199" s="43" t="n">
        <v>416500</v>
      </c>
      <c r="D199" s="43" t="n">
        <f aca="false">216500</f>
        <v>216500</v>
      </c>
      <c r="E199" s="44" t="n">
        <f aca="false">C199-D199</f>
        <v>200000</v>
      </c>
    </row>
    <row r="200" customFormat="false" ht="15" hidden="false" customHeight="false" outlineLevel="0" collapsed="false">
      <c r="A200" s="10" t="n">
        <v>22</v>
      </c>
      <c r="B200" s="53" t="s">
        <v>339</v>
      </c>
      <c r="C200" s="43" t="n">
        <v>416500</v>
      </c>
      <c r="D200" s="43"/>
      <c r="E200" s="44" t="n">
        <f aca="false">C200-D200</f>
        <v>416500</v>
      </c>
    </row>
    <row r="201" customFormat="false" ht="15" hidden="false" customHeight="false" outlineLevel="0" collapsed="false">
      <c r="A201" s="10" t="n">
        <v>23</v>
      </c>
      <c r="B201" s="53" t="s">
        <v>340</v>
      </c>
      <c r="C201" s="43" t="n">
        <v>416500</v>
      </c>
      <c r="D201" s="43" t="n">
        <f aca="false">100000+100000+216500</f>
        <v>416500</v>
      </c>
      <c r="E201" s="44" t="n">
        <f aca="false">C201-D201</f>
        <v>0</v>
      </c>
    </row>
    <row r="202" customFormat="false" ht="15" hidden="false" customHeight="false" outlineLevel="0" collapsed="false">
      <c r="A202" s="10" t="n">
        <v>24</v>
      </c>
      <c r="B202" s="53" t="s">
        <v>341</v>
      </c>
      <c r="C202" s="43" t="n">
        <v>416500</v>
      </c>
      <c r="D202" s="43" t="n">
        <f aca="false">199500+17000</f>
        <v>216500</v>
      </c>
      <c r="E202" s="44" t="n">
        <f aca="false">C202-D202</f>
        <v>200000</v>
      </c>
    </row>
    <row r="203" customFormat="false" ht="15" hidden="false" customHeight="false" outlineLevel="0" collapsed="false">
      <c r="A203" s="10" t="n">
        <v>25</v>
      </c>
      <c r="B203" s="53" t="s">
        <v>342</v>
      </c>
      <c r="C203" s="43" t="n">
        <v>416500</v>
      </c>
      <c r="D203" s="43" t="n">
        <f aca="false">200000+216500</f>
        <v>416500</v>
      </c>
      <c r="E203" s="44" t="n">
        <f aca="false">C203-D203</f>
        <v>0</v>
      </c>
    </row>
    <row r="204" customFormat="false" ht="15" hidden="false" customHeight="false" outlineLevel="0" collapsed="false">
      <c r="A204" s="10" t="n">
        <v>26</v>
      </c>
      <c r="B204" s="53" t="s">
        <v>343</v>
      </c>
      <c r="C204" s="43" t="n">
        <v>416500</v>
      </c>
      <c r="D204" s="43"/>
      <c r="E204" s="44" t="n">
        <f aca="false">C204-D204</f>
        <v>416500</v>
      </c>
    </row>
    <row r="205" customFormat="false" ht="15" hidden="false" customHeight="false" outlineLevel="0" collapsed="false">
      <c r="A205" s="10" t="n">
        <v>27</v>
      </c>
      <c r="B205" s="53" t="s">
        <v>344</v>
      </c>
      <c r="C205" s="43" t="n">
        <v>416500</v>
      </c>
      <c r="D205" s="43" t="n">
        <f aca="false">100000+65500+110000+141000</f>
        <v>416500</v>
      </c>
      <c r="E205" s="44" t="n">
        <f aca="false">C205-D205</f>
        <v>0</v>
      </c>
    </row>
    <row r="206" customFormat="false" ht="15" hidden="false" customHeight="false" outlineLevel="0" collapsed="false">
      <c r="A206" s="10" t="n">
        <v>28</v>
      </c>
      <c r="B206" s="53" t="s">
        <v>345</v>
      </c>
      <c r="C206" s="43" t="n">
        <v>416500</v>
      </c>
      <c r="D206" s="43"/>
      <c r="E206" s="44" t="n">
        <f aca="false">C206-D206</f>
        <v>416500</v>
      </c>
    </row>
    <row r="207" customFormat="false" ht="19.7" hidden="false" customHeight="false" outlineLevel="0" collapsed="false">
      <c r="A207" s="58"/>
      <c r="B207" s="68" t="s">
        <v>30</v>
      </c>
      <c r="C207" s="60" t="n">
        <f aca="false">SUM(C179:C206)</f>
        <v>11245500</v>
      </c>
      <c r="D207" s="61" t="n">
        <f aca="false">SUM(D179:D206)</f>
        <v>3865000</v>
      </c>
      <c r="E207" s="62" t="n">
        <f aca="false">SUM(E179:E206)</f>
        <v>7380500</v>
      </c>
    </row>
    <row r="208" customFormat="false" ht="19.7" hidden="false" customHeight="false" outlineLevel="0" collapsed="false">
      <c r="A208" s="52"/>
      <c r="B208" s="69"/>
      <c r="C208" s="70"/>
      <c r="D208" s="71"/>
      <c r="E208" s="72"/>
    </row>
    <row r="209" customFormat="false" ht="19.7" hidden="false" customHeight="false" outlineLevel="0" collapsed="false">
      <c r="A209" s="52"/>
      <c r="B209" s="69"/>
      <c r="C209" s="70"/>
      <c r="D209" s="71"/>
      <c r="E209" s="72"/>
    </row>
    <row r="210" customFormat="false" ht="17.35" hidden="false" customHeight="false" outlineLevel="0" collapsed="false">
      <c r="B210" s="2" t="s">
        <v>0</v>
      </c>
      <c r="C210" s="2"/>
    </row>
    <row r="212" customFormat="false" ht="15" hidden="false" customHeight="false" outlineLevel="0" collapsed="false">
      <c r="A212" s="1"/>
    </row>
    <row r="213" customFormat="false" ht="17.25" hidden="false" customHeight="false" outlineLevel="0" collapsed="false">
      <c r="A213" s="1"/>
      <c r="B213" s="3" t="s">
        <v>31</v>
      </c>
      <c r="D213" s="4" t="s">
        <v>192</v>
      </c>
    </row>
    <row r="214" customFormat="false" ht="15" hidden="false" customHeight="false" outlineLevel="0" collapsed="false">
      <c r="A214" s="1"/>
    </row>
    <row r="215" customFormat="false" ht="15" hidden="false" customHeight="false" outlineLevel="0" collapsed="false">
      <c r="A215" s="5" t="s">
        <v>3</v>
      </c>
      <c r="B215" s="6" t="s">
        <v>4</v>
      </c>
      <c r="C215" s="7" t="s">
        <v>5</v>
      </c>
      <c r="D215" s="8" t="s">
        <v>6</v>
      </c>
      <c r="E215" s="9" t="s">
        <v>7</v>
      </c>
    </row>
    <row r="216" customFormat="false" ht="15" hidden="false" customHeight="false" outlineLevel="0" collapsed="false">
      <c r="A216" s="10" t="n">
        <v>1</v>
      </c>
      <c r="B216" s="16" t="s">
        <v>346</v>
      </c>
      <c r="C216" s="18" t="s">
        <v>40</v>
      </c>
      <c r="D216" s="27"/>
      <c r="E216" s="19" t="s">
        <v>40</v>
      </c>
    </row>
    <row r="217" customFormat="false" ht="15" hidden="false" customHeight="false" outlineLevel="0" collapsed="false">
      <c r="A217" s="10" t="n">
        <v>2</v>
      </c>
      <c r="B217" s="16" t="s">
        <v>347</v>
      </c>
      <c r="C217" s="12" t="n">
        <v>416500</v>
      </c>
      <c r="D217" s="17" t="n">
        <f aca="false">100000+100000</f>
        <v>200000</v>
      </c>
      <c r="E217" s="13" t="n">
        <f aca="false">C217-D217</f>
        <v>216500</v>
      </c>
    </row>
    <row r="218" customFormat="false" ht="15" hidden="false" customHeight="false" outlineLevel="0" collapsed="false">
      <c r="A218" s="10" t="n">
        <v>3</v>
      </c>
      <c r="B218" s="16" t="s">
        <v>348</v>
      </c>
      <c r="C218" s="18" t="n">
        <v>416500</v>
      </c>
      <c r="D218" s="27" t="n">
        <v>215000</v>
      </c>
      <c r="E218" s="19" t="n">
        <f aca="false">C218-D218</f>
        <v>201500</v>
      </c>
    </row>
    <row r="219" customFormat="false" ht="15" hidden="false" customHeight="false" outlineLevel="0" collapsed="false">
      <c r="A219" s="10" t="n">
        <v>4</v>
      </c>
      <c r="B219" s="16" t="s">
        <v>349</v>
      </c>
      <c r="C219" s="12" t="n">
        <v>416500</v>
      </c>
      <c r="D219" s="17"/>
      <c r="E219" s="13" t="n">
        <f aca="false">C219-D219</f>
        <v>416500</v>
      </c>
    </row>
    <row r="220" customFormat="false" ht="15" hidden="false" customHeight="false" outlineLevel="0" collapsed="false">
      <c r="A220" s="10" t="n">
        <v>5</v>
      </c>
      <c r="B220" s="16" t="s">
        <v>350</v>
      </c>
      <c r="C220" s="12" t="n">
        <v>416500</v>
      </c>
      <c r="D220" s="17" t="n">
        <f aca="false">25000</f>
        <v>25000</v>
      </c>
      <c r="E220" s="13" t="n">
        <f aca="false">C220-D220</f>
        <v>391500</v>
      </c>
    </row>
    <row r="221" customFormat="false" ht="15" hidden="false" customHeight="false" outlineLevel="0" collapsed="false">
      <c r="A221" s="10" t="n">
        <v>6</v>
      </c>
      <c r="B221" s="16" t="s">
        <v>351</v>
      </c>
      <c r="C221" s="12" t="n">
        <v>416500</v>
      </c>
      <c r="D221" s="17" t="n">
        <f aca="false">25000</f>
        <v>25000</v>
      </c>
      <c r="E221" s="13" t="n">
        <f aca="false">C221-D221</f>
        <v>391500</v>
      </c>
    </row>
    <row r="222" customFormat="false" ht="15" hidden="false" customHeight="false" outlineLevel="0" collapsed="false">
      <c r="A222" s="10" t="n">
        <v>7</v>
      </c>
      <c r="B222" s="16" t="s">
        <v>352</v>
      </c>
      <c r="C222" s="12" t="n">
        <v>416500</v>
      </c>
      <c r="D222" s="17" t="n">
        <f aca="false">200000+216500</f>
        <v>416500</v>
      </c>
      <c r="E222" s="13" t="n">
        <f aca="false">C222-D222</f>
        <v>0</v>
      </c>
    </row>
    <row r="223" customFormat="false" ht="15" hidden="false" customHeight="false" outlineLevel="0" collapsed="false">
      <c r="A223" s="10" t="n">
        <v>8</v>
      </c>
      <c r="B223" s="16" t="s">
        <v>353</v>
      </c>
      <c r="C223" s="12" t="n">
        <v>416500</v>
      </c>
      <c r="D223" s="17" t="n">
        <v>416500</v>
      </c>
      <c r="E223" s="13" t="n">
        <f aca="false">C223-D223</f>
        <v>0</v>
      </c>
    </row>
    <row r="224" customFormat="false" ht="15" hidden="false" customHeight="false" outlineLevel="0" collapsed="false">
      <c r="A224" s="10" t="n">
        <v>9</v>
      </c>
      <c r="B224" s="16" t="s">
        <v>354</v>
      </c>
      <c r="C224" s="12" t="n">
        <v>416500</v>
      </c>
      <c r="D224" s="17"/>
      <c r="E224" s="13" t="n">
        <f aca="false">C224-D224</f>
        <v>416500</v>
      </c>
    </row>
    <row r="225" customFormat="false" ht="15" hidden="false" customHeight="false" outlineLevel="0" collapsed="false">
      <c r="A225" s="10" t="n">
        <v>10</v>
      </c>
      <c r="B225" s="16" t="s">
        <v>355</v>
      </c>
      <c r="C225" s="12" t="n">
        <v>416500</v>
      </c>
      <c r="D225" s="17" t="n">
        <f aca="false">50000+141500+25500</f>
        <v>217000</v>
      </c>
      <c r="E225" s="13" t="n">
        <f aca="false">C225-D225</f>
        <v>199500</v>
      </c>
    </row>
    <row r="226" customFormat="false" ht="15" hidden="false" customHeight="false" outlineLevel="0" collapsed="false">
      <c r="A226" s="10" t="n">
        <v>11</v>
      </c>
      <c r="B226" s="16" t="s">
        <v>356</v>
      </c>
      <c r="C226" s="12" t="n">
        <v>416500</v>
      </c>
      <c r="D226" s="17" t="n">
        <f aca="false">70500+85000+110000+151000</f>
        <v>416500</v>
      </c>
      <c r="E226" s="13" t="n">
        <f aca="false">C226-D226</f>
        <v>0</v>
      </c>
    </row>
    <row r="227" customFormat="false" ht="15" hidden="false" customHeight="false" outlineLevel="0" collapsed="false">
      <c r="A227" s="10" t="n">
        <v>12</v>
      </c>
      <c r="B227" s="16" t="s">
        <v>357</v>
      </c>
      <c r="C227" s="12" t="s">
        <v>40</v>
      </c>
      <c r="D227" s="17"/>
      <c r="E227" s="13" t="s">
        <v>40</v>
      </c>
    </row>
    <row r="228" customFormat="false" ht="15" hidden="false" customHeight="false" outlineLevel="0" collapsed="false">
      <c r="A228" s="10" t="n">
        <v>13</v>
      </c>
      <c r="B228" s="16" t="s">
        <v>358</v>
      </c>
      <c r="C228" s="12" t="n">
        <v>416500</v>
      </c>
      <c r="D228" s="17" t="n">
        <f aca="false">200000</f>
        <v>200000</v>
      </c>
      <c r="E228" s="13" t="n">
        <f aca="false">C228-D228</f>
        <v>216500</v>
      </c>
    </row>
    <row r="229" customFormat="false" ht="15" hidden="false" customHeight="false" outlineLevel="0" collapsed="false">
      <c r="A229" s="10" t="n">
        <v>14</v>
      </c>
      <c r="B229" s="16" t="s">
        <v>359</v>
      </c>
      <c r="C229" s="12" t="n">
        <v>416500</v>
      </c>
      <c r="D229" s="17" t="n">
        <f aca="false">3500+196000+17000</f>
        <v>216500</v>
      </c>
      <c r="E229" s="13" t="n">
        <f aca="false">C229-D229</f>
        <v>200000</v>
      </c>
    </row>
    <row r="230" customFormat="false" ht="15" hidden="false" customHeight="false" outlineLevel="0" collapsed="false">
      <c r="A230" s="10" t="n">
        <v>15</v>
      </c>
      <c r="B230" s="16" t="s">
        <v>360</v>
      </c>
      <c r="C230" s="12" t="n">
        <v>416500</v>
      </c>
      <c r="D230" s="17" t="n">
        <f aca="false">120000+70000</f>
        <v>190000</v>
      </c>
      <c r="E230" s="13" t="n">
        <f aca="false">C230-D230</f>
        <v>226500</v>
      </c>
    </row>
    <row r="231" customFormat="false" ht="15" hidden="false" customHeight="false" outlineLevel="0" collapsed="false">
      <c r="A231" s="10" t="n">
        <v>16</v>
      </c>
      <c r="B231" s="16" t="s">
        <v>361</v>
      </c>
      <c r="C231" s="12" t="n">
        <v>416500</v>
      </c>
      <c r="D231" s="17" t="n">
        <f aca="false">100000+116500</f>
        <v>216500</v>
      </c>
      <c r="E231" s="13" t="n">
        <f aca="false">C231-D231</f>
        <v>200000</v>
      </c>
    </row>
    <row r="232" customFormat="false" ht="15" hidden="false" customHeight="false" outlineLevel="0" collapsed="false">
      <c r="A232" s="10" t="n">
        <v>17</v>
      </c>
      <c r="B232" s="16" t="s">
        <v>362</v>
      </c>
      <c r="C232" s="12" t="n">
        <v>416500</v>
      </c>
      <c r="D232" s="17" t="n">
        <f aca="false">23500+77000</f>
        <v>100500</v>
      </c>
      <c r="E232" s="13" t="n">
        <f aca="false">C232-D232</f>
        <v>316000</v>
      </c>
    </row>
    <row r="233" customFormat="false" ht="15" hidden="false" customHeight="false" outlineLevel="0" collapsed="false">
      <c r="A233" s="10" t="n">
        <v>18</v>
      </c>
      <c r="B233" s="16" t="s">
        <v>363</v>
      </c>
      <c r="C233" s="12" t="s">
        <v>40</v>
      </c>
      <c r="D233" s="17"/>
      <c r="E233" s="13" t="s">
        <v>40</v>
      </c>
    </row>
    <row r="234" customFormat="false" ht="15" hidden="false" customHeight="false" outlineLevel="0" collapsed="false">
      <c r="A234" s="10" t="n">
        <v>19</v>
      </c>
      <c r="B234" s="16" t="s">
        <v>364</v>
      </c>
      <c r="C234" s="12" t="n">
        <v>416500</v>
      </c>
      <c r="D234" s="73"/>
      <c r="E234" s="13" t="n">
        <f aca="false">C234-D234</f>
        <v>416500</v>
      </c>
    </row>
    <row r="235" customFormat="false" ht="15" hidden="false" customHeight="false" outlineLevel="0" collapsed="false">
      <c r="A235" s="10" t="n">
        <v>20</v>
      </c>
      <c r="B235" s="16" t="s">
        <v>365</v>
      </c>
      <c r="C235" s="12" t="n">
        <v>416500</v>
      </c>
      <c r="D235" s="17"/>
      <c r="E235" s="13" t="n">
        <f aca="false">C235-D235</f>
        <v>416500</v>
      </c>
    </row>
    <row r="236" customFormat="false" ht="15" hidden="false" customHeight="false" outlineLevel="0" collapsed="false">
      <c r="A236" s="10" t="n">
        <v>21</v>
      </c>
      <c r="B236" s="74" t="s">
        <v>366</v>
      </c>
      <c r="C236" s="12" t="n">
        <v>416500</v>
      </c>
      <c r="D236" s="17" t="n">
        <f aca="false">100000+100000</f>
        <v>200000</v>
      </c>
      <c r="E236" s="13" t="n">
        <f aca="false">C236-D236</f>
        <v>216500</v>
      </c>
    </row>
    <row r="237" customFormat="false" ht="15" hidden="false" customHeight="false" outlineLevel="0" collapsed="false">
      <c r="A237" s="10" t="n">
        <v>22</v>
      </c>
      <c r="B237" s="16" t="s">
        <v>367</v>
      </c>
      <c r="C237" s="12" t="n">
        <v>416500</v>
      </c>
      <c r="D237" s="17" t="n">
        <f aca="false">100000+230000</f>
        <v>330000</v>
      </c>
      <c r="E237" s="13" t="n">
        <f aca="false">C237-D237</f>
        <v>86500</v>
      </c>
    </row>
    <row r="238" customFormat="false" ht="15" hidden="false" customHeight="false" outlineLevel="0" collapsed="false">
      <c r="A238" s="10" t="n">
        <v>23</v>
      </c>
      <c r="B238" s="16" t="s">
        <v>368</v>
      </c>
      <c r="C238" s="12" t="n">
        <v>616500</v>
      </c>
      <c r="D238" s="17" t="n">
        <v>616500</v>
      </c>
      <c r="E238" s="13" t="n">
        <f aca="false">C238-D238</f>
        <v>0</v>
      </c>
    </row>
    <row r="239" customFormat="false" ht="15" hidden="false" customHeight="false" outlineLevel="0" collapsed="false">
      <c r="A239" s="10" t="n">
        <v>24</v>
      </c>
      <c r="B239" s="16" t="s">
        <v>369</v>
      </c>
      <c r="C239" s="12" t="n">
        <v>416500</v>
      </c>
      <c r="D239" s="17" t="n">
        <f aca="false">216500</f>
        <v>216500</v>
      </c>
      <c r="E239" s="13" t="n">
        <f aca="false">C239-D239</f>
        <v>200000</v>
      </c>
    </row>
    <row r="240" customFormat="false" ht="15" hidden="false" customHeight="false" outlineLevel="0" collapsed="false">
      <c r="A240" s="10" t="n">
        <v>25</v>
      </c>
      <c r="B240" s="16" t="s">
        <v>370</v>
      </c>
      <c r="C240" s="12" t="n">
        <v>416500</v>
      </c>
      <c r="D240" s="17" t="n">
        <f aca="false">100000</f>
        <v>100000</v>
      </c>
      <c r="E240" s="13" t="n">
        <f aca="false">C240-D240</f>
        <v>316500</v>
      </c>
    </row>
    <row r="241" customFormat="false" ht="15" hidden="false" customHeight="false" outlineLevel="0" collapsed="false">
      <c r="A241" s="10" t="n">
        <v>26</v>
      </c>
      <c r="B241" s="16" t="s">
        <v>371</v>
      </c>
      <c r="C241" s="12" t="n">
        <v>416500</v>
      </c>
      <c r="D241" s="17" t="n">
        <f aca="false">200000</f>
        <v>200000</v>
      </c>
      <c r="E241" s="13" t="n">
        <f aca="false">C241-D241</f>
        <v>216500</v>
      </c>
    </row>
    <row r="242" customFormat="false" ht="15" hidden="false" customHeight="false" outlineLevel="0" collapsed="false">
      <c r="A242" s="10" t="n">
        <v>27</v>
      </c>
      <c r="B242" s="16" t="s">
        <v>372</v>
      </c>
      <c r="C242" s="18" t="n">
        <v>416500</v>
      </c>
      <c r="D242" s="27" t="n">
        <f aca="false">260000+80000+35000+50000</f>
        <v>425000</v>
      </c>
      <c r="E242" s="19" t="n">
        <f aca="false">C242-D242</f>
        <v>-8500</v>
      </c>
    </row>
    <row r="243" customFormat="false" ht="17.35" hidden="false" customHeight="false" outlineLevel="0" collapsed="false">
      <c r="A243" s="21"/>
      <c r="B243" s="22" t="s">
        <v>30</v>
      </c>
      <c r="C243" s="23" t="n">
        <f aca="false">SUM(C216:C242)</f>
        <v>10196000</v>
      </c>
      <c r="D243" s="24" t="n">
        <f aca="false">SUM(D216:D242)</f>
        <v>4943000</v>
      </c>
      <c r="E243" s="25" t="n">
        <f aca="false">SUM(E216:E242)</f>
        <v>5253000</v>
      </c>
    </row>
    <row r="244" customFormat="false" ht="19.7" hidden="false" customHeight="false" outlineLevel="0" collapsed="false">
      <c r="A244" s="52"/>
      <c r="B244" s="69"/>
      <c r="C244" s="70"/>
      <c r="D244" s="71"/>
      <c r="E244" s="72"/>
    </row>
    <row r="247" customFormat="false" ht="17.35" hidden="false" customHeight="false" outlineLevel="0" collapsed="false">
      <c r="B247" s="2" t="s">
        <v>0</v>
      </c>
      <c r="C247" s="2"/>
    </row>
    <row r="249" customFormat="false" ht="15" hidden="false" customHeight="false" outlineLevel="0" collapsed="false">
      <c r="A249" s="1"/>
    </row>
    <row r="250" customFormat="false" ht="17.25" hidden="false" customHeight="false" outlineLevel="0" collapsed="false">
      <c r="A250" s="1"/>
      <c r="B250" s="3" t="s">
        <v>31</v>
      </c>
      <c r="D250" s="4" t="s">
        <v>210</v>
      </c>
    </row>
    <row r="251" customFormat="false" ht="15" hidden="false" customHeight="false" outlineLevel="0" collapsed="false">
      <c r="A251" s="1"/>
    </row>
    <row r="252" customFormat="false" ht="15" hidden="false" customHeight="false" outlineLevel="0" collapsed="false">
      <c r="A252" s="5" t="s">
        <v>3</v>
      </c>
      <c r="B252" s="6" t="s">
        <v>4</v>
      </c>
      <c r="C252" s="7" t="s">
        <v>5</v>
      </c>
      <c r="D252" s="8" t="s">
        <v>6</v>
      </c>
      <c r="E252" s="9" t="s">
        <v>7</v>
      </c>
    </row>
    <row r="253" customFormat="false" ht="15" hidden="false" customHeight="false" outlineLevel="0" collapsed="false">
      <c r="A253" s="10" t="n">
        <v>1</v>
      </c>
      <c r="B253" s="16" t="s">
        <v>373</v>
      </c>
      <c r="C253" s="12" t="n">
        <v>416500</v>
      </c>
      <c r="D253" s="17" t="n">
        <f aca="false">50500</f>
        <v>50500</v>
      </c>
      <c r="E253" s="13" t="n">
        <f aca="false">C253-D253</f>
        <v>366000</v>
      </c>
    </row>
    <row r="254" customFormat="false" ht="15" hidden="false" customHeight="false" outlineLevel="0" collapsed="false">
      <c r="A254" s="26" t="n">
        <v>2</v>
      </c>
      <c r="B254" s="16" t="s">
        <v>374</v>
      </c>
      <c r="C254" s="12" t="n">
        <v>416500</v>
      </c>
      <c r="D254" s="17" t="n">
        <f aca="false">100000+100000+100000+116500</f>
        <v>416500</v>
      </c>
      <c r="E254" s="13" t="n">
        <f aca="false">C254-D254</f>
        <v>0</v>
      </c>
    </row>
    <row r="255" customFormat="false" ht="15" hidden="false" customHeight="false" outlineLevel="0" collapsed="false">
      <c r="A255" s="26" t="n">
        <v>3</v>
      </c>
      <c r="B255" s="16" t="s">
        <v>375</v>
      </c>
      <c r="C255" s="12" t="n">
        <v>416500</v>
      </c>
      <c r="D255" s="17" t="n">
        <f aca="false">100000+100000+145500</f>
        <v>345500</v>
      </c>
      <c r="E255" s="13" t="n">
        <f aca="false">C255-D255</f>
        <v>71000</v>
      </c>
    </row>
    <row r="256" customFormat="false" ht="15" hidden="false" customHeight="false" outlineLevel="0" collapsed="false">
      <c r="A256" s="26" t="n">
        <v>4</v>
      </c>
      <c r="B256" s="16" t="s">
        <v>376</v>
      </c>
      <c r="C256" s="12" t="n">
        <v>416500</v>
      </c>
      <c r="D256" s="17" t="n">
        <f aca="false">200000</f>
        <v>200000</v>
      </c>
      <c r="E256" s="13" t="n">
        <f aca="false">C256-D256</f>
        <v>216500</v>
      </c>
    </row>
    <row r="257" customFormat="false" ht="15" hidden="false" customHeight="false" outlineLevel="0" collapsed="false">
      <c r="A257" s="10" t="n">
        <v>5</v>
      </c>
      <c r="B257" s="16" t="s">
        <v>377</v>
      </c>
      <c r="C257" s="12" t="n">
        <v>416500</v>
      </c>
      <c r="D257" s="17"/>
      <c r="E257" s="13" t="n">
        <f aca="false">C257-D257</f>
        <v>416500</v>
      </c>
    </row>
    <row r="258" customFormat="false" ht="15" hidden="false" customHeight="false" outlineLevel="0" collapsed="false">
      <c r="A258" s="10" t="n">
        <v>6</v>
      </c>
      <c r="B258" s="20" t="s">
        <v>378</v>
      </c>
      <c r="C258" s="12" t="s">
        <v>40</v>
      </c>
      <c r="D258" s="12"/>
      <c r="E258" s="46" t="s">
        <v>40</v>
      </c>
    </row>
    <row r="259" customFormat="false" ht="15" hidden="false" customHeight="false" outlineLevel="0" collapsed="false">
      <c r="A259" s="10" t="n">
        <v>7</v>
      </c>
      <c r="B259" s="16" t="s">
        <v>379</v>
      </c>
      <c r="C259" s="12" t="n">
        <v>416500</v>
      </c>
      <c r="D259" s="17"/>
      <c r="E259" s="13" t="n">
        <f aca="false">C259-D259</f>
        <v>416500</v>
      </c>
    </row>
    <row r="260" customFormat="false" ht="15" hidden="false" customHeight="false" outlineLevel="0" collapsed="false">
      <c r="A260" s="10" t="n">
        <v>8</v>
      </c>
      <c r="B260" s="16" t="s">
        <v>380</v>
      </c>
      <c r="C260" s="12" t="n">
        <v>416500</v>
      </c>
      <c r="D260" s="17" t="n">
        <f aca="false">216500+70000+130000</f>
        <v>416500</v>
      </c>
      <c r="E260" s="13" t="n">
        <f aca="false">C260-D260</f>
        <v>0</v>
      </c>
    </row>
    <row r="261" customFormat="false" ht="15" hidden="false" customHeight="false" outlineLevel="0" collapsed="false">
      <c r="A261" s="10" t="n">
        <v>9</v>
      </c>
      <c r="B261" s="16" t="s">
        <v>381</v>
      </c>
      <c r="C261" s="12" t="n">
        <v>416500</v>
      </c>
      <c r="D261" s="17" t="n">
        <f aca="false">216500+100000+100000</f>
        <v>416500</v>
      </c>
      <c r="E261" s="13" t="n">
        <f aca="false">C261-D261</f>
        <v>0</v>
      </c>
    </row>
    <row r="262" customFormat="false" ht="15" hidden="false" customHeight="false" outlineLevel="0" collapsed="false">
      <c r="A262" s="10" t="n">
        <v>10</v>
      </c>
      <c r="B262" s="16" t="s">
        <v>382</v>
      </c>
      <c r="C262" s="12" t="s">
        <v>40</v>
      </c>
      <c r="D262" s="17"/>
      <c r="E262" s="13" t="s">
        <v>40</v>
      </c>
    </row>
    <row r="263" customFormat="false" ht="15" hidden="false" customHeight="false" outlineLevel="0" collapsed="false">
      <c r="A263" s="10" t="n">
        <v>11</v>
      </c>
      <c r="B263" s="16" t="s">
        <v>383</v>
      </c>
      <c r="C263" s="12" t="n">
        <v>416500</v>
      </c>
      <c r="D263" s="17" t="n">
        <f aca="false">100000</f>
        <v>100000</v>
      </c>
      <c r="E263" s="13" t="n">
        <f aca="false">C263-D263</f>
        <v>316500</v>
      </c>
    </row>
    <row r="264" customFormat="false" ht="15" hidden="false" customHeight="false" outlineLevel="0" collapsed="false">
      <c r="A264" s="10" t="n">
        <v>12</v>
      </c>
      <c r="B264" s="16" t="s">
        <v>384</v>
      </c>
      <c r="C264" s="12" t="n">
        <v>416500</v>
      </c>
      <c r="D264" s="17" t="n">
        <v>416000</v>
      </c>
      <c r="E264" s="13" t="n">
        <f aca="false">C264-D264</f>
        <v>500</v>
      </c>
    </row>
    <row r="265" customFormat="false" ht="15" hidden="false" customHeight="false" outlineLevel="0" collapsed="false">
      <c r="A265" s="10" t="n">
        <v>13</v>
      </c>
      <c r="B265" s="16" t="s">
        <v>385</v>
      </c>
      <c r="C265" s="12" t="n">
        <v>416500</v>
      </c>
      <c r="D265" s="17" t="n">
        <f aca="false">200000</f>
        <v>200000</v>
      </c>
      <c r="E265" s="13" t="n">
        <f aca="false">C265-D265</f>
        <v>216500</v>
      </c>
    </row>
    <row r="266" customFormat="false" ht="15" hidden="false" customHeight="false" outlineLevel="0" collapsed="false">
      <c r="A266" s="10" t="n">
        <v>14</v>
      </c>
      <c r="B266" s="16" t="s">
        <v>386</v>
      </c>
      <c r="C266" s="12" t="n">
        <v>416500</v>
      </c>
      <c r="D266" s="17"/>
      <c r="E266" s="13" t="n">
        <f aca="false">C266-D266</f>
        <v>416500</v>
      </c>
    </row>
    <row r="267" customFormat="false" ht="15" hidden="false" customHeight="false" outlineLevel="0" collapsed="false">
      <c r="A267" s="10" t="n">
        <v>15</v>
      </c>
      <c r="B267" s="16" t="s">
        <v>387</v>
      </c>
      <c r="C267" s="12" t="n">
        <v>416500</v>
      </c>
      <c r="D267" s="17"/>
      <c r="E267" s="13" t="n">
        <f aca="false">C267-D267</f>
        <v>416500</v>
      </c>
    </row>
    <row r="268" customFormat="false" ht="15" hidden="false" customHeight="false" outlineLevel="0" collapsed="false">
      <c r="A268" s="10" t="n">
        <v>16</v>
      </c>
      <c r="B268" s="16" t="s">
        <v>388</v>
      </c>
      <c r="C268" s="12" t="n">
        <v>416500</v>
      </c>
      <c r="D268" s="17" t="n">
        <f aca="false">150000+50000+150000+66500</f>
        <v>416500</v>
      </c>
      <c r="E268" s="13" t="n">
        <f aca="false">C268-D268</f>
        <v>0</v>
      </c>
    </row>
    <row r="269" customFormat="false" ht="15" hidden="false" customHeight="false" outlineLevel="0" collapsed="false">
      <c r="A269" s="10" t="n">
        <v>17</v>
      </c>
      <c r="B269" s="16" t="s">
        <v>389</v>
      </c>
      <c r="C269" s="12" t="n">
        <v>416500</v>
      </c>
      <c r="D269" s="27" t="n">
        <f aca="false">200000+121500+50000+45000</f>
        <v>416500</v>
      </c>
      <c r="E269" s="13" t="n">
        <f aca="false">C269-D269</f>
        <v>0</v>
      </c>
    </row>
    <row r="270" customFormat="false" ht="15" hidden="false" customHeight="false" outlineLevel="0" collapsed="false">
      <c r="A270" s="10" t="n">
        <v>18</v>
      </c>
      <c r="B270" s="16" t="s">
        <v>390</v>
      </c>
      <c r="C270" s="12" t="n">
        <v>416500</v>
      </c>
      <c r="D270" s="17" t="n">
        <f aca="false">200000+216500</f>
        <v>416500</v>
      </c>
      <c r="E270" s="13" t="n">
        <f aca="false">C270-D270</f>
        <v>0</v>
      </c>
    </row>
    <row r="271" customFormat="false" ht="15" hidden="false" customHeight="false" outlineLevel="0" collapsed="false">
      <c r="A271" s="10" t="n">
        <v>19</v>
      </c>
      <c r="B271" s="20" t="s">
        <v>391</v>
      </c>
      <c r="C271" s="45" t="s">
        <v>40</v>
      </c>
      <c r="D271" s="75"/>
      <c r="E271" s="46" t="s">
        <v>40</v>
      </c>
    </row>
    <row r="272" customFormat="false" ht="15" hidden="false" customHeight="false" outlineLevel="0" collapsed="false">
      <c r="A272" s="10" t="n">
        <v>20</v>
      </c>
      <c r="B272" s="16" t="s">
        <v>392</v>
      </c>
      <c r="C272" s="12" t="n">
        <v>416500</v>
      </c>
      <c r="D272" s="17" t="n">
        <f aca="false">120000+100000+50000+100000</f>
        <v>370000</v>
      </c>
      <c r="E272" s="13" t="n">
        <f aca="false">C272-D272</f>
        <v>46500</v>
      </c>
    </row>
    <row r="273" customFormat="false" ht="15" hidden="false" customHeight="false" outlineLevel="0" collapsed="false">
      <c r="A273" s="10" t="n">
        <v>21</v>
      </c>
      <c r="B273" s="16" t="s">
        <v>393</v>
      </c>
      <c r="C273" s="12" t="n">
        <v>416500</v>
      </c>
      <c r="D273" s="17" t="n">
        <f aca="false">100000+100000+216500</f>
        <v>416500</v>
      </c>
      <c r="E273" s="13" t="n">
        <f aca="false">C273-D273</f>
        <v>0</v>
      </c>
    </row>
    <row r="274" customFormat="false" ht="15" hidden="false" customHeight="false" outlineLevel="0" collapsed="false">
      <c r="A274" s="10" t="n">
        <v>22</v>
      </c>
      <c r="B274" s="16" t="s">
        <v>394</v>
      </c>
      <c r="C274" s="12" t="n">
        <v>416500</v>
      </c>
      <c r="D274" s="17" t="n">
        <f aca="false">150000+50000</f>
        <v>200000</v>
      </c>
      <c r="E274" s="13" t="n">
        <f aca="false">C274-D274</f>
        <v>216500</v>
      </c>
    </row>
    <row r="275" customFormat="false" ht="15" hidden="false" customHeight="false" outlineLevel="0" collapsed="false">
      <c r="A275" s="10" t="n">
        <v>23</v>
      </c>
      <c r="B275" s="16" t="s">
        <v>395</v>
      </c>
      <c r="C275" s="12" t="n">
        <v>416500</v>
      </c>
      <c r="D275" s="17" t="n">
        <f aca="false">100000+150000</f>
        <v>250000</v>
      </c>
      <c r="E275" s="13" t="n">
        <f aca="false">C275-D275</f>
        <v>166500</v>
      </c>
    </row>
    <row r="276" customFormat="false" ht="15" hidden="false" customHeight="false" outlineLevel="0" collapsed="false">
      <c r="A276" s="10" t="n">
        <v>24</v>
      </c>
      <c r="B276" s="16" t="s">
        <v>396</v>
      </c>
      <c r="C276" s="12" t="n">
        <v>416500</v>
      </c>
      <c r="D276" s="17"/>
      <c r="E276" s="13" t="n">
        <f aca="false">C276-D276</f>
        <v>416500</v>
      </c>
    </row>
    <row r="277" customFormat="false" ht="15" hidden="false" customHeight="false" outlineLevel="0" collapsed="false">
      <c r="A277" s="10" t="n">
        <v>25</v>
      </c>
      <c r="B277" s="16" t="s">
        <v>397</v>
      </c>
      <c r="C277" s="12" t="n">
        <v>416500</v>
      </c>
      <c r="D277" s="17"/>
      <c r="E277" s="13" t="n">
        <f aca="false">C277-D277</f>
        <v>416500</v>
      </c>
    </row>
    <row r="278" customFormat="false" ht="15" hidden="false" customHeight="false" outlineLevel="0" collapsed="false">
      <c r="A278" s="10" t="n">
        <v>26</v>
      </c>
      <c r="B278" s="16" t="s">
        <v>398</v>
      </c>
      <c r="C278" s="12" t="n">
        <v>416500</v>
      </c>
      <c r="D278" s="17" t="n">
        <f aca="false">180000+40000</f>
        <v>220000</v>
      </c>
      <c r="E278" s="13" t="n">
        <f aca="false">C278-D278</f>
        <v>196500</v>
      </c>
    </row>
    <row r="279" customFormat="false" ht="15" hidden="false" customHeight="false" outlineLevel="0" collapsed="false">
      <c r="A279" s="10" t="n">
        <v>27</v>
      </c>
      <c r="B279" s="16" t="s">
        <v>399</v>
      </c>
      <c r="C279" s="12" t="n">
        <v>416500</v>
      </c>
      <c r="D279" s="17" t="n">
        <f aca="false">200000+101500+115000</f>
        <v>416500</v>
      </c>
      <c r="E279" s="13" t="n">
        <f aca="false">C279-D279</f>
        <v>0</v>
      </c>
    </row>
    <row r="280" customFormat="false" ht="15" hidden="false" customHeight="false" outlineLevel="0" collapsed="false">
      <c r="A280" s="10" t="n">
        <v>28</v>
      </c>
      <c r="B280" s="16" t="s">
        <v>400</v>
      </c>
      <c r="C280" s="12" t="n">
        <v>416500</v>
      </c>
      <c r="D280" s="17" t="n">
        <f aca="false">100000+166500+100000+50000</f>
        <v>416500</v>
      </c>
      <c r="E280" s="13" t="n">
        <f aca="false">C280-D280</f>
        <v>0</v>
      </c>
    </row>
    <row r="281" customFormat="false" ht="15" hidden="false" customHeight="false" outlineLevel="0" collapsed="false">
      <c r="A281" s="10" t="n">
        <v>29</v>
      </c>
      <c r="B281" s="16" t="s">
        <v>401</v>
      </c>
      <c r="C281" s="18" t="n">
        <v>416500</v>
      </c>
      <c r="D281" s="27" t="n">
        <f aca="false">216500+200000</f>
        <v>416500</v>
      </c>
      <c r="E281" s="19" t="n">
        <f aca="false">C281-D281</f>
        <v>0</v>
      </c>
    </row>
    <row r="282" customFormat="false" ht="15" hidden="false" customHeight="false" outlineLevel="0" collapsed="false">
      <c r="A282" s="10" t="n">
        <v>30</v>
      </c>
      <c r="B282" s="16" t="s">
        <v>402</v>
      </c>
      <c r="C282" s="12" t="n">
        <v>416500</v>
      </c>
      <c r="D282" s="17"/>
      <c r="E282" s="13" t="n">
        <f aca="false">C282-D282</f>
        <v>416500</v>
      </c>
    </row>
    <row r="283" customFormat="false" ht="15" hidden="false" customHeight="false" outlineLevel="0" collapsed="false">
      <c r="A283" s="10" t="n">
        <v>31</v>
      </c>
      <c r="B283" s="16" t="s">
        <v>403</v>
      </c>
      <c r="C283" s="18" t="n">
        <v>416500</v>
      </c>
      <c r="D283" s="27" t="n">
        <f aca="false">220000+200000</f>
        <v>420000</v>
      </c>
      <c r="E283" s="19" t="n">
        <f aca="false">C283-D283</f>
        <v>-3500</v>
      </c>
    </row>
    <row r="284" customFormat="false" ht="15" hidden="false" customHeight="false" outlineLevel="0" collapsed="false">
      <c r="A284" s="10" t="n">
        <v>32</v>
      </c>
      <c r="B284" s="16" t="s">
        <v>404</v>
      </c>
      <c r="C284" s="18" t="n">
        <v>416500</v>
      </c>
      <c r="D284" s="27" t="n">
        <f aca="false">216500+200000</f>
        <v>416500</v>
      </c>
      <c r="E284" s="19" t="n">
        <f aca="false">C284-D284</f>
        <v>0</v>
      </c>
    </row>
    <row r="285" customFormat="false" ht="15" hidden="false" customHeight="false" outlineLevel="0" collapsed="false">
      <c r="A285" s="10" t="n">
        <v>33</v>
      </c>
      <c r="B285" s="16" t="s">
        <v>405</v>
      </c>
      <c r="C285" s="12" t="n">
        <v>416500</v>
      </c>
      <c r="D285" s="17" t="n">
        <f aca="false">116500+200000+50000+50000</f>
        <v>416500</v>
      </c>
      <c r="E285" s="13" t="n">
        <f aca="false">C285-D285</f>
        <v>0</v>
      </c>
    </row>
    <row r="286" customFormat="false" ht="17.35" hidden="false" customHeight="false" outlineLevel="0" collapsed="false">
      <c r="A286" s="21"/>
      <c r="B286" s="22" t="s">
        <v>30</v>
      </c>
      <c r="C286" s="23" t="n">
        <f aca="false">SUM(C253:C285)</f>
        <v>12495000</v>
      </c>
      <c r="D286" s="24" t="n">
        <f aca="false">SUM(D253:D285)</f>
        <v>7770000</v>
      </c>
      <c r="E286" s="25" t="n">
        <f aca="false">SUM(E253:E285)</f>
        <v>4725000</v>
      </c>
    </row>
    <row r="287" customFormat="false" ht="17.35" hidden="false" customHeight="false" outlineLevel="0" collapsed="false">
      <c r="B287" s="28"/>
      <c r="C287" s="29"/>
      <c r="D287" s="30"/>
      <c r="E287" s="31"/>
    </row>
    <row r="288" customFormat="false" ht="17.35" hidden="false" customHeight="false" outlineLevel="0" collapsed="false">
      <c r="B288" s="28"/>
      <c r="C288" s="29"/>
      <c r="D288" s="30"/>
      <c r="E288" s="31"/>
    </row>
    <row r="289" customFormat="false" ht="17.35" hidden="false" customHeight="false" outlineLevel="0" collapsed="false">
      <c r="A289" s="76"/>
      <c r="B289" s="2" t="s">
        <v>0</v>
      </c>
    </row>
    <row r="290" customFormat="false" ht="15" hidden="false" customHeight="false" outlineLevel="0" collapsed="false">
      <c r="A290" s="52"/>
    </row>
    <row r="291" customFormat="false" ht="17.35" hidden="false" customHeight="false" outlineLevel="0" collapsed="false">
      <c r="A291" s="52"/>
      <c r="B291" s="47" t="s">
        <v>226</v>
      </c>
    </row>
    <row r="292" customFormat="false" ht="15" hidden="false" customHeight="false" outlineLevel="0" collapsed="false">
      <c r="A292" s="52"/>
      <c r="B292" s="3" t="s">
        <v>406</v>
      </c>
    </row>
    <row r="293" customFormat="false" ht="15" hidden="false" customHeight="false" outlineLevel="0" collapsed="false">
      <c r="A293" s="52"/>
    </row>
    <row r="294" customFormat="false" ht="15" hidden="false" customHeight="false" outlineLevel="0" collapsed="false">
      <c r="A294" s="5" t="s">
        <v>3</v>
      </c>
      <c r="B294" s="6" t="s">
        <v>4</v>
      </c>
      <c r="C294" s="7" t="s">
        <v>5</v>
      </c>
      <c r="D294" s="50" t="s">
        <v>6</v>
      </c>
      <c r="E294" s="9" t="s">
        <v>7</v>
      </c>
    </row>
    <row r="295" customFormat="false" ht="15" hidden="false" customHeight="false" outlineLevel="0" collapsed="false">
      <c r="A295" s="51" t="n">
        <v>1</v>
      </c>
      <c r="B295" s="34" t="s">
        <v>407</v>
      </c>
      <c r="C295" s="43" t="n">
        <v>416500</v>
      </c>
      <c r="D295" s="43"/>
      <c r="E295" s="44" t="n">
        <f aca="false">C295-D295</f>
        <v>416500</v>
      </c>
    </row>
    <row r="296" customFormat="false" ht="15" hidden="false" customHeight="false" outlineLevel="0" collapsed="false">
      <c r="A296" s="51" t="n">
        <v>2</v>
      </c>
      <c r="B296" s="20" t="s">
        <v>408</v>
      </c>
      <c r="C296" s="43" t="n">
        <v>416500</v>
      </c>
      <c r="D296" s="75"/>
      <c r="E296" s="44" t="n">
        <f aca="false">C296-D296</f>
        <v>416500</v>
      </c>
    </row>
    <row r="297" customFormat="false" ht="15" hidden="false" customHeight="false" outlineLevel="0" collapsed="false">
      <c r="A297" s="51" t="n">
        <v>3</v>
      </c>
      <c r="B297" s="20" t="s">
        <v>409</v>
      </c>
      <c r="C297" s="43" t="n">
        <v>416500</v>
      </c>
      <c r="D297" s="75"/>
      <c r="E297" s="44" t="n">
        <f aca="false">C297-D297</f>
        <v>416500</v>
      </c>
    </row>
    <row r="298" customFormat="false" ht="15" hidden="false" customHeight="false" outlineLevel="0" collapsed="false">
      <c r="A298" s="51" t="n">
        <v>4</v>
      </c>
      <c r="B298" s="20" t="s">
        <v>410</v>
      </c>
      <c r="C298" s="43" t="n">
        <v>416500</v>
      </c>
      <c r="D298" s="75" t="n">
        <v>416500</v>
      </c>
      <c r="E298" s="44" t="n">
        <f aca="false">C298-D298</f>
        <v>0</v>
      </c>
    </row>
    <row r="299" customFormat="false" ht="15" hidden="false" customHeight="false" outlineLevel="0" collapsed="false">
      <c r="A299" s="51" t="n">
        <v>5</v>
      </c>
      <c r="B299" s="20" t="s">
        <v>411</v>
      </c>
      <c r="C299" s="43" t="n">
        <v>416500</v>
      </c>
      <c r="D299" s="75" t="n">
        <f aca="false">60000+20500+66000+150000+123000</f>
        <v>419500</v>
      </c>
      <c r="E299" s="44" t="n">
        <f aca="false">C299-D299</f>
        <v>-3000</v>
      </c>
    </row>
    <row r="300" customFormat="false" ht="15" hidden="false" customHeight="false" outlineLevel="0" collapsed="false">
      <c r="A300" s="51" t="n">
        <v>6</v>
      </c>
      <c r="B300" s="20" t="s">
        <v>412</v>
      </c>
      <c r="C300" s="43" t="s">
        <v>413</v>
      </c>
      <c r="D300" s="75"/>
      <c r="E300" s="44" t="s">
        <v>413</v>
      </c>
    </row>
    <row r="301" customFormat="false" ht="15" hidden="false" customHeight="false" outlineLevel="0" collapsed="false">
      <c r="A301" s="51" t="n">
        <v>7</v>
      </c>
      <c r="B301" s="20" t="s">
        <v>414</v>
      </c>
      <c r="C301" s="43" t="n">
        <v>416500</v>
      </c>
      <c r="D301" s="75"/>
      <c r="E301" s="44" t="n">
        <f aca="false">C301-D301</f>
        <v>416500</v>
      </c>
    </row>
    <row r="302" customFormat="false" ht="15" hidden="false" customHeight="false" outlineLevel="0" collapsed="false">
      <c r="A302" s="51" t="n">
        <v>8</v>
      </c>
      <c r="B302" s="20" t="s">
        <v>415</v>
      </c>
      <c r="C302" s="43" t="n">
        <v>416500</v>
      </c>
      <c r="D302" s="75" t="n">
        <f aca="false">2000+50000</f>
        <v>52000</v>
      </c>
      <c r="E302" s="44" t="n">
        <f aca="false">C302-D302</f>
        <v>364500</v>
      </c>
    </row>
    <row r="303" customFormat="false" ht="15" hidden="false" customHeight="false" outlineLevel="0" collapsed="false">
      <c r="A303" s="51" t="n">
        <v>9</v>
      </c>
      <c r="B303" s="20" t="s">
        <v>416</v>
      </c>
      <c r="C303" s="43" t="n">
        <v>416500</v>
      </c>
      <c r="D303" s="75" t="n">
        <v>416500</v>
      </c>
      <c r="E303" s="44" t="n">
        <f aca="false">C303-D303</f>
        <v>0</v>
      </c>
    </row>
    <row r="304" customFormat="false" ht="15" hidden="false" customHeight="false" outlineLevel="0" collapsed="false">
      <c r="A304" s="51" t="n">
        <v>10</v>
      </c>
      <c r="B304" s="20" t="s">
        <v>417</v>
      </c>
      <c r="C304" s="43" t="n">
        <v>416500</v>
      </c>
      <c r="D304" s="75" t="n">
        <v>83500</v>
      </c>
      <c r="E304" s="44" t="n">
        <f aca="false">C304-D304</f>
        <v>333000</v>
      </c>
    </row>
    <row r="305" customFormat="false" ht="15" hidden="false" customHeight="false" outlineLevel="0" collapsed="false">
      <c r="A305" s="51" t="n">
        <v>11</v>
      </c>
      <c r="B305" s="20" t="s">
        <v>418</v>
      </c>
      <c r="C305" s="45" t="s">
        <v>40</v>
      </c>
      <c r="D305" s="75"/>
      <c r="E305" s="46" t="s">
        <v>40</v>
      </c>
    </row>
    <row r="306" customFormat="false" ht="15" hidden="false" customHeight="false" outlineLevel="0" collapsed="false">
      <c r="A306" s="51" t="n">
        <v>12</v>
      </c>
      <c r="B306" s="20" t="s">
        <v>419</v>
      </c>
      <c r="C306" s="43" t="n">
        <v>416500</v>
      </c>
      <c r="D306" s="75"/>
      <c r="E306" s="44" t="n">
        <f aca="false">C306-D306</f>
        <v>416500</v>
      </c>
    </row>
    <row r="307" customFormat="false" ht="15" hidden="false" customHeight="false" outlineLevel="0" collapsed="false">
      <c r="A307" s="51" t="n">
        <v>13</v>
      </c>
      <c r="B307" s="20" t="s">
        <v>420</v>
      </c>
      <c r="C307" s="43" t="n">
        <v>416500</v>
      </c>
      <c r="D307" s="75"/>
      <c r="E307" s="44" t="n">
        <f aca="false">C307-D307</f>
        <v>416500</v>
      </c>
    </row>
    <row r="308" customFormat="false" ht="15" hidden="false" customHeight="false" outlineLevel="0" collapsed="false">
      <c r="A308" s="51" t="n">
        <v>14</v>
      </c>
      <c r="B308" s="20" t="s">
        <v>421</v>
      </c>
      <c r="C308" s="43" t="n">
        <v>416500</v>
      </c>
      <c r="D308" s="75" t="n">
        <f aca="false">200000</f>
        <v>200000</v>
      </c>
      <c r="E308" s="44" t="n">
        <f aca="false">C308-D308</f>
        <v>216500</v>
      </c>
    </row>
    <row r="309" customFormat="false" ht="15" hidden="false" customHeight="false" outlineLevel="0" collapsed="false">
      <c r="A309" s="51" t="n">
        <v>15</v>
      </c>
      <c r="B309" s="20" t="s">
        <v>422</v>
      </c>
      <c r="C309" s="43" t="n">
        <v>416500</v>
      </c>
      <c r="D309" s="75"/>
      <c r="E309" s="44" t="n">
        <f aca="false">C309-D309</f>
        <v>416500</v>
      </c>
    </row>
    <row r="310" customFormat="false" ht="15" hidden="false" customHeight="false" outlineLevel="0" collapsed="false">
      <c r="A310" s="51" t="n">
        <v>16</v>
      </c>
      <c r="B310" s="20" t="s">
        <v>423</v>
      </c>
      <c r="C310" s="43" t="n">
        <v>416500</v>
      </c>
      <c r="D310" s="75" t="n">
        <f aca="false">216500+200000</f>
        <v>416500</v>
      </c>
      <c r="E310" s="44" t="n">
        <f aca="false">C310-D310</f>
        <v>0</v>
      </c>
    </row>
    <row r="311" customFormat="false" ht="15" hidden="false" customHeight="false" outlineLevel="0" collapsed="false">
      <c r="A311" s="51" t="n">
        <v>17</v>
      </c>
      <c r="B311" s="20" t="s">
        <v>424</v>
      </c>
      <c r="C311" s="43" t="n">
        <v>416500</v>
      </c>
      <c r="D311" s="75" t="n">
        <f aca="false">330000+70000+16500</f>
        <v>416500</v>
      </c>
      <c r="E311" s="44" t="n">
        <f aca="false">C311-D311</f>
        <v>0</v>
      </c>
    </row>
    <row r="312" customFormat="false" ht="15" hidden="false" customHeight="false" outlineLevel="0" collapsed="false">
      <c r="A312" s="51" t="n">
        <v>18</v>
      </c>
      <c r="B312" s="20" t="s">
        <v>425</v>
      </c>
      <c r="C312" s="43" t="n">
        <v>416500</v>
      </c>
      <c r="D312" s="43"/>
      <c r="E312" s="44" t="n">
        <f aca="false">C312-D312</f>
        <v>416500</v>
      </c>
    </row>
    <row r="313" customFormat="false" ht="17.35" hidden="false" customHeight="false" outlineLevel="0" collapsed="false">
      <c r="A313" s="21"/>
      <c r="B313" s="59" t="s">
        <v>30</v>
      </c>
      <c r="C313" s="60" t="n">
        <f aca="false">SUM(C295:C312)</f>
        <v>6664000</v>
      </c>
      <c r="D313" s="61" t="n">
        <f aca="false">SUM(D295:D312)</f>
        <v>2421000</v>
      </c>
      <c r="E313" s="62" t="n">
        <f aca="false">SUM(E295:E312)</f>
        <v>4243000</v>
      </c>
    </row>
    <row r="314" customFormat="false" ht="17.35" hidden="false" customHeight="false" outlineLevel="0" collapsed="false">
      <c r="B314" s="77"/>
      <c r="C314" s="70"/>
      <c r="D314" s="71"/>
      <c r="E314" s="72"/>
    </row>
    <row r="315" customFormat="false" ht="17.35" hidden="false" customHeight="false" outlineLevel="0" collapsed="false">
      <c r="B315" s="77"/>
      <c r="C315" s="70"/>
      <c r="D315" s="71"/>
      <c r="E315" s="72"/>
    </row>
    <row r="316" customFormat="false" ht="17.35" hidden="false" customHeight="false" outlineLevel="0" collapsed="false">
      <c r="A316" s="1"/>
      <c r="B316" s="2" t="s">
        <v>0</v>
      </c>
    </row>
    <row r="317" customFormat="false" ht="17.35" hidden="false" customHeight="false" outlineLevel="0" collapsed="false">
      <c r="A317" s="33"/>
    </row>
    <row r="318" customFormat="false" ht="15" hidden="false" customHeight="false" outlineLevel="0" collapsed="false">
      <c r="A318" s="1"/>
    </row>
    <row r="319" customFormat="false" ht="17.25" hidden="false" customHeight="false" outlineLevel="0" collapsed="false">
      <c r="A319" s="1"/>
      <c r="B319" s="3" t="s">
        <v>65</v>
      </c>
    </row>
    <row r="320" customFormat="false" ht="15" hidden="false" customHeight="false" outlineLevel="0" collapsed="false">
      <c r="A320" s="1"/>
      <c r="D320" s="4" t="s">
        <v>192</v>
      </c>
    </row>
    <row r="321" customFormat="false" ht="15" hidden="false" customHeight="false" outlineLevel="0" collapsed="false">
      <c r="A321" s="1"/>
    </row>
    <row r="322" customFormat="false" ht="15" hidden="false" customHeight="false" outlineLevel="0" collapsed="false">
      <c r="A322" s="5" t="s">
        <v>3</v>
      </c>
      <c r="B322" s="6" t="s">
        <v>4</v>
      </c>
      <c r="C322" s="7" t="s">
        <v>5</v>
      </c>
      <c r="D322" s="8" t="s">
        <v>6</v>
      </c>
      <c r="E322" s="9" t="s">
        <v>7</v>
      </c>
    </row>
    <row r="323" customFormat="false" ht="15" hidden="false" customHeight="false" outlineLevel="0" collapsed="false">
      <c r="A323" s="0" t="n">
        <v>1</v>
      </c>
      <c r="B323" s="16" t="s">
        <v>426</v>
      </c>
      <c r="C323" s="18" t="n">
        <v>416500</v>
      </c>
      <c r="D323" s="18" t="n">
        <f aca="false">250000+166500</f>
        <v>416500</v>
      </c>
      <c r="E323" s="19" t="n">
        <f aca="false">C323-D323</f>
        <v>0</v>
      </c>
    </row>
    <row r="324" customFormat="false" ht="15" hidden="false" customHeight="false" outlineLevel="0" collapsed="false">
      <c r="A324" s="0" t="n">
        <v>2</v>
      </c>
      <c r="B324" s="14" t="s">
        <v>427</v>
      </c>
      <c r="C324" s="12" t="n">
        <v>416500</v>
      </c>
      <c r="D324" s="12" t="n">
        <f aca="false">149500+50000+149500+67500</f>
        <v>416500</v>
      </c>
      <c r="E324" s="13" t="n">
        <f aca="false">C324-D324</f>
        <v>0</v>
      </c>
    </row>
    <row r="325" customFormat="false" ht="15" hidden="false" customHeight="false" outlineLevel="0" collapsed="false">
      <c r="A325" s="10" t="n">
        <v>3</v>
      </c>
      <c r="B325" s="14" t="s">
        <v>428</v>
      </c>
      <c r="C325" s="12" t="n">
        <v>416500</v>
      </c>
      <c r="D325" s="12" t="n">
        <f aca="false">200000+120000+40000+60000</f>
        <v>420000</v>
      </c>
      <c r="E325" s="13" t="n">
        <f aca="false">C325-D325</f>
        <v>-3500</v>
      </c>
    </row>
    <row r="326" customFormat="false" ht="15" hidden="false" customHeight="false" outlineLevel="0" collapsed="false">
      <c r="A326" s="26" t="n">
        <v>4</v>
      </c>
      <c r="B326" s="14" t="s">
        <v>429</v>
      </c>
      <c r="C326" s="12" t="n">
        <v>416500</v>
      </c>
      <c r="D326" s="12" t="n">
        <f aca="false">150000+50000+50000</f>
        <v>250000</v>
      </c>
      <c r="E326" s="13" t="n">
        <f aca="false">C326-D326</f>
        <v>166500</v>
      </c>
    </row>
    <row r="327" customFormat="false" ht="15" hidden="false" customHeight="false" outlineLevel="0" collapsed="false">
      <c r="A327" s="10" t="n">
        <v>5</v>
      </c>
      <c r="B327" s="16" t="s">
        <v>430</v>
      </c>
      <c r="C327" s="18" t="n">
        <v>416500</v>
      </c>
      <c r="D327" s="18" t="n">
        <f aca="false">216500+200000</f>
        <v>416500</v>
      </c>
      <c r="E327" s="19" t="n">
        <f aca="false">C327-D327</f>
        <v>0</v>
      </c>
    </row>
    <row r="328" customFormat="false" ht="15" hidden="false" customHeight="false" outlineLevel="0" collapsed="false">
      <c r="A328" s="26" t="n">
        <v>6</v>
      </c>
      <c r="B328" s="34" t="s">
        <v>431</v>
      </c>
      <c r="C328" s="12" t="n">
        <v>416500</v>
      </c>
      <c r="D328" s="12" t="n">
        <f aca="false">190000+90000+90000+46500</f>
        <v>416500</v>
      </c>
      <c r="E328" s="13" t="n">
        <f aca="false">C328-D328</f>
        <v>0</v>
      </c>
    </row>
    <row r="329" customFormat="false" ht="15" hidden="false" customHeight="false" outlineLevel="0" collapsed="false">
      <c r="A329" s="26" t="n">
        <v>7</v>
      </c>
      <c r="B329" s="14" t="s">
        <v>432</v>
      </c>
      <c r="C329" s="12" t="n">
        <v>416500</v>
      </c>
      <c r="D329" s="12" t="n">
        <f aca="false">200000+50000+50000</f>
        <v>300000</v>
      </c>
      <c r="E329" s="13" t="n">
        <f aca="false">C329-D329</f>
        <v>116500</v>
      </c>
    </row>
    <row r="330" customFormat="false" ht="15" hidden="false" customHeight="false" outlineLevel="0" collapsed="false">
      <c r="A330" s="10" t="n">
        <v>8</v>
      </c>
      <c r="B330" s="34" t="s">
        <v>433</v>
      </c>
      <c r="C330" s="12" t="n">
        <v>416500</v>
      </c>
      <c r="D330" s="12" t="n">
        <f aca="false">200000</f>
        <v>200000</v>
      </c>
      <c r="E330" s="13" t="n">
        <f aca="false">C330-D330</f>
        <v>216500</v>
      </c>
    </row>
    <row r="331" customFormat="false" ht="15" hidden="false" customHeight="false" outlineLevel="0" collapsed="false">
      <c r="A331" s="26" t="n">
        <v>9</v>
      </c>
      <c r="B331" s="14" t="s">
        <v>434</v>
      </c>
      <c r="C331" s="12" t="n">
        <v>416500</v>
      </c>
      <c r="D331" s="12" t="n">
        <f aca="false">316500+100000</f>
        <v>416500</v>
      </c>
      <c r="E331" s="13" t="n">
        <f aca="false">C331-D331</f>
        <v>0</v>
      </c>
    </row>
    <row r="332" customFormat="false" ht="15" hidden="false" customHeight="false" outlineLevel="0" collapsed="false">
      <c r="A332" s="26" t="n">
        <v>10</v>
      </c>
      <c r="B332" s="14" t="s">
        <v>435</v>
      </c>
      <c r="C332" s="12" t="n">
        <v>416500</v>
      </c>
      <c r="D332" s="12" t="n">
        <f aca="false">103500+90000</f>
        <v>193500</v>
      </c>
      <c r="E332" s="13" t="n">
        <f aca="false">C332-D332</f>
        <v>223000</v>
      </c>
    </row>
    <row r="333" customFormat="false" ht="15" hidden="false" customHeight="false" outlineLevel="0" collapsed="false">
      <c r="A333" s="10" t="n">
        <v>11</v>
      </c>
      <c r="B333" s="14" t="s">
        <v>436</v>
      </c>
      <c r="C333" s="12" t="n">
        <v>416500</v>
      </c>
      <c r="D333" s="12" t="n">
        <f aca="false">100000</f>
        <v>100000</v>
      </c>
      <c r="E333" s="13" t="n">
        <f aca="false">C333-D333</f>
        <v>316500</v>
      </c>
    </row>
    <row r="334" customFormat="false" ht="15" hidden="false" customHeight="false" outlineLevel="0" collapsed="false">
      <c r="A334" s="35" t="n">
        <v>12</v>
      </c>
      <c r="B334" s="34" t="s">
        <v>437</v>
      </c>
      <c r="C334" s="12" t="n">
        <v>416500</v>
      </c>
      <c r="D334" s="12"/>
      <c r="E334" s="13" t="n">
        <v>416500</v>
      </c>
    </row>
    <row r="335" customFormat="false" ht="15" hidden="false" customHeight="false" outlineLevel="0" collapsed="false">
      <c r="A335" s="10" t="n">
        <v>13</v>
      </c>
      <c r="B335" s="14" t="s">
        <v>438</v>
      </c>
      <c r="C335" s="12" t="n">
        <v>416500</v>
      </c>
      <c r="D335" s="12" t="n">
        <f aca="false">200000+200000+17000</f>
        <v>417000</v>
      </c>
      <c r="E335" s="13" t="n">
        <f aca="false">C335-D335</f>
        <v>-500</v>
      </c>
    </row>
    <row r="336" customFormat="false" ht="15" hidden="false" customHeight="false" outlineLevel="0" collapsed="false">
      <c r="A336" s="26" t="n">
        <v>14</v>
      </c>
      <c r="B336" s="14" t="s">
        <v>439</v>
      </c>
      <c r="C336" s="12" t="n">
        <v>416500</v>
      </c>
      <c r="D336" s="12"/>
      <c r="E336" s="13" t="n">
        <f aca="false">C336-D336</f>
        <v>416500</v>
      </c>
    </row>
    <row r="337" customFormat="false" ht="15" hidden="false" customHeight="false" outlineLevel="0" collapsed="false">
      <c r="A337" s="10" t="n">
        <v>15</v>
      </c>
      <c r="B337" s="14" t="s">
        <v>440</v>
      </c>
      <c r="C337" s="12" t="n">
        <v>416500</v>
      </c>
      <c r="D337" s="12"/>
      <c r="E337" s="13" t="n">
        <f aca="false">C337-D337</f>
        <v>416500</v>
      </c>
    </row>
    <row r="338" customFormat="false" ht="15" hidden="false" customHeight="false" outlineLevel="0" collapsed="false">
      <c r="A338" s="10" t="n">
        <v>16</v>
      </c>
      <c r="B338" s="14" t="s">
        <v>441</v>
      </c>
      <c r="C338" s="12" t="n">
        <v>416500</v>
      </c>
      <c r="D338" s="12" t="n">
        <f aca="false">120000+80000</f>
        <v>200000</v>
      </c>
      <c r="E338" s="13" t="n">
        <f aca="false">C338-D338</f>
        <v>216500</v>
      </c>
    </row>
    <row r="339" customFormat="false" ht="15" hidden="false" customHeight="false" outlineLevel="0" collapsed="false">
      <c r="A339" s="10" t="n">
        <v>17</v>
      </c>
      <c r="B339" s="14" t="s">
        <v>442</v>
      </c>
      <c r="C339" s="12" t="n">
        <v>416500</v>
      </c>
      <c r="D339" s="12" t="n">
        <v>416500</v>
      </c>
      <c r="E339" s="13" t="n">
        <f aca="false">C339-D339</f>
        <v>0</v>
      </c>
    </row>
    <row r="340" customFormat="false" ht="15" hidden="false" customHeight="false" outlineLevel="0" collapsed="false">
      <c r="A340" s="10" t="n">
        <v>18</v>
      </c>
      <c r="B340" s="14" t="s">
        <v>443</v>
      </c>
      <c r="C340" s="12" t="n">
        <v>416500</v>
      </c>
      <c r="D340" s="12" t="n">
        <f aca="false">200000+166000</f>
        <v>366000</v>
      </c>
      <c r="E340" s="13" t="n">
        <f aca="false">C340-D340</f>
        <v>50500</v>
      </c>
    </row>
    <row r="341" customFormat="false" ht="15" hidden="false" customHeight="false" outlineLevel="0" collapsed="false">
      <c r="A341" s="10" t="n">
        <v>19</v>
      </c>
      <c r="B341" s="14" t="s">
        <v>444</v>
      </c>
      <c r="C341" s="12" t="n">
        <v>416500</v>
      </c>
      <c r="D341" s="12" t="n">
        <f aca="false">100000+20000</f>
        <v>120000</v>
      </c>
      <c r="E341" s="13" t="n">
        <f aca="false">C341-D341</f>
        <v>296500</v>
      </c>
    </row>
    <row r="342" customFormat="false" ht="15" hidden="false" customHeight="false" outlineLevel="0" collapsed="false">
      <c r="A342" s="10" t="n">
        <v>20</v>
      </c>
      <c r="B342" s="14" t="s">
        <v>445</v>
      </c>
      <c r="C342" s="12" t="n">
        <v>416500</v>
      </c>
      <c r="D342" s="12" t="n">
        <v>416500</v>
      </c>
      <c r="E342" s="13" t="n">
        <f aca="false">C342-D342</f>
        <v>0</v>
      </c>
    </row>
    <row r="343" customFormat="false" ht="15" hidden="false" customHeight="false" outlineLevel="0" collapsed="false">
      <c r="A343" s="10" t="n">
        <v>21</v>
      </c>
      <c r="B343" s="14" t="s">
        <v>446</v>
      </c>
      <c r="C343" s="12" t="n">
        <v>416500</v>
      </c>
      <c r="D343" s="12" t="n">
        <f aca="false">215500+200000</f>
        <v>415500</v>
      </c>
      <c r="E343" s="13" t="n">
        <f aca="false">C343-D343</f>
        <v>1000</v>
      </c>
    </row>
    <row r="344" customFormat="false" ht="15" hidden="false" customHeight="false" outlineLevel="0" collapsed="false">
      <c r="A344" s="10" t="n">
        <v>22</v>
      </c>
      <c r="B344" s="34" t="s">
        <v>447</v>
      </c>
      <c r="C344" s="12" t="n">
        <v>416500</v>
      </c>
      <c r="D344" s="12" t="n">
        <f aca="false">150000+100000+20000+30000+50000+30000+36500</f>
        <v>416500</v>
      </c>
      <c r="E344" s="13" t="n">
        <f aca="false">C344-D344</f>
        <v>0</v>
      </c>
    </row>
    <row r="345" customFormat="false" ht="15" hidden="false" customHeight="false" outlineLevel="0" collapsed="false">
      <c r="A345" s="10" t="n">
        <v>23</v>
      </c>
      <c r="B345" s="14" t="s">
        <v>448</v>
      </c>
      <c r="C345" s="12" t="n">
        <v>416500</v>
      </c>
      <c r="D345" s="12" t="n">
        <f aca="false">316500</f>
        <v>316500</v>
      </c>
      <c r="E345" s="13" t="n">
        <f aca="false">C345-D345</f>
        <v>100000</v>
      </c>
    </row>
    <row r="346" customFormat="false" ht="15" hidden="false" customHeight="false" outlineLevel="0" collapsed="false">
      <c r="A346" s="10" t="n">
        <v>24</v>
      </c>
      <c r="B346" s="16" t="s">
        <v>449</v>
      </c>
      <c r="C346" s="18" t="n">
        <v>416500</v>
      </c>
      <c r="D346" s="18" t="n">
        <f aca="false">200000+100000+100000+16500</f>
        <v>416500</v>
      </c>
      <c r="E346" s="19" t="n">
        <f aca="false">C346-D346</f>
        <v>0</v>
      </c>
    </row>
    <row r="347" customFormat="false" ht="15" hidden="false" customHeight="false" outlineLevel="0" collapsed="false">
      <c r="A347" s="10" t="n">
        <v>25</v>
      </c>
      <c r="B347" s="34" t="s">
        <v>450</v>
      </c>
      <c r="C347" s="12" t="n">
        <v>416500</v>
      </c>
      <c r="D347" s="12" t="n">
        <f aca="false">59500+120000</f>
        <v>179500</v>
      </c>
      <c r="E347" s="13" t="n">
        <f aca="false">C347-D347</f>
        <v>237000</v>
      </c>
    </row>
    <row r="348" customFormat="false" ht="15" hidden="false" customHeight="false" outlineLevel="0" collapsed="false">
      <c r="A348" s="10" t="n">
        <v>26</v>
      </c>
      <c r="B348" s="14" t="s">
        <v>451</v>
      </c>
      <c r="C348" s="18" t="n">
        <v>416500</v>
      </c>
      <c r="D348" s="18" t="n">
        <f aca="false">216000+150000+50500</f>
        <v>416500</v>
      </c>
      <c r="E348" s="19" t="n">
        <f aca="false">C348-D348</f>
        <v>0</v>
      </c>
    </row>
    <row r="349" customFormat="false" ht="15" hidden="false" customHeight="false" outlineLevel="0" collapsed="false">
      <c r="A349" s="10" t="n">
        <v>27</v>
      </c>
      <c r="B349" s="16" t="s">
        <v>452</v>
      </c>
      <c r="C349" s="18" t="n">
        <v>416500</v>
      </c>
      <c r="D349" s="18" t="n">
        <f aca="false">216500</f>
        <v>216500</v>
      </c>
      <c r="E349" s="19" t="n">
        <f aca="false">C349-D349</f>
        <v>200000</v>
      </c>
    </row>
    <row r="350" customFormat="false" ht="15" hidden="false" customHeight="false" outlineLevel="0" collapsed="false">
      <c r="A350" s="10" t="n">
        <v>28</v>
      </c>
      <c r="B350" s="14" t="s">
        <v>453</v>
      </c>
      <c r="C350" s="12" t="n">
        <v>416500</v>
      </c>
      <c r="D350" s="12"/>
      <c r="E350" s="13" t="n">
        <f aca="false">C350-D350</f>
        <v>416500</v>
      </c>
    </row>
    <row r="351" customFormat="false" ht="17.35" hidden="false" customHeight="false" outlineLevel="0" collapsed="false">
      <c r="A351" s="21"/>
      <c r="B351" s="22" t="s">
        <v>30</v>
      </c>
      <c r="C351" s="23" t="n">
        <f aca="false">SUM(C323:C350)</f>
        <v>11662000</v>
      </c>
      <c r="D351" s="24" t="n">
        <f aca="false">SUM(D323:D350)</f>
        <v>7859500</v>
      </c>
      <c r="E351" s="25" t="n">
        <f aca="false">SUM(E323:E350)</f>
        <v>3802500</v>
      </c>
    </row>
    <row r="352" customFormat="false" ht="17.35" hidden="false" customHeight="false" outlineLevel="0" collapsed="false">
      <c r="B352" s="77"/>
      <c r="C352" s="70"/>
      <c r="D352" s="71"/>
      <c r="E352" s="72"/>
    </row>
    <row r="355" customFormat="false" ht="17.35" hidden="false" customHeight="false" outlineLevel="0" collapsed="false">
      <c r="A355" s="1"/>
      <c r="B355" s="2" t="s">
        <v>0</v>
      </c>
    </row>
    <row r="356" customFormat="false" ht="17.35" hidden="false" customHeight="false" outlineLevel="0" collapsed="false">
      <c r="A356" s="33"/>
    </row>
    <row r="357" customFormat="false" ht="15" hidden="false" customHeight="false" outlineLevel="0" collapsed="false">
      <c r="A357" s="1"/>
    </row>
    <row r="358" customFormat="false" ht="17.25" hidden="false" customHeight="false" outlineLevel="0" collapsed="false">
      <c r="A358" s="1"/>
      <c r="B358" s="3" t="s">
        <v>65</v>
      </c>
    </row>
    <row r="359" customFormat="false" ht="15" hidden="false" customHeight="false" outlineLevel="0" collapsed="false">
      <c r="A359" s="1"/>
      <c r="D359" s="4" t="s">
        <v>210</v>
      </c>
    </row>
    <row r="360" customFormat="false" ht="15" hidden="false" customHeight="false" outlineLevel="0" collapsed="false">
      <c r="A360" s="1"/>
    </row>
    <row r="361" customFormat="false" ht="15" hidden="false" customHeight="false" outlineLevel="0" collapsed="false">
      <c r="A361" s="5" t="s">
        <v>3</v>
      </c>
      <c r="B361" s="6" t="s">
        <v>4</v>
      </c>
      <c r="C361" s="7" t="s">
        <v>5</v>
      </c>
      <c r="D361" s="8" t="s">
        <v>6</v>
      </c>
      <c r="E361" s="9" t="s">
        <v>7</v>
      </c>
    </row>
    <row r="362" customFormat="false" ht="15" hidden="false" customHeight="false" outlineLevel="0" collapsed="false">
      <c r="A362" s="10" t="n">
        <v>1</v>
      </c>
      <c r="B362" s="14" t="s">
        <v>454</v>
      </c>
      <c r="C362" s="12" t="n">
        <v>416500</v>
      </c>
      <c r="D362" s="12" t="n">
        <f aca="false">69950+147000+70000</f>
        <v>286950</v>
      </c>
      <c r="E362" s="13" t="n">
        <f aca="false">C362-D362</f>
        <v>129550</v>
      </c>
    </row>
    <row r="363" customFormat="false" ht="15" hidden="false" customHeight="false" outlineLevel="0" collapsed="false">
      <c r="A363" s="26" t="n">
        <v>2</v>
      </c>
      <c r="B363" s="14" t="s">
        <v>455</v>
      </c>
      <c r="C363" s="12" t="n">
        <v>416500</v>
      </c>
      <c r="D363" s="12" t="n">
        <v>416500</v>
      </c>
      <c r="E363" s="13" t="n">
        <f aca="false">C363-D363</f>
        <v>0</v>
      </c>
    </row>
    <row r="364" customFormat="false" ht="15" hidden="false" customHeight="false" outlineLevel="0" collapsed="false">
      <c r="A364" s="10" t="n">
        <v>3</v>
      </c>
      <c r="B364" s="16" t="s">
        <v>456</v>
      </c>
      <c r="C364" s="43" t="n">
        <v>416500</v>
      </c>
      <c r="D364" s="43"/>
      <c r="E364" s="44" t="n">
        <f aca="false">C364-D364</f>
        <v>416500</v>
      </c>
    </row>
    <row r="365" customFormat="false" ht="15" hidden="false" customHeight="false" outlineLevel="0" collapsed="false">
      <c r="A365" s="10" t="n">
        <v>4</v>
      </c>
      <c r="B365" s="14" t="s">
        <v>457</v>
      </c>
      <c r="C365" s="12" t="n">
        <v>416500</v>
      </c>
      <c r="D365" s="12" t="n">
        <f aca="false">103500+100000</f>
        <v>203500</v>
      </c>
      <c r="E365" s="13" t="n">
        <f aca="false">C365-D365</f>
        <v>213000</v>
      </c>
    </row>
    <row r="366" customFormat="false" ht="15" hidden="false" customHeight="false" outlineLevel="0" collapsed="false">
      <c r="A366" s="26" t="n">
        <v>5</v>
      </c>
      <c r="B366" s="14" t="s">
        <v>458</v>
      </c>
      <c r="C366" s="12" t="n">
        <v>416500</v>
      </c>
      <c r="D366" s="12" t="n">
        <v>416500</v>
      </c>
      <c r="E366" s="13" t="n">
        <f aca="false">C366-D366</f>
        <v>0</v>
      </c>
    </row>
    <row r="367" customFormat="false" ht="15" hidden="false" customHeight="false" outlineLevel="0" collapsed="false">
      <c r="A367" s="10" t="n">
        <v>6</v>
      </c>
      <c r="B367" s="14" t="s">
        <v>459</v>
      </c>
      <c r="C367" s="12" t="n">
        <v>416500</v>
      </c>
      <c r="D367" s="12"/>
      <c r="E367" s="13" t="n">
        <f aca="false">C367-D367</f>
        <v>416500</v>
      </c>
    </row>
    <row r="368" customFormat="false" ht="15" hidden="false" customHeight="false" outlineLevel="0" collapsed="false">
      <c r="A368" s="35" t="n">
        <v>7</v>
      </c>
      <c r="B368" s="14" t="s">
        <v>460</v>
      </c>
      <c r="C368" s="12" t="n">
        <v>416500</v>
      </c>
      <c r="D368" s="12" t="n">
        <f aca="false">220000+200000</f>
        <v>420000</v>
      </c>
      <c r="E368" s="13" t="n">
        <f aca="false">C368-D368</f>
        <v>-3500</v>
      </c>
    </row>
    <row r="369" customFormat="false" ht="15" hidden="false" customHeight="false" outlineLevel="0" collapsed="false">
      <c r="A369" s="10" t="n">
        <v>8</v>
      </c>
      <c r="B369" s="14" t="s">
        <v>461</v>
      </c>
      <c r="C369" s="12" t="n">
        <v>416500</v>
      </c>
      <c r="D369" s="12"/>
      <c r="E369" s="13" t="n">
        <f aca="false">C369-D369</f>
        <v>416500</v>
      </c>
    </row>
    <row r="370" customFormat="false" ht="15" hidden="false" customHeight="false" outlineLevel="0" collapsed="false">
      <c r="A370" s="35" t="n">
        <v>9</v>
      </c>
      <c r="B370" s="14" t="s">
        <v>462</v>
      </c>
      <c r="C370" s="12" t="n">
        <v>416500</v>
      </c>
      <c r="D370" s="12" t="n">
        <f aca="false">100000+50000+116000</f>
        <v>266000</v>
      </c>
      <c r="E370" s="13" t="n">
        <f aca="false">C370-D370</f>
        <v>150500</v>
      </c>
    </row>
    <row r="371" customFormat="false" ht="15" hidden="false" customHeight="false" outlineLevel="0" collapsed="false">
      <c r="A371" s="35" t="n">
        <v>10</v>
      </c>
      <c r="B371" s="14" t="s">
        <v>463</v>
      </c>
      <c r="C371" s="12" t="n">
        <v>416500</v>
      </c>
      <c r="D371" s="12" t="n">
        <f aca="false">100000+100000+216500</f>
        <v>416500</v>
      </c>
      <c r="E371" s="13" t="n">
        <f aca="false">C371-D371</f>
        <v>0</v>
      </c>
    </row>
    <row r="372" customFormat="false" ht="15" hidden="false" customHeight="false" outlineLevel="0" collapsed="false">
      <c r="A372" s="10" t="n">
        <v>11</v>
      </c>
      <c r="B372" s="14" t="s">
        <v>464</v>
      </c>
      <c r="C372" s="12" t="n">
        <v>416500</v>
      </c>
      <c r="D372" s="12" t="n">
        <f aca="false">216500+100000+100000</f>
        <v>416500</v>
      </c>
      <c r="E372" s="13" t="n">
        <f aca="false">C372-D372</f>
        <v>0</v>
      </c>
    </row>
    <row r="373" customFormat="false" ht="15" hidden="false" customHeight="false" outlineLevel="0" collapsed="false">
      <c r="A373" s="10" t="n">
        <v>12</v>
      </c>
      <c r="B373" s="14" t="s">
        <v>465</v>
      </c>
      <c r="C373" s="12" t="n">
        <v>416500</v>
      </c>
      <c r="D373" s="12" t="n">
        <f aca="false">17000+399500</f>
        <v>416500</v>
      </c>
      <c r="E373" s="13" t="n">
        <f aca="false">C373-D373</f>
        <v>0</v>
      </c>
    </row>
    <row r="374" customFormat="false" ht="15" hidden="false" customHeight="false" outlineLevel="0" collapsed="false">
      <c r="A374" s="10" t="n">
        <v>13</v>
      </c>
      <c r="B374" s="14" t="s">
        <v>466</v>
      </c>
      <c r="C374" s="12" t="n">
        <v>416500</v>
      </c>
      <c r="D374" s="12"/>
      <c r="E374" s="13" t="n">
        <f aca="false">C374-D374</f>
        <v>416500</v>
      </c>
    </row>
    <row r="375" customFormat="false" ht="17.35" hidden="false" customHeight="false" outlineLevel="0" collapsed="false">
      <c r="A375" s="21"/>
      <c r="B375" s="22" t="s">
        <v>30</v>
      </c>
      <c r="C375" s="23" t="n">
        <f aca="false">SUM(C362:C374)</f>
        <v>5414500</v>
      </c>
      <c r="D375" s="24" t="n">
        <f aca="false">SUM(D362:D374)</f>
        <v>3258950</v>
      </c>
      <c r="E375" s="25" t="n">
        <f aca="false">SUM(E362:E374)</f>
        <v>2155550</v>
      </c>
    </row>
    <row r="376" customFormat="false" ht="17.35" hidden="false" customHeight="false" outlineLevel="0" collapsed="false">
      <c r="B376" s="28"/>
      <c r="C376" s="29"/>
      <c r="D376" s="30"/>
      <c r="E376" s="31"/>
    </row>
    <row r="377" customFormat="false" ht="17.35" hidden="false" customHeight="false" outlineLevel="0" collapsed="false">
      <c r="B377" s="28"/>
      <c r="C377" s="29"/>
      <c r="D377" s="30"/>
      <c r="E377" s="31"/>
    </row>
    <row r="378" customFormat="false" ht="17.35" hidden="false" customHeight="false" outlineLevel="0" collapsed="false">
      <c r="B378" s="28"/>
      <c r="C378" s="29"/>
      <c r="D378" s="30"/>
      <c r="E378" s="31"/>
    </row>
    <row r="379" customFormat="false" ht="17.35" hidden="false" customHeight="false" outlineLevel="0" collapsed="false">
      <c r="A379" s="52"/>
      <c r="B379" s="2" t="s">
        <v>0</v>
      </c>
    </row>
    <row r="380" customFormat="false" ht="15" hidden="false" customHeight="false" outlineLevel="0" collapsed="false">
      <c r="A380" s="52"/>
    </row>
    <row r="381" customFormat="false" ht="17.35" hidden="false" customHeight="false" outlineLevel="0" collapsed="false">
      <c r="A381" s="52"/>
      <c r="B381" s="47" t="s">
        <v>467</v>
      </c>
    </row>
    <row r="382" customFormat="false" ht="15" hidden="false" customHeight="false" outlineLevel="0" collapsed="false">
      <c r="A382" s="52"/>
      <c r="B382" s="3" t="s">
        <v>468</v>
      </c>
    </row>
    <row r="383" customFormat="false" ht="15" hidden="false" customHeight="false" outlineLevel="0" collapsed="false">
      <c r="A383" s="48" t="s">
        <v>3</v>
      </c>
      <c r="B383" s="49" t="s">
        <v>228</v>
      </c>
      <c r="C383" s="7" t="s">
        <v>5</v>
      </c>
      <c r="D383" s="50" t="s">
        <v>6</v>
      </c>
      <c r="E383" s="9" t="s">
        <v>7</v>
      </c>
    </row>
    <row r="384" customFormat="false" ht="15" hidden="false" customHeight="false" outlineLevel="0" collapsed="false">
      <c r="A384" s="51" t="n">
        <v>1</v>
      </c>
      <c r="B384" s="16" t="s">
        <v>469</v>
      </c>
      <c r="C384" s="43" t="n">
        <v>416500</v>
      </c>
      <c r="D384" s="43" t="n">
        <v>416500</v>
      </c>
      <c r="E384" s="44" t="n">
        <f aca="false">C384-D384</f>
        <v>0</v>
      </c>
    </row>
    <row r="385" customFormat="false" ht="15" hidden="false" customHeight="false" outlineLevel="0" collapsed="false">
      <c r="A385" s="51" t="n">
        <v>2</v>
      </c>
      <c r="B385" s="16" t="s">
        <v>470</v>
      </c>
      <c r="C385" s="43" t="n">
        <v>416500</v>
      </c>
      <c r="D385" s="43" t="n">
        <f aca="false">416500</f>
        <v>416500</v>
      </c>
      <c r="E385" s="44" t="n">
        <f aca="false">C385-D385</f>
        <v>0</v>
      </c>
    </row>
    <row r="386" customFormat="false" ht="15" hidden="false" customHeight="false" outlineLevel="0" collapsed="false">
      <c r="A386" s="51" t="n">
        <v>3</v>
      </c>
      <c r="B386" s="16" t="s">
        <v>471</v>
      </c>
      <c r="C386" s="43" t="n">
        <v>416500</v>
      </c>
      <c r="D386" s="43" t="n">
        <f aca="false">320000+96500</f>
        <v>416500</v>
      </c>
      <c r="E386" s="44" t="n">
        <f aca="false">C386-D386</f>
        <v>0</v>
      </c>
    </row>
    <row r="387" customFormat="false" ht="15" hidden="false" customHeight="false" outlineLevel="0" collapsed="false">
      <c r="A387" s="51" t="n">
        <v>4</v>
      </c>
      <c r="B387" s="16" t="s">
        <v>472</v>
      </c>
      <c r="C387" s="43" t="n">
        <v>416500</v>
      </c>
      <c r="D387" s="43" t="n">
        <f aca="false">415500</f>
        <v>415500</v>
      </c>
      <c r="E387" s="44" t="n">
        <f aca="false">C387-D387</f>
        <v>1000</v>
      </c>
    </row>
    <row r="388" customFormat="false" ht="15" hidden="false" customHeight="false" outlineLevel="0" collapsed="false">
      <c r="A388" s="51" t="n">
        <v>5</v>
      </c>
      <c r="B388" s="16" t="s">
        <v>473</v>
      </c>
      <c r="C388" s="43" t="n">
        <v>416500</v>
      </c>
      <c r="D388" s="43" t="n">
        <f aca="false">16500+250000</f>
        <v>266500</v>
      </c>
      <c r="E388" s="44" t="n">
        <f aca="false">C388-D388</f>
        <v>150000</v>
      </c>
    </row>
    <row r="389" customFormat="false" ht="15" hidden="false" customHeight="false" outlineLevel="0" collapsed="false">
      <c r="A389" s="51" t="n">
        <v>6</v>
      </c>
      <c r="B389" s="16" t="s">
        <v>474</v>
      </c>
      <c r="C389" s="43" t="n">
        <v>416500</v>
      </c>
      <c r="D389" s="43" t="n">
        <f aca="false">16000+100000</f>
        <v>116000</v>
      </c>
      <c r="E389" s="44" t="n">
        <f aca="false">C389-D389</f>
        <v>300500</v>
      </c>
    </row>
    <row r="390" customFormat="false" ht="15" hidden="false" customHeight="false" outlineLevel="0" collapsed="false">
      <c r="A390" s="51" t="n">
        <v>7</v>
      </c>
      <c r="B390" s="16" t="s">
        <v>475</v>
      </c>
      <c r="C390" s="43" t="n">
        <v>416500</v>
      </c>
      <c r="D390" s="43" t="n">
        <f aca="false">100000+316500</f>
        <v>416500</v>
      </c>
      <c r="E390" s="44" t="n">
        <f aca="false">C390-D390</f>
        <v>0</v>
      </c>
    </row>
    <row r="391" customFormat="false" ht="15" hidden="false" customHeight="false" outlineLevel="0" collapsed="false">
      <c r="A391" s="51" t="n">
        <v>8</v>
      </c>
      <c r="B391" s="16" t="s">
        <v>476</v>
      </c>
      <c r="C391" s="43" t="n">
        <v>416500</v>
      </c>
      <c r="D391" s="43" t="n">
        <f aca="false">50000+50000</f>
        <v>100000</v>
      </c>
      <c r="E391" s="44" t="n">
        <f aca="false">C391-D391</f>
        <v>316500</v>
      </c>
    </row>
    <row r="392" customFormat="false" ht="15" hidden="false" customHeight="false" outlineLevel="0" collapsed="false">
      <c r="A392" s="51" t="n">
        <v>9</v>
      </c>
      <c r="B392" s="16" t="s">
        <v>477</v>
      </c>
      <c r="C392" s="43" t="n">
        <v>416500</v>
      </c>
      <c r="D392" s="43" t="n">
        <f aca="false">16500+100000</f>
        <v>116500</v>
      </c>
      <c r="E392" s="44" t="n">
        <f aca="false">C392-D392</f>
        <v>300000</v>
      </c>
    </row>
    <row r="393" customFormat="false" ht="17.35" hidden="false" customHeight="false" outlineLevel="0" collapsed="false">
      <c r="A393" s="58"/>
      <c r="B393" s="59" t="s">
        <v>30</v>
      </c>
      <c r="C393" s="60" t="n">
        <f aca="false">SUM(C384:C392)</f>
        <v>3748500</v>
      </c>
      <c r="D393" s="61" t="n">
        <f aca="false">SUM(D384:D392)</f>
        <v>2680500</v>
      </c>
      <c r="E393" s="62" t="n">
        <f aca="false">SUM(E384:E392)</f>
        <v>1068000</v>
      </c>
    </row>
    <row r="394" customFormat="false" ht="17.35" hidden="false" customHeight="false" outlineLevel="0" collapsed="false">
      <c r="B394" s="28"/>
      <c r="C394" s="29"/>
      <c r="D394" s="30"/>
      <c r="E394" s="31"/>
    </row>
    <row r="395" customFormat="false" ht="17.35" hidden="false" customHeight="false" outlineLevel="0" collapsed="false">
      <c r="B395" s="28"/>
      <c r="C395" s="29"/>
      <c r="D395" s="30"/>
      <c r="E395" s="31"/>
    </row>
    <row r="396" customFormat="false" ht="17.35" hidden="false" customHeight="false" outlineLevel="0" collapsed="false">
      <c r="B396" s="2" t="s">
        <v>0</v>
      </c>
    </row>
    <row r="397" customFormat="false" ht="15" hidden="false" customHeight="false" outlineLevel="0" collapsed="false">
      <c r="A397" s="1"/>
    </row>
    <row r="398" customFormat="false" ht="15" hidden="false" customHeight="false" outlineLevel="0" collapsed="false">
      <c r="A398" s="1"/>
    </row>
    <row r="399" customFormat="false" ht="17.25" hidden="false" customHeight="false" outlineLevel="0" collapsed="false">
      <c r="A399" s="1"/>
      <c r="B399" s="3" t="s">
        <v>84</v>
      </c>
    </row>
    <row r="400" customFormat="false" ht="15" hidden="false" customHeight="false" outlineLevel="0" collapsed="false">
      <c r="A400" s="1"/>
      <c r="E400" s="4" t="s">
        <v>192</v>
      </c>
    </row>
    <row r="401" customFormat="false" ht="15" hidden="false" customHeight="false" outlineLevel="0" collapsed="false">
      <c r="A401" s="1"/>
    </row>
    <row r="402" customFormat="false" ht="15" hidden="false" customHeight="false" outlineLevel="0" collapsed="false">
      <c r="A402" s="5" t="s">
        <v>3</v>
      </c>
      <c r="B402" s="6" t="s">
        <v>4</v>
      </c>
      <c r="C402" s="7" t="s">
        <v>5</v>
      </c>
      <c r="D402" s="8" t="s">
        <v>6</v>
      </c>
      <c r="E402" s="9" t="s">
        <v>7</v>
      </c>
    </row>
    <row r="403" customFormat="false" ht="15" hidden="false" customHeight="false" outlineLevel="0" collapsed="false">
      <c r="A403" s="10" t="n">
        <v>1</v>
      </c>
      <c r="B403" s="14" t="s">
        <v>478</v>
      </c>
      <c r="C403" s="12" t="n">
        <v>416500</v>
      </c>
      <c r="D403" s="12" t="n">
        <f aca="false">200000+200000</f>
        <v>400000</v>
      </c>
      <c r="E403" s="13" t="n">
        <f aca="false">C403-D403</f>
        <v>16500</v>
      </c>
    </row>
    <row r="404" customFormat="false" ht="15" hidden="false" customHeight="false" outlineLevel="0" collapsed="false">
      <c r="A404" s="10" t="n">
        <v>2</v>
      </c>
      <c r="B404" s="14" t="s">
        <v>479</v>
      </c>
      <c r="C404" s="12" t="n">
        <v>416500</v>
      </c>
      <c r="D404" s="12" t="n">
        <f aca="false">200000+216500</f>
        <v>416500</v>
      </c>
      <c r="E404" s="13" t="n">
        <f aca="false">C404-D404</f>
        <v>0</v>
      </c>
    </row>
    <row r="405" customFormat="false" ht="15" hidden="false" customHeight="false" outlineLevel="0" collapsed="false">
      <c r="A405" s="10" t="n">
        <v>3</v>
      </c>
      <c r="B405" s="14" t="s">
        <v>480</v>
      </c>
      <c r="C405" s="12" t="n">
        <v>416500</v>
      </c>
      <c r="D405" s="12" t="n">
        <f aca="false">216000+100000+100500</f>
        <v>416500</v>
      </c>
      <c r="E405" s="13" t="n">
        <f aca="false">C405-D405</f>
        <v>0</v>
      </c>
    </row>
    <row r="406" customFormat="false" ht="15" hidden="false" customHeight="false" outlineLevel="0" collapsed="false">
      <c r="A406" s="10" t="n">
        <v>4</v>
      </c>
      <c r="B406" s="14" t="s">
        <v>481</v>
      </c>
      <c r="C406" s="18" t="n">
        <v>416500</v>
      </c>
      <c r="D406" s="18" t="n">
        <v>416500</v>
      </c>
      <c r="E406" s="13" t="n">
        <f aca="false">C406-D406</f>
        <v>0</v>
      </c>
    </row>
    <row r="407" customFormat="false" ht="15" hidden="false" customHeight="false" outlineLevel="0" collapsed="false">
      <c r="A407" s="10" t="n">
        <v>5</v>
      </c>
      <c r="B407" s="14" t="s">
        <v>482</v>
      </c>
      <c r="C407" s="12" t="n">
        <v>416500</v>
      </c>
      <c r="D407" s="12" t="n">
        <f aca="false">100000+100000+216500</f>
        <v>416500</v>
      </c>
      <c r="E407" s="13" t="n">
        <f aca="false">C407-D407</f>
        <v>0</v>
      </c>
    </row>
    <row r="408" customFormat="false" ht="15" hidden="false" customHeight="false" outlineLevel="0" collapsed="false">
      <c r="A408" s="10" t="n">
        <v>6</v>
      </c>
      <c r="B408" s="14" t="s">
        <v>483</v>
      </c>
      <c r="C408" s="12" t="n">
        <v>416500</v>
      </c>
      <c r="D408" s="12" t="n">
        <f aca="false">316500+100000</f>
        <v>416500</v>
      </c>
      <c r="E408" s="13" t="n">
        <f aca="false">C408-D408</f>
        <v>0</v>
      </c>
    </row>
    <row r="409" customFormat="false" ht="15" hidden="false" customHeight="false" outlineLevel="0" collapsed="false">
      <c r="A409" s="10" t="n">
        <v>7</v>
      </c>
      <c r="B409" s="14" t="s">
        <v>484</v>
      </c>
      <c r="C409" s="12" t="n">
        <v>416500</v>
      </c>
      <c r="D409" s="12" t="n">
        <f aca="false">149500+150000+117000</f>
        <v>416500</v>
      </c>
      <c r="E409" s="13" t="n">
        <f aca="false">C409-D409</f>
        <v>0</v>
      </c>
    </row>
    <row r="410" customFormat="false" ht="15" hidden="false" customHeight="false" outlineLevel="0" collapsed="false">
      <c r="A410" s="10" t="n">
        <v>8</v>
      </c>
      <c r="B410" s="14" t="s">
        <v>485</v>
      </c>
      <c r="C410" s="12" t="n">
        <v>416500</v>
      </c>
      <c r="D410" s="12" t="n">
        <f aca="false">100000+316500</f>
        <v>416500</v>
      </c>
      <c r="E410" s="13" t="n">
        <f aca="false">C410-D410</f>
        <v>0</v>
      </c>
    </row>
    <row r="411" customFormat="false" ht="15" hidden="false" customHeight="false" outlineLevel="0" collapsed="false">
      <c r="A411" s="10" t="n">
        <v>9</v>
      </c>
      <c r="B411" s="39" t="s">
        <v>486</v>
      </c>
      <c r="C411" s="12" t="n">
        <v>416500</v>
      </c>
      <c r="D411" s="37" t="n">
        <f aca="false">220000+196500</f>
        <v>416500</v>
      </c>
      <c r="E411" s="13" t="n">
        <f aca="false">C411-D411</f>
        <v>0</v>
      </c>
    </row>
    <row r="412" customFormat="false" ht="15" hidden="false" customHeight="false" outlineLevel="0" collapsed="false">
      <c r="A412" s="10" t="n">
        <v>10</v>
      </c>
      <c r="B412" s="36" t="s">
        <v>487</v>
      </c>
      <c r="C412" s="12" t="n">
        <v>416500</v>
      </c>
      <c r="D412" s="37" t="n">
        <f aca="false">149500+150500</f>
        <v>300000</v>
      </c>
      <c r="E412" s="13" t="n">
        <f aca="false">C412-D412</f>
        <v>116500</v>
      </c>
    </row>
    <row r="413" customFormat="false" ht="15" hidden="false" customHeight="false" outlineLevel="0" collapsed="false">
      <c r="A413" s="10" t="n">
        <v>11</v>
      </c>
      <c r="B413" s="36" t="s">
        <v>488</v>
      </c>
      <c r="C413" s="12" t="n">
        <v>416500</v>
      </c>
      <c r="D413" s="37" t="n">
        <f aca="false">216000+175000+25500</f>
        <v>416500</v>
      </c>
      <c r="E413" s="13" t="n">
        <f aca="false">C413-D413</f>
        <v>0</v>
      </c>
    </row>
    <row r="414" customFormat="false" ht="15" hidden="false" customHeight="false" outlineLevel="0" collapsed="false">
      <c r="A414" s="10" t="n">
        <v>12</v>
      </c>
      <c r="B414" s="38" t="s">
        <v>489</v>
      </c>
      <c r="C414" s="12" t="n">
        <v>416500</v>
      </c>
      <c r="D414" s="37" t="n">
        <f aca="false">216500+50000</f>
        <v>266500</v>
      </c>
      <c r="E414" s="13" t="n">
        <f aca="false">C414-D414</f>
        <v>150000</v>
      </c>
    </row>
    <row r="415" customFormat="false" ht="15" hidden="false" customHeight="false" outlineLevel="0" collapsed="false">
      <c r="A415" s="10" t="n">
        <v>13</v>
      </c>
      <c r="B415" s="36" t="s">
        <v>490</v>
      </c>
      <c r="C415" s="12" t="n">
        <v>416500</v>
      </c>
      <c r="D415" s="37" t="n">
        <f aca="false">216500+200000</f>
        <v>416500</v>
      </c>
      <c r="E415" s="13" t="n">
        <f aca="false">C415-D415</f>
        <v>0</v>
      </c>
    </row>
    <row r="416" customFormat="false" ht="15" hidden="false" customHeight="false" outlineLevel="0" collapsed="false">
      <c r="A416" s="10" t="n">
        <v>14</v>
      </c>
      <c r="B416" s="14" t="s">
        <v>491</v>
      </c>
      <c r="C416" s="12" t="n">
        <v>416500</v>
      </c>
      <c r="D416" s="37" t="n">
        <f aca="false">100000+50000+50000+216500</f>
        <v>416500</v>
      </c>
      <c r="E416" s="13" t="n">
        <f aca="false">C416-D416</f>
        <v>0</v>
      </c>
    </row>
    <row r="417" customFormat="false" ht="15" hidden="false" customHeight="false" outlineLevel="0" collapsed="false">
      <c r="A417" s="10" t="n">
        <v>15</v>
      </c>
      <c r="B417" s="36" t="s">
        <v>492</v>
      </c>
      <c r="C417" s="12" t="n">
        <v>416500</v>
      </c>
      <c r="D417" s="37" t="n">
        <f aca="false">40000+160000</f>
        <v>200000</v>
      </c>
      <c r="E417" s="13" t="n">
        <f aca="false">C417-D417</f>
        <v>216500</v>
      </c>
    </row>
    <row r="418" customFormat="false" ht="15" hidden="false" customHeight="false" outlineLevel="0" collapsed="false">
      <c r="A418" s="10" t="n">
        <v>16</v>
      </c>
      <c r="B418" s="36" t="s">
        <v>493</v>
      </c>
      <c r="C418" s="12" t="n">
        <v>416500</v>
      </c>
      <c r="D418" s="37" t="n">
        <f aca="false">200000+160000+57000</f>
        <v>417000</v>
      </c>
      <c r="E418" s="13" t="n">
        <f aca="false">C418-D418</f>
        <v>-500</v>
      </c>
    </row>
    <row r="419" customFormat="false" ht="17.35" hidden="false" customHeight="false" outlineLevel="0" collapsed="false">
      <c r="A419" s="21"/>
      <c r="B419" s="22" t="s">
        <v>30</v>
      </c>
      <c r="C419" s="23" t="n">
        <f aca="false">SUM(C403:C418)</f>
        <v>6664000</v>
      </c>
      <c r="D419" s="24" t="n">
        <f aca="false">SUM(D403:D418)</f>
        <v>6165000</v>
      </c>
      <c r="E419" s="25" t="n">
        <f aca="false">SUM(E403:E418)</f>
        <v>499000</v>
      </c>
    </row>
    <row r="420" customFormat="false" ht="17.35" hidden="false" customHeight="false" outlineLevel="0" collapsed="false">
      <c r="B420" s="28"/>
      <c r="C420" s="29"/>
      <c r="D420" s="30"/>
      <c r="E420" s="31"/>
    </row>
    <row r="422" customFormat="false" ht="17.35" hidden="false" customHeight="false" outlineLevel="0" collapsed="false">
      <c r="B422" s="2" t="s">
        <v>0</v>
      </c>
    </row>
    <row r="423" customFormat="false" ht="15" hidden="false" customHeight="false" outlineLevel="0" collapsed="false">
      <c r="A423" s="1"/>
    </row>
    <row r="424" customFormat="false" ht="15" hidden="false" customHeight="false" outlineLevel="0" collapsed="false">
      <c r="A424" s="1"/>
      <c r="B424" s="4" t="s">
        <v>210</v>
      </c>
    </row>
    <row r="425" customFormat="false" ht="17.25" hidden="false" customHeight="false" outlineLevel="0" collapsed="false">
      <c r="A425" s="1"/>
      <c r="B425" s="3" t="s">
        <v>84</v>
      </c>
    </row>
    <row r="426" customFormat="false" ht="15" hidden="false" customHeight="false" outlineLevel="0" collapsed="false">
      <c r="A426" s="1"/>
    </row>
    <row r="427" customFormat="false" ht="15" hidden="false" customHeight="false" outlineLevel="0" collapsed="false">
      <c r="A427" s="1"/>
    </row>
    <row r="428" customFormat="false" ht="15" hidden="false" customHeight="false" outlineLevel="0" collapsed="false">
      <c r="A428" s="5" t="s">
        <v>3</v>
      </c>
      <c r="B428" s="6" t="s">
        <v>4</v>
      </c>
      <c r="C428" s="7" t="s">
        <v>5</v>
      </c>
      <c r="D428" s="8" t="s">
        <v>6</v>
      </c>
      <c r="E428" s="9" t="s">
        <v>7</v>
      </c>
    </row>
    <row r="429" customFormat="false" ht="15" hidden="false" customHeight="false" outlineLevel="0" collapsed="false">
      <c r="A429" s="10" t="n">
        <v>1</v>
      </c>
      <c r="B429" s="14" t="s">
        <v>494</v>
      </c>
      <c r="C429" s="12" t="n">
        <v>416500</v>
      </c>
      <c r="D429" s="12" t="n">
        <f aca="false">133000</f>
        <v>133000</v>
      </c>
      <c r="E429" s="13" t="n">
        <f aca="false">C429-D429</f>
        <v>283500</v>
      </c>
    </row>
    <row r="430" customFormat="false" ht="15" hidden="false" customHeight="false" outlineLevel="0" collapsed="false">
      <c r="A430" s="10" t="n">
        <v>2</v>
      </c>
      <c r="B430" s="14" t="s">
        <v>495</v>
      </c>
      <c r="C430" s="12" t="n">
        <v>416500</v>
      </c>
      <c r="D430" s="12" t="n">
        <f aca="false">216500</f>
        <v>216500</v>
      </c>
      <c r="E430" s="13" t="n">
        <f aca="false">C430-D430</f>
        <v>200000</v>
      </c>
    </row>
    <row r="431" customFormat="false" ht="15" hidden="false" customHeight="false" outlineLevel="0" collapsed="false">
      <c r="A431" s="10" t="n">
        <v>3</v>
      </c>
      <c r="B431" s="14" t="s">
        <v>496</v>
      </c>
      <c r="C431" s="12" t="n">
        <v>416500</v>
      </c>
      <c r="D431" s="12" t="n">
        <f aca="false">129000+287500</f>
        <v>416500</v>
      </c>
      <c r="E431" s="13" t="n">
        <f aca="false">C431-D431</f>
        <v>0</v>
      </c>
    </row>
    <row r="432" customFormat="false" ht="15" hidden="false" customHeight="false" outlineLevel="0" collapsed="false">
      <c r="A432" s="10" t="n">
        <v>4</v>
      </c>
      <c r="B432" s="14" t="s">
        <v>497</v>
      </c>
      <c r="C432" s="12" t="n">
        <v>416500</v>
      </c>
      <c r="D432" s="12" t="n">
        <f aca="false">231000</f>
        <v>231000</v>
      </c>
      <c r="E432" s="13" t="n">
        <f aca="false">C432-D432</f>
        <v>185500</v>
      </c>
    </row>
    <row r="433" customFormat="false" ht="15" hidden="false" customHeight="false" outlineLevel="0" collapsed="false">
      <c r="A433" s="10" t="n">
        <v>5</v>
      </c>
      <c r="B433" s="14" t="s">
        <v>498</v>
      </c>
      <c r="C433" s="12" t="n">
        <v>416500</v>
      </c>
      <c r="D433" s="12" t="n">
        <f aca="false">200000+116500+100000</f>
        <v>416500</v>
      </c>
      <c r="E433" s="13" t="n">
        <f aca="false">C433-D433</f>
        <v>0</v>
      </c>
    </row>
    <row r="434" customFormat="false" ht="15" hidden="false" customHeight="false" outlineLevel="0" collapsed="false">
      <c r="A434" s="10" t="n">
        <v>6</v>
      </c>
      <c r="B434" s="14" t="s">
        <v>499</v>
      </c>
      <c r="C434" s="12" t="n">
        <v>416500</v>
      </c>
      <c r="D434" s="12"/>
      <c r="E434" s="13" t="n">
        <f aca="false">C434-D434</f>
        <v>416500</v>
      </c>
    </row>
    <row r="435" customFormat="false" ht="15" hidden="false" customHeight="false" outlineLevel="0" collapsed="false">
      <c r="A435" s="10" t="n">
        <v>7</v>
      </c>
      <c r="B435" s="14" t="s">
        <v>500</v>
      </c>
      <c r="C435" s="12" t="n">
        <v>416500</v>
      </c>
      <c r="D435" s="12" t="n">
        <f aca="false">200000+216500</f>
        <v>416500</v>
      </c>
      <c r="E435" s="13" t="n">
        <f aca="false">C435-D435</f>
        <v>0</v>
      </c>
    </row>
    <row r="436" customFormat="false" ht="15" hidden="false" customHeight="false" outlineLevel="0" collapsed="false">
      <c r="A436" s="10" t="n">
        <v>8</v>
      </c>
      <c r="B436" s="14" t="s">
        <v>501</v>
      </c>
      <c r="C436" s="12" t="n">
        <v>416500</v>
      </c>
      <c r="D436" s="12" t="n">
        <f aca="false">216500+200000</f>
        <v>416500</v>
      </c>
      <c r="E436" s="13" t="n">
        <f aca="false">C436-D436</f>
        <v>0</v>
      </c>
    </row>
    <row r="437" customFormat="false" ht="15" hidden="false" customHeight="false" outlineLevel="0" collapsed="false">
      <c r="A437" s="10" t="n">
        <v>9</v>
      </c>
      <c r="B437" s="14" t="s">
        <v>502</v>
      </c>
      <c r="C437" s="12" t="n">
        <v>416500</v>
      </c>
      <c r="D437" s="12" t="n">
        <f aca="false">83500+50000+66500</f>
        <v>200000</v>
      </c>
      <c r="E437" s="13" t="n">
        <f aca="false">C437-D437</f>
        <v>216500</v>
      </c>
    </row>
    <row r="438" customFormat="false" ht="15" hidden="false" customHeight="false" outlineLevel="0" collapsed="false">
      <c r="A438" s="10" t="n">
        <v>10</v>
      </c>
      <c r="B438" s="34" t="s">
        <v>503</v>
      </c>
      <c r="C438" s="12" t="n">
        <v>416500</v>
      </c>
      <c r="D438" s="12" t="n">
        <f aca="false">32500+167500</f>
        <v>200000</v>
      </c>
      <c r="E438" s="13" t="n">
        <f aca="false">C438-D438</f>
        <v>216500</v>
      </c>
    </row>
    <row r="439" customFormat="false" ht="15" hidden="false" customHeight="false" outlineLevel="0" collapsed="false">
      <c r="A439" s="10" t="n">
        <v>11</v>
      </c>
      <c r="B439" s="16" t="s">
        <v>504</v>
      </c>
      <c r="C439" s="12" t="n">
        <v>416500</v>
      </c>
      <c r="D439" s="12" t="n">
        <f aca="false">13500+403000</f>
        <v>416500</v>
      </c>
      <c r="E439" s="13" t="n">
        <f aca="false">C439-D439</f>
        <v>0</v>
      </c>
    </row>
    <row r="440" customFormat="false" ht="15" hidden="false" customHeight="false" outlineLevel="0" collapsed="false">
      <c r="A440" s="10" t="n">
        <v>12</v>
      </c>
      <c r="B440" s="14" t="s">
        <v>505</v>
      </c>
      <c r="C440" s="12" t="n">
        <v>416500</v>
      </c>
      <c r="D440" s="12" t="n">
        <f aca="false">50000+150000</f>
        <v>200000</v>
      </c>
      <c r="E440" s="13" t="n">
        <f aca="false">C440-D440</f>
        <v>216500</v>
      </c>
    </row>
    <row r="441" customFormat="false" ht="15" hidden="false" customHeight="false" outlineLevel="0" collapsed="false">
      <c r="A441" s="10" t="n">
        <v>13</v>
      </c>
      <c r="B441" s="14" t="s">
        <v>506</v>
      </c>
      <c r="C441" s="12" t="n">
        <v>416500</v>
      </c>
      <c r="D441" s="12" t="n">
        <f aca="false">200000</f>
        <v>200000</v>
      </c>
      <c r="E441" s="13" t="n">
        <f aca="false">C441-D441</f>
        <v>216500</v>
      </c>
    </row>
    <row r="442" customFormat="false" ht="15" hidden="false" customHeight="false" outlineLevel="0" collapsed="false">
      <c r="A442" s="10" t="n">
        <v>14</v>
      </c>
      <c r="B442" s="14" t="s">
        <v>507</v>
      </c>
      <c r="C442" s="12" t="n">
        <v>416500</v>
      </c>
      <c r="D442" s="12" t="n">
        <f aca="false">200000</f>
        <v>200000</v>
      </c>
      <c r="E442" s="13" t="n">
        <f aca="false">C442-D442</f>
        <v>216500</v>
      </c>
    </row>
    <row r="443" customFormat="false" ht="15" hidden="false" customHeight="false" outlineLevel="0" collapsed="false">
      <c r="A443" s="10" t="n">
        <v>15</v>
      </c>
      <c r="B443" s="14" t="s">
        <v>508</v>
      </c>
      <c r="C443" s="12" t="n">
        <v>416500</v>
      </c>
      <c r="D443" s="12" t="n">
        <f aca="false">100000+130000</f>
        <v>230000</v>
      </c>
      <c r="E443" s="13" t="n">
        <f aca="false">C443-D443</f>
        <v>186500</v>
      </c>
    </row>
    <row r="444" customFormat="false" ht="15" hidden="false" customHeight="false" outlineLevel="0" collapsed="false">
      <c r="A444" s="10" t="n">
        <v>16</v>
      </c>
      <c r="B444" s="14" t="s">
        <v>509</v>
      </c>
      <c r="C444" s="12" t="n">
        <v>416500</v>
      </c>
      <c r="D444" s="12" t="n">
        <f aca="false">100000+100000</f>
        <v>200000</v>
      </c>
      <c r="E444" s="13" t="n">
        <f aca="false">C444-D444</f>
        <v>216500</v>
      </c>
    </row>
    <row r="445" customFormat="false" ht="15" hidden="false" customHeight="false" outlineLevel="0" collapsed="false">
      <c r="A445" s="10" t="n">
        <v>17</v>
      </c>
      <c r="B445" s="36" t="s">
        <v>510</v>
      </c>
      <c r="C445" s="12" t="n">
        <v>416500</v>
      </c>
      <c r="D445" s="37" t="n">
        <f aca="false">216500+200000</f>
        <v>416500</v>
      </c>
      <c r="E445" s="13" t="n">
        <f aca="false">C445-D445</f>
        <v>0</v>
      </c>
    </row>
    <row r="446" customFormat="false" ht="15" hidden="false" customHeight="false" outlineLevel="0" collapsed="false">
      <c r="A446" s="10" t="n">
        <v>18</v>
      </c>
      <c r="B446" s="36" t="s">
        <v>511</v>
      </c>
      <c r="C446" s="12" t="n">
        <v>416500</v>
      </c>
      <c r="D446" s="37"/>
      <c r="E446" s="13" t="n">
        <f aca="false">C446-D446</f>
        <v>416500</v>
      </c>
    </row>
    <row r="447" customFormat="false" ht="15" hidden="false" customHeight="false" outlineLevel="0" collapsed="false">
      <c r="A447" s="10" t="n">
        <v>19</v>
      </c>
      <c r="B447" s="36" t="s">
        <v>512</v>
      </c>
      <c r="C447" s="12" t="n">
        <v>416500</v>
      </c>
      <c r="D447" s="37" t="n">
        <f aca="false">100000+100000+50000+116500+50000</f>
        <v>416500</v>
      </c>
      <c r="E447" s="13" t="n">
        <f aca="false">C447-D447</f>
        <v>0</v>
      </c>
    </row>
    <row r="448" customFormat="false" ht="15" hidden="false" customHeight="false" outlineLevel="0" collapsed="false">
      <c r="A448" s="10" t="n">
        <v>20</v>
      </c>
      <c r="B448" s="36" t="s">
        <v>513</v>
      </c>
      <c r="C448" s="12" t="n">
        <v>416500</v>
      </c>
      <c r="D448" s="37" t="n">
        <f aca="false">100000+70000+30000</f>
        <v>200000</v>
      </c>
      <c r="E448" s="13" t="n">
        <f aca="false">C448-D448</f>
        <v>216500</v>
      </c>
    </row>
    <row r="449" customFormat="false" ht="15" hidden="false" customHeight="false" outlineLevel="0" collapsed="false">
      <c r="A449" s="10" t="n">
        <v>21</v>
      </c>
      <c r="B449" s="36" t="s">
        <v>514</v>
      </c>
      <c r="C449" s="12" t="n">
        <v>416500</v>
      </c>
      <c r="D449" s="37" t="n">
        <f aca="false">116500+100000+200000</f>
        <v>416500</v>
      </c>
      <c r="E449" s="13" t="n">
        <f aca="false">C449-D449</f>
        <v>0</v>
      </c>
    </row>
    <row r="450" customFormat="false" ht="15" hidden="false" customHeight="false" outlineLevel="0" collapsed="false">
      <c r="A450" s="15" t="n">
        <v>22</v>
      </c>
      <c r="B450" s="20" t="s">
        <v>515</v>
      </c>
      <c r="C450" s="12" t="n">
        <v>416500</v>
      </c>
      <c r="D450" s="12" t="n">
        <f aca="false">116500+40000+60000</f>
        <v>216500</v>
      </c>
      <c r="E450" s="13" t="n">
        <f aca="false">C450-D450</f>
        <v>200000</v>
      </c>
    </row>
    <row r="451" customFormat="false" ht="15" hidden="false" customHeight="false" outlineLevel="0" collapsed="false">
      <c r="A451" s="15" t="n">
        <v>23</v>
      </c>
      <c r="B451" s="36" t="s">
        <v>516</v>
      </c>
      <c r="C451" s="12" t="n">
        <v>416500</v>
      </c>
      <c r="D451" s="37" t="n">
        <f aca="false">200000</f>
        <v>200000</v>
      </c>
      <c r="E451" s="13" t="n">
        <f aca="false">C451-D451</f>
        <v>216500</v>
      </c>
    </row>
    <row r="452" customFormat="false" ht="15" hidden="false" customHeight="false" outlineLevel="0" collapsed="false">
      <c r="A452" s="15" t="n">
        <v>24</v>
      </c>
      <c r="B452" s="36" t="s">
        <v>517</v>
      </c>
      <c r="C452" s="12" t="n">
        <v>416500</v>
      </c>
      <c r="D452" s="37" t="n">
        <f aca="false">216500+200000</f>
        <v>416500</v>
      </c>
      <c r="E452" s="13" t="n">
        <f aca="false">C452-D452</f>
        <v>0</v>
      </c>
    </row>
    <row r="453" customFormat="false" ht="17.35" hidden="false" customHeight="false" outlineLevel="0" collapsed="false">
      <c r="A453" s="21"/>
      <c r="B453" s="22" t="s">
        <v>30</v>
      </c>
      <c r="C453" s="23" t="n">
        <f aca="false">SUM(C429:C452)</f>
        <v>9996000</v>
      </c>
      <c r="D453" s="24" t="n">
        <f aca="false">SUM(D429:D452)</f>
        <v>6375500</v>
      </c>
      <c r="E453" s="25" t="n">
        <f aca="false">SUM(E429:E452)</f>
        <v>3620500</v>
      </c>
    </row>
    <row r="457" customFormat="false" ht="17.35" hidden="false" customHeight="false" outlineLevel="0" collapsed="false">
      <c r="A457" s="52"/>
      <c r="B457" s="2" t="s">
        <v>0</v>
      </c>
    </row>
    <row r="458" customFormat="false" ht="15" hidden="false" customHeight="false" outlineLevel="0" collapsed="false">
      <c r="A458" s="52"/>
    </row>
    <row r="459" customFormat="false" ht="17.35" hidden="false" customHeight="false" outlineLevel="0" collapsed="false">
      <c r="A459" s="52" t="s">
        <v>518</v>
      </c>
      <c r="B459" s="47" t="s">
        <v>226</v>
      </c>
    </row>
    <row r="460" customFormat="false" ht="15" hidden="false" customHeight="false" outlineLevel="0" collapsed="false">
      <c r="A460" s="52"/>
      <c r="B460" s="3" t="s">
        <v>519</v>
      </c>
    </row>
    <row r="461" customFormat="false" ht="15" hidden="false" customHeight="false" outlineLevel="0" collapsed="false">
      <c r="A461" s="48" t="s">
        <v>3</v>
      </c>
      <c r="B461" s="49" t="s">
        <v>228</v>
      </c>
      <c r="C461" s="7" t="s">
        <v>5</v>
      </c>
      <c r="D461" s="50" t="s">
        <v>6</v>
      </c>
      <c r="E461" s="9" t="s">
        <v>7</v>
      </c>
    </row>
    <row r="462" customFormat="false" ht="15" hidden="false" customHeight="false" outlineLevel="0" collapsed="false">
      <c r="A462" s="78" t="n">
        <v>1</v>
      </c>
      <c r="B462" s="20" t="s">
        <v>520</v>
      </c>
      <c r="C462" s="43" t="n">
        <v>416500</v>
      </c>
      <c r="D462" s="79"/>
      <c r="E462" s="43" t="n">
        <f aca="false">C462-D462</f>
        <v>416500</v>
      </c>
    </row>
    <row r="463" customFormat="false" ht="15" hidden="false" customHeight="false" outlineLevel="0" collapsed="false">
      <c r="A463" s="78" t="n">
        <v>2</v>
      </c>
      <c r="B463" s="20" t="s">
        <v>521</v>
      </c>
      <c r="C463" s="43" t="n">
        <v>416500</v>
      </c>
      <c r="D463" s="80" t="n">
        <f aca="false">200000+216500</f>
        <v>416500</v>
      </c>
      <c r="E463" s="43" t="n">
        <f aca="false">C463-D463</f>
        <v>0</v>
      </c>
    </row>
    <row r="464" customFormat="false" ht="15" hidden="false" customHeight="false" outlineLevel="0" collapsed="false">
      <c r="A464" s="78" t="n">
        <v>3</v>
      </c>
      <c r="B464" s="20" t="s">
        <v>522</v>
      </c>
      <c r="C464" s="43" t="n">
        <v>416500</v>
      </c>
      <c r="D464" s="80"/>
      <c r="E464" s="43" t="n">
        <f aca="false">C464-D464</f>
        <v>416500</v>
      </c>
    </row>
    <row r="465" customFormat="false" ht="15" hidden="false" customHeight="false" outlineLevel="0" collapsed="false">
      <c r="A465" s="78" t="n">
        <v>4</v>
      </c>
      <c r="B465" s="20" t="s">
        <v>523</v>
      </c>
      <c r="C465" s="43" t="n">
        <v>416500</v>
      </c>
      <c r="D465" s="80" t="n">
        <f aca="false">103500+300000+13000</f>
        <v>416500</v>
      </c>
      <c r="E465" s="43" t="n">
        <f aca="false">C465-D465</f>
        <v>0</v>
      </c>
    </row>
    <row r="466" customFormat="false" ht="15" hidden="false" customHeight="false" outlineLevel="0" collapsed="false">
      <c r="A466" s="78" t="n">
        <v>5</v>
      </c>
      <c r="B466" s="20" t="s">
        <v>524</v>
      </c>
      <c r="C466" s="43" t="n">
        <v>416500</v>
      </c>
      <c r="D466" s="80" t="n">
        <v>416500</v>
      </c>
      <c r="E466" s="43" t="n">
        <f aca="false">C466-D466</f>
        <v>0</v>
      </c>
    </row>
    <row r="467" customFormat="false" ht="15" hidden="false" customHeight="false" outlineLevel="0" collapsed="false">
      <c r="A467" s="51" t="n">
        <v>6</v>
      </c>
      <c r="B467" s="20" t="s">
        <v>525</v>
      </c>
      <c r="C467" s="43" t="n">
        <v>416500</v>
      </c>
      <c r="D467" s="43" t="n">
        <f aca="false">266500+150000</f>
        <v>416500</v>
      </c>
      <c r="E467" s="43" t="n">
        <f aca="false">C467-D467</f>
        <v>0</v>
      </c>
    </row>
    <row r="468" customFormat="false" ht="15" hidden="false" customHeight="false" outlineLevel="0" collapsed="false">
      <c r="A468" s="51" t="n">
        <v>7</v>
      </c>
      <c r="B468" s="20" t="s">
        <v>526</v>
      </c>
      <c r="C468" s="43" t="n">
        <v>416500</v>
      </c>
      <c r="D468" s="43"/>
      <c r="E468" s="43" t="n">
        <f aca="false">C468-D468</f>
        <v>416500</v>
      </c>
    </row>
    <row r="469" customFormat="false" ht="15" hidden="false" customHeight="false" outlineLevel="0" collapsed="false">
      <c r="A469" s="51" t="n">
        <v>8</v>
      </c>
      <c r="B469" s="20" t="s">
        <v>527</v>
      </c>
      <c r="C469" s="43" t="n">
        <v>416500</v>
      </c>
      <c r="D469" s="43" t="n">
        <f aca="false">298500+118000</f>
        <v>416500</v>
      </c>
      <c r="E469" s="43" t="n">
        <f aca="false">C469-D469</f>
        <v>0</v>
      </c>
    </row>
    <row r="470" customFormat="false" ht="15" hidden="false" customHeight="false" outlineLevel="0" collapsed="false">
      <c r="A470" s="51" t="n">
        <v>9</v>
      </c>
      <c r="B470" s="38" t="s">
        <v>528</v>
      </c>
      <c r="C470" s="43" t="n">
        <v>416500</v>
      </c>
      <c r="D470" s="43" t="n">
        <f aca="false">17000+200000+70000+80000+50000</f>
        <v>417000</v>
      </c>
      <c r="E470" s="43" t="n">
        <f aca="false">C470-D470</f>
        <v>-500</v>
      </c>
    </row>
    <row r="471" customFormat="false" ht="15" hidden="false" customHeight="false" outlineLevel="0" collapsed="false">
      <c r="A471" s="51" t="n">
        <v>10</v>
      </c>
      <c r="B471" s="38" t="s">
        <v>529</v>
      </c>
      <c r="C471" s="43" t="n">
        <v>416500</v>
      </c>
      <c r="D471" s="43" t="n">
        <v>416500</v>
      </c>
      <c r="E471" s="43" t="n">
        <f aca="false">C471-D471</f>
        <v>0</v>
      </c>
    </row>
    <row r="472" customFormat="false" ht="15" hidden="false" customHeight="false" outlineLevel="0" collapsed="false">
      <c r="A472" s="51" t="n">
        <v>11</v>
      </c>
      <c r="B472" s="38" t="s">
        <v>530</v>
      </c>
      <c r="C472" s="43" t="n">
        <v>416500</v>
      </c>
      <c r="D472" s="43" t="n">
        <f aca="false">416500</f>
        <v>416500</v>
      </c>
      <c r="E472" s="43" t="n">
        <f aca="false">C472-D472</f>
        <v>0</v>
      </c>
    </row>
    <row r="473" customFormat="false" ht="15" hidden="false" customHeight="false" outlineLevel="0" collapsed="false">
      <c r="A473" s="51" t="n">
        <v>12</v>
      </c>
      <c r="B473" s="38" t="s">
        <v>531</v>
      </c>
      <c r="C473" s="43" t="n">
        <v>416500</v>
      </c>
      <c r="D473" s="43" t="n">
        <f aca="false">83500+29950</f>
        <v>113450</v>
      </c>
      <c r="E473" s="43" t="n">
        <f aca="false">C473-D473</f>
        <v>303050</v>
      </c>
    </row>
    <row r="474" customFormat="false" ht="15" hidden="false" customHeight="false" outlineLevel="0" collapsed="false">
      <c r="A474" s="51" t="n">
        <v>13</v>
      </c>
      <c r="B474" s="38" t="s">
        <v>532</v>
      </c>
      <c r="C474" s="43" t="n">
        <v>416500</v>
      </c>
      <c r="D474" s="43"/>
      <c r="E474" s="43" t="n">
        <f aca="false">C474-D474</f>
        <v>416500</v>
      </c>
    </row>
    <row r="475" customFormat="false" ht="15" hidden="false" customHeight="false" outlineLevel="0" collapsed="false">
      <c r="A475" s="51" t="n">
        <v>14</v>
      </c>
      <c r="B475" s="38" t="s">
        <v>533</v>
      </c>
      <c r="C475" s="43" t="n">
        <v>416500</v>
      </c>
      <c r="D475" s="43" t="n">
        <f aca="false">67000</f>
        <v>67000</v>
      </c>
      <c r="E475" s="43" t="n">
        <f aca="false">C475-D475</f>
        <v>349500</v>
      </c>
    </row>
    <row r="476" customFormat="false" ht="15" hidden="false" customHeight="false" outlineLevel="0" collapsed="false">
      <c r="A476" s="51" t="n">
        <v>15</v>
      </c>
      <c r="B476" s="38" t="s">
        <v>534</v>
      </c>
      <c r="C476" s="43" t="n">
        <v>416500</v>
      </c>
      <c r="D476" s="43"/>
      <c r="E476" s="43" t="n">
        <f aca="false">C476-D476</f>
        <v>416500</v>
      </c>
    </row>
    <row r="477" customFormat="false" ht="15" hidden="false" customHeight="false" outlineLevel="0" collapsed="false">
      <c r="A477" s="51" t="n">
        <v>16</v>
      </c>
      <c r="B477" s="38" t="s">
        <v>535</v>
      </c>
      <c r="C477" s="43" t="n">
        <v>416500</v>
      </c>
      <c r="D477" s="43"/>
      <c r="E477" s="43" t="n">
        <f aca="false">C477-D477</f>
        <v>416500</v>
      </c>
    </row>
    <row r="478" customFormat="false" ht="15" hidden="false" customHeight="false" outlineLevel="0" collapsed="false">
      <c r="A478" s="51" t="n">
        <v>17</v>
      </c>
      <c r="B478" s="38" t="s">
        <v>536</v>
      </c>
      <c r="C478" s="43" t="n">
        <v>416500</v>
      </c>
      <c r="D478" s="43"/>
      <c r="E478" s="43" t="n">
        <f aca="false">C478-D478</f>
        <v>416500</v>
      </c>
    </row>
    <row r="479" customFormat="false" ht="15" hidden="false" customHeight="false" outlineLevel="0" collapsed="false">
      <c r="A479" s="51" t="n">
        <v>18</v>
      </c>
      <c r="B479" s="38" t="s">
        <v>537</v>
      </c>
      <c r="C479" s="43" t="n">
        <v>416500</v>
      </c>
      <c r="D479" s="43"/>
      <c r="E479" s="43" t="n">
        <f aca="false">C479-D479</f>
        <v>416500</v>
      </c>
    </row>
    <row r="480" customFormat="false" ht="15" hidden="false" customHeight="false" outlineLevel="0" collapsed="false">
      <c r="A480" s="51" t="n">
        <v>19</v>
      </c>
      <c r="B480" s="38" t="s">
        <v>538</v>
      </c>
      <c r="C480" s="43" t="n">
        <v>416500</v>
      </c>
      <c r="D480" s="43"/>
      <c r="E480" s="43" t="n">
        <f aca="false">C480-D480</f>
        <v>416500</v>
      </c>
    </row>
    <row r="481" customFormat="false" ht="15" hidden="false" customHeight="false" outlineLevel="0" collapsed="false">
      <c r="A481" s="51" t="n">
        <v>20</v>
      </c>
      <c r="B481" s="38" t="s">
        <v>539</v>
      </c>
      <c r="C481" s="43" t="n">
        <v>416500</v>
      </c>
      <c r="D481" s="43"/>
      <c r="E481" s="43" t="n">
        <f aca="false">C481-D481</f>
        <v>416500</v>
      </c>
    </row>
    <row r="482" customFormat="false" ht="17.35" hidden="false" customHeight="false" outlineLevel="0" collapsed="false">
      <c r="A482" s="58"/>
      <c r="B482" s="59" t="s">
        <v>30</v>
      </c>
      <c r="C482" s="60" t="n">
        <f aca="false">SUM(C462:C481)</f>
        <v>8330000</v>
      </c>
      <c r="D482" s="61" t="n">
        <f aca="false">SUM(D462:D481)</f>
        <v>3512950</v>
      </c>
      <c r="E482" s="62" t="n">
        <f aca="false">SUM(E462:E481)</f>
        <v>4817050</v>
      </c>
    </row>
    <row r="483" customFormat="false" ht="15" hidden="false" customHeight="false" outlineLevel="0" collapsed="false">
      <c r="A483" s="52"/>
    </row>
    <row r="484" customFormat="false" ht="15" hidden="false" customHeight="false" outlineLevel="0" collapsed="false">
      <c r="A484" s="52"/>
    </row>
    <row r="485" customFormat="false" ht="17.35" hidden="false" customHeight="false" outlineLevel="0" collapsed="false">
      <c r="A485" s="1"/>
      <c r="B485" s="2" t="s">
        <v>0</v>
      </c>
    </row>
    <row r="486" customFormat="false" ht="17.35" hidden="false" customHeight="false" outlineLevel="0" collapsed="false">
      <c r="A486" s="33"/>
    </row>
    <row r="487" customFormat="false" ht="15" hidden="false" customHeight="false" outlineLevel="0" collapsed="false">
      <c r="A487" s="1"/>
    </row>
    <row r="488" customFormat="false" ht="17.25" hidden="false" customHeight="false" outlineLevel="0" collapsed="false">
      <c r="A488" s="1"/>
      <c r="B488" s="3" t="s">
        <v>104</v>
      </c>
    </row>
    <row r="489" customFormat="false" ht="15" hidden="false" customHeight="false" outlineLevel="0" collapsed="false">
      <c r="A489" s="1"/>
      <c r="D489" s="4" t="s">
        <v>192</v>
      </c>
    </row>
    <row r="490" customFormat="false" ht="15" hidden="false" customHeight="false" outlineLevel="0" collapsed="false">
      <c r="A490" s="1"/>
    </row>
    <row r="491" customFormat="false" ht="15" hidden="false" customHeight="false" outlineLevel="0" collapsed="false">
      <c r="A491" s="5" t="s">
        <v>3</v>
      </c>
      <c r="B491" s="6" t="s">
        <v>4</v>
      </c>
      <c r="C491" s="7" t="s">
        <v>5</v>
      </c>
      <c r="D491" s="8" t="s">
        <v>6</v>
      </c>
      <c r="E491" s="9" t="s">
        <v>7</v>
      </c>
    </row>
    <row r="492" customFormat="false" ht="15" hidden="false" customHeight="false" outlineLevel="0" collapsed="false">
      <c r="A492" s="26" t="n">
        <v>1</v>
      </c>
      <c r="B492" s="14" t="s">
        <v>540</v>
      </c>
      <c r="C492" s="12" t="n">
        <v>416500</v>
      </c>
      <c r="D492" s="12" t="n">
        <f aca="false">200000+216500</f>
        <v>416500</v>
      </c>
      <c r="E492" s="13" t="n">
        <f aca="false">C492-D492</f>
        <v>0</v>
      </c>
    </row>
    <row r="493" customFormat="false" ht="15" hidden="false" customHeight="false" outlineLevel="0" collapsed="false">
      <c r="A493" s="10" t="n">
        <v>2</v>
      </c>
      <c r="B493" s="20" t="s">
        <v>541</v>
      </c>
      <c r="C493" s="12" t="n">
        <v>416500</v>
      </c>
      <c r="D493" s="12" t="n">
        <f aca="false">199500+100000+117000</f>
        <v>416500</v>
      </c>
      <c r="E493" s="13" t="n">
        <f aca="false">C493-D493</f>
        <v>0</v>
      </c>
    </row>
    <row r="494" customFormat="false" ht="15" hidden="false" customHeight="false" outlineLevel="0" collapsed="false">
      <c r="A494" s="10" t="n">
        <v>3</v>
      </c>
      <c r="B494" s="14" t="s">
        <v>542</v>
      </c>
      <c r="C494" s="12" t="n">
        <v>416500</v>
      </c>
      <c r="D494" s="12" t="n">
        <f aca="false">116000+85000</f>
        <v>201000</v>
      </c>
      <c r="E494" s="13" t="n">
        <f aca="false">C494-D494</f>
        <v>215500</v>
      </c>
    </row>
    <row r="495" customFormat="false" ht="15" hidden="false" customHeight="false" outlineLevel="0" collapsed="false">
      <c r="A495" s="26" t="n">
        <v>4</v>
      </c>
      <c r="B495" s="14" t="s">
        <v>543</v>
      </c>
      <c r="C495" s="12" t="n">
        <v>416500</v>
      </c>
      <c r="D495" s="12" t="n">
        <f aca="false">216500+200000</f>
        <v>416500</v>
      </c>
      <c r="E495" s="13" t="n">
        <f aca="false">C495-D495</f>
        <v>0</v>
      </c>
    </row>
    <row r="496" customFormat="false" ht="15" hidden="false" customHeight="false" outlineLevel="0" collapsed="false">
      <c r="A496" s="10" t="n">
        <v>5</v>
      </c>
      <c r="B496" s="14" t="s">
        <v>544</v>
      </c>
      <c r="C496" s="12" t="n">
        <v>416500</v>
      </c>
      <c r="D496" s="12" t="n">
        <f aca="false">200000+100000+2500+114000</f>
        <v>416500</v>
      </c>
      <c r="E496" s="13" t="n">
        <f aca="false">C496-D496</f>
        <v>0</v>
      </c>
    </row>
    <row r="497" customFormat="false" ht="15" hidden="false" customHeight="false" outlineLevel="0" collapsed="false">
      <c r="A497" s="26" t="n">
        <v>6</v>
      </c>
      <c r="B497" s="14" t="s">
        <v>545</v>
      </c>
      <c r="C497" s="12" t="n">
        <v>416500</v>
      </c>
      <c r="D497" s="12" t="n">
        <f aca="false">216500+200000</f>
        <v>416500</v>
      </c>
      <c r="E497" s="13" t="n">
        <f aca="false">C497-D497</f>
        <v>0</v>
      </c>
    </row>
    <row r="498" customFormat="false" ht="15" hidden="false" customHeight="false" outlineLevel="0" collapsed="false">
      <c r="A498" s="10" t="n">
        <v>7</v>
      </c>
      <c r="B498" s="14" t="s">
        <v>546</v>
      </c>
      <c r="C498" s="12" t="s">
        <v>205</v>
      </c>
      <c r="D498" s="12"/>
      <c r="E498" s="13" t="s">
        <v>206</v>
      </c>
    </row>
    <row r="499" customFormat="false" ht="15" hidden="false" customHeight="false" outlineLevel="0" collapsed="false">
      <c r="A499" s="35" t="n">
        <v>8</v>
      </c>
      <c r="B499" s="14" t="s">
        <v>547</v>
      </c>
      <c r="C499" s="12" t="n">
        <v>416500</v>
      </c>
      <c r="D499" s="12" t="n">
        <f aca="false">216500+200000</f>
        <v>416500</v>
      </c>
      <c r="E499" s="13" t="n">
        <f aca="false">C499-D499</f>
        <v>0</v>
      </c>
    </row>
    <row r="500" customFormat="false" ht="15" hidden="false" customHeight="false" outlineLevel="0" collapsed="false">
      <c r="A500" s="26" t="n">
        <v>9</v>
      </c>
      <c r="B500" s="14" t="s">
        <v>548</v>
      </c>
      <c r="C500" s="12" t="n">
        <v>416500</v>
      </c>
      <c r="D500" s="12" t="n">
        <f aca="false">116500+100000+200000</f>
        <v>416500</v>
      </c>
      <c r="E500" s="13" t="n">
        <f aca="false">C500-D500</f>
        <v>0</v>
      </c>
    </row>
    <row r="501" customFormat="false" ht="15" hidden="false" customHeight="false" outlineLevel="0" collapsed="false">
      <c r="A501" s="26" t="n">
        <v>10</v>
      </c>
      <c r="B501" s="14" t="s">
        <v>549</v>
      </c>
      <c r="C501" s="12" t="n">
        <v>416500</v>
      </c>
      <c r="D501" s="12" t="n">
        <f aca="false">220000+196500</f>
        <v>416500</v>
      </c>
      <c r="E501" s="13" t="n">
        <f aca="false">C501-D501</f>
        <v>0</v>
      </c>
    </row>
    <row r="502" customFormat="false" ht="15" hidden="false" customHeight="false" outlineLevel="0" collapsed="false">
      <c r="A502" s="26" t="n">
        <v>11</v>
      </c>
      <c r="B502" s="20" t="s">
        <v>550</v>
      </c>
      <c r="C502" s="12" t="n">
        <v>416500</v>
      </c>
      <c r="D502" s="12" t="n">
        <f aca="false">215000+201000+500</f>
        <v>416500</v>
      </c>
      <c r="E502" s="13" t="n">
        <f aca="false">C502-D502</f>
        <v>0</v>
      </c>
    </row>
    <row r="503" customFormat="false" ht="15" hidden="false" customHeight="false" outlineLevel="0" collapsed="false">
      <c r="A503" s="10" t="n">
        <v>12</v>
      </c>
      <c r="B503" s="14" t="s">
        <v>551</v>
      </c>
      <c r="C503" s="12" t="n">
        <v>416500</v>
      </c>
      <c r="D503" s="12" t="n">
        <f aca="false">200000+216500</f>
        <v>416500</v>
      </c>
      <c r="E503" s="13" t="n">
        <f aca="false">C503-D503</f>
        <v>0</v>
      </c>
    </row>
    <row r="504" customFormat="false" ht="15" hidden="false" customHeight="false" outlineLevel="0" collapsed="false">
      <c r="A504" s="10" t="n">
        <v>13</v>
      </c>
      <c r="B504" s="14" t="s">
        <v>552</v>
      </c>
      <c r="C504" s="12" t="n">
        <v>316500</v>
      </c>
      <c r="D504" s="12" t="n">
        <f aca="false">100000+50000+166000</f>
        <v>316000</v>
      </c>
      <c r="E504" s="13" t="n">
        <f aca="false">C504-D504</f>
        <v>500</v>
      </c>
    </row>
    <row r="505" customFormat="false" ht="15" hidden="false" customHeight="false" outlineLevel="0" collapsed="false">
      <c r="A505" s="35" t="n">
        <v>14</v>
      </c>
      <c r="B505" s="14" t="s">
        <v>553</v>
      </c>
      <c r="C505" s="12" t="n">
        <v>416500</v>
      </c>
      <c r="D505" s="12" t="n">
        <f aca="false">220000+196500</f>
        <v>416500</v>
      </c>
      <c r="E505" s="13" t="n">
        <f aca="false">C505-D505</f>
        <v>0</v>
      </c>
    </row>
    <row r="506" customFormat="false" ht="15" hidden="false" customHeight="false" outlineLevel="0" collapsed="false">
      <c r="A506" s="35" t="n">
        <v>15</v>
      </c>
      <c r="B506" s="14" t="s">
        <v>554</v>
      </c>
      <c r="C506" s="12" t="n">
        <v>416500</v>
      </c>
      <c r="D506" s="12" t="n">
        <v>416500</v>
      </c>
      <c r="E506" s="13" t="n">
        <f aca="false">C506-D506</f>
        <v>0</v>
      </c>
    </row>
    <row r="507" customFormat="false" ht="15" hidden="false" customHeight="false" outlineLevel="0" collapsed="false">
      <c r="A507" s="35" t="n">
        <v>16</v>
      </c>
      <c r="B507" s="14" t="s">
        <v>555</v>
      </c>
      <c r="C507" s="12" t="n">
        <v>416500</v>
      </c>
      <c r="D507" s="12" t="n">
        <f aca="false">150000+50000+216500</f>
        <v>416500</v>
      </c>
      <c r="E507" s="13" t="n">
        <f aca="false">C507-D507</f>
        <v>0</v>
      </c>
    </row>
    <row r="508" customFormat="false" ht="15" hidden="false" customHeight="false" outlineLevel="0" collapsed="false">
      <c r="A508" s="35" t="n">
        <v>17</v>
      </c>
      <c r="B508" s="14" t="s">
        <v>556</v>
      </c>
      <c r="C508" s="12" t="n">
        <v>416500</v>
      </c>
      <c r="D508" s="12" t="n">
        <f aca="false">200000+200000</f>
        <v>400000</v>
      </c>
      <c r="E508" s="13" t="n">
        <f aca="false">C508-D508</f>
        <v>16500</v>
      </c>
    </row>
    <row r="509" customFormat="false" ht="15" hidden="false" customHeight="false" outlineLevel="0" collapsed="false">
      <c r="A509" s="35" t="n">
        <v>18</v>
      </c>
      <c r="B509" s="14" t="s">
        <v>557</v>
      </c>
      <c r="C509" s="12" t="n">
        <v>416500</v>
      </c>
      <c r="D509" s="12" t="n">
        <f aca="false">200000+216500</f>
        <v>416500</v>
      </c>
      <c r="E509" s="13" t="n">
        <f aca="false">C509-D509</f>
        <v>0</v>
      </c>
    </row>
    <row r="510" customFormat="false" ht="15" hidden="false" customHeight="false" outlineLevel="0" collapsed="false">
      <c r="A510" s="35" t="n">
        <v>19</v>
      </c>
      <c r="B510" s="20" t="s">
        <v>558</v>
      </c>
      <c r="C510" s="12" t="n">
        <v>416500</v>
      </c>
      <c r="D510" s="12" t="n">
        <f aca="false">200000+216500</f>
        <v>416500</v>
      </c>
      <c r="E510" s="13" t="n">
        <f aca="false">C510-D510</f>
        <v>0</v>
      </c>
    </row>
    <row r="511" customFormat="false" ht="15" hidden="false" customHeight="false" outlineLevel="0" collapsed="false">
      <c r="A511" s="35" t="n">
        <v>20</v>
      </c>
      <c r="B511" s="14" t="s">
        <v>559</v>
      </c>
      <c r="C511" s="12" t="n">
        <v>416500</v>
      </c>
      <c r="D511" s="12" t="n">
        <f aca="false">200000+216500</f>
        <v>416500</v>
      </c>
      <c r="E511" s="13" t="n">
        <f aca="false">C511-D511</f>
        <v>0</v>
      </c>
    </row>
    <row r="512" customFormat="false" ht="15" hidden="false" customHeight="false" outlineLevel="0" collapsed="false">
      <c r="A512" s="35" t="n">
        <v>21</v>
      </c>
      <c r="B512" s="14" t="s">
        <v>560</v>
      </c>
      <c r="C512" s="12" t="n">
        <v>416500</v>
      </c>
      <c r="D512" s="12" t="n">
        <f aca="false">250000+100000+1500+65000</f>
        <v>416500</v>
      </c>
      <c r="E512" s="13" t="n">
        <f aca="false">C512-D512</f>
        <v>0</v>
      </c>
    </row>
    <row r="513" customFormat="false" ht="15" hidden="false" customHeight="false" outlineLevel="0" collapsed="false">
      <c r="A513" s="35" t="n">
        <v>22</v>
      </c>
      <c r="B513" s="14" t="s">
        <v>561</v>
      </c>
      <c r="C513" s="12" t="n">
        <v>416500</v>
      </c>
      <c r="D513" s="12" t="n">
        <f aca="false">200000+216500</f>
        <v>416500</v>
      </c>
      <c r="E513" s="13" t="n">
        <f aca="false">C513-D513</f>
        <v>0</v>
      </c>
    </row>
    <row r="514" customFormat="false" ht="15" hidden="false" customHeight="false" outlineLevel="0" collapsed="false">
      <c r="A514" s="35" t="n">
        <v>23</v>
      </c>
      <c r="B514" s="14" t="s">
        <v>562</v>
      </c>
      <c r="C514" s="12" t="n">
        <v>416500</v>
      </c>
      <c r="D514" s="12" t="n">
        <f aca="false">220000+200000</f>
        <v>420000</v>
      </c>
      <c r="E514" s="13" t="n">
        <f aca="false">C514-D514</f>
        <v>-3500</v>
      </c>
    </row>
    <row r="515" customFormat="false" ht="15" hidden="false" customHeight="false" outlineLevel="0" collapsed="false">
      <c r="A515" s="35" t="n">
        <v>24</v>
      </c>
      <c r="B515" s="20" t="s">
        <v>563</v>
      </c>
      <c r="C515" s="12" t="n">
        <v>416500</v>
      </c>
      <c r="D515" s="12" t="n">
        <f aca="false">216500</f>
        <v>216500</v>
      </c>
      <c r="E515" s="13" t="n">
        <f aca="false">C515-D515</f>
        <v>200000</v>
      </c>
    </row>
    <row r="516" customFormat="false" ht="15" hidden="false" customHeight="false" outlineLevel="0" collapsed="false">
      <c r="A516" s="10" t="n">
        <v>25</v>
      </c>
      <c r="B516" s="14" t="s">
        <v>564</v>
      </c>
      <c r="C516" s="12" t="n">
        <v>416500</v>
      </c>
      <c r="D516" s="12" t="n">
        <f aca="false">100000+100000+100000+50000+50000+16500</f>
        <v>416500</v>
      </c>
      <c r="E516" s="13" t="n">
        <f aca="false">C516-D516</f>
        <v>0</v>
      </c>
    </row>
    <row r="517" customFormat="false" ht="15" hidden="false" customHeight="false" outlineLevel="0" collapsed="false">
      <c r="A517" s="10" t="n">
        <v>26</v>
      </c>
      <c r="B517" s="14" t="s">
        <v>565</v>
      </c>
      <c r="C517" s="12" t="n">
        <v>416500</v>
      </c>
      <c r="D517" s="12" t="n">
        <f aca="false">150000+50000+216500</f>
        <v>416500</v>
      </c>
      <c r="E517" s="13" t="n">
        <f aca="false">C517-D517</f>
        <v>0</v>
      </c>
    </row>
    <row r="518" customFormat="false" ht="15" hidden="false" customHeight="false" outlineLevel="0" collapsed="false">
      <c r="A518" s="10" t="n">
        <v>27</v>
      </c>
      <c r="B518" s="14" t="s">
        <v>566</v>
      </c>
      <c r="C518" s="18" t="n">
        <v>416500</v>
      </c>
      <c r="D518" s="18" t="n">
        <f aca="false">216500+200000</f>
        <v>416500</v>
      </c>
      <c r="E518" s="19" t="n">
        <f aca="false">C518-D518</f>
        <v>0</v>
      </c>
    </row>
    <row r="519" customFormat="false" ht="15" hidden="false" customHeight="false" outlineLevel="0" collapsed="false">
      <c r="A519" s="10" t="n">
        <v>28</v>
      </c>
      <c r="B519" s="14" t="s">
        <v>567</v>
      </c>
      <c r="C519" s="12" t="n">
        <v>416500</v>
      </c>
      <c r="D519" s="12" t="n">
        <f aca="false">216500+200000</f>
        <v>416500</v>
      </c>
      <c r="E519" s="13" t="n">
        <f aca="false">C519-D519</f>
        <v>0</v>
      </c>
    </row>
    <row r="520" customFormat="false" ht="15" hidden="false" customHeight="false" outlineLevel="0" collapsed="false">
      <c r="A520" s="10" t="n">
        <v>29</v>
      </c>
      <c r="B520" s="14" t="s">
        <v>568</v>
      </c>
      <c r="C520" s="12" t="n">
        <v>416500</v>
      </c>
      <c r="D520" s="12" t="n">
        <f aca="false">216500+200000</f>
        <v>416500</v>
      </c>
      <c r="E520" s="13" t="n">
        <f aca="false">C520-D520</f>
        <v>0</v>
      </c>
    </row>
    <row r="521" customFormat="false" ht="15" hidden="false" customHeight="false" outlineLevel="0" collapsed="false">
      <c r="A521" s="10" t="n">
        <v>30</v>
      </c>
      <c r="B521" s="14" t="s">
        <v>569</v>
      </c>
      <c r="C521" s="12" t="n">
        <v>416500</v>
      </c>
      <c r="D521" s="12" t="n">
        <f aca="false">80000+20000+110000</f>
        <v>210000</v>
      </c>
      <c r="E521" s="13" t="n">
        <f aca="false">C521-D521</f>
        <v>206500</v>
      </c>
    </row>
    <row r="522" customFormat="false" ht="15" hidden="false" customHeight="false" outlineLevel="0" collapsed="false">
      <c r="A522" s="10" t="n">
        <v>31</v>
      </c>
      <c r="B522" s="14" t="s">
        <v>570</v>
      </c>
      <c r="C522" s="12" t="n">
        <v>416500</v>
      </c>
      <c r="D522" s="12" t="n">
        <f aca="false">216500+100000</f>
        <v>316500</v>
      </c>
      <c r="E522" s="13" t="n">
        <f aca="false">C522-D522</f>
        <v>100000</v>
      </c>
    </row>
    <row r="523" customFormat="false" ht="15" hidden="false" customHeight="false" outlineLevel="0" collapsed="false">
      <c r="A523" s="10" t="n">
        <v>32</v>
      </c>
      <c r="B523" s="14" t="s">
        <v>571</v>
      </c>
      <c r="C523" s="12" t="n">
        <v>416500</v>
      </c>
      <c r="D523" s="12" t="n">
        <f aca="false">220000+196500</f>
        <v>416500</v>
      </c>
      <c r="E523" s="13" t="n">
        <f aca="false">C523-D523</f>
        <v>0</v>
      </c>
    </row>
    <row r="524" customFormat="false" ht="15" hidden="false" customHeight="false" outlineLevel="0" collapsed="false">
      <c r="A524" s="10" t="n">
        <v>33</v>
      </c>
      <c r="B524" s="14" t="s">
        <v>572</v>
      </c>
      <c r="C524" s="12" t="n">
        <v>416500</v>
      </c>
      <c r="D524" s="12" t="n">
        <v>416500</v>
      </c>
      <c r="E524" s="13" t="n">
        <f aca="false">C524-D524</f>
        <v>0</v>
      </c>
    </row>
    <row r="525" customFormat="false" ht="15" hidden="false" customHeight="false" outlineLevel="0" collapsed="false">
      <c r="A525" s="10" t="n">
        <v>34</v>
      </c>
      <c r="B525" s="34" t="s">
        <v>573</v>
      </c>
      <c r="C525" s="12" t="n">
        <v>416500</v>
      </c>
      <c r="D525" s="12" t="n">
        <f aca="false">216500+200000</f>
        <v>416500</v>
      </c>
      <c r="E525" s="13" t="n">
        <f aca="false">C525-D525</f>
        <v>0</v>
      </c>
    </row>
    <row r="526" customFormat="false" ht="17.35" hidden="false" customHeight="false" outlineLevel="0" collapsed="false">
      <c r="A526" s="21"/>
      <c r="B526" s="22" t="s">
        <v>30</v>
      </c>
      <c r="C526" s="23" t="n">
        <f aca="false">SUM(C492:C525)</f>
        <v>13644500</v>
      </c>
      <c r="D526" s="24" t="n">
        <f aca="false">SUM(D492:D525)</f>
        <v>12909000</v>
      </c>
      <c r="E526" s="25" t="n">
        <f aca="false">SUM(E492:E525)</f>
        <v>735500</v>
      </c>
    </row>
    <row r="527" customFormat="false" ht="15" hidden="false" customHeight="false" outlineLevel="0" collapsed="false">
      <c r="A527" s="52"/>
    </row>
    <row r="528" customFormat="false" ht="15" hidden="false" customHeight="false" outlineLevel="0" collapsed="false">
      <c r="A528" s="52"/>
    </row>
    <row r="529" customFormat="false" ht="17.35" hidden="false" customHeight="false" outlineLevel="0" collapsed="false">
      <c r="A529" s="1"/>
      <c r="B529" s="2" t="s">
        <v>0</v>
      </c>
    </row>
    <row r="530" customFormat="false" ht="17.35" hidden="false" customHeight="false" outlineLevel="0" collapsed="false">
      <c r="A530" s="33"/>
    </row>
    <row r="531" customFormat="false" ht="15" hidden="false" customHeight="false" outlineLevel="0" collapsed="false">
      <c r="A531" s="1"/>
    </row>
    <row r="532" customFormat="false" ht="17.25" hidden="false" customHeight="false" outlineLevel="0" collapsed="false">
      <c r="A532" s="1"/>
      <c r="B532" s="3" t="s">
        <v>117</v>
      </c>
    </row>
    <row r="533" customFormat="false" ht="15" hidden="false" customHeight="false" outlineLevel="0" collapsed="false">
      <c r="A533" s="1"/>
      <c r="D533" s="4" t="s">
        <v>192</v>
      </c>
    </row>
    <row r="534" customFormat="false" ht="15" hidden="false" customHeight="false" outlineLevel="0" collapsed="false">
      <c r="A534" s="1"/>
    </row>
    <row r="535" customFormat="false" ht="15" hidden="false" customHeight="false" outlineLevel="0" collapsed="false">
      <c r="A535" s="5" t="s">
        <v>3</v>
      </c>
      <c r="B535" s="6" t="s">
        <v>4</v>
      </c>
      <c r="C535" s="7" t="s">
        <v>5</v>
      </c>
      <c r="D535" s="8" t="s">
        <v>6</v>
      </c>
      <c r="E535" s="9" t="s">
        <v>7</v>
      </c>
    </row>
    <row r="536" customFormat="false" ht="15" hidden="false" customHeight="false" outlineLevel="0" collapsed="false">
      <c r="A536" s="10" t="n">
        <v>1</v>
      </c>
      <c r="B536" s="14" t="s">
        <v>574</v>
      </c>
      <c r="C536" s="12" t="n">
        <v>416500</v>
      </c>
      <c r="D536" s="12" t="n">
        <f aca="false">166500+50000+200000</f>
        <v>416500</v>
      </c>
      <c r="E536" s="13" t="n">
        <f aca="false">C536-D536</f>
        <v>0</v>
      </c>
    </row>
    <row r="537" customFormat="false" ht="15" hidden="false" customHeight="false" outlineLevel="0" collapsed="false">
      <c r="A537" s="26" t="n">
        <v>2</v>
      </c>
      <c r="B537" s="14" t="s">
        <v>575</v>
      </c>
      <c r="C537" s="12" t="n">
        <v>416500</v>
      </c>
      <c r="D537" s="12" t="n">
        <f aca="false">300000+15000+65000+20000+16500</f>
        <v>416500</v>
      </c>
      <c r="E537" s="13" t="n">
        <f aca="false">C537-D537</f>
        <v>0</v>
      </c>
    </row>
    <row r="538" customFormat="false" ht="15" hidden="false" customHeight="false" outlineLevel="0" collapsed="false">
      <c r="A538" s="10" t="n">
        <v>3</v>
      </c>
      <c r="B538" s="14" t="s">
        <v>576</v>
      </c>
      <c r="C538" s="12" t="n">
        <v>416500</v>
      </c>
      <c r="D538" s="12" t="n">
        <f aca="false">146500+70000+200500</f>
        <v>417000</v>
      </c>
      <c r="E538" s="13" t="n">
        <f aca="false">C538-D538</f>
        <v>-500</v>
      </c>
    </row>
    <row r="539" customFormat="false" ht="15" hidden="false" customHeight="false" outlineLevel="0" collapsed="false">
      <c r="A539" s="26" t="n">
        <v>4</v>
      </c>
      <c r="B539" s="14" t="s">
        <v>577</v>
      </c>
      <c r="C539" s="12" t="n">
        <v>416500</v>
      </c>
      <c r="D539" s="12" t="n">
        <f aca="false">200000+216500</f>
        <v>416500</v>
      </c>
      <c r="E539" s="13" t="n">
        <f aca="false">C539-D539</f>
        <v>0</v>
      </c>
    </row>
    <row r="540" customFormat="false" ht="15" hidden="false" customHeight="false" outlineLevel="0" collapsed="false">
      <c r="A540" s="10" t="n">
        <v>5</v>
      </c>
      <c r="B540" s="14" t="s">
        <v>578</v>
      </c>
      <c r="C540" s="12" t="n">
        <v>416500</v>
      </c>
      <c r="D540" s="12" t="n">
        <f aca="false">200000+216500</f>
        <v>416500</v>
      </c>
      <c r="E540" s="13" t="n">
        <f aca="false">C540-D540</f>
        <v>0</v>
      </c>
    </row>
    <row r="541" customFormat="false" ht="15" hidden="false" customHeight="false" outlineLevel="0" collapsed="false">
      <c r="A541" s="26" t="n">
        <v>6</v>
      </c>
      <c r="B541" s="14" t="s">
        <v>579</v>
      </c>
      <c r="C541" s="12" t="n">
        <v>416500</v>
      </c>
      <c r="D541" s="12" t="n">
        <f aca="false">200000+216500</f>
        <v>416500</v>
      </c>
      <c r="E541" s="13" t="n">
        <f aca="false">C541-D541</f>
        <v>0</v>
      </c>
    </row>
    <row r="542" customFormat="false" ht="15" hidden="false" customHeight="false" outlineLevel="0" collapsed="false">
      <c r="A542" s="10" t="n">
        <v>7</v>
      </c>
      <c r="B542" s="14" t="s">
        <v>580</v>
      </c>
      <c r="C542" s="12" t="n">
        <v>416500</v>
      </c>
      <c r="D542" s="12" t="n">
        <f aca="false">216500+200000</f>
        <v>416500</v>
      </c>
      <c r="E542" s="13" t="n">
        <f aca="false">C542-D542</f>
        <v>0</v>
      </c>
    </row>
    <row r="543" customFormat="false" ht="15" hidden="false" customHeight="false" outlineLevel="0" collapsed="false">
      <c r="A543" s="26" t="n">
        <v>8</v>
      </c>
      <c r="B543" s="14" t="s">
        <v>581</v>
      </c>
      <c r="C543" s="12" t="n">
        <v>416500</v>
      </c>
      <c r="D543" s="12" t="n">
        <f aca="false">216500+100000+100000</f>
        <v>416500</v>
      </c>
      <c r="E543" s="13" t="n">
        <f aca="false">C543-D543</f>
        <v>0</v>
      </c>
    </row>
    <row r="544" customFormat="false" ht="15" hidden="false" customHeight="false" outlineLevel="0" collapsed="false">
      <c r="A544" s="10" t="n">
        <v>9</v>
      </c>
      <c r="B544" s="14" t="s">
        <v>582</v>
      </c>
      <c r="C544" s="18" t="n">
        <v>416500</v>
      </c>
      <c r="D544" s="18" t="n">
        <f aca="false">150000+50000+100000</f>
        <v>300000</v>
      </c>
      <c r="E544" s="19" t="n">
        <f aca="false">C544-D544</f>
        <v>116500</v>
      </c>
    </row>
    <row r="545" customFormat="false" ht="15" hidden="false" customHeight="false" outlineLevel="0" collapsed="false">
      <c r="A545" s="26" t="n">
        <v>10</v>
      </c>
      <c r="B545" s="14" t="s">
        <v>583</v>
      </c>
      <c r="C545" s="12" t="n">
        <v>416500</v>
      </c>
      <c r="D545" s="12" t="n">
        <f aca="false">216500+20000+180000</f>
        <v>416500</v>
      </c>
      <c r="E545" s="13" t="n">
        <f aca="false">C545-D545</f>
        <v>0</v>
      </c>
    </row>
    <row r="546" customFormat="false" ht="15" hidden="false" customHeight="false" outlineLevel="0" collapsed="false">
      <c r="A546" s="10" t="n">
        <v>11</v>
      </c>
      <c r="B546" s="14" t="s">
        <v>584</v>
      </c>
      <c r="C546" s="12" t="n">
        <v>416500</v>
      </c>
      <c r="D546" s="12" t="n">
        <f aca="false">216000+100000+100500</f>
        <v>416500</v>
      </c>
      <c r="E546" s="13" t="n">
        <f aca="false">C546-D546</f>
        <v>0</v>
      </c>
    </row>
    <row r="547" customFormat="false" ht="15" hidden="false" customHeight="false" outlineLevel="0" collapsed="false">
      <c r="A547" s="35" t="n">
        <v>12</v>
      </c>
      <c r="B547" s="14" t="s">
        <v>585</v>
      </c>
      <c r="C547" s="12" t="n">
        <v>416500</v>
      </c>
      <c r="D547" s="12" t="n">
        <f aca="false">416500</f>
        <v>416500</v>
      </c>
      <c r="E547" s="13" t="n">
        <f aca="false">C547-D547</f>
        <v>0</v>
      </c>
    </row>
    <row r="548" customFormat="false" ht="15" hidden="false" customHeight="false" outlineLevel="0" collapsed="false">
      <c r="A548" s="26" t="n">
        <v>13</v>
      </c>
      <c r="B548" s="14" t="s">
        <v>586</v>
      </c>
      <c r="C548" s="12" t="n">
        <v>416500</v>
      </c>
      <c r="D548" s="12" t="n">
        <f aca="false">99500+100000+50000+167000</f>
        <v>416500</v>
      </c>
      <c r="E548" s="13" t="n">
        <f aca="false">C548-D548</f>
        <v>0</v>
      </c>
    </row>
    <row r="549" customFormat="false" ht="15" hidden="false" customHeight="false" outlineLevel="0" collapsed="false">
      <c r="A549" s="10" t="n">
        <v>14</v>
      </c>
      <c r="B549" s="14" t="s">
        <v>587</v>
      </c>
      <c r="C549" s="12" t="n">
        <v>416500</v>
      </c>
      <c r="D549" s="12" t="n">
        <f aca="false">200000+216500</f>
        <v>416500</v>
      </c>
      <c r="E549" s="13" t="n">
        <f aca="false">C549-D549</f>
        <v>0</v>
      </c>
    </row>
    <row r="550" customFormat="false" ht="15" hidden="false" customHeight="false" outlineLevel="0" collapsed="false">
      <c r="A550" s="35" t="n">
        <v>15</v>
      </c>
      <c r="B550" s="14" t="s">
        <v>588</v>
      </c>
      <c r="C550" s="12" t="n">
        <v>416500</v>
      </c>
      <c r="D550" s="12" t="n">
        <f aca="false">200000+100000+116500</f>
        <v>416500</v>
      </c>
      <c r="E550" s="13" t="n">
        <f aca="false">C550-D550</f>
        <v>0</v>
      </c>
    </row>
    <row r="551" customFormat="false" ht="15" hidden="false" customHeight="false" outlineLevel="0" collapsed="false">
      <c r="A551" s="35" t="n">
        <v>16</v>
      </c>
      <c r="B551" s="14" t="s">
        <v>589</v>
      </c>
      <c r="C551" s="12" t="n">
        <v>416500</v>
      </c>
      <c r="D551" s="12" t="n">
        <f aca="false">216500+100000+100000</f>
        <v>416500</v>
      </c>
      <c r="E551" s="13" t="n">
        <f aca="false">C551-D551</f>
        <v>0</v>
      </c>
    </row>
    <row r="552" customFormat="false" ht="15" hidden="false" customHeight="false" outlineLevel="0" collapsed="false">
      <c r="A552" s="35" t="n">
        <v>17</v>
      </c>
      <c r="B552" s="14" t="s">
        <v>590</v>
      </c>
      <c r="C552" s="12" t="n">
        <v>416500</v>
      </c>
      <c r="D552" s="12" t="n">
        <f aca="false">100000+100000+216500</f>
        <v>416500</v>
      </c>
      <c r="E552" s="13" t="n">
        <f aca="false">C552-D552</f>
        <v>0</v>
      </c>
    </row>
    <row r="553" customFormat="false" ht="15" hidden="false" customHeight="false" outlineLevel="0" collapsed="false">
      <c r="A553" s="35" t="n">
        <v>18</v>
      </c>
      <c r="B553" s="14" t="s">
        <v>591</v>
      </c>
      <c r="C553" s="12" t="n">
        <v>416500</v>
      </c>
      <c r="D553" s="12" t="n">
        <f aca="false">216500+50000+150000</f>
        <v>416500</v>
      </c>
      <c r="E553" s="13" t="n">
        <f aca="false">C553-D553</f>
        <v>0</v>
      </c>
    </row>
    <row r="554" customFormat="false" ht="15" hidden="false" customHeight="false" outlineLevel="0" collapsed="false">
      <c r="A554" s="35" t="n">
        <v>19</v>
      </c>
      <c r="B554" s="14" t="s">
        <v>592</v>
      </c>
      <c r="C554" s="12" t="n">
        <v>416500</v>
      </c>
      <c r="D554" s="12" t="n">
        <f aca="false">216500+200000</f>
        <v>416500</v>
      </c>
      <c r="E554" s="13" t="n">
        <f aca="false">C554-D554</f>
        <v>0</v>
      </c>
    </row>
    <row r="555" customFormat="false" ht="15" hidden="false" customHeight="false" outlineLevel="0" collapsed="false">
      <c r="A555" s="35" t="n">
        <v>20</v>
      </c>
      <c r="B555" s="14" t="s">
        <v>593</v>
      </c>
      <c r="C555" s="12" t="n">
        <v>416500</v>
      </c>
      <c r="D555" s="12" t="n">
        <f aca="false">216500+30000+170000</f>
        <v>416500</v>
      </c>
      <c r="E555" s="13" t="n">
        <f aca="false">C555-D555</f>
        <v>0</v>
      </c>
    </row>
    <row r="556" customFormat="false" ht="15" hidden="false" customHeight="false" outlineLevel="0" collapsed="false">
      <c r="A556" s="35" t="n">
        <v>21</v>
      </c>
      <c r="B556" s="14" t="s">
        <v>594</v>
      </c>
      <c r="C556" s="12" t="n">
        <v>416500</v>
      </c>
      <c r="D556" s="12" t="n">
        <f aca="false">216500+200000</f>
        <v>416500</v>
      </c>
      <c r="E556" s="13" t="n">
        <f aca="false">C556-D556</f>
        <v>0</v>
      </c>
    </row>
    <row r="557" customFormat="false" ht="15" hidden="false" customHeight="false" outlineLevel="0" collapsed="false">
      <c r="A557" s="35" t="n">
        <v>22</v>
      </c>
      <c r="B557" s="14" t="s">
        <v>595</v>
      </c>
      <c r="C557" s="12" t="n">
        <v>416500</v>
      </c>
      <c r="D557" s="12" t="n">
        <f aca="false">216500+200000</f>
        <v>416500</v>
      </c>
      <c r="E557" s="13" t="n">
        <f aca="false">C557-D557</f>
        <v>0</v>
      </c>
    </row>
    <row r="558" customFormat="false" ht="15" hidden="false" customHeight="false" outlineLevel="0" collapsed="false">
      <c r="A558" s="35" t="n">
        <v>23</v>
      </c>
      <c r="B558" s="14" t="s">
        <v>596</v>
      </c>
      <c r="C558" s="12" t="n">
        <v>416500</v>
      </c>
      <c r="D558" s="12" t="n">
        <f aca="false">120000+40000+56000+200500</f>
        <v>416500</v>
      </c>
      <c r="E558" s="13" t="n">
        <f aca="false">C558-D558</f>
        <v>0</v>
      </c>
    </row>
    <row r="559" customFormat="false" ht="15" hidden="false" customHeight="false" outlineLevel="0" collapsed="false">
      <c r="A559" s="35" t="n">
        <v>24</v>
      </c>
      <c r="B559" s="14" t="s">
        <v>597</v>
      </c>
      <c r="C559" s="12" t="n">
        <v>416500</v>
      </c>
      <c r="D559" s="12" t="n">
        <f aca="false">216500+200000</f>
        <v>416500</v>
      </c>
      <c r="E559" s="13" t="n">
        <f aca="false">C559-D559</f>
        <v>0</v>
      </c>
    </row>
    <row r="560" customFormat="false" ht="15" hidden="false" customHeight="false" outlineLevel="0" collapsed="false">
      <c r="A560" s="35" t="n">
        <v>25</v>
      </c>
      <c r="B560" s="14" t="s">
        <v>598</v>
      </c>
      <c r="C560" s="12" t="n">
        <v>416500</v>
      </c>
      <c r="D560" s="12" t="n">
        <f aca="false">216500+200000</f>
        <v>416500</v>
      </c>
      <c r="E560" s="13" t="n">
        <f aca="false">C560-D560</f>
        <v>0</v>
      </c>
    </row>
    <row r="561" customFormat="false" ht="15" hidden="false" customHeight="false" outlineLevel="0" collapsed="false">
      <c r="A561" s="35" t="n">
        <v>26</v>
      </c>
      <c r="B561" s="14" t="s">
        <v>599</v>
      </c>
      <c r="C561" s="12" t="n">
        <v>416500</v>
      </c>
      <c r="D561" s="12" t="n">
        <f aca="false">216500+200000</f>
        <v>416500</v>
      </c>
      <c r="E561" s="13" t="n">
        <f aca="false">C561-D561</f>
        <v>0</v>
      </c>
    </row>
    <row r="562" customFormat="false" ht="17.35" hidden="false" customHeight="false" outlineLevel="0" collapsed="false">
      <c r="A562" s="21"/>
      <c r="B562" s="22" t="s">
        <v>30</v>
      </c>
      <c r="C562" s="23" t="n">
        <f aca="false">SUM(C536:C561)</f>
        <v>10829000</v>
      </c>
      <c r="D562" s="24" t="n">
        <f aca="false">SUM(D536:D561)</f>
        <v>10713000</v>
      </c>
      <c r="E562" s="25" t="n">
        <f aca="false">SUM(E536:E561)</f>
        <v>116000</v>
      </c>
    </row>
    <row r="563" customFormat="false" ht="15" hidden="false" customHeight="false" outlineLevel="0" collapsed="false">
      <c r="A563" s="52"/>
    </row>
    <row r="565" customFormat="false" ht="17.35" hidden="false" customHeight="false" outlineLevel="0" collapsed="false">
      <c r="B565" s="2" t="s">
        <v>0</v>
      </c>
    </row>
    <row r="566" customFormat="false" ht="15" hidden="false" customHeight="false" outlineLevel="0" collapsed="false">
      <c r="A566" s="1"/>
    </row>
    <row r="567" customFormat="false" ht="15" hidden="false" customHeight="false" outlineLevel="0" collapsed="false">
      <c r="A567" s="1"/>
    </row>
    <row r="568" customFormat="false" ht="17.25" hidden="false" customHeight="false" outlineLevel="0" collapsed="false">
      <c r="A568" s="1"/>
      <c r="B568" s="3" t="s">
        <v>600</v>
      </c>
    </row>
    <row r="569" customFormat="false" ht="15" hidden="false" customHeight="false" outlineLevel="0" collapsed="false">
      <c r="A569" s="1"/>
      <c r="D569" s="4" t="s">
        <v>210</v>
      </c>
    </row>
    <row r="570" customFormat="false" ht="15" hidden="false" customHeight="false" outlineLevel="0" collapsed="false">
      <c r="A570" s="1"/>
    </row>
    <row r="571" customFormat="false" ht="15" hidden="false" customHeight="false" outlineLevel="0" collapsed="false">
      <c r="A571" s="5" t="s">
        <v>3</v>
      </c>
      <c r="B571" s="6" t="s">
        <v>4</v>
      </c>
      <c r="C571" s="7" t="s">
        <v>5</v>
      </c>
      <c r="D571" s="8" t="s">
        <v>6</v>
      </c>
      <c r="E571" s="9" t="s">
        <v>7</v>
      </c>
    </row>
    <row r="572" customFormat="false" ht="15" hidden="false" customHeight="false" outlineLevel="0" collapsed="false">
      <c r="A572" s="26" t="n">
        <v>1</v>
      </c>
      <c r="B572" s="81" t="s">
        <v>601</v>
      </c>
      <c r="C572" s="12" t="n">
        <v>416500</v>
      </c>
      <c r="D572" s="12" t="n">
        <f aca="false">216500</f>
        <v>216500</v>
      </c>
      <c r="E572" s="13" t="n">
        <f aca="false">C572-D572</f>
        <v>200000</v>
      </c>
    </row>
    <row r="573" customFormat="false" ht="15" hidden="false" customHeight="false" outlineLevel="0" collapsed="false">
      <c r="A573" s="10" t="n">
        <v>2</v>
      </c>
      <c r="B573" s="20" t="s">
        <v>602</v>
      </c>
      <c r="C573" s="12" t="n">
        <v>416500</v>
      </c>
      <c r="D573" s="12" t="n">
        <f aca="false">200000+100000+116500</f>
        <v>416500</v>
      </c>
      <c r="E573" s="13" t="n">
        <f aca="false">C573-D573</f>
        <v>0</v>
      </c>
    </row>
    <row r="574" customFormat="false" ht="15" hidden="false" customHeight="false" outlineLevel="0" collapsed="false">
      <c r="A574" s="26" t="n">
        <v>3</v>
      </c>
      <c r="B574" s="20" t="s">
        <v>603</v>
      </c>
      <c r="C574" s="12" t="n">
        <v>416500</v>
      </c>
      <c r="D574" s="12" t="n">
        <f aca="false">220000+196500</f>
        <v>416500</v>
      </c>
      <c r="E574" s="13" t="n">
        <f aca="false">C574-D574</f>
        <v>0</v>
      </c>
    </row>
    <row r="575" customFormat="false" ht="15" hidden="false" customHeight="false" outlineLevel="0" collapsed="false">
      <c r="A575" s="10" t="n">
        <v>4</v>
      </c>
      <c r="B575" s="20" t="s">
        <v>604</v>
      </c>
      <c r="C575" s="12" t="n">
        <v>416500</v>
      </c>
      <c r="D575" s="12" t="n">
        <f aca="false">133000+67000+66500</f>
        <v>266500</v>
      </c>
      <c r="E575" s="13" t="n">
        <f aca="false">C575-D575</f>
        <v>150000</v>
      </c>
    </row>
    <row r="576" customFormat="false" ht="15" hidden="false" customHeight="false" outlineLevel="0" collapsed="false">
      <c r="A576" s="26" t="n">
        <v>5</v>
      </c>
      <c r="B576" s="20" t="s">
        <v>605</v>
      </c>
      <c r="C576" s="12" t="n">
        <v>416500</v>
      </c>
      <c r="D576" s="12" t="n">
        <f aca="false">100000+56500+44000</f>
        <v>200500</v>
      </c>
      <c r="E576" s="13" t="n">
        <f aca="false">C576-D576</f>
        <v>216000</v>
      </c>
    </row>
    <row r="577" customFormat="false" ht="15" hidden="false" customHeight="false" outlineLevel="0" collapsed="false">
      <c r="A577" s="10" t="n">
        <v>6</v>
      </c>
      <c r="B577" s="20" t="s">
        <v>606</v>
      </c>
      <c r="C577" s="12" t="n">
        <v>416500</v>
      </c>
      <c r="D577" s="12" t="n">
        <f aca="false">216000+200000</f>
        <v>416000</v>
      </c>
      <c r="E577" s="13" t="n">
        <f aca="false">C577-D577</f>
        <v>500</v>
      </c>
    </row>
    <row r="578" customFormat="false" ht="15" hidden="false" customHeight="false" outlineLevel="0" collapsed="false">
      <c r="A578" s="26" t="n">
        <v>7</v>
      </c>
      <c r="B578" s="20" t="s">
        <v>607</v>
      </c>
      <c r="C578" s="12" t="n">
        <v>416500</v>
      </c>
      <c r="D578" s="12" t="n">
        <f aca="false">200000+100000+3500+114000</f>
        <v>417500</v>
      </c>
      <c r="E578" s="13" t="n">
        <f aca="false">C578-D578</f>
        <v>-1000</v>
      </c>
    </row>
    <row r="579" customFormat="false" ht="15" hidden="false" customHeight="false" outlineLevel="0" collapsed="false">
      <c r="A579" s="10" t="n">
        <v>8</v>
      </c>
      <c r="B579" s="20" t="s">
        <v>608</v>
      </c>
      <c r="C579" s="12" t="n">
        <v>416500</v>
      </c>
      <c r="D579" s="12" t="n">
        <f aca="false">200000+100000</f>
        <v>300000</v>
      </c>
      <c r="E579" s="13" t="n">
        <f aca="false">C579-D579</f>
        <v>116500</v>
      </c>
    </row>
    <row r="580" customFormat="false" ht="15" hidden="false" customHeight="false" outlineLevel="0" collapsed="false">
      <c r="A580" s="26" t="n">
        <v>9</v>
      </c>
      <c r="B580" s="20" t="s">
        <v>609</v>
      </c>
      <c r="C580" s="12" t="n">
        <v>416500</v>
      </c>
      <c r="D580" s="12" t="n">
        <f aca="false">3500+200000+160000</f>
        <v>363500</v>
      </c>
      <c r="E580" s="13" t="n">
        <f aca="false">C580-D580</f>
        <v>53000</v>
      </c>
    </row>
    <row r="581" customFormat="false" ht="15" hidden="false" customHeight="false" outlineLevel="0" collapsed="false">
      <c r="A581" s="10" t="n">
        <v>10</v>
      </c>
      <c r="B581" s="20" t="s">
        <v>610</v>
      </c>
      <c r="C581" s="12" t="n">
        <v>416500</v>
      </c>
      <c r="D581" s="12" t="n">
        <f aca="false">216500+100000+100000</f>
        <v>416500</v>
      </c>
      <c r="E581" s="13" t="n">
        <f aca="false">C581-D581</f>
        <v>0</v>
      </c>
    </row>
    <row r="582" customFormat="false" ht="15" hidden="false" customHeight="false" outlineLevel="0" collapsed="false">
      <c r="A582" s="10" t="n">
        <v>11</v>
      </c>
      <c r="B582" s="20" t="s">
        <v>611</v>
      </c>
      <c r="C582" s="12" t="n">
        <v>416500</v>
      </c>
      <c r="D582" s="12" t="n">
        <f aca="false">200000+216500</f>
        <v>416500</v>
      </c>
      <c r="E582" s="13" t="n">
        <f aca="false">C582-D582</f>
        <v>0</v>
      </c>
    </row>
    <row r="583" customFormat="false" ht="15" hidden="false" customHeight="false" outlineLevel="0" collapsed="false">
      <c r="A583" s="10" t="n">
        <v>12</v>
      </c>
      <c r="B583" s="20" t="s">
        <v>612</v>
      </c>
      <c r="C583" s="12" t="n">
        <v>416500</v>
      </c>
      <c r="D583" s="12" t="n">
        <f aca="false">217000+100000+100000</f>
        <v>417000</v>
      </c>
      <c r="E583" s="13" t="n">
        <f aca="false">C583-D583</f>
        <v>-500</v>
      </c>
    </row>
    <row r="584" customFormat="false" ht="15" hidden="false" customHeight="false" outlineLevel="0" collapsed="false">
      <c r="A584" s="10" t="n">
        <v>13</v>
      </c>
      <c r="B584" s="20" t="s">
        <v>613</v>
      </c>
      <c r="C584" s="12" t="n">
        <v>416500</v>
      </c>
      <c r="D584" s="12" t="n">
        <f aca="false">217000+100000+50000+49500</f>
        <v>416500</v>
      </c>
      <c r="E584" s="13" t="n">
        <f aca="false">C584-D584</f>
        <v>0</v>
      </c>
    </row>
    <row r="585" customFormat="false" ht="15" hidden="false" customHeight="false" outlineLevel="0" collapsed="false">
      <c r="A585" s="10" t="n">
        <v>14</v>
      </c>
      <c r="B585" s="20" t="s">
        <v>614</v>
      </c>
      <c r="C585" s="12" t="n">
        <v>416500</v>
      </c>
      <c r="D585" s="12" t="n">
        <f aca="false">216500+200000</f>
        <v>416500</v>
      </c>
      <c r="E585" s="13" t="n">
        <f aca="false">C585-D585</f>
        <v>0</v>
      </c>
    </row>
    <row r="586" customFormat="false" ht="15" hidden="false" customHeight="false" outlineLevel="0" collapsed="false">
      <c r="A586" s="10" t="n">
        <v>15</v>
      </c>
      <c r="B586" s="20" t="s">
        <v>615</v>
      </c>
      <c r="C586" s="12" t="n">
        <v>416500</v>
      </c>
      <c r="D586" s="12" t="n">
        <f aca="false">220000+196500</f>
        <v>416500</v>
      </c>
      <c r="E586" s="13" t="n">
        <f aca="false">C586-D586</f>
        <v>0</v>
      </c>
    </row>
    <row r="587" customFormat="false" ht="15" hidden="false" customHeight="false" outlineLevel="0" collapsed="false">
      <c r="A587" s="10" t="n">
        <v>16</v>
      </c>
      <c r="B587" s="20" t="s">
        <v>616</v>
      </c>
      <c r="C587" s="12" t="n">
        <v>416500</v>
      </c>
      <c r="D587" s="12" t="n">
        <f aca="false">216500</f>
        <v>216500</v>
      </c>
      <c r="E587" s="13" t="n">
        <f aca="false">C587-D587</f>
        <v>200000</v>
      </c>
    </row>
    <row r="588" customFormat="false" ht="15" hidden="false" customHeight="false" outlineLevel="0" collapsed="false">
      <c r="A588" s="10" t="n">
        <v>17</v>
      </c>
      <c r="B588" s="20" t="s">
        <v>617</v>
      </c>
      <c r="C588" s="12" t="n">
        <v>416500</v>
      </c>
      <c r="D588" s="12" t="n">
        <f aca="false">216500+200000</f>
        <v>416500</v>
      </c>
      <c r="E588" s="13" t="n">
        <f aca="false">C588-D588</f>
        <v>0</v>
      </c>
    </row>
    <row r="589" customFormat="false" ht="15" hidden="false" customHeight="false" outlineLevel="0" collapsed="false">
      <c r="A589" s="10" t="n">
        <v>18</v>
      </c>
      <c r="B589" s="20" t="s">
        <v>618</v>
      </c>
      <c r="C589" s="12" t="n">
        <v>416500</v>
      </c>
      <c r="D589" s="12" t="n">
        <f aca="false">116500+100000+200000</f>
        <v>416500</v>
      </c>
      <c r="E589" s="13" t="n">
        <f aca="false">C589-D589</f>
        <v>0</v>
      </c>
    </row>
    <row r="590" customFormat="false" ht="15" hidden="false" customHeight="false" outlineLevel="0" collapsed="false">
      <c r="A590" s="10" t="n">
        <v>19</v>
      </c>
      <c r="B590" s="20" t="s">
        <v>619</v>
      </c>
      <c r="C590" s="12" t="n">
        <v>416500</v>
      </c>
      <c r="D590" s="12" t="n">
        <f aca="false">216500+150000+50000</f>
        <v>416500</v>
      </c>
      <c r="E590" s="13" t="n">
        <f aca="false">C590-D590</f>
        <v>0</v>
      </c>
    </row>
    <row r="591" customFormat="false" ht="15" hidden="false" customHeight="false" outlineLevel="0" collapsed="false">
      <c r="A591" s="10" t="n">
        <v>20</v>
      </c>
      <c r="B591" s="20" t="s">
        <v>620</v>
      </c>
      <c r="C591" s="12" t="n">
        <v>416500</v>
      </c>
      <c r="D591" s="12" t="n">
        <f aca="false">300000+116500</f>
        <v>416500</v>
      </c>
      <c r="E591" s="13" t="n">
        <f aca="false">C591-D591</f>
        <v>0</v>
      </c>
    </row>
    <row r="592" customFormat="false" ht="15" hidden="false" customHeight="false" outlineLevel="0" collapsed="false">
      <c r="A592" s="10" t="n">
        <v>21</v>
      </c>
      <c r="B592" s="20" t="s">
        <v>621</v>
      </c>
      <c r="C592" s="12" t="n">
        <v>416500</v>
      </c>
      <c r="D592" s="12" t="n">
        <f aca="false">200000+216500</f>
        <v>416500</v>
      </c>
      <c r="E592" s="13" t="n">
        <f aca="false">C592-D592</f>
        <v>0</v>
      </c>
    </row>
    <row r="593" customFormat="false" ht="15" hidden="false" customHeight="false" outlineLevel="0" collapsed="false">
      <c r="A593" s="10" t="n">
        <v>22</v>
      </c>
      <c r="B593" s="20" t="s">
        <v>622</v>
      </c>
      <c r="C593" s="12" t="n">
        <v>416500</v>
      </c>
      <c r="D593" s="12" t="n">
        <f aca="false">116500+100000+200000</f>
        <v>416500</v>
      </c>
      <c r="E593" s="13" t="n">
        <f aca="false">C593-D593</f>
        <v>0</v>
      </c>
    </row>
    <row r="594" customFormat="false" ht="15" hidden="false" customHeight="false" outlineLevel="0" collapsed="false">
      <c r="A594" s="10" t="n">
        <v>23</v>
      </c>
      <c r="B594" s="20" t="s">
        <v>623</v>
      </c>
      <c r="C594" s="12" t="n">
        <v>416500</v>
      </c>
      <c r="D594" s="12" t="n">
        <f aca="false">200000+216500</f>
        <v>416500</v>
      </c>
      <c r="E594" s="13" t="n">
        <f aca="false">C594-D594</f>
        <v>0</v>
      </c>
    </row>
    <row r="595" customFormat="false" ht="15" hidden="false" customHeight="false" outlineLevel="0" collapsed="false">
      <c r="A595" s="10" t="n">
        <v>24</v>
      </c>
      <c r="B595" s="20" t="s">
        <v>624</v>
      </c>
      <c r="C595" s="12" t="n">
        <v>416500</v>
      </c>
      <c r="D595" s="12" t="n">
        <f aca="false">56000+160500+50000+100000+50000</f>
        <v>416500</v>
      </c>
      <c r="E595" s="13" t="n">
        <f aca="false">C595-D595</f>
        <v>0</v>
      </c>
    </row>
    <row r="596" customFormat="false" ht="15" hidden="false" customHeight="false" outlineLevel="0" collapsed="false">
      <c r="A596" s="10" t="n">
        <v>25</v>
      </c>
      <c r="B596" s="20" t="s">
        <v>625</v>
      </c>
      <c r="C596" s="12" t="n">
        <v>416500</v>
      </c>
      <c r="D596" s="12" t="n">
        <f aca="false">216500+100000</f>
        <v>316500</v>
      </c>
      <c r="E596" s="13" t="n">
        <f aca="false">C596-D596</f>
        <v>100000</v>
      </c>
    </row>
    <row r="597" customFormat="false" ht="15" hidden="false" customHeight="false" outlineLevel="0" collapsed="false">
      <c r="A597" s="10" t="n">
        <v>26</v>
      </c>
      <c r="B597" s="20" t="s">
        <v>626</v>
      </c>
      <c r="C597" s="12" t="n">
        <v>416500</v>
      </c>
      <c r="D597" s="12" t="n">
        <f aca="false">210000+150000+55500</f>
        <v>415500</v>
      </c>
      <c r="E597" s="13" t="n">
        <f aca="false">C597-D597</f>
        <v>1000</v>
      </c>
    </row>
    <row r="598" customFormat="false" ht="15" hidden="false" customHeight="false" outlineLevel="0" collapsed="false">
      <c r="A598" s="10" t="n">
        <v>27</v>
      </c>
      <c r="B598" s="20" t="s">
        <v>627</v>
      </c>
      <c r="C598" s="12" t="n">
        <v>416500</v>
      </c>
      <c r="D598" s="12" t="n">
        <f aca="false">100000+316500</f>
        <v>416500</v>
      </c>
      <c r="E598" s="13" t="n">
        <f aca="false">C598-D598</f>
        <v>0</v>
      </c>
    </row>
    <row r="599" customFormat="false" ht="15" hidden="false" customHeight="false" outlineLevel="0" collapsed="false">
      <c r="A599" s="10" t="n">
        <v>28</v>
      </c>
      <c r="B599" s="20" t="s">
        <v>628</v>
      </c>
      <c r="C599" s="12" t="n">
        <v>416500</v>
      </c>
      <c r="D599" s="12" t="n">
        <f aca="false">216500+200000</f>
        <v>416500</v>
      </c>
      <c r="E599" s="13" t="n">
        <f aca="false">C599-D599</f>
        <v>0</v>
      </c>
    </row>
    <row r="600" customFormat="false" ht="15" hidden="false" customHeight="false" outlineLevel="0" collapsed="false">
      <c r="A600" s="10" t="n">
        <v>29</v>
      </c>
      <c r="B600" s="20" t="s">
        <v>629</v>
      </c>
      <c r="C600" s="12" t="n">
        <v>416500</v>
      </c>
      <c r="D600" s="12" t="n">
        <f aca="false">100000+116500+100000</f>
        <v>316500</v>
      </c>
      <c r="E600" s="13" t="n">
        <f aca="false">C600-D600</f>
        <v>100000</v>
      </c>
    </row>
    <row r="601" customFormat="false" ht="15" hidden="false" customHeight="false" outlineLevel="0" collapsed="false">
      <c r="A601" s="10" t="n">
        <v>30</v>
      </c>
      <c r="B601" s="20" t="s">
        <v>630</v>
      </c>
      <c r="C601" s="12" t="n">
        <v>416500</v>
      </c>
      <c r="D601" s="12" t="n">
        <f aca="false">49500+101000+100000+51000+115000</f>
        <v>416500</v>
      </c>
      <c r="E601" s="13" t="n">
        <f aca="false">C601-D601</f>
        <v>0</v>
      </c>
    </row>
    <row r="602" customFormat="false" ht="15" hidden="false" customHeight="false" outlineLevel="0" collapsed="false">
      <c r="A602" s="10" t="n">
        <v>31</v>
      </c>
      <c r="B602" s="20" t="s">
        <v>631</v>
      </c>
      <c r="C602" s="12" t="n">
        <v>416500</v>
      </c>
      <c r="D602" s="12" t="n">
        <f aca="false">216500+200000</f>
        <v>416500</v>
      </c>
      <c r="E602" s="13" t="n">
        <f aca="false">C602-D602</f>
        <v>0</v>
      </c>
    </row>
    <row r="603" customFormat="false" ht="15" hidden="false" customHeight="false" outlineLevel="0" collapsed="false">
      <c r="A603" s="10" t="n">
        <v>32</v>
      </c>
      <c r="B603" s="20" t="s">
        <v>632</v>
      </c>
      <c r="C603" s="12" t="n">
        <v>416500</v>
      </c>
      <c r="D603" s="12" t="n">
        <f aca="false">100000+100000+216500</f>
        <v>416500</v>
      </c>
      <c r="E603" s="13" t="n">
        <f aca="false">C603-D603</f>
        <v>0</v>
      </c>
    </row>
    <row r="604" customFormat="false" ht="15" hidden="false" customHeight="false" outlineLevel="0" collapsed="false">
      <c r="A604" s="10" t="n">
        <v>33</v>
      </c>
      <c r="B604" s="20" t="s">
        <v>633</v>
      </c>
      <c r="C604" s="12" t="n">
        <v>416500</v>
      </c>
      <c r="D604" s="12" t="n">
        <f aca="false">216500+150000+50000</f>
        <v>416500</v>
      </c>
      <c r="E604" s="13" t="n">
        <f aca="false">C604-D604</f>
        <v>0</v>
      </c>
    </row>
    <row r="605" customFormat="false" ht="15" hidden="false" customHeight="false" outlineLevel="0" collapsed="false">
      <c r="A605" s="10" t="n">
        <v>34</v>
      </c>
      <c r="B605" s="20" t="s">
        <v>634</v>
      </c>
      <c r="C605" s="12" t="n">
        <v>416500</v>
      </c>
      <c r="D605" s="12" t="n">
        <f aca="false">200000+220000</f>
        <v>420000</v>
      </c>
      <c r="E605" s="13" t="n">
        <f aca="false">C605-D605</f>
        <v>-3500</v>
      </c>
    </row>
    <row r="606" customFormat="false" ht="15" hidden="false" customHeight="false" outlineLevel="0" collapsed="false">
      <c r="A606" s="10" t="n">
        <v>35</v>
      </c>
      <c r="B606" s="20" t="s">
        <v>635</v>
      </c>
      <c r="C606" s="12" t="n">
        <v>416500</v>
      </c>
      <c r="D606" s="12" t="n">
        <f aca="false">216500+100000+100000</f>
        <v>416500</v>
      </c>
      <c r="E606" s="13" t="n">
        <f aca="false">C606-D606</f>
        <v>0</v>
      </c>
    </row>
    <row r="607" customFormat="false" ht="15" hidden="false" customHeight="false" outlineLevel="0" collapsed="false">
      <c r="A607" s="10" t="n">
        <v>36</v>
      </c>
      <c r="B607" s="20" t="s">
        <v>636</v>
      </c>
      <c r="C607" s="12" t="n">
        <v>416500</v>
      </c>
      <c r="D607" s="12" t="n">
        <f aca="false">116500+50000</f>
        <v>166500</v>
      </c>
      <c r="E607" s="13" t="n">
        <f aca="false">C607-D607</f>
        <v>250000</v>
      </c>
    </row>
    <row r="608" customFormat="false" ht="15" hidden="false" customHeight="false" outlineLevel="0" collapsed="false">
      <c r="A608" s="10" t="n">
        <v>37</v>
      </c>
      <c r="B608" s="20" t="s">
        <v>637</v>
      </c>
      <c r="C608" s="12" t="n">
        <v>416500</v>
      </c>
      <c r="D608" s="12" t="n">
        <v>416500</v>
      </c>
      <c r="E608" s="13" t="n">
        <f aca="false">C608-D608</f>
        <v>0</v>
      </c>
    </row>
    <row r="609" customFormat="false" ht="15" hidden="false" customHeight="false" outlineLevel="0" collapsed="false">
      <c r="A609" s="10" t="n">
        <v>38</v>
      </c>
      <c r="B609" s="14" t="s">
        <v>638</v>
      </c>
      <c r="C609" s="18" t="n">
        <v>416500</v>
      </c>
      <c r="D609" s="18" t="n">
        <f aca="false">16000+100000+116000</f>
        <v>232000</v>
      </c>
      <c r="E609" s="13" t="n">
        <f aca="false">C609-D609</f>
        <v>184500</v>
      </c>
    </row>
    <row r="610" customFormat="false" ht="15" hidden="false" customHeight="false" outlineLevel="0" collapsed="false">
      <c r="A610" s="10" t="n">
        <v>39</v>
      </c>
      <c r="B610" s="20" t="s">
        <v>639</v>
      </c>
      <c r="C610" s="12" t="n">
        <v>416500</v>
      </c>
      <c r="D610" s="12" t="n">
        <f aca="false">100000+100000</f>
        <v>200000</v>
      </c>
      <c r="E610" s="13" t="n">
        <f aca="false">C610-D610</f>
        <v>216500</v>
      </c>
    </row>
    <row r="611" customFormat="false" ht="15" hidden="false" customHeight="false" outlineLevel="0" collapsed="false">
      <c r="A611" s="10" t="n">
        <v>40</v>
      </c>
      <c r="B611" s="20" t="s">
        <v>640</v>
      </c>
      <c r="C611" s="12" t="n">
        <v>416500</v>
      </c>
      <c r="D611" s="12" t="n">
        <f aca="false">116500+100000+200000</f>
        <v>416500</v>
      </c>
      <c r="E611" s="13" t="n">
        <f aca="false">C611-D611</f>
        <v>0</v>
      </c>
    </row>
    <row r="612" customFormat="false" ht="15" hidden="false" customHeight="false" outlineLevel="0" collapsed="false">
      <c r="A612" s="10" t="n">
        <v>41</v>
      </c>
      <c r="B612" s="20" t="s">
        <v>641</v>
      </c>
      <c r="C612" s="12" t="n">
        <v>416500</v>
      </c>
      <c r="D612" s="12" t="n">
        <f aca="false">216500+200000</f>
        <v>416500</v>
      </c>
      <c r="E612" s="13" t="n">
        <f aca="false">C612-D612</f>
        <v>0</v>
      </c>
    </row>
    <row r="613" customFormat="false" ht="15" hidden="false" customHeight="false" outlineLevel="0" collapsed="false">
      <c r="A613" s="10" t="n">
        <v>42</v>
      </c>
      <c r="B613" s="20" t="s">
        <v>642</v>
      </c>
      <c r="C613" s="12" t="n">
        <v>416500</v>
      </c>
      <c r="D613" s="12" t="n">
        <f aca="false">216500+170000</f>
        <v>386500</v>
      </c>
      <c r="E613" s="13" t="n">
        <f aca="false">C613-D613</f>
        <v>30000</v>
      </c>
    </row>
    <row r="614" customFormat="false" ht="15" hidden="false" customHeight="false" outlineLevel="0" collapsed="false">
      <c r="A614" s="26" t="n">
        <v>43</v>
      </c>
      <c r="B614" s="20" t="s">
        <v>643</v>
      </c>
      <c r="C614" s="12" t="n">
        <v>416500</v>
      </c>
      <c r="D614" s="12" t="n">
        <f aca="false">215000+206500</f>
        <v>421500</v>
      </c>
      <c r="E614" s="13" t="n">
        <f aca="false">C614-D614</f>
        <v>-5000</v>
      </c>
    </row>
    <row r="615" customFormat="false" ht="15" hidden="false" customHeight="false" outlineLevel="0" collapsed="false">
      <c r="A615" s="26" t="n">
        <v>44</v>
      </c>
      <c r="B615" s="20" t="s">
        <v>644</v>
      </c>
      <c r="C615" s="12" t="n">
        <v>416500</v>
      </c>
      <c r="D615" s="12" t="n">
        <f aca="false">16000+200000+100000</f>
        <v>316000</v>
      </c>
      <c r="E615" s="13" t="n">
        <f aca="false">C615-D615</f>
        <v>100500</v>
      </c>
    </row>
    <row r="616" customFormat="false" ht="15" hidden="false" customHeight="false" outlineLevel="0" collapsed="false">
      <c r="A616" s="26" t="n">
        <v>45</v>
      </c>
      <c r="B616" s="20" t="s">
        <v>645</v>
      </c>
      <c r="C616" s="12" t="n">
        <v>416500</v>
      </c>
      <c r="D616" s="12" t="n">
        <f aca="false">216500+200000</f>
        <v>416500</v>
      </c>
      <c r="E616" s="13" t="n">
        <f aca="false">C616-D616</f>
        <v>0</v>
      </c>
    </row>
    <row r="617" customFormat="false" ht="15" hidden="false" customHeight="false" outlineLevel="0" collapsed="false">
      <c r="A617" s="10" t="n">
        <v>46</v>
      </c>
      <c r="B617" s="20" t="s">
        <v>646</v>
      </c>
      <c r="C617" s="12" t="n">
        <v>416500</v>
      </c>
      <c r="D617" s="12" t="n">
        <f aca="false">200000+216500</f>
        <v>416500</v>
      </c>
      <c r="E617" s="13" t="n">
        <f aca="false">C617-D617</f>
        <v>0</v>
      </c>
    </row>
    <row r="618" customFormat="false" ht="15" hidden="false" customHeight="false" outlineLevel="0" collapsed="false">
      <c r="A618" s="10" t="n">
        <v>47</v>
      </c>
      <c r="B618" s="20" t="s">
        <v>647</v>
      </c>
      <c r="C618" s="12" t="n">
        <v>416500</v>
      </c>
      <c r="D618" s="12" t="n">
        <f aca="false">216500+200000</f>
        <v>416500</v>
      </c>
      <c r="E618" s="13" t="n">
        <f aca="false">C618-D618</f>
        <v>0</v>
      </c>
    </row>
    <row r="619" customFormat="false" ht="15" hidden="false" customHeight="false" outlineLevel="0" collapsed="false">
      <c r="A619" s="10" t="n">
        <v>48</v>
      </c>
      <c r="B619" s="38" t="s">
        <v>648</v>
      </c>
      <c r="C619" s="37" t="n">
        <v>416500</v>
      </c>
      <c r="D619" s="37" t="n">
        <f aca="false">216500+200000</f>
        <v>416500</v>
      </c>
      <c r="E619" s="13" t="n">
        <f aca="false">C619-D619</f>
        <v>0</v>
      </c>
    </row>
    <row r="620" customFormat="false" ht="15" hidden="false" customHeight="false" outlineLevel="0" collapsed="false">
      <c r="A620" s="26" t="n">
        <v>49</v>
      </c>
      <c r="B620" s="20" t="s">
        <v>649</v>
      </c>
      <c r="C620" s="12" t="n">
        <v>416500</v>
      </c>
      <c r="D620" s="12" t="n">
        <f aca="false">53500</f>
        <v>53500</v>
      </c>
      <c r="E620" s="13" t="n">
        <f aca="false">C620-D620</f>
        <v>363000</v>
      </c>
    </row>
    <row r="621" customFormat="false" ht="15" hidden="false" customHeight="false" outlineLevel="0" collapsed="false">
      <c r="A621" s="10" t="n">
        <v>50</v>
      </c>
      <c r="B621" s="20" t="s">
        <v>650</v>
      </c>
      <c r="C621" s="12" t="n">
        <v>416500</v>
      </c>
      <c r="D621" s="12" t="n">
        <f aca="false">200000+116000+100000+500</f>
        <v>416500</v>
      </c>
      <c r="E621" s="13" t="n">
        <f aca="false">C621-D621</f>
        <v>0</v>
      </c>
    </row>
    <row r="622" customFormat="false" ht="15" hidden="false" customHeight="false" outlineLevel="0" collapsed="false">
      <c r="A622" s="10" t="n">
        <v>51</v>
      </c>
      <c r="B622" s="20" t="s">
        <v>651</v>
      </c>
      <c r="C622" s="12" t="n">
        <v>416500</v>
      </c>
      <c r="D622" s="12" t="n">
        <f aca="false">216500</f>
        <v>216500</v>
      </c>
      <c r="E622" s="13" t="n">
        <f aca="false">C622-D622</f>
        <v>200000</v>
      </c>
    </row>
    <row r="623" customFormat="false" ht="15" hidden="false" customHeight="false" outlineLevel="0" collapsed="false">
      <c r="A623" s="35" t="n">
        <v>52</v>
      </c>
      <c r="B623" s="20" t="s">
        <v>652</v>
      </c>
      <c r="C623" s="12" t="n">
        <v>416500</v>
      </c>
      <c r="D623" s="12" t="n">
        <f aca="false">200000+116500+100000</f>
        <v>416500</v>
      </c>
      <c r="E623" s="13" t="n">
        <f aca="false">C623-D623</f>
        <v>0</v>
      </c>
    </row>
    <row r="624" customFormat="false" ht="15" hidden="false" customHeight="false" outlineLevel="0" collapsed="false">
      <c r="A624" s="35" t="n">
        <v>53</v>
      </c>
      <c r="B624" s="20" t="s">
        <v>653</v>
      </c>
      <c r="C624" s="12" t="n">
        <v>416500</v>
      </c>
      <c r="D624" s="12" t="n">
        <f aca="false">216500+200000</f>
        <v>416500</v>
      </c>
      <c r="E624" s="13" t="n">
        <f aca="false">C624-D624</f>
        <v>0</v>
      </c>
    </row>
    <row r="625" customFormat="false" ht="15" hidden="false" customHeight="false" outlineLevel="0" collapsed="false">
      <c r="A625" s="26" t="n">
        <v>54</v>
      </c>
      <c r="B625" s="20" t="s">
        <v>654</v>
      </c>
      <c r="C625" s="12" t="n">
        <v>416500</v>
      </c>
      <c r="D625" s="12" t="n">
        <f aca="false">216500+200000</f>
        <v>416500</v>
      </c>
      <c r="E625" s="13" t="n">
        <f aca="false">C625-D625</f>
        <v>0</v>
      </c>
    </row>
    <row r="626" customFormat="false" ht="15" hidden="false" customHeight="false" outlineLevel="0" collapsed="false">
      <c r="A626" s="10" t="n">
        <v>55</v>
      </c>
      <c r="B626" s="20" t="s">
        <v>655</v>
      </c>
      <c r="C626" s="12" t="n">
        <v>416500</v>
      </c>
      <c r="D626" s="12" t="n">
        <f aca="false">216500+100000+100000</f>
        <v>416500</v>
      </c>
      <c r="E626" s="13" t="n">
        <f aca="false">C626-D626</f>
        <v>0</v>
      </c>
    </row>
    <row r="627" customFormat="false" ht="15" hidden="false" customHeight="false" outlineLevel="0" collapsed="false">
      <c r="A627" s="26" t="n">
        <v>56</v>
      </c>
      <c r="B627" s="20" t="s">
        <v>656</v>
      </c>
      <c r="C627" s="12" t="n">
        <v>416500</v>
      </c>
      <c r="D627" s="12" t="n">
        <f aca="false">216500+200000</f>
        <v>416500</v>
      </c>
      <c r="E627" s="13" t="n">
        <f aca="false">C627-D627</f>
        <v>0</v>
      </c>
    </row>
    <row r="628" customFormat="false" ht="15" hidden="false" customHeight="false" outlineLevel="0" collapsed="false">
      <c r="A628" s="10" t="n">
        <v>57</v>
      </c>
      <c r="B628" s="20" t="s">
        <v>657</v>
      </c>
      <c r="C628" s="12" t="n">
        <v>416500</v>
      </c>
      <c r="D628" s="12" t="n">
        <f aca="false">116500+200000+100000</f>
        <v>416500</v>
      </c>
      <c r="E628" s="13" t="n">
        <f aca="false">C628-D628</f>
        <v>0</v>
      </c>
    </row>
    <row r="629" customFormat="false" ht="15" hidden="false" customHeight="false" outlineLevel="0" collapsed="false">
      <c r="A629" s="26" t="n">
        <v>58</v>
      </c>
      <c r="B629" s="20" t="s">
        <v>658</v>
      </c>
      <c r="C629" s="12" t="n">
        <v>416500</v>
      </c>
      <c r="D629" s="12" t="n">
        <f aca="false">200000+100000+116500</f>
        <v>416500</v>
      </c>
      <c r="E629" s="13" t="n">
        <f aca="false">C629-D629</f>
        <v>0</v>
      </c>
    </row>
    <row r="630" customFormat="false" ht="15" hidden="false" customHeight="false" outlineLevel="0" collapsed="false">
      <c r="A630" s="10" t="n">
        <v>59</v>
      </c>
      <c r="B630" s="20" t="s">
        <v>659</v>
      </c>
      <c r="C630" s="12" t="n">
        <v>416500</v>
      </c>
      <c r="D630" s="12" t="n">
        <f aca="false">36500+150000+30000+50000+20000+60000+20000+50000</f>
        <v>416500</v>
      </c>
      <c r="E630" s="13" t="n">
        <f aca="false">C630-D630</f>
        <v>0</v>
      </c>
    </row>
    <row r="631" customFormat="false" ht="15" hidden="false" customHeight="false" outlineLevel="0" collapsed="false">
      <c r="A631" s="26" t="n">
        <v>60</v>
      </c>
      <c r="B631" s="20" t="s">
        <v>660</v>
      </c>
      <c r="C631" s="12" t="n">
        <v>416500</v>
      </c>
      <c r="D631" s="12" t="n">
        <f aca="false">300000+116500</f>
        <v>416500</v>
      </c>
      <c r="E631" s="13" t="n">
        <f aca="false">C631-D631</f>
        <v>0</v>
      </c>
    </row>
    <row r="632" customFormat="false" ht="15" hidden="false" customHeight="false" outlineLevel="0" collapsed="false">
      <c r="A632" s="10" t="n">
        <v>61</v>
      </c>
      <c r="B632" s="20" t="s">
        <v>661</v>
      </c>
      <c r="C632" s="12" t="n">
        <v>416500</v>
      </c>
      <c r="D632" s="12" t="n">
        <f aca="false">216500+100000+100000</f>
        <v>416500</v>
      </c>
      <c r="E632" s="13" t="n">
        <f aca="false">C632-D632</f>
        <v>0</v>
      </c>
    </row>
    <row r="633" customFormat="false" ht="15" hidden="false" customHeight="false" outlineLevel="0" collapsed="false">
      <c r="A633" s="26" t="n">
        <v>62</v>
      </c>
      <c r="B633" s="20" t="s">
        <v>662</v>
      </c>
      <c r="C633" s="12" t="n">
        <v>416500</v>
      </c>
      <c r="D633" s="12" t="n">
        <f aca="false">216500+200000</f>
        <v>416500</v>
      </c>
      <c r="E633" s="13" t="n">
        <f aca="false">C633-D633</f>
        <v>0</v>
      </c>
    </row>
    <row r="634" customFormat="false" ht="15" hidden="false" customHeight="false" outlineLevel="0" collapsed="false">
      <c r="A634" s="26" t="n">
        <v>63</v>
      </c>
      <c r="B634" s="20" t="s">
        <v>663</v>
      </c>
      <c r="C634" s="12" t="n">
        <v>416500</v>
      </c>
      <c r="D634" s="12" t="n">
        <f aca="false">216500+200000</f>
        <v>416500</v>
      </c>
      <c r="E634" s="13" t="n">
        <f aca="false">C634-D634</f>
        <v>0</v>
      </c>
    </row>
    <row r="635" customFormat="false" ht="15" hidden="false" customHeight="false" outlineLevel="0" collapsed="false">
      <c r="A635" s="26" t="n">
        <v>64</v>
      </c>
      <c r="B635" s="20" t="s">
        <v>664</v>
      </c>
      <c r="C635" s="12" t="n">
        <v>416500</v>
      </c>
      <c r="D635" s="12" t="n">
        <f aca="false">216500+200000</f>
        <v>416500</v>
      </c>
      <c r="E635" s="13" t="n">
        <f aca="false">C635-D635</f>
        <v>0</v>
      </c>
    </row>
    <row r="636" customFormat="false" ht="15" hidden="false" customHeight="false" outlineLevel="0" collapsed="false">
      <c r="A636" s="26" t="n">
        <v>65</v>
      </c>
      <c r="B636" s="20" t="s">
        <v>665</v>
      </c>
      <c r="C636" s="12" t="n">
        <v>416500</v>
      </c>
      <c r="D636" s="12" t="n">
        <f aca="false">216500+200000</f>
        <v>416500</v>
      </c>
      <c r="E636" s="13" t="n">
        <f aca="false">C636-D636</f>
        <v>0</v>
      </c>
    </row>
    <row r="637" customFormat="false" ht="15" hidden="false" customHeight="false" outlineLevel="0" collapsed="false">
      <c r="A637" s="26" t="n">
        <v>66</v>
      </c>
      <c r="B637" s="20" t="s">
        <v>666</v>
      </c>
      <c r="C637" s="12" t="n">
        <v>416500</v>
      </c>
      <c r="D637" s="12" t="n">
        <f aca="false">200000+216500</f>
        <v>416500</v>
      </c>
      <c r="E637" s="13" t="n">
        <f aca="false">C637-D637</f>
        <v>0</v>
      </c>
    </row>
    <row r="638" customFormat="false" ht="15" hidden="false" customHeight="false" outlineLevel="0" collapsed="false">
      <c r="A638" s="26" t="n">
        <v>67</v>
      </c>
      <c r="B638" s="20" t="s">
        <v>667</v>
      </c>
      <c r="C638" s="12" t="n">
        <v>416500</v>
      </c>
      <c r="D638" s="12" t="n">
        <f aca="false">200000+216500</f>
        <v>416500</v>
      </c>
      <c r="E638" s="13" t="n">
        <f aca="false">C638-D638</f>
        <v>0</v>
      </c>
    </row>
    <row r="639" customFormat="false" ht="15" hidden="false" customHeight="false" outlineLevel="0" collapsed="false">
      <c r="A639" s="26" t="n">
        <v>68</v>
      </c>
      <c r="B639" s="20" t="s">
        <v>668</v>
      </c>
      <c r="C639" s="12" t="n">
        <v>416500</v>
      </c>
      <c r="D639" s="12" t="n">
        <f aca="false">130000+70000+216500</f>
        <v>416500</v>
      </c>
      <c r="E639" s="13" t="n">
        <f aca="false">C639-D639</f>
        <v>0</v>
      </c>
    </row>
    <row r="640" customFormat="false" ht="15" hidden="false" customHeight="false" outlineLevel="0" collapsed="false">
      <c r="A640" s="26" t="n">
        <v>69</v>
      </c>
      <c r="B640" s="20" t="s">
        <v>669</v>
      </c>
      <c r="C640" s="12" t="n">
        <v>416500</v>
      </c>
      <c r="D640" s="12" t="n">
        <f aca="false">216500+200000</f>
        <v>416500</v>
      </c>
      <c r="E640" s="13" t="n">
        <f aca="false">C640-D640</f>
        <v>0</v>
      </c>
    </row>
    <row r="641" customFormat="false" ht="15" hidden="false" customHeight="false" outlineLevel="0" collapsed="false">
      <c r="A641" s="26" t="n">
        <v>70</v>
      </c>
      <c r="B641" s="20" t="s">
        <v>670</v>
      </c>
      <c r="C641" s="12" t="n">
        <v>416500</v>
      </c>
      <c r="D641" s="12" t="n">
        <f aca="false">216000+216000</f>
        <v>432000</v>
      </c>
      <c r="E641" s="82" t="n">
        <f aca="false">C641-D641</f>
        <v>-15500</v>
      </c>
    </row>
    <row r="642" customFormat="false" ht="15" hidden="false" customHeight="false" outlineLevel="0" collapsed="false">
      <c r="A642" s="26" t="n">
        <v>71</v>
      </c>
      <c r="B642" s="20" t="s">
        <v>671</v>
      </c>
      <c r="C642" s="12" t="n">
        <v>416500</v>
      </c>
      <c r="D642" s="12" t="n">
        <f aca="false">216500+200000</f>
        <v>416500</v>
      </c>
      <c r="E642" s="13" t="n">
        <f aca="false">C642-D642</f>
        <v>0</v>
      </c>
    </row>
    <row r="643" customFormat="false" ht="15" hidden="false" customHeight="false" outlineLevel="0" collapsed="false">
      <c r="A643" s="26" t="n">
        <v>72</v>
      </c>
      <c r="B643" s="20" t="s">
        <v>672</v>
      </c>
      <c r="C643" s="12" t="n">
        <v>416500</v>
      </c>
      <c r="D643" s="12" t="n">
        <f aca="false">216500+200000</f>
        <v>416500</v>
      </c>
      <c r="E643" s="13" t="n">
        <f aca="false">C643-D643</f>
        <v>0</v>
      </c>
    </row>
    <row r="644" customFormat="false" ht="15" hidden="false" customHeight="false" outlineLevel="0" collapsed="false">
      <c r="A644" s="26" t="n">
        <v>73</v>
      </c>
      <c r="B644" s="20" t="s">
        <v>673</v>
      </c>
      <c r="C644" s="12" t="n">
        <v>416500</v>
      </c>
      <c r="D644" s="12" t="n">
        <f aca="false">216500+200000</f>
        <v>416500</v>
      </c>
      <c r="E644" s="13" t="n">
        <f aca="false">C644-D644</f>
        <v>0</v>
      </c>
    </row>
    <row r="645" customFormat="false" ht="15" hidden="false" customHeight="false" outlineLevel="0" collapsed="false">
      <c r="A645" s="26" t="n">
        <v>74</v>
      </c>
      <c r="B645" s="20" t="s">
        <v>674</v>
      </c>
      <c r="C645" s="12" t="n">
        <v>416500</v>
      </c>
      <c r="D645" s="12" t="n">
        <f aca="false">216500+200000</f>
        <v>416500</v>
      </c>
      <c r="E645" s="13" t="n">
        <f aca="false">C645-D645</f>
        <v>0</v>
      </c>
    </row>
    <row r="646" customFormat="false" ht="15" hidden="false" customHeight="false" outlineLevel="0" collapsed="false">
      <c r="A646" s="26" t="n">
        <v>75</v>
      </c>
      <c r="B646" s="20" t="s">
        <v>675</v>
      </c>
      <c r="C646" s="12" t="n">
        <v>416500</v>
      </c>
      <c r="D646" s="12" t="n">
        <f aca="false">216000+200000+500</f>
        <v>416500</v>
      </c>
      <c r="E646" s="13" t="s">
        <v>676</v>
      </c>
    </row>
    <row r="647" customFormat="false" ht="15" hidden="false" customHeight="false" outlineLevel="0" collapsed="false">
      <c r="A647" s="26" t="n">
        <v>76</v>
      </c>
      <c r="B647" s="20" t="s">
        <v>677</v>
      </c>
      <c r="C647" s="12" t="n">
        <v>416500</v>
      </c>
      <c r="D647" s="12" t="n">
        <f aca="false">416000+500</f>
        <v>416500</v>
      </c>
      <c r="E647" s="13" t="n">
        <f aca="false">C647-D647</f>
        <v>0</v>
      </c>
    </row>
    <row r="648" customFormat="false" ht="15" hidden="false" customHeight="false" outlineLevel="0" collapsed="false">
      <c r="A648" s="26" t="n">
        <v>77</v>
      </c>
      <c r="B648" s="20" t="s">
        <v>678</v>
      </c>
      <c r="C648" s="12" t="n">
        <v>416500</v>
      </c>
      <c r="D648" s="12" t="n">
        <f aca="false">200000+56500+160000</f>
        <v>416500</v>
      </c>
      <c r="E648" s="13" t="n">
        <f aca="false">C648-D648</f>
        <v>0</v>
      </c>
    </row>
    <row r="649" customFormat="false" ht="15" hidden="false" customHeight="false" outlineLevel="0" collapsed="false">
      <c r="A649" s="26" t="n">
        <v>78</v>
      </c>
      <c r="B649" s="20" t="s">
        <v>679</v>
      </c>
      <c r="C649" s="12" t="n">
        <v>416500</v>
      </c>
      <c r="D649" s="12" t="n">
        <f aca="false">216000+50000+100000+50000</f>
        <v>416000</v>
      </c>
      <c r="E649" s="13" t="n">
        <f aca="false">C649-D649</f>
        <v>500</v>
      </c>
    </row>
    <row r="650" customFormat="false" ht="15" hidden="false" customHeight="false" outlineLevel="0" collapsed="false">
      <c r="A650" s="26" t="n">
        <v>79</v>
      </c>
      <c r="B650" s="20" t="s">
        <v>680</v>
      </c>
      <c r="C650" s="12" t="n">
        <v>416500</v>
      </c>
      <c r="D650" s="12" t="n">
        <f aca="false">216500+200000</f>
        <v>416500</v>
      </c>
      <c r="E650" s="13" t="n">
        <f aca="false">C650-D650</f>
        <v>0</v>
      </c>
    </row>
    <row r="651" customFormat="false" ht="15" hidden="false" customHeight="false" outlineLevel="0" collapsed="false">
      <c r="A651" s="26" t="n">
        <v>80</v>
      </c>
      <c r="B651" s="20" t="s">
        <v>681</v>
      </c>
      <c r="C651" s="12" t="n">
        <v>416500</v>
      </c>
      <c r="D651" s="12" t="n">
        <f aca="false">416500</f>
        <v>416500</v>
      </c>
      <c r="E651" s="13" t="n">
        <f aca="false">C651-D651</f>
        <v>0</v>
      </c>
    </row>
    <row r="652" customFormat="false" ht="15" hidden="false" customHeight="false" outlineLevel="0" collapsed="false">
      <c r="A652" s="26" t="n">
        <v>81</v>
      </c>
      <c r="B652" s="20" t="s">
        <v>682</v>
      </c>
      <c r="C652" s="12" t="n">
        <v>416500</v>
      </c>
      <c r="D652" s="12" t="n">
        <f aca="false">200000+76500+140000</f>
        <v>416500</v>
      </c>
      <c r="E652" s="13" t="n">
        <f aca="false">C652-D652</f>
        <v>0</v>
      </c>
    </row>
    <row r="653" customFormat="false" ht="15" hidden="false" customHeight="false" outlineLevel="0" collapsed="false">
      <c r="A653" s="26" t="n">
        <v>82</v>
      </c>
      <c r="B653" s="20" t="s">
        <v>683</v>
      </c>
      <c r="C653" s="12" t="n">
        <v>416500</v>
      </c>
      <c r="D653" s="12" t="n">
        <f aca="false">220000</f>
        <v>220000</v>
      </c>
      <c r="E653" s="13" t="n">
        <f aca="false">C653-D653</f>
        <v>196500</v>
      </c>
    </row>
    <row r="654" customFormat="false" ht="15" hidden="false" customHeight="false" outlineLevel="0" collapsed="false">
      <c r="A654" s="26" t="n">
        <v>83</v>
      </c>
      <c r="B654" s="20" t="s">
        <v>684</v>
      </c>
      <c r="C654" s="12" t="n">
        <v>416500</v>
      </c>
      <c r="D654" s="12" t="n">
        <f aca="false">216500+200000</f>
        <v>416500</v>
      </c>
      <c r="E654" s="13" t="n">
        <f aca="false">C654-D654</f>
        <v>0</v>
      </c>
    </row>
    <row r="655" customFormat="false" ht="15" hidden="false" customHeight="false" outlineLevel="0" collapsed="false">
      <c r="A655" s="26" t="n">
        <v>84</v>
      </c>
      <c r="B655" s="20" t="s">
        <v>685</v>
      </c>
      <c r="C655" s="12" t="n">
        <v>416500</v>
      </c>
      <c r="D655" s="12" t="n">
        <f aca="false">200000+116500+100000</f>
        <v>416500</v>
      </c>
      <c r="E655" s="13" t="n">
        <f aca="false">C655-D655</f>
        <v>0</v>
      </c>
    </row>
    <row r="656" customFormat="false" ht="15" hidden="false" customHeight="false" outlineLevel="0" collapsed="false">
      <c r="A656" s="26" t="n">
        <v>85</v>
      </c>
      <c r="B656" s="20" t="s">
        <v>686</v>
      </c>
      <c r="C656" s="12" t="n">
        <v>416500</v>
      </c>
      <c r="D656" s="12" t="n">
        <f aca="false">116500+100000+100000</f>
        <v>316500</v>
      </c>
      <c r="E656" s="13" t="n">
        <f aca="false">C656-D656</f>
        <v>100000</v>
      </c>
    </row>
    <row r="657" customFormat="false" ht="15" hidden="false" customHeight="false" outlineLevel="0" collapsed="false">
      <c r="A657" s="26" t="n">
        <v>86</v>
      </c>
      <c r="B657" s="38" t="s">
        <v>687</v>
      </c>
      <c r="C657" s="37" t="n">
        <v>416500</v>
      </c>
      <c r="D657" s="37" t="n">
        <f aca="false">116500+100000+150000+50000</f>
        <v>416500</v>
      </c>
      <c r="E657" s="13" t="n">
        <f aca="false">C657-D657</f>
        <v>0</v>
      </c>
    </row>
    <row r="658" customFormat="false" ht="15" hidden="false" customHeight="false" outlineLevel="0" collapsed="false">
      <c r="A658" s="26" t="n">
        <v>87</v>
      </c>
      <c r="B658" s="20" t="s">
        <v>688</v>
      </c>
      <c r="C658" s="12" t="n">
        <v>416500</v>
      </c>
      <c r="D658" s="12" t="n">
        <f aca="false">416500</f>
        <v>416500</v>
      </c>
      <c r="E658" s="13" t="n">
        <f aca="false">C658-D658</f>
        <v>0</v>
      </c>
    </row>
    <row r="659" customFormat="false" ht="15" hidden="false" customHeight="false" outlineLevel="0" collapsed="false">
      <c r="A659" s="26" t="n">
        <v>88</v>
      </c>
      <c r="B659" s="20" t="s">
        <v>689</v>
      </c>
      <c r="C659" s="12" t="n">
        <v>416500</v>
      </c>
      <c r="D659" s="12" t="n">
        <f aca="false">216500+100000</f>
        <v>316500</v>
      </c>
      <c r="E659" s="13" t="n">
        <f aca="false">C659-D659</f>
        <v>100000</v>
      </c>
    </row>
    <row r="660" customFormat="false" ht="15" hidden="false" customHeight="false" outlineLevel="0" collapsed="false">
      <c r="A660" s="26" t="n">
        <v>89</v>
      </c>
      <c r="B660" s="20" t="s">
        <v>690</v>
      </c>
      <c r="C660" s="12" t="n">
        <v>416500</v>
      </c>
      <c r="D660" s="12" t="n">
        <f aca="false">200000+100000+116500</f>
        <v>416500</v>
      </c>
      <c r="E660" s="13" t="n">
        <f aca="false">C660-D660</f>
        <v>0</v>
      </c>
    </row>
    <row r="661" customFormat="false" ht="15" hidden="false" customHeight="false" outlineLevel="0" collapsed="false">
      <c r="A661" s="26" t="n">
        <v>90</v>
      </c>
      <c r="B661" s="20" t="s">
        <v>691</v>
      </c>
      <c r="C661" s="12" t="n">
        <v>416500</v>
      </c>
      <c r="D661" s="12" t="n">
        <f aca="false">116500+100000+50000+150000</f>
        <v>416500</v>
      </c>
      <c r="E661" s="13" t="n">
        <f aca="false">C661-D661</f>
        <v>0</v>
      </c>
    </row>
    <row r="662" customFormat="false" ht="15" hidden="false" customHeight="false" outlineLevel="0" collapsed="false">
      <c r="A662" s="26" t="n">
        <v>91</v>
      </c>
      <c r="B662" s="20" t="s">
        <v>692</v>
      </c>
      <c r="C662" s="12" t="n">
        <v>416500</v>
      </c>
      <c r="D662" s="12" t="n">
        <f aca="false">216500+90000</f>
        <v>306500</v>
      </c>
      <c r="E662" s="13" t="n">
        <f aca="false">C662-D662</f>
        <v>110000</v>
      </c>
    </row>
    <row r="663" customFormat="false" ht="15" hidden="false" customHeight="false" outlineLevel="0" collapsed="false">
      <c r="A663" s="26" t="n">
        <v>92</v>
      </c>
      <c r="B663" s="20" t="s">
        <v>693</v>
      </c>
      <c r="C663" s="12" t="n">
        <v>416500</v>
      </c>
      <c r="D663" s="12" t="n">
        <f aca="false">216500+200000</f>
        <v>416500</v>
      </c>
      <c r="E663" s="13" t="n">
        <f aca="false">C663-D663</f>
        <v>0</v>
      </c>
    </row>
    <row r="664" customFormat="false" ht="15" hidden="false" customHeight="false" outlineLevel="0" collapsed="false">
      <c r="A664" s="26" t="n">
        <v>93</v>
      </c>
      <c r="B664" s="20" t="s">
        <v>694</v>
      </c>
      <c r="C664" s="12" t="n">
        <v>416500</v>
      </c>
      <c r="D664" s="12" t="n">
        <f aca="false">216500+200000</f>
        <v>416500</v>
      </c>
      <c r="E664" s="13" t="n">
        <f aca="false">C664-D664</f>
        <v>0</v>
      </c>
    </row>
    <row r="665" customFormat="false" ht="17.35" hidden="false" customHeight="false" outlineLevel="0" collapsed="false">
      <c r="A665" s="83"/>
      <c r="B665" s="22" t="s">
        <v>30</v>
      </c>
      <c r="C665" s="23" t="n">
        <f aca="false">SUM(C572:C664)</f>
        <v>38734500</v>
      </c>
      <c r="D665" s="24" t="n">
        <f aca="false">SUM(D572:D664)</f>
        <v>35771500</v>
      </c>
      <c r="E665" s="25" t="n">
        <f aca="false">SUM(E572:E664)</f>
        <v>2963000</v>
      </c>
    </row>
    <row r="666" customFormat="false" ht="17.35" hidden="false" customHeight="false" outlineLevel="0" collapsed="false">
      <c r="A666" s="32"/>
      <c r="B666" s="28"/>
      <c r="C666" s="29"/>
      <c r="D666" s="30"/>
      <c r="E666" s="31"/>
    </row>
    <row r="667" customFormat="false" ht="17.35" hidden="false" customHeight="false" outlineLevel="0" collapsed="false">
      <c r="A667" s="32"/>
      <c r="B667" s="28"/>
      <c r="C667" s="29"/>
      <c r="D667" s="30"/>
      <c r="E667" s="31"/>
    </row>
    <row r="668" customFormat="false" ht="17.35" hidden="false" customHeight="false" outlineLevel="0" collapsed="false">
      <c r="A668" s="1"/>
      <c r="B668" s="2" t="s">
        <v>0</v>
      </c>
    </row>
    <row r="669" customFormat="false" ht="17.35" hidden="false" customHeight="false" outlineLevel="0" collapsed="false">
      <c r="A669" s="33"/>
    </row>
    <row r="670" customFormat="false" ht="15" hidden="false" customHeight="false" outlineLevel="0" collapsed="false">
      <c r="A670" s="1"/>
    </row>
    <row r="671" customFormat="false" ht="17.25" hidden="false" customHeight="false" outlineLevel="0" collapsed="false">
      <c r="A671" s="1"/>
      <c r="B671" s="3" t="s">
        <v>695</v>
      </c>
    </row>
    <row r="672" customFormat="false" ht="15" hidden="false" customHeight="false" outlineLevel="0" collapsed="false">
      <c r="A672" s="1"/>
      <c r="D672" s="4" t="s">
        <v>192</v>
      </c>
    </row>
    <row r="673" customFormat="false" ht="15" hidden="false" customHeight="false" outlineLevel="0" collapsed="false">
      <c r="A673" s="1"/>
    </row>
    <row r="674" customFormat="false" ht="15" hidden="false" customHeight="false" outlineLevel="0" collapsed="false">
      <c r="A674" s="5" t="s">
        <v>3</v>
      </c>
      <c r="B674" s="6" t="s">
        <v>4</v>
      </c>
      <c r="C674" s="7" t="s">
        <v>5</v>
      </c>
      <c r="D674" s="8" t="s">
        <v>6</v>
      </c>
      <c r="E674" s="9" t="s">
        <v>7</v>
      </c>
    </row>
    <row r="675" customFormat="false" ht="15" hidden="false" customHeight="false" outlineLevel="0" collapsed="false">
      <c r="A675" s="84" t="n">
        <v>1</v>
      </c>
      <c r="B675" s="81" t="s">
        <v>696</v>
      </c>
      <c r="C675" s="12" t="n">
        <v>416500</v>
      </c>
      <c r="D675" s="12" t="n">
        <f aca="false">216000+200000</f>
        <v>416000</v>
      </c>
      <c r="E675" s="13" t="n">
        <f aca="false">C675-D675</f>
        <v>500</v>
      </c>
    </row>
    <row r="676" customFormat="false" ht="15" hidden="false" customHeight="false" outlineLevel="0" collapsed="false">
      <c r="A676" s="26" t="n">
        <v>2</v>
      </c>
      <c r="B676" s="34" t="s">
        <v>697</v>
      </c>
      <c r="C676" s="12" t="n">
        <v>416500</v>
      </c>
      <c r="D676" s="12"/>
      <c r="E676" s="13" t="n">
        <f aca="false">C676-D676</f>
        <v>416500</v>
      </c>
    </row>
    <row r="677" customFormat="false" ht="15" hidden="false" customHeight="false" outlineLevel="0" collapsed="false">
      <c r="A677" s="10" t="n">
        <v>3</v>
      </c>
      <c r="B677" s="14" t="s">
        <v>698</v>
      </c>
      <c r="C677" s="12" t="n">
        <v>416500</v>
      </c>
      <c r="D677" s="12" t="n">
        <f aca="false">149500</f>
        <v>149500</v>
      </c>
      <c r="E677" s="13" t="n">
        <f aca="false">C677-D677</f>
        <v>267000</v>
      </c>
    </row>
    <row r="678" customFormat="false" ht="15" hidden="false" customHeight="false" outlineLevel="0" collapsed="false">
      <c r="A678" s="10" t="n">
        <v>4</v>
      </c>
      <c r="B678" s="14" t="s">
        <v>699</v>
      </c>
      <c r="C678" s="12" t="n">
        <v>416500</v>
      </c>
      <c r="D678" s="12" t="n">
        <f aca="false">135000+72000</f>
        <v>207000</v>
      </c>
      <c r="E678" s="13" t="n">
        <f aca="false">C678-D678</f>
        <v>209500</v>
      </c>
    </row>
    <row r="679" customFormat="false" ht="15" hidden="false" customHeight="false" outlineLevel="0" collapsed="false">
      <c r="A679" s="26" t="n">
        <v>5</v>
      </c>
      <c r="B679" s="14" t="s">
        <v>700</v>
      </c>
      <c r="C679" s="18" t="n">
        <v>416500</v>
      </c>
      <c r="D679" s="18" t="n">
        <f aca="false">33500+150000</f>
        <v>183500</v>
      </c>
      <c r="E679" s="19" t="n">
        <f aca="false">C679-D679</f>
        <v>233000</v>
      </c>
    </row>
    <row r="680" customFormat="false" ht="15" hidden="false" customHeight="false" outlineLevel="0" collapsed="false">
      <c r="A680" s="26" t="n">
        <v>6</v>
      </c>
      <c r="B680" s="14" t="s">
        <v>701</v>
      </c>
      <c r="C680" s="18" t="n">
        <v>416500</v>
      </c>
      <c r="D680" s="18" t="n">
        <f aca="false">33500+50000</f>
        <v>83500</v>
      </c>
      <c r="E680" s="19" t="n">
        <f aca="false">C680-D680</f>
        <v>333000</v>
      </c>
    </row>
    <row r="681" customFormat="false" ht="15" hidden="false" customHeight="false" outlineLevel="0" collapsed="false">
      <c r="A681" s="26" t="n">
        <v>7</v>
      </c>
      <c r="B681" s="14" t="s">
        <v>702</v>
      </c>
      <c r="C681" s="12" t="n">
        <v>416500</v>
      </c>
      <c r="D681" s="12" t="n">
        <f aca="false">100000</f>
        <v>100000</v>
      </c>
      <c r="E681" s="13" t="n">
        <f aca="false">C681-D681</f>
        <v>316500</v>
      </c>
    </row>
    <row r="682" customFormat="false" ht="15" hidden="false" customHeight="false" outlineLevel="0" collapsed="false">
      <c r="A682" s="26" t="n">
        <v>8</v>
      </c>
      <c r="B682" s="14" t="s">
        <v>703</v>
      </c>
      <c r="C682" s="12" t="n">
        <v>416500</v>
      </c>
      <c r="D682" s="12"/>
      <c r="E682" s="13" t="n">
        <f aca="false">C682-D682</f>
        <v>416500</v>
      </c>
    </row>
    <row r="683" customFormat="false" ht="15" hidden="false" customHeight="false" outlineLevel="0" collapsed="false">
      <c r="A683" s="26" t="n">
        <v>9</v>
      </c>
      <c r="B683" s="14" t="s">
        <v>704</v>
      </c>
      <c r="C683" s="12" t="n">
        <v>416500</v>
      </c>
      <c r="D683" s="12" t="n">
        <f aca="false">199500</f>
        <v>199500</v>
      </c>
      <c r="E683" s="13" t="n">
        <f aca="false">C683-D683</f>
        <v>217000</v>
      </c>
    </row>
    <row r="684" customFormat="false" ht="15" hidden="false" customHeight="false" outlineLevel="0" collapsed="false">
      <c r="A684" s="26" t="n">
        <v>10</v>
      </c>
      <c r="B684" s="14" t="s">
        <v>705</v>
      </c>
      <c r="C684" s="12" t="n">
        <v>416500</v>
      </c>
      <c r="D684" s="12" t="n">
        <f aca="false">66500+33500+100000</f>
        <v>200000</v>
      </c>
      <c r="E684" s="13" t="n">
        <f aca="false">C684-D684</f>
        <v>216500</v>
      </c>
    </row>
    <row r="685" customFormat="false" ht="15" hidden="false" customHeight="false" outlineLevel="0" collapsed="false">
      <c r="A685" s="26" t="n">
        <v>11</v>
      </c>
      <c r="B685" s="14" t="s">
        <v>706</v>
      </c>
      <c r="C685" s="12" t="n">
        <v>416500</v>
      </c>
      <c r="D685" s="12" t="n">
        <f aca="false">183500</f>
        <v>183500</v>
      </c>
      <c r="E685" s="13" t="n">
        <f aca="false">C685-D685</f>
        <v>233000</v>
      </c>
    </row>
    <row r="686" customFormat="false" ht="15" hidden="false" customHeight="false" outlineLevel="0" collapsed="false">
      <c r="A686" s="10" t="n">
        <v>12</v>
      </c>
      <c r="B686" s="14" t="s">
        <v>707</v>
      </c>
      <c r="C686" s="12" t="n">
        <v>416500</v>
      </c>
      <c r="D686" s="12" t="n">
        <f aca="false">200000+216500</f>
        <v>416500</v>
      </c>
      <c r="E686" s="13" t="n">
        <f aca="false">C686-D686</f>
        <v>0</v>
      </c>
    </row>
    <row r="687" customFormat="false" ht="17.35" hidden="false" customHeight="false" outlineLevel="0" collapsed="false">
      <c r="A687" s="21"/>
      <c r="B687" s="22" t="s">
        <v>30</v>
      </c>
      <c r="C687" s="23" t="n">
        <f aca="false">SUM(C675:C686)</f>
        <v>4998000</v>
      </c>
      <c r="D687" s="24" t="n">
        <f aca="false">SUM(D675:D686)</f>
        <v>2139000</v>
      </c>
      <c r="E687" s="25" t="n">
        <f aca="false">SUM(E675:E686)</f>
        <v>2859000</v>
      </c>
    </row>
    <row r="688" customFormat="false" ht="17.35" hidden="false" customHeight="false" outlineLevel="0" collapsed="false">
      <c r="A688" s="32"/>
      <c r="B688" s="28"/>
      <c r="C688" s="29"/>
      <c r="D688" s="30"/>
      <c r="E688" s="31"/>
    </row>
    <row r="690" customFormat="false" ht="17.35" hidden="false" customHeight="false" outlineLevel="0" collapsed="false">
      <c r="B690" s="2" t="s">
        <v>0</v>
      </c>
    </row>
    <row r="691" customFormat="false" ht="17.35" hidden="false" customHeight="false" outlineLevel="0" collapsed="false">
      <c r="A691" s="33"/>
    </row>
    <row r="692" customFormat="false" ht="15" hidden="false" customHeight="false" outlineLevel="0" collapsed="false">
      <c r="A692" s="1"/>
    </row>
    <row r="693" customFormat="false" ht="17.25" hidden="false" customHeight="false" outlineLevel="0" collapsed="false">
      <c r="A693" s="1"/>
      <c r="B693" s="3" t="s">
        <v>708</v>
      </c>
    </row>
    <row r="694" customFormat="false" ht="15" hidden="false" customHeight="false" outlineLevel="0" collapsed="false">
      <c r="A694" s="1"/>
      <c r="D694" s="4" t="s">
        <v>210</v>
      </c>
    </row>
    <row r="695" customFormat="false" ht="15" hidden="false" customHeight="false" outlineLevel="0" collapsed="false">
      <c r="A695" s="1"/>
    </row>
    <row r="696" customFormat="false" ht="15" hidden="false" customHeight="false" outlineLevel="0" collapsed="false">
      <c r="A696" s="5" t="s">
        <v>3</v>
      </c>
      <c r="B696" s="6" t="s">
        <v>4</v>
      </c>
      <c r="C696" s="7" t="s">
        <v>5</v>
      </c>
      <c r="D696" s="8" t="s">
        <v>6</v>
      </c>
      <c r="E696" s="9" t="s">
        <v>7</v>
      </c>
    </row>
    <row r="697" customFormat="false" ht="15" hidden="false" customHeight="false" outlineLevel="0" collapsed="false">
      <c r="A697" s="10" t="n">
        <v>1</v>
      </c>
      <c r="B697" s="14" t="s">
        <v>709</v>
      </c>
      <c r="C697" s="12" t="n">
        <v>416500</v>
      </c>
      <c r="D697" s="12" t="n">
        <f aca="false">200000+216500</f>
        <v>416500</v>
      </c>
      <c r="E697" s="13" t="n">
        <f aca="false">C697-D697</f>
        <v>0</v>
      </c>
    </row>
    <row r="698" customFormat="false" ht="15" hidden="false" customHeight="false" outlineLevel="0" collapsed="false">
      <c r="A698" s="10" t="n">
        <v>2</v>
      </c>
      <c r="B698" s="14" t="s">
        <v>710</v>
      </c>
      <c r="C698" s="12" t="n">
        <v>416500</v>
      </c>
      <c r="D698" s="12" t="n">
        <f aca="false">440000</f>
        <v>440000</v>
      </c>
      <c r="E698" s="13" t="n">
        <f aca="false">C698-D698</f>
        <v>-23500</v>
      </c>
    </row>
    <row r="699" customFormat="false" ht="15" hidden="false" customHeight="false" outlineLevel="0" collapsed="false">
      <c r="A699" s="10" t="n">
        <v>3</v>
      </c>
      <c r="B699" s="16" t="s">
        <v>711</v>
      </c>
      <c r="C699" s="12" t="n">
        <v>416500</v>
      </c>
      <c r="D699" s="12" t="n">
        <f aca="false">100000+100000+100000</f>
        <v>300000</v>
      </c>
      <c r="E699" s="13" t="n">
        <f aca="false">C699-D699</f>
        <v>116500</v>
      </c>
    </row>
    <row r="700" customFormat="false" ht="15" hidden="false" customHeight="false" outlineLevel="0" collapsed="false">
      <c r="A700" s="10" t="n">
        <v>4</v>
      </c>
      <c r="B700" s="14" t="s">
        <v>712</v>
      </c>
      <c r="C700" s="12" t="n">
        <v>416500</v>
      </c>
      <c r="D700" s="12" t="n">
        <f aca="false">3500+50000+163500</f>
        <v>217000</v>
      </c>
      <c r="E700" s="13" t="n">
        <f aca="false">C700-D700</f>
        <v>199500</v>
      </c>
    </row>
    <row r="701" customFormat="false" ht="15" hidden="false" customHeight="false" outlineLevel="0" collapsed="false">
      <c r="A701" s="10" t="n">
        <v>5</v>
      </c>
      <c r="B701" s="14" t="s">
        <v>713</v>
      </c>
      <c r="C701" s="12" t="n">
        <v>416500</v>
      </c>
      <c r="D701" s="12"/>
      <c r="E701" s="13" t="n">
        <f aca="false">C701-D701</f>
        <v>416500</v>
      </c>
    </row>
    <row r="702" customFormat="false" ht="15" hidden="false" customHeight="false" outlineLevel="0" collapsed="false">
      <c r="A702" s="15" t="n">
        <v>6</v>
      </c>
      <c r="B702" s="14" t="s">
        <v>714</v>
      </c>
      <c r="C702" s="12" t="n">
        <v>416500</v>
      </c>
      <c r="D702" s="12" t="n">
        <f aca="false">216500+200000</f>
        <v>416500</v>
      </c>
      <c r="E702" s="13" t="n">
        <f aca="false">C702-D702</f>
        <v>0</v>
      </c>
    </row>
    <row r="703" customFormat="false" ht="15" hidden="false" customHeight="false" outlineLevel="0" collapsed="false">
      <c r="A703" s="10" t="n">
        <v>7</v>
      </c>
      <c r="B703" s="14" t="s">
        <v>715</v>
      </c>
      <c r="C703" s="12" t="n">
        <v>416500</v>
      </c>
      <c r="D703" s="12" t="n">
        <f aca="false">200000+216500</f>
        <v>416500</v>
      </c>
      <c r="E703" s="13" t="n">
        <f aca="false">C703-D703</f>
        <v>0</v>
      </c>
    </row>
    <row r="704" customFormat="false" ht="15" hidden="false" customHeight="false" outlineLevel="0" collapsed="false">
      <c r="A704" s="10" t="n">
        <v>8</v>
      </c>
      <c r="B704" s="14" t="s">
        <v>716</v>
      </c>
      <c r="C704" s="12" t="n">
        <v>416500</v>
      </c>
      <c r="D704" s="12"/>
      <c r="E704" s="13" t="n">
        <f aca="false">C704-D704</f>
        <v>416500</v>
      </c>
    </row>
    <row r="705" customFormat="false" ht="15" hidden="false" customHeight="false" outlineLevel="0" collapsed="false">
      <c r="A705" s="10" t="n">
        <v>9</v>
      </c>
      <c r="B705" s="14" t="s">
        <v>717</v>
      </c>
      <c r="C705" s="12" t="n">
        <v>416500</v>
      </c>
      <c r="D705" s="12" t="n">
        <f aca="false">200000</f>
        <v>200000</v>
      </c>
      <c r="E705" s="13" t="n">
        <f aca="false">C705-D705</f>
        <v>216500</v>
      </c>
    </row>
    <row r="706" customFormat="false" ht="15" hidden="false" customHeight="false" outlineLevel="0" collapsed="false">
      <c r="A706" s="10" t="n">
        <v>10</v>
      </c>
      <c r="B706" s="14" t="s">
        <v>718</v>
      </c>
      <c r="C706" s="12" t="n">
        <v>416500</v>
      </c>
      <c r="D706" s="12" t="n">
        <f aca="false">101500+100000</f>
        <v>201500</v>
      </c>
      <c r="E706" s="13" t="n">
        <f aca="false">C706-D706</f>
        <v>215000</v>
      </c>
    </row>
    <row r="707" customFormat="false" ht="15" hidden="false" customHeight="false" outlineLevel="0" collapsed="false">
      <c r="A707" s="10" t="n">
        <v>11</v>
      </c>
      <c r="B707" s="14" t="s">
        <v>719</v>
      </c>
      <c r="C707" s="12" t="n">
        <v>416500</v>
      </c>
      <c r="D707" s="12" t="n">
        <f aca="false">83500</f>
        <v>83500</v>
      </c>
      <c r="E707" s="13" t="n">
        <f aca="false">C707-D707</f>
        <v>333000</v>
      </c>
    </row>
    <row r="708" customFormat="false" ht="15" hidden="false" customHeight="false" outlineLevel="0" collapsed="false">
      <c r="A708" s="10" t="n">
        <v>12</v>
      </c>
      <c r="B708" s="14" t="s">
        <v>720</v>
      </c>
      <c r="C708" s="12" t="n">
        <v>416500</v>
      </c>
      <c r="D708" s="12" t="n">
        <f aca="false">200000+216500</f>
        <v>416500</v>
      </c>
      <c r="E708" s="13" t="n">
        <f aca="false">C708-D708</f>
        <v>0</v>
      </c>
    </row>
    <row r="709" customFormat="false" ht="17.35" hidden="false" customHeight="false" outlineLevel="0" collapsed="false">
      <c r="A709" s="21"/>
      <c r="B709" s="63" t="s">
        <v>30</v>
      </c>
      <c r="C709" s="23" t="n">
        <f aca="false">SUM(C697:C708)</f>
        <v>4998000</v>
      </c>
      <c r="D709" s="85" t="n">
        <f aca="false">SUM(D697:D708)</f>
        <v>3108000</v>
      </c>
      <c r="E709" s="25" t="n">
        <f aca="false">SUM(E697:E708)</f>
        <v>1890000</v>
      </c>
    </row>
    <row r="712" customFormat="false" ht="17.35" hidden="false" customHeight="false" outlineLevel="0" collapsed="false">
      <c r="A712" s="52"/>
      <c r="B712" s="2" t="s">
        <v>0</v>
      </c>
      <c r="C712" s="2"/>
      <c r="D712" s="2"/>
    </row>
    <row r="713" customFormat="false" ht="15" hidden="false" customHeight="false" outlineLevel="0" collapsed="false">
      <c r="A713" s="52"/>
    </row>
    <row r="714" customFormat="false" ht="17.35" hidden="false" customHeight="false" outlineLevel="0" collapsed="false">
      <c r="A714" s="52"/>
      <c r="B714" s="47" t="s">
        <v>226</v>
      </c>
    </row>
    <row r="715" customFormat="false" ht="15" hidden="false" customHeight="false" outlineLevel="0" collapsed="false">
      <c r="A715" s="52"/>
      <c r="B715" s="3" t="s">
        <v>721</v>
      </c>
    </row>
    <row r="716" customFormat="false" ht="15" hidden="false" customHeight="false" outlineLevel="0" collapsed="false">
      <c r="A716" s="52"/>
    </row>
    <row r="717" customFormat="false" ht="15" hidden="false" customHeight="false" outlineLevel="0" collapsed="false">
      <c r="A717" s="48" t="s">
        <v>3</v>
      </c>
      <c r="B717" s="49" t="s">
        <v>228</v>
      </c>
      <c r="C717" s="7" t="s">
        <v>5</v>
      </c>
      <c r="D717" s="50" t="s">
        <v>6</v>
      </c>
      <c r="E717" s="9" t="s">
        <v>7</v>
      </c>
    </row>
    <row r="718" customFormat="false" ht="15" hidden="false" customHeight="false" outlineLevel="0" collapsed="false">
      <c r="A718" s="51" t="n">
        <v>1</v>
      </c>
      <c r="B718" s="53" t="s">
        <v>722</v>
      </c>
      <c r="C718" s="43" t="n">
        <v>416500</v>
      </c>
      <c r="D718" s="43" t="n">
        <f aca="false">133500</f>
        <v>133500</v>
      </c>
      <c r="E718" s="44" t="n">
        <f aca="false">C718-D718</f>
        <v>283000</v>
      </c>
    </row>
    <row r="719" customFormat="false" ht="15" hidden="false" customHeight="false" outlineLevel="0" collapsed="false">
      <c r="A719" s="51" t="n">
        <v>2</v>
      </c>
      <c r="B719" s="53" t="s">
        <v>723</v>
      </c>
      <c r="C719" s="43" t="n">
        <v>416500</v>
      </c>
      <c r="D719" s="43" t="n">
        <f aca="false">100000</f>
        <v>100000</v>
      </c>
      <c r="E719" s="44" t="n">
        <f aca="false">C719-D719</f>
        <v>316500</v>
      </c>
    </row>
    <row r="720" customFormat="false" ht="15" hidden="false" customHeight="false" outlineLevel="0" collapsed="false">
      <c r="A720" s="51" t="n">
        <v>3</v>
      </c>
      <c r="B720" s="53" t="s">
        <v>724</v>
      </c>
      <c r="C720" s="43" t="n">
        <v>416500</v>
      </c>
      <c r="D720" s="43" t="n">
        <f aca="false">100000</f>
        <v>100000</v>
      </c>
      <c r="E720" s="44" t="n">
        <f aca="false">C720-D720</f>
        <v>316500</v>
      </c>
    </row>
    <row r="721" customFormat="false" ht="15" hidden="false" customHeight="false" outlineLevel="0" collapsed="false">
      <c r="A721" s="51" t="n">
        <v>4</v>
      </c>
      <c r="B721" s="53" t="s">
        <v>725</v>
      </c>
      <c r="C721" s="43" t="n">
        <v>416500</v>
      </c>
      <c r="D721" s="43" t="n">
        <f aca="false">203000+213500</f>
        <v>416500</v>
      </c>
      <c r="E721" s="44" t="n">
        <f aca="false">C721-D721</f>
        <v>0</v>
      </c>
    </row>
    <row r="722" customFormat="false" ht="15" hidden="false" customHeight="false" outlineLevel="0" collapsed="false">
      <c r="A722" s="51" t="n">
        <v>5</v>
      </c>
      <c r="B722" s="53" t="s">
        <v>726</v>
      </c>
      <c r="C722" s="43" t="n">
        <v>416500</v>
      </c>
      <c r="D722" s="43"/>
      <c r="E722" s="44" t="n">
        <f aca="false">C722-D722</f>
        <v>416500</v>
      </c>
    </row>
    <row r="723" customFormat="false" ht="15" hidden="false" customHeight="false" outlineLevel="0" collapsed="false">
      <c r="A723" s="51" t="n">
        <v>6</v>
      </c>
      <c r="B723" s="53" t="s">
        <v>727</v>
      </c>
      <c r="C723" s="43" t="n">
        <v>416500</v>
      </c>
      <c r="D723" s="43" t="n">
        <f aca="false">216500+102250</f>
        <v>318750</v>
      </c>
      <c r="E723" s="44" t="n">
        <f aca="false">C723-D723</f>
        <v>97750</v>
      </c>
    </row>
    <row r="724" customFormat="false" ht="15" hidden="false" customHeight="false" outlineLevel="0" collapsed="false">
      <c r="A724" s="86" t="n">
        <v>7</v>
      </c>
      <c r="B724" s="53" t="s">
        <v>728</v>
      </c>
      <c r="C724" s="43" t="n">
        <v>416500</v>
      </c>
      <c r="D724" s="43"/>
      <c r="E724" s="44" t="n">
        <f aca="false">C724-D724</f>
        <v>416500</v>
      </c>
    </row>
    <row r="725" customFormat="false" ht="15" hidden="false" customHeight="false" outlineLevel="0" collapsed="false">
      <c r="A725" s="86" t="n">
        <v>8</v>
      </c>
      <c r="B725" s="53" t="s">
        <v>729</v>
      </c>
      <c r="C725" s="43" t="n">
        <v>416500</v>
      </c>
      <c r="D725" s="43" t="n">
        <f aca="false">316500+100000</f>
        <v>416500</v>
      </c>
      <c r="E725" s="44" t="n">
        <f aca="false">C725-D725</f>
        <v>0</v>
      </c>
    </row>
    <row r="726" customFormat="false" ht="15" hidden="false" customHeight="false" outlineLevel="0" collapsed="false">
      <c r="A726" s="51" t="n">
        <v>9</v>
      </c>
      <c r="B726" s="53" t="s">
        <v>730</v>
      </c>
      <c r="C726" s="43" t="n">
        <v>416500</v>
      </c>
      <c r="D726" s="43" t="n">
        <f aca="false">100000</f>
        <v>100000</v>
      </c>
      <c r="E726" s="44" t="n">
        <f aca="false">C726-D726</f>
        <v>316500</v>
      </c>
    </row>
    <row r="727" customFormat="false" ht="15" hidden="false" customHeight="false" outlineLevel="0" collapsed="false">
      <c r="A727" s="51" t="n">
        <v>10</v>
      </c>
      <c r="B727" s="53" t="s">
        <v>731</v>
      </c>
      <c r="C727" s="43" t="n">
        <v>416500</v>
      </c>
      <c r="D727" s="43"/>
      <c r="E727" s="44" t="n">
        <f aca="false">C727-D727</f>
        <v>416500</v>
      </c>
    </row>
    <row r="728" customFormat="false" ht="15" hidden="false" customHeight="false" outlineLevel="0" collapsed="false">
      <c r="A728" s="51" t="n">
        <v>11</v>
      </c>
      <c r="B728" s="53" t="s">
        <v>732</v>
      </c>
      <c r="C728" s="43" t="n">
        <v>416500</v>
      </c>
      <c r="D728" s="43" t="n">
        <f aca="false">149500</f>
        <v>149500</v>
      </c>
      <c r="E728" s="44" t="n">
        <f aca="false">C728-D728</f>
        <v>267000</v>
      </c>
    </row>
    <row r="729" customFormat="false" ht="15" hidden="false" customHeight="false" outlineLevel="0" collapsed="false">
      <c r="A729" s="51" t="n">
        <v>12</v>
      </c>
      <c r="B729" s="53" t="s">
        <v>733</v>
      </c>
      <c r="C729" s="43" t="n">
        <v>416500</v>
      </c>
      <c r="D729" s="43" t="n">
        <f aca="false">260000</f>
        <v>260000</v>
      </c>
      <c r="E729" s="44" t="n">
        <f aca="false">C729-D729</f>
        <v>156500</v>
      </c>
    </row>
    <row r="730" customFormat="false" ht="15" hidden="false" customHeight="false" outlineLevel="0" collapsed="false">
      <c r="A730" s="51" t="n">
        <v>13</v>
      </c>
      <c r="B730" s="53" t="s">
        <v>734</v>
      </c>
      <c r="C730" s="43" t="n">
        <v>416500</v>
      </c>
      <c r="D730" s="43" t="n">
        <v>216500</v>
      </c>
      <c r="E730" s="44" t="n">
        <f aca="false">C730-D730</f>
        <v>200000</v>
      </c>
    </row>
    <row r="731" customFormat="false" ht="15" hidden="false" customHeight="false" outlineLevel="0" collapsed="false">
      <c r="A731" s="51" t="n">
        <v>14</v>
      </c>
      <c r="B731" s="53" t="s">
        <v>735</v>
      </c>
      <c r="C731" s="43" t="n">
        <v>416500</v>
      </c>
      <c r="D731" s="43" t="n">
        <f aca="false">100000</f>
        <v>100000</v>
      </c>
      <c r="E731" s="44" t="n">
        <f aca="false">C731-D731</f>
        <v>316500</v>
      </c>
    </row>
    <row r="732" customFormat="false" ht="15" hidden="false" customHeight="false" outlineLevel="0" collapsed="false">
      <c r="A732" s="51" t="n">
        <v>15</v>
      </c>
      <c r="B732" s="53" t="s">
        <v>736</v>
      </c>
      <c r="C732" s="43" t="n">
        <v>416500</v>
      </c>
      <c r="D732" s="43"/>
      <c r="E732" s="44" t="n">
        <f aca="false">C732-D732</f>
        <v>416500</v>
      </c>
    </row>
    <row r="733" customFormat="false" ht="15" hidden="false" customHeight="false" outlineLevel="0" collapsed="false">
      <c r="A733" s="51" t="n">
        <v>16</v>
      </c>
      <c r="B733" s="87" t="s">
        <v>737</v>
      </c>
      <c r="C733" s="43" t="n">
        <v>416500</v>
      </c>
      <c r="D733" s="43"/>
      <c r="E733" s="44" t="n">
        <f aca="false">C733-D733</f>
        <v>416500</v>
      </c>
    </row>
    <row r="734" customFormat="false" ht="17.35" hidden="false" customHeight="false" outlineLevel="0" collapsed="false">
      <c r="A734" s="58"/>
      <c r="B734" s="59" t="s">
        <v>30</v>
      </c>
      <c r="C734" s="60" t="n">
        <f aca="false">SUM(C718:C733)</f>
        <v>6664000</v>
      </c>
      <c r="D734" s="61" t="n">
        <f aca="false">SUM(D718:D733)</f>
        <v>2311250</v>
      </c>
      <c r="E734" s="62" t="n">
        <f aca="false">SUM(E718:E733)</f>
        <v>4352750</v>
      </c>
    </row>
    <row r="737" customFormat="false" ht="17.35" hidden="false" customHeight="false" outlineLevel="0" collapsed="false">
      <c r="A737" s="1"/>
      <c r="B737" s="2" t="s">
        <v>0</v>
      </c>
    </row>
    <row r="738" customFormat="false" ht="17.35" hidden="false" customHeight="false" outlineLevel="0" collapsed="false">
      <c r="A738" s="33"/>
    </row>
    <row r="739" customFormat="false" ht="15" hidden="false" customHeight="false" outlineLevel="0" collapsed="false">
      <c r="A739" s="1"/>
    </row>
    <row r="740" customFormat="false" ht="17.25" hidden="false" customHeight="false" outlineLevel="0" collapsed="false">
      <c r="A740" s="1"/>
      <c r="B740" s="3" t="s">
        <v>738</v>
      </c>
    </row>
    <row r="741" customFormat="false" ht="15" hidden="false" customHeight="false" outlineLevel="0" collapsed="false">
      <c r="A741" s="1"/>
      <c r="D741" s="4" t="s">
        <v>192</v>
      </c>
    </row>
    <row r="742" customFormat="false" ht="15" hidden="false" customHeight="false" outlineLevel="0" collapsed="false">
      <c r="A742" s="1"/>
    </row>
    <row r="743" customFormat="false" ht="15" hidden="false" customHeight="false" outlineLevel="0" collapsed="false">
      <c r="A743" s="5" t="s">
        <v>3</v>
      </c>
      <c r="B743" s="6" t="s">
        <v>4</v>
      </c>
      <c r="C743" s="7" t="s">
        <v>5</v>
      </c>
      <c r="D743" s="8" t="s">
        <v>6</v>
      </c>
      <c r="E743" s="9" t="s">
        <v>7</v>
      </c>
    </row>
    <row r="744" customFormat="false" ht="15" hidden="false" customHeight="false" outlineLevel="0" collapsed="false">
      <c r="A744" s="10" t="n">
        <v>1</v>
      </c>
      <c r="B744" s="88" t="s">
        <v>739</v>
      </c>
      <c r="C744" s="12" t="s">
        <v>40</v>
      </c>
      <c r="D744" s="12"/>
      <c r="E744" s="13" t="s">
        <v>40</v>
      </c>
    </row>
    <row r="745" customFormat="false" ht="15" hidden="false" customHeight="false" outlineLevel="0" collapsed="false">
      <c r="A745" s="26" t="n">
        <v>2</v>
      </c>
      <c r="B745" s="14" t="s">
        <v>740</v>
      </c>
      <c r="C745" s="12" t="n">
        <v>416500</v>
      </c>
      <c r="D745" s="12" t="n">
        <f aca="false">99500+100500+216000</f>
        <v>416000</v>
      </c>
      <c r="E745" s="13" t="n">
        <f aca="false">C745-D745</f>
        <v>500</v>
      </c>
    </row>
    <row r="746" customFormat="false" ht="15" hidden="false" customHeight="false" outlineLevel="0" collapsed="false">
      <c r="A746" s="10" t="n">
        <v>3</v>
      </c>
      <c r="B746" s="89" t="s">
        <v>741</v>
      </c>
      <c r="C746" s="12" t="n">
        <v>416500</v>
      </c>
      <c r="D746" s="12" t="n">
        <f aca="false">216500</f>
        <v>216500</v>
      </c>
      <c r="E746" s="13" t="n">
        <f aca="false">C746-D746</f>
        <v>200000</v>
      </c>
    </row>
    <row r="747" customFormat="false" ht="15" hidden="false" customHeight="false" outlineLevel="0" collapsed="false">
      <c r="A747" s="26" t="n">
        <v>4</v>
      </c>
      <c r="B747" s="14" t="s">
        <v>742</v>
      </c>
      <c r="C747" s="12" t="n">
        <v>416500</v>
      </c>
      <c r="D747" s="12"/>
      <c r="E747" s="13" t="n">
        <f aca="false">C747-D747</f>
        <v>416500</v>
      </c>
    </row>
    <row r="748" customFormat="false" ht="15" hidden="false" customHeight="false" outlineLevel="0" collapsed="false">
      <c r="A748" s="26" t="n">
        <v>5</v>
      </c>
      <c r="B748" s="14" t="s">
        <v>743</v>
      </c>
      <c r="C748" s="12" t="n">
        <v>416500</v>
      </c>
      <c r="D748" s="12" t="n">
        <f aca="false">200000</f>
        <v>200000</v>
      </c>
      <c r="E748" s="13" t="n">
        <f aca="false">C748-D748</f>
        <v>216500</v>
      </c>
    </row>
    <row r="749" customFormat="false" ht="15" hidden="false" customHeight="false" outlineLevel="0" collapsed="false">
      <c r="A749" s="26" t="n">
        <v>6</v>
      </c>
      <c r="B749" s="14" t="s">
        <v>744</v>
      </c>
      <c r="C749" s="13" t="n">
        <v>416500</v>
      </c>
      <c r="D749" s="90" t="n">
        <f aca="false">200000</f>
        <v>200000</v>
      </c>
      <c r="E749" s="13" t="n">
        <f aca="false">C749-D749</f>
        <v>216500</v>
      </c>
    </row>
    <row r="750" customFormat="false" ht="15" hidden="false" customHeight="false" outlineLevel="0" collapsed="false">
      <c r="A750" s="26" t="n">
        <v>7</v>
      </c>
      <c r="B750" s="14" t="s">
        <v>745</v>
      </c>
      <c r="C750" s="13" t="n">
        <v>416500</v>
      </c>
      <c r="D750" s="12" t="n">
        <f aca="false">143500+80000</f>
        <v>223500</v>
      </c>
      <c r="E750" s="13" t="n">
        <f aca="false">C750-D750</f>
        <v>193000</v>
      </c>
    </row>
    <row r="751" customFormat="false" ht="15" hidden="false" customHeight="false" outlineLevel="0" collapsed="false">
      <c r="A751" s="26" t="n">
        <v>8</v>
      </c>
      <c r="B751" s="14" t="s">
        <v>746</v>
      </c>
      <c r="C751" s="13" t="n">
        <v>416500</v>
      </c>
      <c r="D751" s="12" t="n">
        <f aca="false">216500</f>
        <v>216500</v>
      </c>
      <c r="E751" s="13" t="n">
        <f aca="false">C751-D751</f>
        <v>200000</v>
      </c>
    </row>
    <row r="752" customFormat="false" ht="15" hidden="false" customHeight="false" outlineLevel="0" collapsed="false">
      <c r="A752" s="10" t="n">
        <v>9</v>
      </c>
      <c r="B752" s="14" t="s">
        <v>747</v>
      </c>
      <c r="C752" s="12" t="n">
        <v>416500</v>
      </c>
      <c r="D752" s="12" t="n">
        <v>416500</v>
      </c>
      <c r="E752" s="13" t="n">
        <f aca="false">C752-D752</f>
        <v>0</v>
      </c>
    </row>
    <row r="753" customFormat="false" ht="17.35" hidden="false" customHeight="false" outlineLevel="0" collapsed="false">
      <c r="A753" s="21"/>
      <c r="B753" s="22" t="s">
        <v>30</v>
      </c>
      <c r="C753" s="23" t="n">
        <f aca="false">SUM(C744:C752)</f>
        <v>3332000</v>
      </c>
      <c r="D753" s="24" t="n">
        <f aca="false">SUM(D744:D752)</f>
        <v>1889000</v>
      </c>
      <c r="E753" s="25" t="n">
        <f aca="false">SUM(E744:E752)</f>
        <v>1443000</v>
      </c>
    </row>
    <row r="757" customFormat="false" ht="17.35" hidden="false" customHeight="false" outlineLevel="0" collapsed="false">
      <c r="B757" s="2" t="s">
        <v>0</v>
      </c>
    </row>
    <row r="759" customFormat="false" ht="17.25" hidden="false" customHeight="false" outlineLevel="0" collapsed="false">
      <c r="B759" s="41" t="s">
        <v>748</v>
      </c>
    </row>
    <row r="760" customFormat="false" ht="15" hidden="false" customHeight="false" outlineLevel="0" collapsed="false">
      <c r="B760" s="3"/>
      <c r="E760" s="4" t="s">
        <v>210</v>
      </c>
    </row>
    <row r="763" customFormat="false" ht="15" hidden="false" customHeight="false" outlineLevel="0" collapsed="false">
      <c r="A763" s="5" t="s">
        <v>3</v>
      </c>
      <c r="B763" s="6" t="s">
        <v>4</v>
      </c>
      <c r="C763" s="7" t="s">
        <v>5</v>
      </c>
      <c r="D763" s="8" t="s">
        <v>6</v>
      </c>
      <c r="E763" s="9" t="s">
        <v>7</v>
      </c>
    </row>
    <row r="764" customFormat="false" ht="15" hidden="false" customHeight="false" outlineLevel="0" collapsed="false">
      <c r="A764" s="26" t="n">
        <v>1</v>
      </c>
      <c r="B764" s="89" t="s">
        <v>749</v>
      </c>
      <c r="C764" s="13" t="n">
        <v>416500</v>
      </c>
      <c r="D764" s="90" t="n">
        <v>416500</v>
      </c>
      <c r="E764" s="13" t="n">
        <f aca="false">C764-D764</f>
        <v>0</v>
      </c>
    </row>
    <row r="765" customFormat="false" ht="15" hidden="false" customHeight="false" outlineLevel="0" collapsed="false">
      <c r="A765" s="10" t="n">
        <v>2</v>
      </c>
      <c r="B765" s="89" t="s">
        <v>750</v>
      </c>
      <c r="C765" s="13" t="n">
        <v>416500</v>
      </c>
      <c r="D765" s="90" t="n">
        <f aca="false">216500+200000</f>
        <v>416500</v>
      </c>
      <c r="E765" s="13" t="n">
        <f aca="false">C765-D765</f>
        <v>0</v>
      </c>
    </row>
    <row r="766" customFormat="false" ht="15" hidden="false" customHeight="false" outlineLevel="0" collapsed="false">
      <c r="A766" s="26" t="n">
        <v>3</v>
      </c>
      <c r="B766" s="89" t="s">
        <v>751</v>
      </c>
      <c r="C766" s="13" t="n">
        <v>416500</v>
      </c>
      <c r="D766" s="12" t="n">
        <f aca="false">16500+150000</f>
        <v>166500</v>
      </c>
      <c r="E766" s="13" t="n">
        <f aca="false">C766-D766</f>
        <v>250000</v>
      </c>
    </row>
    <row r="767" customFormat="false" ht="15" hidden="false" customHeight="false" outlineLevel="0" collapsed="false">
      <c r="A767" s="10" t="n">
        <v>4</v>
      </c>
      <c r="B767" s="89" t="s">
        <v>752</v>
      </c>
      <c r="C767" s="13" t="n">
        <v>416500</v>
      </c>
      <c r="D767" s="12" t="n">
        <v>249500</v>
      </c>
      <c r="E767" s="13" t="n">
        <f aca="false">C767-D767</f>
        <v>167000</v>
      </c>
    </row>
    <row r="768" customFormat="false" ht="15" hidden="false" customHeight="false" outlineLevel="0" collapsed="false">
      <c r="A768" s="26" t="n">
        <v>5</v>
      </c>
      <c r="B768" s="89" t="s">
        <v>753</v>
      </c>
      <c r="C768" s="13" t="n">
        <v>416500</v>
      </c>
      <c r="D768" s="12" t="n">
        <f aca="false">149500</f>
        <v>149500</v>
      </c>
      <c r="E768" s="13" t="n">
        <f aca="false">C768-D768</f>
        <v>267000</v>
      </c>
    </row>
    <row r="769" customFormat="false" ht="15" hidden="false" customHeight="false" outlineLevel="0" collapsed="false">
      <c r="A769" s="10" t="n">
        <v>6</v>
      </c>
      <c r="B769" s="89" t="s">
        <v>754</v>
      </c>
      <c r="C769" s="13" t="n">
        <v>416500</v>
      </c>
      <c r="D769" s="12" t="n">
        <f aca="false">230000+36500+150000</f>
        <v>416500</v>
      </c>
      <c r="E769" s="13" t="n">
        <f aca="false">C769-D769</f>
        <v>0</v>
      </c>
    </row>
    <row r="770" customFormat="false" ht="15" hidden="false" customHeight="false" outlineLevel="0" collapsed="false">
      <c r="A770" s="10" t="n">
        <v>7</v>
      </c>
      <c r="B770" s="89" t="s">
        <v>755</v>
      </c>
      <c r="C770" s="13" t="n">
        <v>416500</v>
      </c>
      <c r="D770" s="12" t="n">
        <f aca="false">368500+48000</f>
        <v>416500</v>
      </c>
      <c r="E770" s="13" t="n">
        <f aca="false">C770-D770</f>
        <v>0</v>
      </c>
    </row>
    <row r="771" customFormat="false" ht="15" hidden="false" customHeight="false" outlineLevel="0" collapsed="false">
      <c r="A771" s="26" t="n">
        <v>8</v>
      </c>
      <c r="B771" s="89" t="s">
        <v>756</v>
      </c>
      <c r="C771" s="13" t="n">
        <v>416500</v>
      </c>
      <c r="D771" s="12" t="n">
        <f aca="false">100000+56500</f>
        <v>156500</v>
      </c>
      <c r="E771" s="13" t="n">
        <f aca="false">C771-D771</f>
        <v>260000</v>
      </c>
    </row>
    <row r="772" customFormat="false" ht="15" hidden="false" customHeight="false" outlineLevel="0" collapsed="false">
      <c r="A772" s="10" t="n">
        <v>9</v>
      </c>
      <c r="B772" s="89" t="s">
        <v>757</v>
      </c>
      <c r="C772" s="19" t="n">
        <v>416500</v>
      </c>
      <c r="D772" s="18"/>
      <c r="E772" s="19" t="n">
        <v>416500</v>
      </c>
    </row>
    <row r="773" customFormat="false" ht="15" hidden="false" customHeight="false" outlineLevel="0" collapsed="false">
      <c r="A773" s="26" t="n">
        <v>10</v>
      </c>
      <c r="B773" s="89" t="s">
        <v>758</v>
      </c>
      <c r="C773" s="13" t="n">
        <v>416500</v>
      </c>
      <c r="D773" s="12" t="n">
        <f aca="false">66500+50000+200000</f>
        <v>316500</v>
      </c>
      <c r="E773" s="13" t="n">
        <f aca="false">C773-D773</f>
        <v>100000</v>
      </c>
    </row>
    <row r="774" customFormat="false" ht="15" hidden="false" customHeight="false" outlineLevel="0" collapsed="false">
      <c r="A774" s="10" t="n">
        <v>11</v>
      </c>
      <c r="B774" s="89" t="s">
        <v>759</v>
      </c>
      <c r="C774" s="13" t="n">
        <v>416500</v>
      </c>
      <c r="D774" s="12" t="n">
        <f aca="false">100000+116500+200000</f>
        <v>416500</v>
      </c>
      <c r="E774" s="13" t="n">
        <f aca="false">C774-D774</f>
        <v>0</v>
      </c>
    </row>
    <row r="775" customFormat="false" ht="15" hidden="false" customHeight="false" outlineLevel="0" collapsed="false">
      <c r="A775" s="10" t="n">
        <v>12</v>
      </c>
      <c r="B775" s="89" t="s">
        <v>760</v>
      </c>
      <c r="C775" s="13" t="n">
        <v>416500</v>
      </c>
      <c r="D775" s="12"/>
      <c r="E775" s="13" t="n">
        <f aca="false">C775-D775</f>
        <v>416500</v>
      </c>
    </row>
    <row r="776" customFormat="false" ht="15" hidden="false" customHeight="false" outlineLevel="0" collapsed="false">
      <c r="A776" s="10" t="n">
        <v>13</v>
      </c>
      <c r="B776" s="89" t="s">
        <v>761</v>
      </c>
      <c r="C776" s="13" t="n">
        <v>416500</v>
      </c>
      <c r="D776" s="12" t="n">
        <f aca="false">200000+216500</f>
        <v>416500</v>
      </c>
      <c r="E776" s="13" t="n">
        <f aca="false">C776-D776</f>
        <v>0</v>
      </c>
    </row>
    <row r="777" customFormat="false" ht="15" hidden="false" customHeight="false" outlineLevel="0" collapsed="false">
      <c r="A777" s="10" t="n">
        <v>14</v>
      </c>
      <c r="B777" s="89" t="s">
        <v>762</v>
      </c>
      <c r="C777" s="13" t="n">
        <v>416500</v>
      </c>
      <c r="D777" s="12"/>
      <c r="E777" s="13" t="n">
        <f aca="false">C777-D777</f>
        <v>416500</v>
      </c>
    </row>
    <row r="778" customFormat="false" ht="15" hidden="false" customHeight="false" outlineLevel="0" collapsed="false">
      <c r="A778" s="10" t="n">
        <v>15</v>
      </c>
      <c r="B778" s="91" t="s">
        <v>763</v>
      </c>
      <c r="C778" s="13" t="n">
        <v>416500</v>
      </c>
      <c r="D778" s="12"/>
      <c r="E778" s="13" t="n">
        <f aca="false">C778-D778</f>
        <v>416500</v>
      </c>
    </row>
    <row r="779" customFormat="false" ht="15" hidden="false" customHeight="false" outlineLevel="0" collapsed="false">
      <c r="A779" s="10" t="n">
        <v>16</v>
      </c>
      <c r="B779" s="89" t="s">
        <v>764</v>
      </c>
      <c r="C779" s="13" t="n">
        <v>416500</v>
      </c>
      <c r="D779" s="12" t="n">
        <f aca="false">38500+50000</f>
        <v>88500</v>
      </c>
      <c r="E779" s="13" t="n">
        <f aca="false">C779-D779</f>
        <v>328000</v>
      </c>
    </row>
    <row r="780" customFormat="false" ht="15" hidden="false" customHeight="false" outlineLevel="0" collapsed="false">
      <c r="A780" s="10" t="n">
        <v>17</v>
      </c>
      <c r="B780" s="89" t="s">
        <v>765</v>
      </c>
      <c r="C780" s="13" t="n">
        <v>416500</v>
      </c>
      <c r="D780" s="12" t="n">
        <f aca="false">150000+50000+100000+116500</f>
        <v>416500</v>
      </c>
      <c r="E780" s="13" t="n">
        <f aca="false">C780-D780</f>
        <v>0</v>
      </c>
    </row>
    <row r="781" customFormat="false" ht="15" hidden="false" customHeight="false" outlineLevel="0" collapsed="false">
      <c r="A781" s="10" t="n">
        <v>18</v>
      </c>
      <c r="B781" s="89" t="s">
        <v>766</v>
      </c>
      <c r="C781" s="13" t="n">
        <v>416500</v>
      </c>
      <c r="D781" s="12" t="n">
        <f aca="false">150000+50000+216500</f>
        <v>416500</v>
      </c>
      <c r="E781" s="13" t="n">
        <f aca="false">C781-D781</f>
        <v>0</v>
      </c>
    </row>
    <row r="782" customFormat="false" ht="15" hidden="false" customHeight="false" outlineLevel="0" collapsed="false">
      <c r="A782" s="10" t="n">
        <v>19</v>
      </c>
      <c r="B782" s="89" t="s">
        <v>767</v>
      </c>
      <c r="C782" s="13" t="n">
        <v>416500</v>
      </c>
      <c r="D782" s="12"/>
      <c r="E782" s="13" t="n">
        <f aca="false">C782-D782</f>
        <v>416500</v>
      </c>
    </row>
    <row r="783" customFormat="false" ht="15" hidden="false" customHeight="false" outlineLevel="0" collapsed="false">
      <c r="A783" s="10" t="n">
        <v>20</v>
      </c>
      <c r="B783" s="89" t="s">
        <v>768</v>
      </c>
      <c r="C783" s="13" t="n">
        <v>416500</v>
      </c>
      <c r="D783" s="12" t="n">
        <f aca="false">1000+300000+120000</f>
        <v>421000</v>
      </c>
      <c r="E783" s="13" t="n">
        <f aca="false">C783-D783</f>
        <v>-4500</v>
      </c>
    </row>
    <row r="784" customFormat="false" ht="15" hidden="false" customHeight="false" outlineLevel="0" collapsed="false">
      <c r="A784" s="10" t="n">
        <v>21</v>
      </c>
      <c r="B784" s="89" t="s">
        <v>769</v>
      </c>
      <c r="C784" s="13" t="n">
        <v>416500</v>
      </c>
      <c r="D784" s="12" t="n">
        <f aca="false">216500+200000</f>
        <v>416500</v>
      </c>
      <c r="E784" s="13" t="n">
        <f aca="false">C784-D784</f>
        <v>0</v>
      </c>
    </row>
    <row r="785" customFormat="false" ht="15" hidden="false" customHeight="false" outlineLevel="0" collapsed="false">
      <c r="A785" s="10" t="n">
        <v>22</v>
      </c>
      <c r="B785" s="89" t="s">
        <v>770</v>
      </c>
      <c r="C785" s="13" t="n">
        <v>416500</v>
      </c>
      <c r="D785" s="12" t="n">
        <v>416500</v>
      </c>
      <c r="E785" s="13" t="n">
        <f aca="false">C785-D785</f>
        <v>0</v>
      </c>
    </row>
    <row r="786" customFormat="false" ht="15" hidden="false" customHeight="false" outlineLevel="0" collapsed="false">
      <c r="A786" s="10" t="n">
        <v>23</v>
      </c>
      <c r="B786" s="89" t="s">
        <v>771</v>
      </c>
      <c r="C786" s="13" t="n">
        <v>416500</v>
      </c>
      <c r="D786" s="12" t="n">
        <f aca="false">200000+67000+80000+30500+39000</f>
        <v>416500</v>
      </c>
      <c r="E786" s="13" t="n">
        <f aca="false">C786-D786</f>
        <v>0</v>
      </c>
    </row>
    <row r="787" customFormat="false" ht="15" hidden="false" customHeight="false" outlineLevel="0" collapsed="false">
      <c r="A787" s="10" t="n">
        <v>24</v>
      </c>
      <c r="B787" s="89" t="s">
        <v>772</v>
      </c>
      <c r="C787" s="13" t="n">
        <v>416500</v>
      </c>
      <c r="D787" s="12" t="n">
        <f aca="false">200000+216000+500</f>
        <v>416500</v>
      </c>
      <c r="E787" s="13" t="n">
        <f aca="false">C787-D787</f>
        <v>0</v>
      </c>
    </row>
    <row r="788" customFormat="false" ht="15" hidden="false" customHeight="false" outlineLevel="0" collapsed="false">
      <c r="A788" s="10" t="n">
        <v>25</v>
      </c>
      <c r="B788" s="89" t="s">
        <v>773</v>
      </c>
      <c r="C788" s="13" t="n">
        <v>416500</v>
      </c>
      <c r="D788" s="12" t="n">
        <f aca="false">50000+150000+216500</f>
        <v>416500</v>
      </c>
      <c r="E788" s="13" t="n">
        <f aca="false">C788-D788</f>
        <v>0</v>
      </c>
    </row>
    <row r="789" customFormat="false" ht="17.35" hidden="false" customHeight="false" outlineLevel="0" collapsed="false">
      <c r="A789" s="21"/>
      <c r="B789" s="22" t="s">
        <v>30</v>
      </c>
      <c r="C789" s="23" t="n">
        <f aca="false">SUM(C764:C788)</f>
        <v>10412500</v>
      </c>
      <c r="D789" s="24" t="n">
        <f aca="false">SUM(D764:D788)</f>
        <v>6962500</v>
      </c>
      <c r="E789" s="25" t="n">
        <f aca="false">SUM(E764:E788)</f>
        <v>3450000</v>
      </c>
    </row>
    <row r="793" customFormat="false" ht="17.35" hidden="false" customHeight="false" outlineLevel="0" collapsed="false">
      <c r="A793" s="76"/>
      <c r="B793" s="2" t="s">
        <v>0</v>
      </c>
    </row>
    <row r="794" customFormat="false" ht="15" hidden="false" customHeight="false" outlineLevel="0" collapsed="false">
      <c r="A794" s="52"/>
    </row>
    <row r="795" customFormat="false" ht="17.35" hidden="false" customHeight="false" outlineLevel="0" collapsed="false">
      <c r="A795" s="52"/>
      <c r="B795" s="47" t="s">
        <v>226</v>
      </c>
    </row>
    <row r="796" customFormat="false" ht="15" hidden="false" customHeight="false" outlineLevel="0" collapsed="false">
      <c r="A796" s="52"/>
      <c r="B796" s="3" t="s">
        <v>774</v>
      </c>
    </row>
    <row r="797" customFormat="false" ht="15" hidden="false" customHeight="false" outlineLevel="0" collapsed="false">
      <c r="A797" s="52"/>
    </row>
    <row r="798" customFormat="false" ht="15" hidden="false" customHeight="false" outlineLevel="0" collapsed="false">
      <c r="A798" s="48" t="s">
        <v>3</v>
      </c>
      <c r="B798" s="49" t="s">
        <v>228</v>
      </c>
      <c r="C798" s="7" t="s">
        <v>5</v>
      </c>
      <c r="D798" s="50" t="s">
        <v>6</v>
      </c>
      <c r="E798" s="9" t="s">
        <v>7</v>
      </c>
    </row>
    <row r="799" customFormat="false" ht="15" hidden="false" customHeight="false" outlineLevel="0" collapsed="false">
      <c r="A799" s="51" t="n">
        <v>1</v>
      </c>
      <c r="B799" s="53" t="s">
        <v>775</v>
      </c>
      <c r="C799" s="43" t="n">
        <v>416500</v>
      </c>
      <c r="D799" s="43" t="n">
        <f aca="false">216500+200000</f>
        <v>416500</v>
      </c>
      <c r="E799" s="44" t="n">
        <f aca="false">C799-D799</f>
        <v>0</v>
      </c>
    </row>
    <row r="800" customFormat="false" ht="15" hidden="false" customHeight="false" outlineLevel="0" collapsed="false">
      <c r="A800" s="51" t="n">
        <v>2</v>
      </c>
      <c r="B800" s="53" t="s">
        <v>776</v>
      </c>
      <c r="C800" s="43" t="n">
        <v>416500</v>
      </c>
      <c r="D800" s="43" t="n">
        <f aca="false">100000</f>
        <v>100000</v>
      </c>
      <c r="E800" s="44" t="n">
        <f aca="false">C800-D800</f>
        <v>316500</v>
      </c>
    </row>
    <row r="801" customFormat="false" ht="15" hidden="false" customHeight="false" outlineLevel="0" collapsed="false">
      <c r="A801" s="51" t="n">
        <v>3</v>
      </c>
      <c r="B801" s="53" t="s">
        <v>777</v>
      </c>
      <c r="C801" s="43" t="n">
        <v>416500</v>
      </c>
      <c r="D801" s="43" t="n">
        <f aca="false">200000</f>
        <v>200000</v>
      </c>
      <c r="E801" s="44" t="n">
        <f aca="false">C801-D801</f>
        <v>216500</v>
      </c>
    </row>
    <row r="802" customFormat="false" ht="15" hidden="false" customHeight="false" outlineLevel="0" collapsed="false">
      <c r="A802" s="51" t="n">
        <v>4</v>
      </c>
      <c r="B802" s="53" t="s">
        <v>778</v>
      </c>
      <c r="C802" s="43" t="n">
        <v>416500</v>
      </c>
      <c r="D802" s="43"/>
      <c r="E802" s="44" t="n">
        <f aca="false">C802-D802</f>
        <v>416500</v>
      </c>
    </row>
    <row r="803" customFormat="false" ht="15" hidden="false" customHeight="false" outlineLevel="0" collapsed="false">
      <c r="A803" s="92" t="n">
        <v>5</v>
      </c>
      <c r="B803" s="53" t="s">
        <v>779</v>
      </c>
      <c r="C803" s="43" t="n">
        <v>416500</v>
      </c>
      <c r="D803" s="43" t="n">
        <f aca="false">100000</f>
        <v>100000</v>
      </c>
      <c r="E803" s="44" t="n">
        <f aca="false">C803-D803</f>
        <v>316500</v>
      </c>
    </row>
    <row r="804" customFormat="false" ht="17.35" hidden="false" customHeight="false" outlineLevel="0" collapsed="false">
      <c r="A804" s="58"/>
      <c r="B804" s="59" t="s">
        <v>30</v>
      </c>
      <c r="C804" s="60" t="n">
        <f aca="false">SUM(C799:C803)</f>
        <v>2082500</v>
      </c>
      <c r="D804" s="61" t="n">
        <f aca="false">SUM(D799:D803)</f>
        <v>816500</v>
      </c>
      <c r="E804" s="62" t="n">
        <f aca="false">SUM(E799:E803)</f>
        <v>1266000</v>
      </c>
    </row>
    <row r="808" customFormat="false" ht="17.35" hidden="false" customHeight="false" outlineLevel="0" collapsed="false">
      <c r="A808" s="33"/>
      <c r="B808" s="2" t="s">
        <v>0</v>
      </c>
      <c r="C808" s="2"/>
    </row>
    <row r="809" customFormat="false" ht="15" hidden="false" customHeight="false" outlineLevel="0" collapsed="false">
      <c r="A809" s="1"/>
    </row>
    <row r="810" customFormat="false" ht="15" hidden="false" customHeight="false" outlineLevel="0" collapsed="false">
      <c r="A810" s="1"/>
    </row>
    <row r="811" customFormat="false" ht="17.25" hidden="false" customHeight="false" outlineLevel="0" collapsed="false">
      <c r="A811" s="1"/>
      <c r="B811" s="3" t="s">
        <v>780</v>
      </c>
      <c r="D811" s="4" t="s">
        <v>210</v>
      </c>
    </row>
    <row r="812" customFormat="false" ht="15" hidden="false" customHeight="false" outlineLevel="0" collapsed="false">
      <c r="A812" s="1"/>
    </row>
    <row r="813" customFormat="false" ht="15" hidden="false" customHeight="false" outlineLevel="0" collapsed="false">
      <c r="A813" s="5" t="s">
        <v>3</v>
      </c>
      <c r="B813" s="6" t="s">
        <v>4</v>
      </c>
      <c r="C813" s="7" t="s">
        <v>5</v>
      </c>
      <c r="D813" s="8" t="s">
        <v>6</v>
      </c>
      <c r="E813" s="9" t="s">
        <v>7</v>
      </c>
    </row>
    <row r="814" customFormat="false" ht="15" hidden="false" customHeight="false" outlineLevel="0" collapsed="false">
      <c r="A814" s="10" t="n">
        <v>1</v>
      </c>
      <c r="B814" s="14" t="s">
        <v>781</v>
      </c>
      <c r="C814" s="93" t="n">
        <v>416500</v>
      </c>
      <c r="D814" s="93"/>
      <c r="E814" s="94" t="n">
        <f aca="false">C814-D814</f>
        <v>416500</v>
      </c>
    </row>
    <row r="815" customFormat="false" ht="15" hidden="false" customHeight="false" outlineLevel="0" collapsed="false">
      <c r="A815" s="10" t="n">
        <v>2</v>
      </c>
      <c r="B815" s="14" t="s">
        <v>782</v>
      </c>
      <c r="C815" s="93" t="n">
        <v>416500</v>
      </c>
      <c r="D815" s="93"/>
      <c r="E815" s="94" t="n">
        <f aca="false">C815-D815</f>
        <v>416500</v>
      </c>
    </row>
    <row r="816" customFormat="false" ht="15" hidden="false" customHeight="false" outlineLevel="0" collapsed="false">
      <c r="A816" s="10" t="n">
        <v>3</v>
      </c>
      <c r="B816" s="14" t="s">
        <v>783</v>
      </c>
      <c r="C816" s="93" t="n">
        <v>416500</v>
      </c>
      <c r="D816" s="93"/>
      <c r="E816" s="94" t="n">
        <f aca="false">C816-D816</f>
        <v>416500</v>
      </c>
    </row>
    <row r="817" customFormat="false" ht="15" hidden="false" customHeight="false" outlineLevel="0" collapsed="false">
      <c r="A817" s="10" t="n">
        <v>4</v>
      </c>
      <c r="B817" s="14" t="s">
        <v>784</v>
      </c>
      <c r="C817" s="93" t="n">
        <v>416500</v>
      </c>
      <c r="D817" s="93" t="n">
        <f aca="false">20000+150000+40000+110000+96500</f>
        <v>416500</v>
      </c>
      <c r="E817" s="94" t="n">
        <f aca="false">C817-D817</f>
        <v>0</v>
      </c>
    </row>
    <row r="818" customFormat="false" ht="15" hidden="false" customHeight="false" outlineLevel="0" collapsed="false">
      <c r="A818" s="10" t="n">
        <v>5</v>
      </c>
      <c r="B818" s="14" t="s">
        <v>785</v>
      </c>
      <c r="C818" s="93" t="n">
        <v>416500</v>
      </c>
      <c r="D818" s="93" t="n">
        <f aca="false">150000+150000+116500</f>
        <v>416500</v>
      </c>
      <c r="E818" s="94" t="n">
        <f aca="false">C818-D818</f>
        <v>0</v>
      </c>
    </row>
    <row r="819" customFormat="false" ht="15" hidden="false" customHeight="false" outlineLevel="0" collapsed="false">
      <c r="A819" s="10" t="n">
        <v>6</v>
      </c>
      <c r="B819" s="14" t="s">
        <v>786</v>
      </c>
      <c r="C819" s="93" t="n">
        <v>416500</v>
      </c>
      <c r="D819" s="93" t="n">
        <f aca="false">150000+100000+66500</f>
        <v>316500</v>
      </c>
      <c r="E819" s="94" t="n">
        <f aca="false">C819-D819</f>
        <v>100000</v>
      </c>
    </row>
    <row r="820" customFormat="false" ht="17.35" hidden="false" customHeight="false" outlineLevel="0" collapsed="false">
      <c r="A820" s="21"/>
      <c r="B820" s="22" t="s">
        <v>30</v>
      </c>
      <c r="C820" s="23" t="n">
        <f aca="false">SUM(C814:C819)</f>
        <v>2499000</v>
      </c>
      <c r="D820" s="24" t="n">
        <f aca="false">SUM(D814:D819)</f>
        <v>1149500</v>
      </c>
      <c r="E820" s="25" t="n">
        <f aca="false">SUM(E814:E819)</f>
        <v>1349500</v>
      </c>
    </row>
    <row r="823" customFormat="false" ht="17.35" hidden="false" customHeight="false" outlineLevel="0" collapsed="false">
      <c r="A823" s="52"/>
      <c r="B823" s="2" t="s">
        <v>0</v>
      </c>
      <c r="C823" s="2"/>
    </row>
    <row r="824" customFormat="false" ht="15" hidden="false" customHeight="false" outlineLevel="0" collapsed="false">
      <c r="A824" s="52"/>
    </row>
    <row r="825" customFormat="false" ht="17.35" hidden="false" customHeight="false" outlineLevel="0" collapsed="false">
      <c r="A825" s="52"/>
      <c r="B825" s="47" t="s">
        <v>787</v>
      </c>
    </row>
    <row r="826" customFormat="false" ht="15" hidden="false" customHeight="false" outlineLevel="0" collapsed="false">
      <c r="A826" s="52"/>
      <c r="B826" s="3" t="s">
        <v>788</v>
      </c>
    </row>
    <row r="827" customFormat="false" ht="15" hidden="false" customHeight="false" outlineLevel="0" collapsed="false">
      <c r="A827" s="48" t="s">
        <v>3</v>
      </c>
      <c r="B827" s="49" t="s">
        <v>228</v>
      </c>
      <c r="C827" s="7" t="s">
        <v>5</v>
      </c>
      <c r="D827" s="50" t="s">
        <v>6</v>
      </c>
      <c r="E827" s="9" t="s">
        <v>7</v>
      </c>
    </row>
    <row r="828" customFormat="false" ht="15" hidden="false" customHeight="false" outlineLevel="0" collapsed="false">
      <c r="A828" s="51" t="n">
        <v>1</v>
      </c>
      <c r="B828" s="20" t="s">
        <v>789</v>
      </c>
      <c r="C828" s="43" t="n">
        <v>416500</v>
      </c>
      <c r="D828" s="43" t="n">
        <f aca="false">116500</f>
        <v>116500</v>
      </c>
      <c r="E828" s="44" t="n">
        <f aca="false">C828-D828</f>
        <v>300000</v>
      </c>
    </row>
    <row r="829" customFormat="false" ht="15" hidden="false" customHeight="false" outlineLevel="0" collapsed="false">
      <c r="A829" s="51" t="n">
        <v>2</v>
      </c>
      <c r="B829" s="20" t="s">
        <v>790</v>
      </c>
      <c r="C829" s="43" t="n">
        <v>416500</v>
      </c>
      <c r="D829" s="43" t="n">
        <f aca="false">216000+200500</f>
        <v>416500</v>
      </c>
      <c r="E829" s="44" t="n">
        <f aca="false">C829-D829</f>
        <v>0</v>
      </c>
    </row>
    <row r="830" customFormat="false" ht="15" hidden="false" customHeight="false" outlineLevel="0" collapsed="false">
      <c r="A830" s="95" t="n">
        <v>3</v>
      </c>
      <c r="B830" s="20" t="s">
        <v>791</v>
      </c>
      <c r="C830" s="43" t="n">
        <v>416500</v>
      </c>
      <c r="D830" s="43"/>
      <c r="E830" s="44" t="n">
        <f aca="false">C830-D830</f>
        <v>416500</v>
      </c>
    </row>
    <row r="831" customFormat="false" ht="15" hidden="false" customHeight="false" outlineLevel="0" collapsed="false">
      <c r="A831" s="96" t="n">
        <v>4</v>
      </c>
      <c r="B831" s="20" t="s">
        <v>792</v>
      </c>
      <c r="C831" s="43" t="n">
        <v>416500</v>
      </c>
      <c r="D831" s="43" t="n">
        <f aca="false">366500</f>
        <v>366500</v>
      </c>
      <c r="E831" s="44" t="n">
        <f aca="false">C831-D831</f>
        <v>50000</v>
      </c>
    </row>
    <row r="832" customFormat="false" ht="15" hidden="false" customHeight="false" outlineLevel="0" collapsed="false">
      <c r="A832" s="51" t="n">
        <v>5</v>
      </c>
      <c r="B832" s="20" t="s">
        <v>793</v>
      </c>
      <c r="C832" s="45" t="s">
        <v>205</v>
      </c>
      <c r="D832" s="43"/>
      <c r="E832" s="46" t="s">
        <v>206</v>
      </c>
    </row>
    <row r="833" customFormat="false" ht="15" hidden="false" customHeight="false" outlineLevel="0" collapsed="false">
      <c r="A833" s="95" t="n">
        <v>6</v>
      </c>
      <c r="B833" s="20" t="s">
        <v>794</v>
      </c>
      <c r="C833" s="43" t="n">
        <v>416500</v>
      </c>
      <c r="D833" s="43"/>
      <c r="E833" s="44" t="n">
        <f aca="false">C833-D833</f>
        <v>416500</v>
      </c>
    </row>
    <row r="834" customFormat="false" ht="15" hidden="false" customHeight="false" outlineLevel="0" collapsed="false">
      <c r="A834" s="95" t="n">
        <v>7</v>
      </c>
      <c r="B834" s="20" t="s">
        <v>795</v>
      </c>
      <c r="C834" s="43" t="n">
        <v>416500</v>
      </c>
      <c r="D834" s="43"/>
      <c r="E834" s="44" t="n">
        <f aca="false">C834-D834</f>
        <v>416500</v>
      </c>
    </row>
    <row r="835" customFormat="false" ht="15" hidden="false" customHeight="false" outlineLevel="0" collapsed="false">
      <c r="A835" s="95" t="n">
        <v>8</v>
      </c>
      <c r="B835" s="38" t="s">
        <v>796</v>
      </c>
      <c r="C835" s="43" t="n">
        <v>416500</v>
      </c>
      <c r="D835" s="43"/>
      <c r="E835" s="44" t="n">
        <f aca="false">C835-D835</f>
        <v>416500</v>
      </c>
    </row>
    <row r="836" customFormat="false" ht="15" hidden="false" customHeight="false" outlineLevel="0" collapsed="false">
      <c r="A836" s="96" t="n">
        <v>9</v>
      </c>
      <c r="B836" s="38" t="s">
        <v>797</v>
      </c>
      <c r="C836" s="43" t="n">
        <v>416500</v>
      </c>
      <c r="D836" s="43" t="n">
        <f aca="false">416000+500</f>
        <v>416500</v>
      </c>
      <c r="E836" s="44" t="n">
        <f aca="false">C836-D836</f>
        <v>0</v>
      </c>
    </row>
    <row r="837" customFormat="false" ht="19.7" hidden="false" customHeight="false" outlineLevel="0" collapsed="false">
      <c r="A837" s="58"/>
      <c r="B837" s="97" t="s">
        <v>30</v>
      </c>
      <c r="C837" s="60" t="n">
        <f aca="false">SUM(C828:C836)</f>
        <v>3332000</v>
      </c>
      <c r="D837" s="61" t="n">
        <f aca="false">SUM(D828:D836)</f>
        <v>1316000</v>
      </c>
      <c r="E837" s="62" t="n">
        <f aca="false">SUM(E828:E836)</f>
        <v>2016000</v>
      </c>
    </row>
    <row r="842" customFormat="false" ht="17.35" hidden="false" customHeight="false" outlineLevel="0" collapsed="false">
      <c r="A842" s="52"/>
      <c r="B842" s="2" t="s">
        <v>0</v>
      </c>
    </row>
    <row r="843" customFormat="false" ht="15" hidden="false" customHeight="false" outlineLevel="0" collapsed="false">
      <c r="A843" s="52"/>
    </row>
    <row r="844" customFormat="false" ht="17.35" hidden="false" customHeight="false" outlineLevel="0" collapsed="false">
      <c r="A844" s="52"/>
      <c r="B844" s="47" t="s">
        <v>787</v>
      </c>
    </row>
    <row r="845" customFormat="false" ht="15" hidden="false" customHeight="false" outlineLevel="0" collapsed="false">
      <c r="A845" s="52"/>
      <c r="B845" s="3" t="s">
        <v>798</v>
      </c>
    </row>
    <row r="846" customFormat="false" ht="15" hidden="false" customHeight="false" outlineLevel="0" collapsed="false">
      <c r="A846" s="48" t="s">
        <v>3</v>
      </c>
      <c r="B846" s="49" t="s">
        <v>228</v>
      </c>
      <c r="C846" s="7" t="s">
        <v>5</v>
      </c>
      <c r="D846" s="50" t="s">
        <v>6</v>
      </c>
      <c r="E846" s="9" t="s">
        <v>7</v>
      </c>
    </row>
    <row r="847" customFormat="false" ht="15" hidden="false" customHeight="false" outlineLevel="0" collapsed="false">
      <c r="A847" s="51" t="n">
        <v>1</v>
      </c>
      <c r="B847" s="14" t="s">
        <v>799</v>
      </c>
      <c r="C847" s="43" t="n">
        <v>416500</v>
      </c>
      <c r="D847" s="43" t="n">
        <f aca="false">211500+205000</f>
        <v>416500</v>
      </c>
      <c r="E847" s="44" t="n">
        <f aca="false">C847-D847</f>
        <v>0</v>
      </c>
    </row>
    <row r="848" customFormat="false" ht="15" hidden="false" customHeight="false" outlineLevel="0" collapsed="false">
      <c r="A848" s="51" t="n">
        <v>2</v>
      </c>
      <c r="B848" s="14" t="s">
        <v>800</v>
      </c>
      <c r="C848" s="43" t="n">
        <v>416500</v>
      </c>
      <c r="D848" s="43" t="n">
        <f aca="false">214500+202000</f>
        <v>416500</v>
      </c>
      <c r="E848" s="44" t="n">
        <f aca="false">C848-D848</f>
        <v>0</v>
      </c>
    </row>
    <row r="849" customFormat="false" ht="15" hidden="false" customHeight="false" outlineLevel="0" collapsed="false">
      <c r="A849" s="51" t="n">
        <v>3</v>
      </c>
      <c r="B849" s="14" t="s">
        <v>801</v>
      </c>
      <c r="C849" s="43" t="n">
        <v>416500</v>
      </c>
      <c r="D849" s="43"/>
      <c r="E849" s="44" t="n">
        <f aca="false">C849-D849</f>
        <v>416500</v>
      </c>
    </row>
    <row r="850" customFormat="false" ht="15" hidden="false" customHeight="false" outlineLevel="0" collapsed="false">
      <c r="A850" s="51" t="n">
        <v>4</v>
      </c>
      <c r="B850" s="14" t="s">
        <v>802</v>
      </c>
      <c r="C850" s="43" t="n">
        <v>416500</v>
      </c>
      <c r="D850" s="43"/>
      <c r="E850" s="44" t="n">
        <f aca="false">C850-D850</f>
        <v>416500</v>
      </c>
    </row>
    <row r="851" customFormat="false" ht="15" hidden="false" customHeight="false" outlineLevel="0" collapsed="false">
      <c r="A851" s="51" t="n">
        <v>5</v>
      </c>
      <c r="B851" s="14" t="s">
        <v>803</v>
      </c>
      <c r="C851" s="43" t="n">
        <v>416500</v>
      </c>
      <c r="D851" s="43" t="n">
        <f aca="false">190000+150000+76500</f>
        <v>416500</v>
      </c>
      <c r="E851" s="44" t="n">
        <f aca="false">C851-D851</f>
        <v>0</v>
      </c>
    </row>
    <row r="852" customFormat="false" ht="15" hidden="false" customHeight="false" outlineLevel="0" collapsed="false">
      <c r="A852" s="51" t="n">
        <v>6</v>
      </c>
      <c r="B852" s="14" t="s">
        <v>804</v>
      </c>
      <c r="C852" s="43" t="n">
        <v>416500</v>
      </c>
      <c r="D852" s="43" t="n">
        <f aca="false">93500</f>
        <v>93500</v>
      </c>
      <c r="E852" s="44" t="n">
        <f aca="false">C852-D852</f>
        <v>323000</v>
      </c>
    </row>
    <row r="853" customFormat="false" ht="15" hidden="false" customHeight="false" outlineLevel="0" collapsed="false">
      <c r="A853" s="51" t="n">
        <v>7</v>
      </c>
      <c r="B853" s="14" t="s">
        <v>805</v>
      </c>
      <c r="C853" s="43" t="n">
        <v>416500</v>
      </c>
      <c r="D853" s="43"/>
      <c r="E853" s="44" t="n">
        <f aca="false">C853-D853</f>
        <v>416500</v>
      </c>
    </row>
    <row r="854" customFormat="false" ht="15" hidden="false" customHeight="false" outlineLevel="0" collapsed="false">
      <c r="A854" s="51" t="n">
        <v>8</v>
      </c>
      <c r="B854" s="14" t="s">
        <v>806</v>
      </c>
      <c r="C854" s="65" t="n">
        <v>416500</v>
      </c>
      <c r="D854" s="65"/>
      <c r="E854" s="66" t="n">
        <f aca="false">C854-D854</f>
        <v>416500</v>
      </c>
    </row>
    <row r="855" customFormat="false" ht="15" hidden="false" customHeight="false" outlineLevel="0" collapsed="false">
      <c r="A855" s="51" t="n">
        <v>9</v>
      </c>
      <c r="B855" s="14" t="s">
        <v>807</v>
      </c>
      <c r="C855" s="43" t="n">
        <v>416500</v>
      </c>
      <c r="D855" s="43"/>
      <c r="E855" s="44" t="n">
        <f aca="false">C855-D855</f>
        <v>416500</v>
      </c>
    </row>
    <row r="856" customFormat="false" ht="15" hidden="false" customHeight="false" outlineLevel="0" collapsed="false">
      <c r="A856" s="51" t="n">
        <v>10</v>
      </c>
      <c r="B856" s="14" t="s">
        <v>808</v>
      </c>
      <c r="C856" s="43" t="n">
        <v>416500</v>
      </c>
      <c r="D856" s="43" t="n">
        <f aca="false">44000+372500</f>
        <v>416500</v>
      </c>
      <c r="E856" s="44" t="n">
        <f aca="false">C856-D856</f>
        <v>0</v>
      </c>
    </row>
    <row r="857" customFormat="false" ht="15" hidden="false" customHeight="false" outlineLevel="0" collapsed="false">
      <c r="A857" s="51" t="n">
        <v>11</v>
      </c>
      <c r="B857" s="36" t="s">
        <v>809</v>
      </c>
      <c r="C857" s="43" t="n">
        <v>416500</v>
      </c>
      <c r="D857" s="43"/>
      <c r="E857" s="44" t="n">
        <f aca="false">C857-D857</f>
        <v>416500</v>
      </c>
    </row>
    <row r="858" customFormat="false" ht="15" hidden="false" customHeight="false" outlineLevel="0" collapsed="false">
      <c r="A858" s="58" t="n">
        <v>12</v>
      </c>
      <c r="B858" s="36" t="s">
        <v>810</v>
      </c>
      <c r="C858" s="43" t="n">
        <v>416500</v>
      </c>
      <c r="D858" s="43"/>
      <c r="E858" s="44" t="n">
        <f aca="false">C858-D858</f>
        <v>416500</v>
      </c>
    </row>
    <row r="859" customFormat="false" ht="17.35" hidden="false" customHeight="false" outlineLevel="0" collapsed="false">
      <c r="A859" s="58"/>
      <c r="B859" s="59" t="s">
        <v>30</v>
      </c>
      <c r="C859" s="60" t="n">
        <f aca="false">SUM(C847:C858)</f>
        <v>4998000</v>
      </c>
      <c r="D859" s="61" t="n">
        <f aca="false">SUM(D847:D858)</f>
        <v>1759500</v>
      </c>
      <c r="E859" s="62" t="n">
        <f aca="false">SUM(E847:E858)</f>
        <v>3238500</v>
      </c>
    </row>
    <row r="868" customFormat="false" ht="15" hidden="false" customHeight="false" outlineLevel="0" collapsed="false">
      <c r="E868" s="0" t="s">
        <v>811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30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51" activeCellId="0" sqref="E151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34"/>
    <col collapsed="false" customWidth="true" hidden="false" outlineLevel="0" max="3" min="3" style="0" width="13.86"/>
    <col collapsed="false" customWidth="true" hidden="false" outlineLevel="0" max="4" min="4" style="0" width="13"/>
    <col collapsed="false" customWidth="true" hidden="false" outlineLevel="0" max="5" min="5" style="0" width="14.43"/>
  </cols>
  <sheetData>
    <row r="3" customFormat="false" ht="17.35" hidden="false" customHeight="false" outlineLevel="0" collapsed="false">
      <c r="A3" s="2"/>
      <c r="B3" s="98" t="s">
        <v>812</v>
      </c>
      <c r="C3" s="99"/>
      <c r="D3" s="99"/>
      <c r="E3" s="99"/>
    </row>
    <row r="5" customFormat="false" ht="15" hidden="false" customHeight="false" outlineLevel="0" collapsed="false">
      <c r="B5" s="100" t="s">
        <v>813</v>
      </c>
    </row>
    <row r="7" customFormat="false" ht="17.25" hidden="false" customHeight="false" outlineLevel="0" collapsed="false">
      <c r="B7" s="41" t="s">
        <v>748</v>
      </c>
      <c r="E7" s="4"/>
    </row>
    <row r="8" customFormat="false" ht="15" hidden="false" customHeight="false" outlineLevel="0" collapsed="false">
      <c r="B8" s="3"/>
      <c r="H8" s="0" t="s">
        <v>676</v>
      </c>
    </row>
    <row r="10" customFormat="false" ht="15" hidden="false" customHeight="false" outlineLevel="0" collapsed="false">
      <c r="A10" s="5" t="s">
        <v>3</v>
      </c>
      <c r="B10" s="6" t="s">
        <v>4</v>
      </c>
      <c r="C10" s="7" t="s">
        <v>5</v>
      </c>
      <c r="D10" s="8" t="s">
        <v>6</v>
      </c>
      <c r="E10" s="9" t="s">
        <v>7</v>
      </c>
    </row>
    <row r="11" customFormat="false" ht="15" hidden="false" customHeight="false" outlineLevel="0" collapsed="false">
      <c r="A11" s="10" t="n">
        <v>1</v>
      </c>
      <c r="B11" s="101" t="s">
        <v>814</v>
      </c>
      <c r="C11" s="12" t="n">
        <v>750000</v>
      </c>
      <c r="D11" s="12" t="n">
        <f aca="false">50000+300000+50000+100000</f>
        <v>500000</v>
      </c>
      <c r="E11" s="13" t="n">
        <f aca="false">C11-D11</f>
        <v>250000</v>
      </c>
    </row>
    <row r="12" customFormat="false" ht="15" hidden="false" customHeight="false" outlineLevel="0" collapsed="false">
      <c r="A12" s="10" t="n">
        <v>2</v>
      </c>
      <c r="B12" s="101" t="s">
        <v>815</v>
      </c>
      <c r="C12" s="13" t="n">
        <v>750000</v>
      </c>
      <c r="D12" s="12" t="n">
        <f aca="false">300000+200000</f>
        <v>500000</v>
      </c>
      <c r="E12" s="13" t="n">
        <f aca="false">C12-D12</f>
        <v>250000</v>
      </c>
    </row>
    <row r="13" customFormat="false" ht="15" hidden="false" customHeight="false" outlineLevel="0" collapsed="false">
      <c r="A13" s="10" t="n">
        <v>3</v>
      </c>
      <c r="B13" s="101" t="s">
        <v>816</v>
      </c>
      <c r="C13" s="13" t="n">
        <v>750000</v>
      </c>
      <c r="D13" s="12" t="n">
        <f aca="false">500000</f>
        <v>500000</v>
      </c>
      <c r="E13" s="13" t="n">
        <f aca="false">C13-D13</f>
        <v>250000</v>
      </c>
    </row>
    <row r="14" customFormat="false" ht="15" hidden="false" customHeight="false" outlineLevel="0" collapsed="false">
      <c r="A14" s="10" t="n">
        <v>4</v>
      </c>
      <c r="B14" s="101" t="s">
        <v>817</v>
      </c>
      <c r="C14" s="13" t="n">
        <v>750000</v>
      </c>
      <c r="D14" s="12" t="n">
        <f aca="false">200000+200000</f>
        <v>400000</v>
      </c>
      <c r="E14" s="13" t="n">
        <f aca="false">C14-D14</f>
        <v>350000</v>
      </c>
    </row>
    <row r="15" customFormat="false" ht="15" hidden="false" customHeight="false" outlineLevel="0" collapsed="false">
      <c r="A15" s="10" t="n">
        <v>5</v>
      </c>
      <c r="B15" s="101" t="s">
        <v>818</v>
      </c>
      <c r="C15" s="13" t="n">
        <v>750000</v>
      </c>
      <c r="D15" s="12" t="n">
        <f aca="false">500000+120000</f>
        <v>620000</v>
      </c>
      <c r="E15" s="13" t="n">
        <f aca="false">C15-D15</f>
        <v>130000</v>
      </c>
    </row>
    <row r="16" customFormat="false" ht="15" hidden="false" customHeight="false" outlineLevel="0" collapsed="false">
      <c r="A16" s="10" t="n">
        <v>6</v>
      </c>
      <c r="B16" s="101" t="s">
        <v>819</v>
      </c>
      <c r="C16" s="13" t="n">
        <v>750000</v>
      </c>
      <c r="D16" s="12"/>
      <c r="E16" s="13" t="n">
        <f aca="false">C16-D16</f>
        <v>750000</v>
      </c>
    </row>
    <row r="17" customFormat="false" ht="15" hidden="false" customHeight="false" outlineLevel="0" collapsed="false">
      <c r="A17" s="10" t="n">
        <v>7</v>
      </c>
      <c r="B17" s="101" t="s">
        <v>820</v>
      </c>
      <c r="C17" s="13" t="n">
        <v>750000</v>
      </c>
      <c r="D17" s="12"/>
      <c r="E17" s="13" t="n">
        <f aca="false">C17-D17</f>
        <v>750000</v>
      </c>
    </row>
    <row r="18" customFormat="false" ht="15" hidden="false" customHeight="false" outlineLevel="0" collapsed="false">
      <c r="A18" s="10" t="n">
        <v>8</v>
      </c>
      <c r="B18" s="101" t="s">
        <v>821</v>
      </c>
      <c r="C18" s="13" t="n">
        <v>750000</v>
      </c>
      <c r="D18" s="12" t="n">
        <f aca="false">400000+350000</f>
        <v>750000</v>
      </c>
      <c r="E18" s="13" t="n">
        <f aca="false">C18-D18</f>
        <v>0</v>
      </c>
    </row>
    <row r="19" customFormat="false" ht="15" hidden="false" customHeight="false" outlineLevel="0" collapsed="false">
      <c r="A19" s="10" t="n">
        <v>9</v>
      </c>
      <c r="B19" s="101" t="s">
        <v>822</v>
      </c>
      <c r="C19" s="13" t="n">
        <v>750000</v>
      </c>
      <c r="D19" s="12" t="n">
        <f aca="false">300000+100000+100000</f>
        <v>500000</v>
      </c>
      <c r="E19" s="13" t="n">
        <f aca="false">C19-D19</f>
        <v>250000</v>
      </c>
    </row>
    <row r="20" customFormat="false" ht="15" hidden="false" customHeight="false" outlineLevel="0" collapsed="false">
      <c r="A20" s="10" t="n">
        <v>10</v>
      </c>
      <c r="B20" s="101" t="s">
        <v>823</v>
      </c>
      <c r="C20" s="13" t="n">
        <v>750000</v>
      </c>
      <c r="D20" s="12" t="n">
        <f aca="false">250000+50000</f>
        <v>300000</v>
      </c>
      <c r="E20" s="13" t="n">
        <f aca="false">C20-D20</f>
        <v>450000</v>
      </c>
    </row>
    <row r="21" customFormat="false" ht="15" hidden="false" customHeight="false" outlineLevel="0" collapsed="false">
      <c r="A21" s="10" t="n">
        <v>11</v>
      </c>
      <c r="B21" s="101" t="s">
        <v>824</v>
      </c>
      <c r="C21" s="13" t="n">
        <v>750000</v>
      </c>
      <c r="D21" s="12" t="n">
        <f aca="false">400000</f>
        <v>400000</v>
      </c>
      <c r="E21" s="13" t="n">
        <f aca="false">C21-D21</f>
        <v>350000</v>
      </c>
    </row>
    <row r="22" customFormat="false" ht="15" hidden="false" customHeight="false" outlineLevel="0" collapsed="false">
      <c r="A22" s="10" t="n">
        <v>12</v>
      </c>
      <c r="B22" s="101" t="s">
        <v>825</v>
      </c>
      <c r="C22" s="13" t="n">
        <v>750000</v>
      </c>
      <c r="D22" s="12" t="n">
        <v>750000</v>
      </c>
      <c r="E22" s="13" t="n">
        <f aca="false">C22-D22</f>
        <v>0</v>
      </c>
    </row>
    <row r="23" customFormat="false" ht="15" hidden="false" customHeight="false" outlineLevel="0" collapsed="false">
      <c r="A23" s="10" t="n">
        <v>13</v>
      </c>
      <c r="B23" s="101" t="s">
        <v>826</v>
      </c>
      <c r="C23" s="13" t="n">
        <v>750000</v>
      </c>
      <c r="D23" s="12" t="n">
        <f aca="false">500000+250000</f>
        <v>750000</v>
      </c>
      <c r="E23" s="13" t="n">
        <f aca="false">C23-D23</f>
        <v>0</v>
      </c>
    </row>
    <row r="24" customFormat="false" ht="15" hidden="false" customHeight="false" outlineLevel="0" collapsed="false">
      <c r="A24" s="10" t="n">
        <v>14</v>
      </c>
      <c r="B24" s="101" t="s">
        <v>827</v>
      </c>
      <c r="C24" s="13" t="n">
        <v>750000</v>
      </c>
      <c r="D24" s="12" t="n">
        <f aca="false">300000+100000+100000+100000</f>
        <v>600000</v>
      </c>
      <c r="E24" s="13" t="n">
        <f aca="false">C24-D24</f>
        <v>150000</v>
      </c>
    </row>
    <row r="25" customFormat="false" ht="15" hidden="false" customHeight="false" outlineLevel="0" collapsed="false">
      <c r="A25" s="10" t="n">
        <v>15</v>
      </c>
      <c r="B25" s="102" t="s">
        <v>828</v>
      </c>
      <c r="C25" s="13" t="n">
        <v>750000</v>
      </c>
      <c r="D25" s="37" t="n">
        <f aca="false">400000+100000</f>
        <v>500000</v>
      </c>
      <c r="E25" s="13" t="n">
        <f aca="false">C25-D25</f>
        <v>250000</v>
      </c>
    </row>
    <row r="26" customFormat="false" ht="15" hidden="false" customHeight="false" outlineLevel="0" collapsed="false">
      <c r="A26" s="10" t="n">
        <v>16</v>
      </c>
      <c r="B26" s="102" t="s">
        <v>829</v>
      </c>
      <c r="C26" s="13" t="n">
        <v>750000</v>
      </c>
      <c r="D26" s="37" t="n">
        <f aca="false">100000+50000+300000</f>
        <v>450000</v>
      </c>
      <c r="E26" s="13" t="n">
        <f aca="false">C26-D26</f>
        <v>300000</v>
      </c>
    </row>
    <row r="27" customFormat="false" ht="15" hidden="false" customHeight="false" outlineLevel="0" collapsed="false">
      <c r="A27" s="10" t="n">
        <v>17</v>
      </c>
      <c r="B27" s="102" t="s">
        <v>830</v>
      </c>
      <c r="C27" s="13" t="n">
        <v>750000</v>
      </c>
      <c r="D27" s="37" t="n">
        <f aca="false">500000+250000</f>
        <v>750000</v>
      </c>
      <c r="E27" s="13" t="n">
        <f aca="false">C27-D27</f>
        <v>0</v>
      </c>
    </row>
    <row r="28" customFormat="false" ht="15" hidden="false" customHeight="false" outlineLevel="0" collapsed="false">
      <c r="A28" s="10" t="n">
        <v>18</v>
      </c>
      <c r="B28" s="102" t="s">
        <v>831</v>
      </c>
      <c r="C28" s="13" t="n">
        <v>750000</v>
      </c>
      <c r="D28" s="37" t="n">
        <f aca="false">210000+170000+40000+80000</f>
        <v>500000</v>
      </c>
      <c r="E28" s="13" t="n">
        <f aca="false">C28-D28</f>
        <v>250000</v>
      </c>
    </row>
    <row r="29" customFormat="false" ht="15" hidden="false" customHeight="false" outlineLevel="0" collapsed="false">
      <c r="A29" s="10" t="n">
        <v>19</v>
      </c>
      <c r="B29" s="102" t="s">
        <v>832</v>
      </c>
      <c r="C29" s="13" t="n">
        <v>750000</v>
      </c>
      <c r="D29" s="37" t="n">
        <f aca="false">400000+250000+100000</f>
        <v>750000</v>
      </c>
      <c r="E29" s="13" t="n">
        <f aca="false">C29-D29</f>
        <v>0</v>
      </c>
    </row>
    <row r="30" customFormat="false" ht="15" hidden="false" customHeight="false" outlineLevel="0" collapsed="false">
      <c r="A30" s="10" t="n">
        <v>20</v>
      </c>
      <c r="B30" s="102" t="s">
        <v>833</v>
      </c>
      <c r="C30" s="13" t="n">
        <v>750000</v>
      </c>
      <c r="D30" s="37" t="n">
        <f aca="false">350000+150000</f>
        <v>500000</v>
      </c>
      <c r="E30" s="13" t="n">
        <f aca="false">C30-D30</f>
        <v>250000</v>
      </c>
    </row>
    <row r="31" customFormat="false" ht="15" hidden="false" customHeight="false" outlineLevel="0" collapsed="false">
      <c r="A31" s="10" t="n">
        <v>21</v>
      </c>
      <c r="B31" s="102" t="s">
        <v>834</v>
      </c>
      <c r="C31" s="13" t="n">
        <v>750000</v>
      </c>
      <c r="D31" s="37" t="n">
        <f aca="false">400000+300000+50000</f>
        <v>750000</v>
      </c>
      <c r="E31" s="13" t="n">
        <f aca="false">C31-D31</f>
        <v>0</v>
      </c>
    </row>
    <row r="32" customFormat="false" ht="15" hidden="false" customHeight="false" outlineLevel="0" collapsed="false">
      <c r="A32" s="10" t="n">
        <v>22</v>
      </c>
      <c r="B32" s="102" t="s">
        <v>835</v>
      </c>
      <c r="C32" s="13" t="n">
        <v>750000</v>
      </c>
      <c r="D32" s="37" t="n">
        <f aca="false">300000+200000+100000</f>
        <v>600000</v>
      </c>
      <c r="E32" s="13" t="n">
        <f aca="false">C32-D32</f>
        <v>150000</v>
      </c>
    </row>
    <row r="33" customFormat="false" ht="15" hidden="false" customHeight="false" outlineLevel="0" collapsed="false">
      <c r="A33" s="10" t="n">
        <v>23</v>
      </c>
      <c r="B33" s="102" t="s">
        <v>836</v>
      </c>
      <c r="C33" s="13" t="n">
        <v>750000</v>
      </c>
      <c r="D33" s="37" t="n">
        <f aca="false">200000+100000</f>
        <v>300000</v>
      </c>
      <c r="E33" s="13" t="n">
        <f aca="false">C33-D33</f>
        <v>450000</v>
      </c>
    </row>
    <row r="34" customFormat="false" ht="15" hidden="false" customHeight="false" outlineLevel="0" collapsed="false">
      <c r="A34" s="10" t="n">
        <v>24</v>
      </c>
      <c r="B34" s="102" t="s">
        <v>837</v>
      </c>
      <c r="C34" s="13" t="n">
        <v>750000</v>
      </c>
      <c r="D34" s="37" t="n">
        <f aca="false">200000+100000+50000</f>
        <v>350000</v>
      </c>
      <c r="E34" s="13" t="n">
        <f aca="false">C34-D34</f>
        <v>400000</v>
      </c>
    </row>
    <row r="35" customFormat="false" ht="15" hidden="false" customHeight="false" outlineLevel="0" collapsed="false">
      <c r="A35" s="10" t="n">
        <v>25</v>
      </c>
      <c r="B35" s="102" t="s">
        <v>838</v>
      </c>
      <c r="C35" s="103" t="n">
        <v>750000</v>
      </c>
      <c r="D35" s="37" t="n">
        <f aca="false">750000</f>
        <v>750000</v>
      </c>
      <c r="E35" s="13" t="n">
        <f aca="false">C35-D35</f>
        <v>0</v>
      </c>
      <c r="H35" s="104"/>
    </row>
    <row r="36" customFormat="false" ht="15" hidden="false" customHeight="false" outlineLevel="0" collapsed="false">
      <c r="A36" s="10" t="n">
        <v>26</v>
      </c>
      <c r="B36" s="102" t="s">
        <v>839</v>
      </c>
      <c r="C36" s="103" t="n">
        <v>750000</v>
      </c>
      <c r="D36" s="37" t="n">
        <f aca="false">300000+100000</f>
        <v>400000</v>
      </c>
      <c r="E36" s="13" t="n">
        <f aca="false">C36-D36</f>
        <v>350000</v>
      </c>
    </row>
    <row r="37" customFormat="false" ht="15" hidden="false" customHeight="false" outlineLevel="0" collapsed="false">
      <c r="A37" s="10" t="n">
        <v>27</v>
      </c>
      <c r="B37" s="102" t="s">
        <v>840</v>
      </c>
      <c r="C37" s="12" t="n">
        <v>750000</v>
      </c>
      <c r="D37" s="37" t="n">
        <v>750000</v>
      </c>
      <c r="E37" s="13" t="n">
        <f aca="false">C37-D37</f>
        <v>0</v>
      </c>
    </row>
    <row r="38" customFormat="false" ht="17.35" hidden="false" customHeight="false" outlineLevel="0" collapsed="false">
      <c r="A38" s="10"/>
      <c r="B38" s="22" t="s">
        <v>30</v>
      </c>
      <c r="C38" s="23" t="n">
        <f aca="false">SUM(C11:C37)</f>
        <v>20250000</v>
      </c>
      <c r="D38" s="24" t="n">
        <f aca="false">SUM(D11:D37)</f>
        <v>13920000</v>
      </c>
      <c r="E38" s="25" t="n">
        <f aca="false">SUM(E11:E37)</f>
        <v>6330000</v>
      </c>
    </row>
    <row r="43" customFormat="false" ht="15" hidden="false" customHeight="false" outlineLevel="0" collapsed="false">
      <c r="A43" s="98" t="s">
        <v>841</v>
      </c>
      <c r="B43" s="99"/>
      <c r="C43" s="99"/>
      <c r="D43" s="99"/>
      <c r="E43" s="99"/>
    </row>
    <row r="45" customFormat="false" ht="15" hidden="false" customHeight="false" outlineLevel="0" collapsed="false">
      <c r="B45" s="100" t="s">
        <v>2</v>
      </c>
    </row>
    <row r="46" customFormat="false" ht="15" hidden="false" customHeight="false" outlineLevel="0" collapsed="false">
      <c r="B46" s="3" t="s">
        <v>406</v>
      </c>
    </row>
    <row r="48" customFormat="false" ht="15" hidden="false" customHeight="false" outlineLevel="0" collapsed="false">
      <c r="A48" s="48" t="s">
        <v>3</v>
      </c>
      <c r="B48" s="49" t="s">
        <v>228</v>
      </c>
      <c r="C48" s="7" t="s">
        <v>5</v>
      </c>
      <c r="D48" s="50" t="s">
        <v>6</v>
      </c>
      <c r="E48" s="9" t="s">
        <v>7</v>
      </c>
    </row>
    <row r="49" customFormat="false" ht="15" hidden="false" customHeight="false" outlineLevel="0" collapsed="false">
      <c r="A49" s="51" t="n">
        <v>1</v>
      </c>
      <c r="B49" s="53" t="s">
        <v>842</v>
      </c>
      <c r="C49" s="105" t="n">
        <v>750000</v>
      </c>
      <c r="D49" s="106" t="n">
        <f aca="false">400000</f>
        <v>400000</v>
      </c>
      <c r="E49" s="107" t="n">
        <f aca="false">C49-D49</f>
        <v>350000</v>
      </c>
    </row>
    <row r="50" customFormat="false" ht="15" hidden="false" customHeight="false" outlineLevel="0" collapsed="false">
      <c r="A50" s="51" t="n">
        <v>2</v>
      </c>
      <c r="B50" s="53" t="s">
        <v>843</v>
      </c>
      <c r="C50" s="105" t="n">
        <v>750000</v>
      </c>
      <c r="D50" s="106" t="n">
        <f aca="false">400000</f>
        <v>400000</v>
      </c>
      <c r="E50" s="107" t="n">
        <f aca="false">C50-D50</f>
        <v>350000</v>
      </c>
    </row>
    <row r="51" customFormat="false" ht="15" hidden="false" customHeight="false" outlineLevel="0" collapsed="false">
      <c r="A51" s="51" t="n">
        <v>3</v>
      </c>
      <c r="B51" s="53" t="s">
        <v>844</v>
      </c>
      <c r="C51" s="105" t="n">
        <v>750000</v>
      </c>
      <c r="D51" s="106" t="n">
        <f aca="false">350000</f>
        <v>350000</v>
      </c>
      <c r="E51" s="107" t="n">
        <f aca="false">C51-D51</f>
        <v>400000</v>
      </c>
    </row>
    <row r="52" customFormat="false" ht="15" hidden="false" customHeight="false" outlineLevel="0" collapsed="false">
      <c r="A52" s="51" t="n">
        <v>4</v>
      </c>
      <c r="B52" s="53" t="s">
        <v>845</v>
      </c>
      <c r="C52" s="105" t="n">
        <v>750000</v>
      </c>
      <c r="D52" s="106" t="n">
        <f aca="false">150000+250000</f>
        <v>400000</v>
      </c>
      <c r="E52" s="107" t="n">
        <f aca="false">C52-D52</f>
        <v>350000</v>
      </c>
    </row>
    <row r="53" customFormat="false" ht="15" hidden="false" customHeight="false" outlineLevel="0" collapsed="false">
      <c r="A53" s="51" t="n">
        <v>5</v>
      </c>
      <c r="B53" s="53" t="s">
        <v>846</v>
      </c>
      <c r="C53" s="105" t="n">
        <v>750000</v>
      </c>
      <c r="D53" s="106" t="n">
        <f aca="false">400000</f>
        <v>400000</v>
      </c>
      <c r="E53" s="107" t="n">
        <f aca="false">C53-D53</f>
        <v>350000</v>
      </c>
    </row>
    <row r="54" customFormat="false" ht="15" hidden="false" customHeight="false" outlineLevel="0" collapsed="false">
      <c r="A54" s="51" t="n">
        <v>6</v>
      </c>
      <c r="B54" s="53" t="s">
        <v>847</v>
      </c>
      <c r="C54" s="105" t="n">
        <v>750000</v>
      </c>
      <c r="D54" s="106" t="n">
        <f aca="false">200000+20000+30000</f>
        <v>250000</v>
      </c>
      <c r="E54" s="107" t="n">
        <f aca="false">C54-D54</f>
        <v>500000</v>
      </c>
    </row>
    <row r="55" customFormat="false" ht="15" hidden="false" customHeight="false" outlineLevel="0" collapsed="false">
      <c r="A55" s="51" t="n">
        <v>7</v>
      </c>
      <c r="B55" s="53" t="s">
        <v>848</v>
      </c>
      <c r="C55" s="105" t="n">
        <v>750000</v>
      </c>
      <c r="D55" s="106" t="n">
        <f aca="false">300000+100000</f>
        <v>400000</v>
      </c>
      <c r="E55" s="107" t="n">
        <f aca="false">C55-D55</f>
        <v>350000</v>
      </c>
    </row>
    <row r="56" customFormat="false" ht="15" hidden="false" customHeight="false" outlineLevel="0" collapsed="false">
      <c r="A56" s="51" t="n">
        <v>8</v>
      </c>
      <c r="B56" s="53" t="s">
        <v>849</v>
      </c>
      <c r="C56" s="105" t="n">
        <v>750000</v>
      </c>
      <c r="D56" s="106" t="n">
        <f aca="false">400000</f>
        <v>400000</v>
      </c>
      <c r="E56" s="107" t="n">
        <f aca="false">C56-D56</f>
        <v>350000</v>
      </c>
    </row>
    <row r="57" customFormat="false" ht="15" hidden="false" customHeight="false" outlineLevel="0" collapsed="false">
      <c r="A57" s="51" t="n">
        <v>9</v>
      </c>
      <c r="B57" s="53" t="s">
        <v>850</v>
      </c>
      <c r="C57" s="105" t="n">
        <v>750000</v>
      </c>
      <c r="D57" s="106" t="n">
        <f aca="false">400000</f>
        <v>400000</v>
      </c>
      <c r="E57" s="107" t="n">
        <f aca="false">C57-D57</f>
        <v>350000</v>
      </c>
    </row>
    <row r="58" customFormat="false" ht="15" hidden="false" customHeight="false" outlineLevel="0" collapsed="false">
      <c r="A58" s="51" t="n">
        <v>10</v>
      </c>
      <c r="B58" s="53" t="s">
        <v>851</v>
      </c>
      <c r="C58" s="105" t="n">
        <v>750000</v>
      </c>
      <c r="D58" s="106" t="n">
        <f aca="false">400000</f>
        <v>400000</v>
      </c>
      <c r="E58" s="107" t="n">
        <f aca="false">C58-D58</f>
        <v>350000</v>
      </c>
    </row>
    <row r="59" customFormat="false" ht="15" hidden="false" customHeight="false" outlineLevel="0" collapsed="false">
      <c r="A59" s="51" t="n">
        <v>11</v>
      </c>
      <c r="B59" s="53" t="s">
        <v>852</v>
      </c>
      <c r="C59" s="105" t="n">
        <v>750000</v>
      </c>
      <c r="D59" s="106" t="n">
        <f aca="false">200000+200000</f>
        <v>400000</v>
      </c>
      <c r="E59" s="107" t="n">
        <f aca="false">C59-D59</f>
        <v>350000</v>
      </c>
    </row>
    <row r="60" customFormat="false" ht="15" hidden="false" customHeight="false" outlineLevel="0" collapsed="false">
      <c r="A60" s="51" t="n">
        <v>12</v>
      </c>
      <c r="B60" s="53" t="s">
        <v>853</v>
      </c>
      <c r="C60" s="105" t="n">
        <v>750000</v>
      </c>
      <c r="D60" s="106" t="n">
        <f aca="false">400000</f>
        <v>400000</v>
      </c>
      <c r="E60" s="107" t="n">
        <f aca="false">C60-D60</f>
        <v>350000</v>
      </c>
    </row>
    <row r="61" customFormat="false" ht="15" hidden="false" customHeight="false" outlineLevel="0" collapsed="false">
      <c r="A61" s="51" t="n">
        <v>13</v>
      </c>
      <c r="B61" s="53" t="s">
        <v>854</v>
      </c>
      <c r="C61" s="105" t="n">
        <v>750000</v>
      </c>
      <c r="D61" s="106" t="n">
        <f aca="false">200000</f>
        <v>200000</v>
      </c>
      <c r="E61" s="107" t="n">
        <f aca="false">C61-D61</f>
        <v>550000</v>
      </c>
    </row>
    <row r="62" customFormat="false" ht="15" hidden="false" customHeight="false" outlineLevel="0" collapsed="false">
      <c r="A62" s="51" t="n">
        <v>14</v>
      </c>
      <c r="B62" s="53" t="s">
        <v>855</v>
      </c>
      <c r="C62" s="105" t="n">
        <v>750000</v>
      </c>
      <c r="D62" s="106" t="n">
        <f aca="false">400000</f>
        <v>400000</v>
      </c>
      <c r="E62" s="107" t="n">
        <f aca="false">C62-D62</f>
        <v>350000</v>
      </c>
    </row>
    <row r="63" customFormat="false" ht="15" hidden="false" customHeight="false" outlineLevel="0" collapsed="false">
      <c r="A63" s="51" t="n">
        <v>15</v>
      </c>
      <c r="B63" s="53" t="s">
        <v>856</v>
      </c>
      <c r="C63" s="105" t="n">
        <v>750000</v>
      </c>
      <c r="D63" s="106" t="n">
        <f aca="false">300000+100000</f>
        <v>400000</v>
      </c>
      <c r="E63" s="107" t="n">
        <f aca="false">C63-D63</f>
        <v>350000</v>
      </c>
    </row>
    <row r="64" customFormat="false" ht="15" hidden="false" customHeight="false" outlineLevel="0" collapsed="false">
      <c r="A64" s="51" t="n">
        <v>16</v>
      </c>
      <c r="B64" s="53" t="s">
        <v>857</v>
      </c>
      <c r="C64" s="105" t="n">
        <v>750000</v>
      </c>
      <c r="D64" s="106" t="n">
        <f aca="false">450000</f>
        <v>450000</v>
      </c>
      <c r="E64" s="107" t="n">
        <f aca="false">C64-D64</f>
        <v>300000</v>
      </c>
    </row>
    <row r="65" customFormat="false" ht="15" hidden="false" customHeight="false" outlineLevel="0" collapsed="false">
      <c r="A65" s="51" t="n">
        <v>17</v>
      </c>
      <c r="B65" s="53" t="s">
        <v>858</v>
      </c>
      <c r="C65" s="105" t="n">
        <v>750000</v>
      </c>
      <c r="D65" s="106" t="n">
        <f aca="false">200000</f>
        <v>200000</v>
      </c>
      <c r="E65" s="107" t="n">
        <f aca="false">C65-D65</f>
        <v>550000</v>
      </c>
    </row>
    <row r="66" customFormat="false" ht="15" hidden="false" customHeight="false" outlineLevel="0" collapsed="false">
      <c r="A66" s="51" t="n">
        <v>18</v>
      </c>
      <c r="B66" s="53" t="s">
        <v>859</v>
      </c>
      <c r="C66" s="105" t="n">
        <v>750000</v>
      </c>
      <c r="D66" s="106" t="n">
        <f aca="false">280000</f>
        <v>280000</v>
      </c>
      <c r="E66" s="107" t="n">
        <f aca="false">C66-D66</f>
        <v>470000</v>
      </c>
    </row>
    <row r="67" customFormat="false" ht="15" hidden="false" customHeight="false" outlineLevel="0" collapsed="false">
      <c r="A67" s="51" t="n">
        <v>19</v>
      </c>
      <c r="B67" s="53" t="s">
        <v>860</v>
      </c>
      <c r="C67" s="105" t="n">
        <v>750000</v>
      </c>
      <c r="D67" s="106" t="n">
        <f aca="false">300000+100000</f>
        <v>400000</v>
      </c>
      <c r="E67" s="107" t="n">
        <f aca="false">C67-D67</f>
        <v>350000</v>
      </c>
    </row>
    <row r="68" customFormat="false" ht="19.7" hidden="false" customHeight="false" outlineLevel="0" collapsed="false">
      <c r="A68" s="58"/>
      <c r="B68" s="97" t="s">
        <v>30</v>
      </c>
      <c r="C68" s="60" t="n">
        <f aca="false">SUM(C49:C67)</f>
        <v>14250000</v>
      </c>
      <c r="D68" s="61" t="n">
        <f aca="false">SUM(D49:D67)</f>
        <v>6930000</v>
      </c>
      <c r="E68" s="62" t="n">
        <f aca="false">SUM(E49:E67)</f>
        <v>7320000</v>
      </c>
    </row>
    <row r="73" customFormat="false" ht="15" hidden="false" customHeight="false" outlineLevel="0" collapsed="false">
      <c r="A73" s="98" t="s">
        <v>841</v>
      </c>
      <c r="B73" s="99"/>
      <c r="C73" s="99"/>
      <c r="D73" s="99"/>
      <c r="E73" s="99"/>
    </row>
    <row r="75" customFormat="false" ht="15" hidden="false" customHeight="false" outlineLevel="0" collapsed="false">
      <c r="B75" s="100" t="s">
        <v>861</v>
      </c>
    </row>
    <row r="76" customFormat="false" ht="15" hidden="false" customHeight="false" outlineLevel="0" collapsed="false">
      <c r="B76" s="3" t="s">
        <v>406</v>
      </c>
    </row>
    <row r="78" customFormat="false" ht="15" hidden="false" customHeight="false" outlineLevel="0" collapsed="false">
      <c r="A78" s="48" t="s">
        <v>3</v>
      </c>
      <c r="B78" s="49" t="s">
        <v>228</v>
      </c>
      <c r="C78" s="7" t="s">
        <v>5</v>
      </c>
      <c r="D78" s="50" t="s">
        <v>6</v>
      </c>
      <c r="E78" s="9" t="s">
        <v>7</v>
      </c>
    </row>
    <row r="79" customFormat="false" ht="15" hidden="false" customHeight="false" outlineLevel="0" collapsed="false">
      <c r="A79" s="51" t="n">
        <v>1</v>
      </c>
      <c r="B79" s="53" t="s">
        <v>862</v>
      </c>
      <c r="C79" s="105" t="n">
        <v>375000</v>
      </c>
      <c r="D79" s="106" t="n">
        <v>375000</v>
      </c>
      <c r="E79" s="107" t="n">
        <f aca="false">C79-D79</f>
        <v>0</v>
      </c>
    </row>
    <row r="80" customFormat="false" ht="15" hidden="false" customHeight="false" outlineLevel="0" collapsed="false">
      <c r="A80" s="51" t="n">
        <v>2</v>
      </c>
      <c r="B80" s="53" t="s">
        <v>863</v>
      </c>
      <c r="C80" s="105" t="n">
        <v>375000</v>
      </c>
      <c r="D80" s="106" t="n">
        <v>375000</v>
      </c>
      <c r="E80" s="107" t="n">
        <f aca="false">C80-D80</f>
        <v>0</v>
      </c>
    </row>
    <row r="81" customFormat="false" ht="15" hidden="false" customHeight="false" outlineLevel="0" collapsed="false">
      <c r="A81" s="51" t="n">
        <v>3</v>
      </c>
      <c r="B81" s="53" t="s">
        <v>864</v>
      </c>
      <c r="C81" s="105" t="n">
        <v>375000</v>
      </c>
      <c r="D81" s="106"/>
      <c r="E81" s="107" t="n">
        <f aca="false">C81-D81</f>
        <v>375000</v>
      </c>
    </row>
    <row r="82" customFormat="false" ht="15" hidden="false" customHeight="false" outlineLevel="0" collapsed="false">
      <c r="A82" s="51" t="n">
        <v>4</v>
      </c>
      <c r="B82" s="53" t="s">
        <v>865</v>
      </c>
      <c r="C82" s="105" t="n">
        <v>375000</v>
      </c>
      <c r="D82" s="106" t="n">
        <v>375000</v>
      </c>
      <c r="E82" s="107" t="n">
        <f aca="false">C82-D82</f>
        <v>0</v>
      </c>
    </row>
    <row r="83" customFormat="false" ht="15" hidden="false" customHeight="false" outlineLevel="0" collapsed="false">
      <c r="A83" s="51" t="n">
        <v>5</v>
      </c>
      <c r="B83" s="53" t="s">
        <v>866</v>
      </c>
      <c r="C83" s="105" t="n">
        <v>375000</v>
      </c>
      <c r="D83" s="106" t="n">
        <v>375000</v>
      </c>
      <c r="E83" s="107" t="n">
        <f aca="false">C83-D83</f>
        <v>0</v>
      </c>
    </row>
    <row r="84" customFormat="false" ht="15" hidden="false" customHeight="false" outlineLevel="0" collapsed="false">
      <c r="A84" s="51" t="n">
        <v>6</v>
      </c>
      <c r="B84" s="53" t="s">
        <v>867</v>
      </c>
      <c r="C84" s="105" t="n">
        <v>375000</v>
      </c>
      <c r="D84" s="106" t="n">
        <v>375000</v>
      </c>
      <c r="E84" s="107" t="n">
        <f aca="false">C84-D84</f>
        <v>0</v>
      </c>
    </row>
    <row r="85" customFormat="false" ht="15" hidden="false" customHeight="false" outlineLevel="0" collapsed="false">
      <c r="A85" s="51" t="n">
        <v>7</v>
      </c>
      <c r="B85" s="53" t="s">
        <v>868</v>
      </c>
      <c r="C85" s="105" t="n">
        <v>375000</v>
      </c>
      <c r="D85" s="106" t="n">
        <v>375000</v>
      </c>
      <c r="E85" s="107" t="n">
        <f aca="false">C85-D85</f>
        <v>0</v>
      </c>
    </row>
    <row r="86" customFormat="false" ht="15" hidden="false" customHeight="false" outlineLevel="0" collapsed="false">
      <c r="A86" s="51" t="n">
        <v>8</v>
      </c>
      <c r="B86" s="53" t="s">
        <v>869</v>
      </c>
      <c r="C86" s="105" t="n">
        <v>375000</v>
      </c>
      <c r="D86" s="106" t="n">
        <v>375000</v>
      </c>
      <c r="E86" s="107" t="n">
        <f aca="false">C86-D86</f>
        <v>0</v>
      </c>
    </row>
    <row r="87" customFormat="false" ht="15" hidden="false" customHeight="false" outlineLevel="0" collapsed="false">
      <c r="A87" s="51" t="n">
        <v>9</v>
      </c>
      <c r="B87" s="53" t="s">
        <v>870</v>
      </c>
      <c r="C87" s="105" t="n">
        <v>375000</v>
      </c>
      <c r="D87" s="106" t="n">
        <v>375000</v>
      </c>
      <c r="E87" s="107" t="n">
        <f aca="false">C87-D87</f>
        <v>0</v>
      </c>
    </row>
    <row r="88" customFormat="false" ht="15" hidden="false" customHeight="false" outlineLevel="0" collapsed="false">
      <c r="A88" s="51" t="n">
        <v>10</v>
      </c>
      <c r="B88" s="53" t="s">
        <v>871</v>
      </c>
      <c r="C88" s="105" t="n">
        <v>375000</v>
      </c>
      <c r="D88" s="106" t="n">
        <v>375000</v>
      </c>
      <c r="E88" s="107" t="n">
        <f aca="false">C88-D88</f>
        <v>0</v>
      </c>
    </row>
    <row r="89" customFormat="false" ht="15" hidden="false" customHeight="false" outlineLevel="0" collapsed="false">
      <c r="A89" s="51" t="n">
        <v>11</v>
      </c>
      <c r="B89" s="53" t="s">
        <v>872</v>
      </c>
      <c r="C89" s="105" t="n">
        <v>375000</v>
      </c>
      <c r="D89" s="106" t="n">
        <v>375000</v>
      </c>
      <c r="E89" s="107" t="n">
        <f aca="false">C89-D89</f>
        <v>0</v>
      </c>
    </row>
    <row r="90" customFormat="false" ht="15" hidden="false" customHeight="false" outlineLevel="0" collapsed="false">
      <c r="A90" s="51" t="n">
        <v>12</v>
      </c>
      <c r="B90" s="53" t="s">
        <v>873</v>
      </c>
      <c r="C90" s="105" t="n">
        <v>375000</v>
      </c>
      <c r="D90" s="106" t="n">
        <v>375000</v>
      </c>
      <c r="E90" s="107" t="n">
        <f aca="false">C90-D90</f>
        <v>0</v>
      </c>
    </row>
    <row r="91" customFormat="false" ht="15" hidden="false" customHeight="false" outlineLevel="0" collapsed="false">
      <c r="A91" s="51" t="n">
        <v>13</v>
      </c>
      <c r="B91" s="53" t="s">
        <v>874</v>
      </c>
      <c r="C91" s="105" t="n">
        <v>375000</v>
      </c>
      <c r="D91" s="106" t="n">
        <v>375000</v>
      </c>
      <c r="E91" s="107" t="n">
        <f aca="false">C91-D91</f>
        <v>0</v>
      </c>
    </row>
    <row r="92" customFormat="false" ht="15" hidden="false" customHeight="false" outlineLevel="0" collapsed="false">
      <c r="A92" s="51" t="n">
        <v>14</v>
      </c>
      <c r="B92" s="53" t="s">
        <v>875</v>
      </c>
      <c r="C92" s="105" t="n">
        <v>375000</v>
      </c>
      <c r="D92" s="106" t="n">
        <v>375000</v>
      </c>
      <c r="E92" s="107" t="n">
        <f aca="false">C92-D92</f>
        <v>0</v>
      </c>
    </row>
    <row r="93" customFormat="false" ht="15" hidden="false" customHeight="false" outlineLevel="0" collapsed="false">
      <c r="A93" s="51" t="n">
        <v>15</v>
      </c>
      <c r="B93" s="53" t="s">
        <v>876</v>
      </c>
      <c r="C93" s="105" t="n">
        <v>375000</v>
      </c>
      <c r="D93" s="106" t="n">
        <v>375000</v>
      </c>
      <c r="E93" s="107" t="n">
        <f aca="false">C93-D93</f>
        <v>0</v>
      </c>
    </row>
    <row r="94" customFormat="false" ht="15" hidden="false" customHeight="false" outlineLevel="0" collapsed="false">
      <c r="A94" s="51" t="n">
        <v>16</v>
      </c>
      <c r="B94" s="53" t="s">
        <v>877</v>
      </c>
      <c r="C94" s="105" t="n">
        <v>375000</v>
      </c>
      <c r="D94" s="106" t="n">
        <v>375000</v>
      </c>
      <c r="E94" s="107" t="n">
        <f aca="false">C94-D94</f>
        <v>0</v>
      </c>
    </row>
    <row r="95" customFormat="false" ht="15" hidden="false" customHeight="false" outlineLevel="0" collapsed="false">
      <c r="A95" s="86" t="n">
        <v>17</v>
      </c>
      <c r="B95" s="53" t="s">
        <v>878</v>
      </c>
      <c r="C95" s="105" t="n">
        <v>375000</v>
      </c>
      <c r="D95" s="105" t="n">
        <f aca="false">200000+175000</f>
        <v>375000</v>
      </c>
      <c r="E95" s="107" t="n">
        <f aca="false">C95-D95</f>
        <v>0</v>
      </c>
    </row>
    <row r="96" customFormat="false" ht="19.7" hidden="false" customHeight="false" outlineLevel="0" collapsed="false">
      <c r="A96" s="58"/>
      <c r="B96" s="97" t="s">
        <v>30</v>
      </c>
      <c r="C96" s="60" t="n">
        <f aca="false">SUM(C79:C95)</f>
        <v>6375000</v>
      </c>
      <c r="D96" s="61" t="n">
        <f aca="false">SUM(D79:D95)</f>
        <v>6000000</v>
      </c>
      <c r="E96" s="62" t="n">
        <f aca="false">SUM(E79:E95)</f>
        <v>375000</v>
      </c>
    </row>
    <row r="103" customFormat="false" ht="17.35" hidden="false" customHeight="false" outlineLevel="0" collapsed="false">
      <c r="A103" s="2"/>
      <c r="B103" s="2" t="s">
        <v>879</v>
      </c>
    </row>
    <row r="105" customFormat="false" ht="17.25" hidden="false" customHeight="false" outlineLevel="0" collapsed="false">
      <c r="B105" s="41" t="s">
        <v>880</v>
      </c>
      <c r="F105" s="0" t="s">
        <v>881</v>
      </c>
    </row>
    <row r="107" customFormat="false" ht="17.35" hidden="false" customHeight="false" outlineLevel="0" collapsed="false">
      <c r="B107" s="47"/>
    </row>
    <row r="108" customFormat="false" ht="15" hidden="false" customHeight="false" outlineLevel="0" collapsed="false">
      <c r="B108" s="3" t="s">
        <v>882</v>
      </c>
    </row>
    <row r="110" customFormat="false" ht="15" hidden="false" customHeight="false" outlineLevel="0" collapsed="false">
      <c r="A110" s="48" t="s">
        <v>3</v>
      </c>
      <c r="B110" s="49" t="s">
        <v>228</v>
      </c>
      <c r="C110" s="7" t="s">
        <v>5</v>
      </c>
      <c r="D110" s="50" t="s">
        <v>6</v>
      </c>
      <c r="E110" s="9" t="s">
        <v>7</v>
      </c>
    </row>
    <row r="111" customFormat="false" ht="15" hidden="false" customHeight="false" outlineLevel="0" collapsed="false">
      <c r="A111" s="51" t="n">
        <v>1</v>
      </c>
      <c r="B111" s="53" t="s">
        <v>883</v>
      </c>
      <c r="C111" s="105" t="n">
        <v>425000</v>
      </c>
      <c r="D111" s="105" t="n">
        <v>425000</v>
      </c>
      <c r="E111" s="107" t="n">
        <f aca="false">C111-D111</f>
        <v>0</v>
      </c>
    </row>
    <row r="112" customFormat="false" ht="15" hidden="false" customHeight="false" outlineLevel="0" collapsed="false">
      <c r="A112" s="51" t="n">
        <v>2</v>
      </c>
      <c r="B112" s="53" t="s">
        <v>884</v>
      </c>
      <c r="C112" s="105" t="n">
        <v>425000</v>
      </c>
      <c r="D112" s="105" t="n">
        <v>425000</v>
      </c>
      <c r="E112" s="107" t="n">
        <f aca="false">C112-D112</f>
        <v>0</v>
      </c>
    </row>
    <row r="113" customFormat="false" ht="15" hidden="false" customHeight="false" outlineLevel="0" collapsed="false">
      <c r="A113" s="51" t="n">
        <v>3</v>
      </c>
      <c r="B113" s="53" t="s">
        <v>885</v>
      </c>
      <c r="C113" s="105" t="n">
        <v>425000</v>
      </c>
      <c r="D113" s="105" t="n">
        <v>425000</v>
      </c>
      <c r="E113" s="107" t="n">
        <f aca="false">C113-D113</f>
        <v>0</v>
      </c>
    </row>
    <row r="114" customFormat="false" ht="15" hidden="false" customHeight="false" outlineLevel="0" collapsed="false">
      <c r="A114" s="51" t="n">
        <v>4</v>
      </c>
      <c r="B114" s="53" t="s">
        <v>886</v>
      </c>
      <c r="C114" s="105" t="n">
        <v>425000</v>
      </c>
      <c r="D114" s="105" t="n">
        <f aca="false">220000+205000</f>
        <v>425000</v>
      </c>
      <c r="E114" s="107" t="n">
        <f aca="false">C114-D114</f>
        <v>0</v>
      </c>
    </row>
    <row r="115" customFormat="false" ht="15" hidden="false" customHeight="false" outlineLevel="0" collapsed="false">
      <c r="A115" s="51" t="n">
        <v>5</v>
      </c>
      <c r="B115" s="53" t="s">
        <v>887</v>
      </c>
      <c r="C115" s="105" t="n">
        <v>425000</v>
      </c>
      <c r="D115" s="105" t="n">
        <v>425000</v>
      </c>
      <c r="E115" s="107" t="n">
        <f aca="false">C115-D115</f>
        <v>0</v>
      </c>
    </row>
    <row r="116" customFormat="false" ht="15" hidden="false" customHeight="false" outlineLevel="0" collapsed="false">
      <c r="A116" s="51" t="n">
        <v>6</v>
      </c>
      <c r="B116" s="53" t="s">
        <v>888</v>
      </c>
      <c r="C116" s="105" t="n">
        <v>425000</v>
      </c>
      <c r="D116" s="105" t="n">
        <f aca="false">400000+25000</f>
        <v>425000</v>
      </c>
      <c r="E116" s="107" t="n">
        <f aca="false">C116-D116</f>
        <v>0</v>
      </c>
    </row>
    <row r="117" customFormat="false" ht="15" hidden="false" customHeight="false" outlineLevel="0" collapsed="false">
      <c r="A117" s="51" t="n">
        <v>7</v>
      </c>
      <c r="B117" s="53" t="s">
        <v>889</v>
      </c>
      <c r="C117" s="105" t="n">
        <v>425000</v>
      </c>
      <c r="D117" s="105" t="n">
        <f aca="false">400000+25000</f>
        <v>425000</v>
      </c>
      <c r="E117" s="107" t="n">
        <f aca="false">C117-D117</f>
        <v>0</v>
      </c>
    </row>
    <row r="118" customFormat="false" ht="15" hidden="false" customHeight="false" outlineLevel="0" collapsed="false">
      <c r="A118" s="51" t="n">
        <v>8</v>
      </c>
      <c r="B118" s="53" t="s">
        <v>890</v>
      </c>
      <c r="C118" s="105" t="n">
        <v>425000</v>
      </c>
      <c r="D118" s="105" t="n">
        <v>425000</v>
      </c>
      <c r="E118" s="107" t="n">
        <f aca="false">C118-D118</f>
        <v>0</v>
      </c>
    </row>
    <row r="119" customFormat="false" ht="15" hidden="false" customHeight="false" outlineLevel="0" collapsed="false">
      <c r="A119" s="51" t="n">
        <v>9</v>
      </c>
      <c r="B119" s="53" t="s">
        <v>891</v>
      </c>
      <c r="C119" s="105" t="n">
        <v>425000</v>
      </c>
      <c r="D119" s="105" t="n">
        <v>425000</v>
      </c>
      <c r="E119" s="107" t="n">
        <f aca="false">C119-D119</f>
        <v>0</v>
      </c>
    </row>
    <row r="120" customFormat="false" ht="15" hidden="false" customHeight="false" outlineLevel="0" collapsed="false">
      <c r="A120" s="51" t="n">
        <v>10</v>
      </c>
      <c r="B120" s="53" t="s">
        <v>892</v>
      </c>
      <c r="C120" s="105" t="n">
        <v>425000</v>
      </c>
      <c r="D120" s="105" t="n">
        <v>425000</v>
      </c>
      <c r="E120" s="107" t="n">
        <f aca="false">C120-D120</f>
        <v>0</v>
      </c>
    </row>
    <row r="121" customFormat="false" ht="15" hidden="false" customHeight="false" outlineLevel="0" collapsed="false">
      <c r="A121" s="51" t="n">
        <v>11</v>
      </c>
      <c r="B121" s="53" t="s">
        <v>893</v>
      </c>
      <c r="C121" s="105" t="n">
        <v>425000</v>
      </c>
      <c r="D121" s="105" t="n">
        <v>425000</v>
      </c>
      <c r="E121" s="107" t="n">
        <f aca="false">C121-D121</f>
        <v>0</v>
      </c>
    </row>
    <row r="122" customFormat="false" ht="15" hidden="false" customHeight="false" outlineLevel="0" collapsed="false">
      <c r="A122" s="51" t="n">
        <v>12</v>
      </c>
      <c r="B122" s="53" t="s">
        <v>894</v>
      </c>
      <c r="C122" s="105" t="n">
        <v>425000</v>
      </c>
      <c r="D122" s="105" t="n">
        <f aca="false">25000+350000</f>
        <v>375000</v>
      </c>
      <c r="E122" s="107" t="n">
        <f aca="false">C122-D122</f>
        <v>50000</v>
      </c>
    </row>
    <row r="123" customFormat="false" ht="15" hidden="false" customHeight="false" outlineLevel="0" collapsed="false">
      <c r="A123" s="51" t="n">
        <v>13</v>
      </c>
      <c r="B123" s="53" t="s">
        <v>895</v>
      </c>
      <c r="C123" s="105" t="n">
        <v>425000</v>
      </c>
      <c r="D123" s="105" t="n">
        <v>425000</v>
      </c>
      <c r="E123" s="107" t="n">
        <f aca="false">C123-D123</f>
        <v>0</v>
      </c>
    </row>
    <row r="124" customFormat="false" ht="15" hidden="false" customHeight="false" outlineLevel="0" collapsed="false">
      <c r="A124" s="51" t="n">
        <v>14</v>
      </c>
      <c r="B124" s="53" t="s">
        <v>896</v>
      </c>
      <c r="C124" s="105" t="n">
        <v>425000</v>
      </c>
      <c r="D124" s="105" t="n">
        <v>425000</v>
      </c>
      <c r="E124" s="107" t="n">
        <f aca="false">C124-D124</f>
        <v>0</v>
      </c>
    </row>
    <row r="125" customFormat="false" ht="15" hidden="false" customHeight="false" outlineLevel="0" collapsed="false">
      <c r="A125" s="51" t="n">
        <v>15</v>
      </c>
      <c r="B125" s="53" t="s">
        <v>897</v>
      </c>
      <c r="C125" s="105" t="n">
        <v>425000</v>
      </c>
      <c r="D125" s="105" t="n">
        <v>425000</v>
      </c>
      <c r="E125" s="107" t="n">
        <f aca="false">C125-D125</f>
        <v>0</v>
      </c>
    </row>
    <row r="126" customFormat="false" ht="15" hidden="false" customHeight="false" outlineLevel="0" collapsed="false">
      <c r="A126" s="51" t="n">
        <v>16</v>
      </c>
      <c r="B126" s="53" t="s">
        <v>898</v>
      </c>
      <c r="C126" s="105" t="n">
        <v>425000</v>
      </c>
      <c r="D126" s="105" t="n">
        <v>425000</v>
      </c>
      <c r="E126" s="107" t="n">
        <f aca="false">C126-D126</f>
        <v>0</v>
      </c>
    </row>
    <row r="127" customFormat="false" ht="15" hidden="false" customHeight="false" outlineLevel="0" collapsed="false">
      <c r="A127" s="51" t="n">
        <v>17</v>
      </c>
      <c r="B127" s="53" t="s">
        <v>899</v>
      </c>
      <c r="C127" s="105" t="n">
        <v>425000</v>
      </c>
      <c r="D127" s="105" t="n">
        <v>425000</v>
      </c>
      <c r="E127" s="107" t="n">
        <f aca="false">C127-D127</f>
        <v>0</v>
      </c>
    </row>
    <row r="128" customFormat="false" ht="15" hidden="false" customHeight="false" outlineLevel="0" collapsed="false">
      <c r="A128" s="51" t="n">
        <v>18</v>
      </c>
      <c r="B128" s="53" t="s">
        <v>900</v>
      </c>
      <c r="C128" s="105" t="n">
        <v>425000</v>
      </c>
      <c r="D128" s="105" t="n">
        <v>425000</v>
      </c>
      <c r="E128" s="107" t="n">
        <f aca="false">C128-D128</f>
        <v>0</v>
      </c>
    </row>
    <row r="129" customFormat="false" ht="19.7" hidden="false" customHeight="false" outlineLevel="0" collapsed="false">
      <c r="A129" s="58"/>
      <c r="B129" s="97" t="s">
        <v>30</v>
      </c>
      <c r="C129" s="108" t="n">
        <f aca="false">SUM(C111:C128)</f>
        <v>7650000</v>
      </c>
      <c r="D129" s="61" t="n">
        <f aca="false">SUM(D111:D128)</f>
        <v>7600000</v>
      </c>
      <c r="E129" s="62" t="n">
        <f aca="false">SUM(E111:E128)</f>
        <v>50000</v>
      </c>
    </row>
    <row r="130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6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J26" activeCellId="0" sqref="J26"/>
    </sheetView>
  </sheetViews>
  <sheetFormatPr defaultColWidth="11.00390625" defaultRowHeight="15" zeroHeight="false" outlineLevelRow="0" outlineLevelCol="0"/>
  <cols>
    <col collapsed="false" customWidth="true" hidden="false" outlineLevel="0" max="2" min="2" style="0" width="5.86"/>
    <col collapsed="false" customWidth="true" hidden="false" outlineLevel="0" max="3" min="3" style="0" width="14.29"/>
    <col collapsed="false" customWidth="true" hidden="false" outlineLevel="0" max="4" min="4" style="0" width="14.57"/>
    <col collapsed="false" customWidth="true" hidden="false" outlineLevel="0" max="5" min="5" style="0" width="15.43"/>
    <col collapsed="false" customWidth="true" hidden="false" outlineLevel="0" max="6" min="6" style="0" width="16.43"/>
  </cols>
  <sheetData>
    <row r="3" customFormat="false" ht="4.5" hidden="false" customHeight="true" outlineLevel="0" collapsed="false"/>
    <row r="4" customFormat="false" ht="15" hidden="false" customHeight="false" outlineLevel="0" collapsed="false">
      <c r="A4" s="109" t="s">
        <v>901</v>
      </c>
      <c r="B4" s="110"/>
      <c r="C4" s="110"/>
      <c r="D4" s="110"/>
      <c r="E4" s="110"/>
      <c r="F4" s="110"/>
      <c r="G4" s="110"/>
    </row>
    <row r="5" customFormat="false" ht="13.5" hidden="false" customHeight="true" outlineLevel="0" collapsed="false">
      <c r="A5" s="111" t="s">
        <v>902</v>
      </c>
      <c r="B5" s="110" t="s">
        <v>903</v>
      </c>
      <c r="C5" s="110"/>
      <c r="D5" s="110"/>
      <c r="E5" s="112"/>
      <c r="F5" s="110"/>
      <c r="G5" s="110"/>
    </row>
    <row r="6" customFormat="false" ht="15" hidden="false" customHeight="true" outlineLevel="0" collapsed="false"/>
    <row r="7" customFormat="false" ht="46.5" hidden="false" customHeight="true" outlineLevel="0" collapsed="false">
      <c r="A7" s="113" t="s">
        <v>904</v>
      </c>
      <c r="B7" s="114" t="s">
        <v>905</v>
      </c>
      <c r="C7" s="113" t="s">
        <v>906</v>
      </c>
      <c r="D7" s="115" t="s">
        <v>907</v>
      </c>
      <c r="E7" s="113" t="s">
        <v>908</v>
      </c>
      <c r="F7" s="116" t="s">
        <v>909</v>
      </c>
    </row>
    <row r="8" customFormat="false" ht="12" hidden="false" customHeight="true" outlineLevel="0" collapsed="false">
      <c r="A8" s="117"/>
      <c r="B8" s="118"/>
      <c r="C8" s="119"/>
      <c r="D8" s="119"/>
      <c r="E8" s="119"/>
      <c r="F8" s="120"/>
    </row>
    <row r="9" customFormat="false" ht="15" hidden="false" customHeight="false" outlineLevel="0" collapsed="false">
      <c r="A9" s="121" t="s">
        <v>910</v>
      </c>
      <c r="B9" s="122" t="n">
        <v>32</v>
      </c>
      <c r="C9" s="123" t="n">
        <f aca="false">'LICENCE PRO. 1ère ANNEE'!C74</f>
        <v>12720000</v>
      </c>
      <c r="D9" s="123" t="n">
        <f aca="false">'LICENCE PRO. 1ère ANNEE'!D74</f>
        <v>10367500</v>
      </c>
      <c r="E9" s="124" t="n">
        <f aca="false">C9-D9</f>
        <v>2352500</v>
      </c>
      <c r="F9" s="125" t="n">
        <f aca="false">D9/C9</f>
        <v>0.815055031446541</v>
      </c>
    </row>
    <row r="10" customFormat="false" ht="15" hidden="false" customHeight="false" outlineLevel="0" collapsed="false">
      <c r="A10" s="121" t="s">
        <v>911</v>
      </c>
      <c r="B10" s="122" t="n">
        <v>27</v>
      </c>
      <c r="C10" s="123" t="n">
        <f aca="false">'LICENCE PRO. 2è-3è-4è ANNEE'!C243</f>
        <v>10196000</v>
      </c>
      <c r="D10" s="123" t="n">
        <f aca="false">'LICENCE PRO. 2è-3è-4è ANNEE'!D243</f>
        <v>4943000</v>
      </c>
      <c r="E10" s="124" t="n">
        <f aca="false">C10-D10</f>
        <v>5253000</v>
      </c>
      <c r="F10" s="125" t="n">
        <f aca="false">D10/C10</f>
        <v>0.484797959984308</v>
      </c>
    </row>
    <row r="11" customFormat="false" ht="15" hidden="false" customHeight="false" outlineLevel="0" collapsed="false">
      <c r="A11" s="121" t="s">
        <v>912</v>
      </c>
      <c r="B11" s="122" t="n">
        <v>33</v>
      </c>
      <c r="C11" s="123" t="n">
        <f aca="false">'LICENCE PRO. 2è-3è-4è ANNEE'!C313</f>
        <v>6664000</v>
      </c>
      <c r="D11" s="123" t="n">
        <f aca="false">'LICENCE PRO. 2è-3è-4è ANNEE'!D313</f>
        <v>2421000</v>
      </c>
      <c r="E11" s="124" t="n">
        <f aca="false">C11-D11</f>
        <v>4243000</v>
      </c>
      <c r="F11" s="125" t="n">
        <f aca="false">D11/C11</f>
        <v>0.363295318127251</v>
      </c>
    </row>
    <row r="12" customFormat="false" ht="15" hidden="false" customHeight="false" outlineLevel="0" collapsed="false">
      <c r="A12" s="121" t="s">
        <v>913</v>
      </c>
      <c r="B12" s="122" t="n">
        <v>18</v>
      </c>
      <c r="C12" s="123" t="n">
        <f aca="false">'LICENCE PRO. 2è-3è-4è ANNEE'!C286</f>
        <v>12495000</v>
      </c>
      <c r="D12" s="123" t="n">
        <f aca="false">'LICENCE PRO. 2è-3è-4è ANNEE'!D286</f>
        <v>7770000</v>
      </c>
      <c r="E12" s="124" t="n">
        <f aca="false">C12-D12</f>
        <v>4725000</v>
      </c>
      <c r="F12" s="125" t="n">
        <f aca="false">D12/C12</f>
        <v>0.621848739495798</v>
      </c>
    </row>
    <row r="13" customFormat="false" ht="6.75" hidden="false" customHeight="true" outlineLevel="0" collapsed="false">
      <c r="A13" s="126"/>
      <c r="B13" s="127"/>
      <c r="C13" s="128"/>
      <c r="D13" s="128"/>
      <c r="E13" s="128"/>
      <c r="F13" s="129"/>
    </row>
    <row r="14" customFormat="false" ht="15" hidden="false" customHeight="false" outlineLevel="0" collapsed="false">
      <c r="A14" s="121" t="s">
        <v>914</v>
      </c>
      <c r="B14" s="122" t="n">
        <v>18</v>
      </c>
      <c r="C14" s="123" t="n">
        <f aca="false">'LICENCE PRO. 1ère ANNEE'!C103</f>
        <v>7497000</v>
      </c>
      <c r="D14" s="123" t="n">
        <f aca="false">'LICENCE PRO. 1ère ANNEE'!D103</f>
        <v>5229000</v>
      </c>
      <c r="E14" s="123" t="n">
        <f aca="false">C14-D14</f>
        <v>2268000</v>
      </c>
      <c r="F14" s="130" t="n">
        <f aca="false">D14/C14</f>
        <v>0.697478991596639</v>
      </c>
    </row>
    <row r="15" customFormat="false" ht="15" hidden="false" customHeight="false" outlineLevel="0" collapsed="false">
      <c r="A15" s="121" t="s">
        <v>915</v>
      </c>
      <c r="B15" s="122" t="n">
        <v>28</v>
      </c>
      <c r="C15" s="123" t="n">
        <f aca="false">'LICENCE PRO. 2è-3è-4è ANNEE'!C351</f>
        <v>11662000</v>
      </c>
      <c r="D15" s="123" t="n">
        <f aca="false">'LICENCE PRO. 2è-3è-4è ANNEE'!D351</f>
        <v>7859500</v>
      </c>
      <c r="E15" s="123" t="n">
        <f aca="false">C15-D15</f>
        <v>3802500</v>
      </c>
      <c r="F15" s="130" t="n">
        <f aca="false">D15/C15</f>
        <v>0.673941004973418</v>
      </c>
    </row>
    <row r="16" customFormat="false" ht="15" hidden="false" customHeight="false" outlineLevel="0" collapsed="false">
      <c r="A16" s="121" t="s">
        <v>916</v>
      </c>
      <c r="B16" s="122" t="n">
        <v>13</v>
      </c>
      <c r="C16" s="123" t="n">
        <f aca="false">'LICENCE PRO. 2è-3è-4è ANNEE'!C375</f>
        <v>5414500</v>
      </c>
      <c r="D16" s="123" t="n">
        <f aca="false">'LICENCE PRO. 2è-3è-4è ANNEE'!D375</f>
        <v>3258950</v>
      </c>
      <c r="E16" s="123" t="n">
        <f aca="false">C16-D16</f>
        <v>2155550</v>
      </c>
      <c r="F16" s="130" t="n">
        <f aca="false">D16/C16</f>
        <v>0.601893064918275</v>
      </c>
    </row>
    <row r="17" customFormat="false" ht="15" hidden="false" customHeight="false" outlineLevel="0" collapsed="false">
      <c r="A17" s="121" t="s">
        <v>917</v>
      </c>
      <c r="B17" s="122" t="n">
        <v>9</v>
      </c>
      <c r="C17" s="123" t="n">
        <f aca="false">'LICENCE PRO. 2è-3è-4è ANNEE'!C393</f>
        <v>3748500</v>
      </c>
      <c r="D17" s="123" t="n">
        <f aca="false">'LICENCE PRO. 2è-3è-4è ANNEE'!D393</f>
        <v>2680500</v>
      </c>
      <c r="E17" s="123" t="n">
        <f aca="false">C17-D17</f>
        <v>1068000</v>
      </c>
      <c r="F17" s="130" t="n">
        <f aca="false">D17/C17</f>
        <v>0.715086034413766</v>
      </c>
    </row>
    <row r="18" customFormat="false" ht="6.75" hidden="false" customHeight="true" outlineLevel="0" collapsed="false">
      <c r="A18" s="131"/>
      <c r="B18" s="131"/>
      <c r="C18" s="132"/>
      <c r="D18" s="132"/>
      <c r="E18" s="132"/>
      <c r="F18" s="133"/>
    </row>
    <row r="19" customFormat="false" ht="15" hidden="false" customHeight="false" outlineLevel="0" collapsed="false">
      <c r="A19" s="122" t="s">
        <v>918</v>
      </c>
      <c r="B19" s="122" t="n">
        <v>19</v>
      </c>
      <c r="C19" s="123" t="n">
        <f aca="false">'LICENCE PRO. 1ère ANNEE'!C131</f>
        <v>7913500</v>
      </c>
      <c r="D19" s="123" t="n">
        <f aca="false">'LICENCE PRO. 1ère ANNEE'!D131</f>
        <v>7439000</v>
      </c>
      <c r="E19" s="123" t="n">
        <f aca="false">C19-D19</f>
        <v>474500</v>
      </c>
      <c r="F19" s="125" t="n">
        <f aca="false">D19/C19</f>
        <v>0.940039173564163</v>
      </c>
    </row>
    <row r="20" customFormat="false" ht="15" hidden="false" customHeight="false" outlineLevel="0" collapsed="false">
      <c r="A20" s="122" t="s">
        <v>919</v>
      </c>
      <c r="B20" s="122" t="n">
        <v>16</v>
      </c>
      <c r="C20" s="123" t="n">
        <f aca="false">'LICENCE PRO. 2è-3è-4è ANNEE'!C419</f>
        <v>6664000</v>
      </c>
      <c r="D20" s="123" t="n">
        <f aca="false">'LICENCE PRO. 2è-3è-4è ANNEE'!D419</f>
        <v>6165000</v>
      </c>
      <c r="E20" s="123" t="n">
        <f aca="false">C20-D20</f>
        <v>499000</v>
      </c>
      <c r="F20" s="125" t="n">
        <f aca="false">D20/C20</f>
        <v>0.925120048019208</v>
      </c>
    </row>
    <row r="21" customFormat="false" ht="15" hidden="false" customHeight="false" outlineLevel="0" collapsed="false">
      <c r="A21" s="122" t="s">
        <v>920</v>
      </c>
      <c r="B21" s="122" t="n">
        <v>24</v>
      </c>
      <c r="C21" s="123" t="n">
        <f aca="false">'LICENCE PRO. 2è-3è-4è ANNEE'!C482</f>
        <v>8330000</v>
      </c>
      <c r="D21" s="123" t="n">
        <f aca="false">'LICENCE PRO. 2è-3è-4è ANNEE'!D482</f>
        <v>3512950</v>
      </c>
      <c r="E21" s="123" t="n">
        <f aca="false">'LICENCE PRO. 2è-3è-4è ANNEE'!E482</f>
        <v>4817050</v>
      </c>
      <c r="F21" s="125" t="n">
        <f aca="false">D21/C21</f>
        <v>0.42172268907563</v>
      </c>
    </row>
    <row r="22" customFormat="false" ht="15" hidden="false" customHeight="false" outlineLevel="0" collapsed="false">
      <c r="A22" s="122" t="s">
        <v>921</v>
      </c>
      <c r="B22" s="122" t="n">
        <v>20</v>
      </c>
      <c r="C22" s="123" t="n">
        <f aca="false">'LICENCE PRO. 2è-3è-4è ANNEE'!C453</f>
        <v>9996000</v>
      </c>
      <c r="D22" s="123" t="n">
        <f aca="false">'LICENCE PRO. 2è-3è-4è ANNEE'!D453</f>
        <v>6375500</v>
      </c>
      <c r="E22" s="123" t="n">
        <f aca="false">C22-D22</f>
        <v>3620500</v>
      </c>
      <c r="F22" s="125" t="n">
        <f aca="false">D22/C22</f>
        <v>0.63780512204882</v>
      </c>
    </row>
    <row r="23" customFormat="false" ht="6.75" hidden="false" customHeight="true" outlineLevel="0" collapsed="false">
      <c r="A23" s="134"/>
      <c r="B23" s="135"/>
      <c r="C23" s="136"/>
      <c r="D23" s="136"/>
      <c r="E23" s="136"/>
      <c r="F23" s="137"/>
    </row>
    <row r="24" customFormat="false" ht="15" hidden="false" customHeight="false" outlineLevel="0" collapsed="false">
      <c r="A24" s="121" t="s">
        <v>922</v>
      </c>
      <c r="B24" s="122" t="n">
        <v>12</v>
      </c>
      <c r="C24" s="123" t="n">
        <f aca="false">'LICENCE PRO. 2è-3è-4è ANNEE'!C859</f>
        <v>4998000</v>
      </c>
      <c r="D24" s="123" t="n">
        <f aca="false">'LICENCE PRO. 2è-3è-4è ANNEE'!D859</f>
        <v>1759500</v>
      </c>
      <c r="E24" s="123" t="n">
        <f aca="false">C24-D24</f>
        <v>3238500</v>
      </c>
      <c r="F24" s="125" t="n">
        <f aca="false">D24/C24</f>
        <v>0.352040816326531</v>
      </c>
    </row>
    <row r="25" customFormat="false" ht="8.25" hidden="false" customHeight="true" outlineLevel="0" collapsed="false">
      <c r="A25" s="138"/>
      <c r="B25" s="139"/>
      <c r="C25" s="140"/>
      <c r="D25" s="141"/>
      <c r="E25" s="140"/>
      <c r="F25" s="142"/>
    </row>
    <row r="26" customFormat="false" ht="15" hidden="false" customHeight="false" outlineLevel="0" collapsed="false">
      <c r="A26" s="121" t="s">
        <v>923</v>
      </c>
      <c r="B26" s="122" t="n">
        <v>12</v>
      </c>
      <c r="C26" s="123" t="n">
        <f aca="false">'LICENCE PRO. 2è-3è-4è ANNEE'!C687</f>
        <v>4998000</v>
      </c>
      <c r="D26" s="123" t="n">
        <f aca="false">'LICENCE PRO. 2è-3è-4è ANNEE'!D687</f>
        <v>2139000</v>
      </c>
      <c r="E26" s="123" t="n">
        <f aca="false">C26-D26</f>
        <v>2859000</v>
      </c>
      <c r="F26" s="130" t="n">
        <f aca="false">D26/C26</f>
        <v>0.42797118847539</v>
      </c>
    </row>
    <row r="27" customFormat="false" ht="15" hidden="false" customHeight="false" outlineLevel="0" collapsed="false">
      <c r="A27" s="121" t="s">
        <v>924</v>
      </c>
      <c r="B27" s="122" t="n">
        <v>12</v>
      </c>
      <c r="C27" s="123" t="n">
        <f aca="false">'LICENCE PRO. 2è-3è-4è ANNEE'!C709</f>
        <v>4998000</v>
      </c>
      <c r="D27" s="123" t="n">
        <f aca="false">'LICENCE PRO. 2è-3è-4è ANNEE'!D709</f>
        <v>3108000</v>
      </c>
      <c r="E27" s="123" t="n">
        <f aca="false">C27-D27</f>
        <v>1890000</v>
      </c>
      <c r="F27" s="130" t="n">
        <f aca="false">D27/C27</f>
        <v>0.621848739495798</v>
      </c>
    </row>
    <row r="28" customFormat="false" ht="15" hidden="false" customHeight="false" outlineLevel="0" collapsed="false">
      <c r="A28" s="121" t="s">
        <v>925</v>
      </c>
      <c r="B28" s="122" t="n">
        <v>16</v>
      </c>
      <c r="C28" s="123" t="n">
        <f aca="false">'LICENCE PRO. 2è-3è-4è ANNEE'!C734</f>
        <v>6664000</v>
      </c>
      <c r="D28" s="123" t="n">
        <f aca="false">'LICENCE PRO. 2è-3è-4è ANNEE'!D734</f>
        <v>2311250</v>
      </c>
      <c r="E28" s="123" t="n">
        <f aca="false">C28-D28</f>
        <v>4352750</v>
      </c>
      <c r="F28" s="130" t="n">
        <f aca="false">D28/C28</f>
        <v>0.346826230492197</v>
      </c>
    </row>
    <row r="29" customFormat="false" ht="6" hidden="false" customHeight="true" outlineLevel="0" collapsed="false">
      <c r="A29" s="135"/>
      <c r="B29" s="143"/>
      <c r="C29" s="144"/>
      <c r="D29" s="144"/>
      <c r="E29" s="144"/>
      <c r="F29" s="137"/>
    </row>
    <row r="30" customFormat="false" ht="15" hidden="false" customHeight="false" outlineLevel="0" collapsed="false">
      <c r="A30" s="121" t="s">
        <v>926</v>
      </c>
      <c r="B30" s="122" t="n">
        <v>22</v>
      </c>
      <c r="C30" s="123" t="n">
        <f aca="false">'LICENCE PRO. 1ère ANNEE'!C33</f>
        <v>9163000</v>
      </c>
      <c r="D30" s="123" t="n">
        <f aca="false">'LICENCE PRO. 1ère ANNEE'!D33</f>
        <v>8199000</v>
      </c>
      <c r="E30" s="123" t="n">
        <f aca="false">C30-D30</f>
        <v>964000</v>
      </c>
      <c r="F30" s="130" t="n">
        <f aca="false">D30/C30</f>
        <v>0.894794281348903</v>
      </c>
    </row>
    <row r="31" customFormat="false" ht="15" hidden="false" customHeight="false" outlineLevel="0" collapsed="false">
      <c r="A31" s="121" t="s">
        <v>927</v>
      </c>
      <c r="B31" s="122" t="n">
        <v>36</v>
      </c>
      <c r="C31" s="123" t="n">
        <f aca="false">'LICENCE PRO. 2è-3è-4è ANNEE'!C143</f>
        <v>17909500</v>
      </c>
      <c r="D31" s="123" t="n">
        <f aca="false">'LICENCE PRO. 2è-3è-4è ANNEE'!D143</f>
        <v>12268950</v>
      </c>
      <c r="E31" s="123" t="n">
        <f aca="false">C31-D31</f>
        <v>5640550</v>
      </c>
      <c r="F31" s="130" t="n">
        <f aca="false">D31/C31</f>
        <v>0.685052625701443</v>
      </c>
    </row>
    <row r="32" customFormat="false" ht="15" hidden="false" customHeight="false" outlineLevel="0" collapsed="false">
      <c r="A32" s="121" t="s">
        <v>928</v>
      </c>
      <c r="B32" s="122" t="n">
        <v>21</v>
      </c>
      <c r="C32" s="123" t="n">
        <f aca="false">'LICENCE PRO. 2è-3è-4è ANNEE'!C170</f>
        <v>8330000</v>
      </c>
      <c r="D32" s="123" t="n">
        <f aca="false">'LICENCE PRO. 2è-3è-4è ANNEE'!D170</f>
        <v>3937500</v>
      </c>
      <c r="E32" s="123" t="n">
        <f aca="false">C32-D32</f>
        <v>4392500</v>
      </c>
      <c r="F32" s="130" t="n">
        <f aca="false">D32/C32</f>
        <v>0.472689075630252</v>
      </c>
    </row>
    <row r="33" customFormat="false" ht="15" hidden="false" customHeight="false" outlineLevel="0" collapsed="false">
      <c r="A33" s="121" t="s">
        <v>929</v>
      </c>
      <c r="B33" s="122" t="n">
        <v>28</v>
      </c>
      <c r="C33" s="123" t="n">
        <f aca="false">'LICENCE PRO. 2è-3è-4è ANNEE'!C207</f>
        <v>11245500</v>
      </c>
      <c r="D33" s="123" t="n">
        <f aca="false">'LICENCE PRO. 2è-3è-4è ANNEE'!D207</f>
        <v>3865000</v>
      </c>
      <c r="E33" s="123" t="n">
        <f aca="false">C33-D33</f>
        <v>7380500</v>
      </c>
      <c r="F33" s="130" t="n">
        <f aca="false">D33/C33</f>
        <v>0.343693032768663</v>
      </c>
    </row>
    <row r="34" customFormat="false" ht="8.25" hidden="false" customHeight="true" outlineLevel="0" collapsed="false">
      <c r="A34" s="135"/>
      <c r="B34" s="143"/>
      <c r="C34" s="144"/>
      <c r="D34" s="144"/>
      <c r="E34" s="145"/>
      <c r="F34" s="146"/>
    </row>
    <row r="35" customFormat="false" ht="15" hidden="false" customHeight="false" outlineLevel="0" collapsed="false">
      <c r="A35" s="121" t="s">
        <v>930</v>
      </c>
      <c r="B35" s="122" t="n">
        <v>14</v>
      </c>
      <c r="C35" s="123" t="n">
        <f aca="false">'LICENCE PRO. 2è-3è-4è ANNEE'!C26</f>
        <v>5831000</v>
      </c>
      <c r="D35" s="123" t="n">
        <f aca="false">'LICENCE PRO. 2è-3è-4è ANNEE'!D26</f>
        <v>3367500</v>
      </c>
      <c r="E35" s="147" t="n">
        <f aca="false">C35-D35</f>
        <v>2463500</v>
      </c>
      <c r="F35" s="130" t="n">
        <f aca="false">D35/C35</f>
        <v>0.577516720974104</v>
      </c>
    </row>
    <row r="36" customFormat="false" ht="15" hidden="false" customHeight="false" outlineLevel="0" collapsed="false">
      <c r="A36" s="121" t="s">
        <v>931</v>
      </c>
      <c r="B36" s="122" t="n">
        <v>15</v>
      </c>
      <c r="C36" s="123" t="n">
        <f aca="false">'LICENCE PRO. 2è-3è-4è ANNEE'!C54</f>
        <v>5831000</v>
      </c>
      <c r="D36" s="123" t="n">
        <f aca="false">'LICENCE PRO. 2è-3è-4è ANNEE'!D54</f>
        <v>1406000</v>
      </c>
      <c r="E36" s="147" t="n">
        <f aca="false">C36-D36</f>
        <v>4425000</v>
      </c>
      <c r="F36" s="130" t="n">
        <f aca="false">D36/C36</f>
        <v>0.241125021437146</v>
      </c>
    </row>
    <row r="37" customFormat="false" ht="15" hidden="false" customHeight="false" outlineLevel="0" collapsed="false">
      <c r="A37" s="121" t="s">
        <v>932</v>
      </c>
      <c r="B37" s="148" t="n">
        <v>24</v>
      </c>
      <c r="C37" s="123" t="n">
        <f aca="false">'LICENCE PRO. 2è-3è-4è ANNEE'!C90</f>
        <v>9996000</v>
      </c>
      <c r="D37" s="123" t="n">
        <f aca="false">'LICENCE PRO. 2è-3è-4è ANNEE'!D90</f>
        <v>4060500</v>
      </c>
      <c r="E37" s="147" t="n">
        <f aca="false">C37-D37</f>
        <v>5935500</v>
      </c>
      <c r="F37" s="130" t="n">
        <f aca="false">D37/C37</f>
        <v>0.406212484993998</v>
      </c>
    </row>
    <row r="38" customFormat="false" ht="9" hidden="false" customHeight="true" outlineLevel="0" collapsed="false">
      <c r="A38" s="149"/>
      <c r="B38" s="150"/>
      <c r="C38" s="151"/>
      <c r="D38" s="151"/>
      <c r="E38" s="151"/>
      <c r="F38" s="152"/>
    </row>
    <row r="39" customFormat="false" ht="15" hidden="false" customHeight="false" outlineLevel="0" collapsed="false">
      <c r="A39" s="153" t="s">
        <v>933</v>
      </c>
      <c r="B39" s="154" t="n">
        <v>6</v>
      </c>
      <c r="C39" s="123" t="n">
        <f aca="false">'LICENCE PRO. 2è-3è-4è ANNEE'!C820</f>
        <v>2499000</v>
      </c>
      <c r="D39" s="123" t="n">
        <f aca="false">'LICENCE PRO. 2è-3è-4è ANNEE'!D820</f>
        <v>1149500</v>
      </c>
      <c r="E39" s="147" t="n">
        <f aca="false">C39-D39</f>
        <v>1349500</v>
      </c>
      <c r="F39" s="130" t="n">
        <f aca="false">D39/C39</f>
        <v>0.459983993597439</v>
      </c>
    </row>
    <row r="40" customFormat="false" ht="15" hidden="false" customHeight="false" outlineLevel="0" collapsed="false">
      <c r="A40" s="153" t="s">
        <v>934</v>
      </c>
      <c r="B40" s="154" t="n">
        <v>9</v>
      </c>
      <c r="C40" s="123" t="n">
        <f aca="false">'LICENCE PRO. 2è-3è-4è ANNEE'!C837</f>
        <v>3332000</v>
      </c>
      <c r="D40" s="123" t="n">
        <f aca="false">'LICENCE PRO. 2è-3è-4è ANNEE'!D837</f>
        <v>1316000</v>
      </c>
      <c r="E40" s="147" t="n">
        <f aca="false">C40-D40</f>
        <v>2016000</v>
      </c>
      <c r="F40" s="130" t="n">
        <f aca="false">D40/C40</f>
        <v>0.394957983193277</v>
      </c>
    </row>
    <row r="41" customFormat="false" ht="7.5" hidden="false" customHeight="true" outlineLevel="0" collapsed="false">
      <c r="A41" s="138"/>
      <c r="B41" s="155"/>
      <c r="C41" s="140"/>
      <c r="D41" s="140"/>
      <c r="E41" s="140"/>
      <c r="F41" s="156"/>
    </row>
    <row r="42" customFormat="false" ht="15" hidden="false" customHeight="false" outlineLevel="0" collapsed="false">
      <c r="A42" s="157" t="s">
        <v>935</v>
      </c>
      <c r="B42" s="158" t="n">
        <v>72</v>
      </c>
      <c r="C42" s="159" t="n">
        <f aca="false">'LICENCE PRO. 1ère ANNEE'!C233</f>
        <v>29988000</v>
      </c>
      <c r="D42" s="159" t="n">
        <f aca="false">'LICENCE PRO. 1ère ANNEE'!D233</f>
        <v>27652500</v>
      </c>
      <c r="E42" s="159" t="n">
        <f aca="false">'LICENCE PRO. 1ère ANNEE'!E233</f>
        <v>2335500</v>
      </c>
      <c r="F42" s="160" t="n">
        <f aca="false">D42/C42</f>
        <v>0.922118847539016</v>
      </c>
    </row>
    <row r="43" customFormat="false" ht="15" hidden="false" customHeight="false" outlineLevel="0" collapsed="false">
      <c r="A43" s="153" t="s">
        <v>936</v>
      </c>
      <c r="B43" s="154" t="n">
        <v>26</v>
      </c>
      <c r="C43" s="123" t="n">
        <f aca="false">'LICENCE PRO. 2è-3è-4è ANNEE'!C562</f>
        <v>10829000</v>
      </c>
      <c r="D43" s="123" t="n">
        <f aca="false">'LICENCE PRO. 2è-3è-4è ANNEE'!D562</f>
        <v>10713000</v>
      </c>
      <c r="E43" s="123" t="n">
        <f aca="false">'LICENCE PRO. 2è-3è-4è ANNEE'!E562</f>
        <v>116000</v>
      </c>
      <c r="F43" s="160" t="n">
        <f aca="false">D43/C43</f>
        <v>0.989288022901468</v>
      </c>
      <c r="I43" s="0" t="s">
        <v>937</v>
      </c>
    </row>
    <row r="44" customFormat="false" ht="7.5" hidden="false" customHeight="true" outlineLevel="0" collapsed="false">
      <c r="A44" s="138"/>
      <c r="B44" s="155"/>
      <c r="C44" s="140"/>
      <c r="D44" s="140"/>
      <c r="E44" s="140"/>
      <c r="F44" s="156"/>
    </row>
    <row r="45" customFormat="false" ht="15" hidden="false" customHeight="false" outlineLevel="0" collapsed="false">
      <c r="A45" s="153" t="s">
        <v>938</v>
      </c>
      <c r="B45" s="154" t="n">
        <v>12</v>
      </c>
      <c r="C45" s="123" t="n">
        <f aca="false">+'LICENCE PRO. 1ère ANNEE'!C152</f>
        <v>4998000</v>
      </c>
      <c r="D45" s="123" t="n">
        <f aca="false">+'LICENCE PRO. 1ère ANNEE'!D152</f>
        <v>4781500</v>
      </c>
      <c r="E45" s="123" t="n">
        <f aca="false">C45-D45</f>
        <v>216500</v>
      </c>
      <c r="F45" s="130" t="n">
        <f aca="false">D45/C45</f>
        <v>0.956682673069228</v>
      </c>
    </row>
    <row r="46" customFormat="false" ht="15" hidden="false" customHeight="false" outlineLevel="0" collapsed="false">
      <c r="A46" s="153" t="s">
        <v>939</v>
      </c>
      <c r="B46" s="154" t="n">
        <v>34</v>
      </c>
      <c r="C46" s="123" t="n">
        <f aca="false">'LICENCE PRO. 2è-3è-4è ANNEE'!C526</f>
        <v>13644500</v>
      </c>
      <c r="D46" s="123" t="n">
        <f aca="false">'LICENCE PRO. 2è-3è-4è ANNEE'!D526</f>
        <v>12909000</v>
      </c>
      <c r="E46" s="123" t="n">
        <f aca="false">C46-D46</f>
        <v>735500</v>
      </c>
      <c r="F46" s="130" t="n">
        <f aca="false">D46/C46</f>
        <v>0.946095496353842</v>
      </c>
    </row>
    <row r="47" customFormat="false" ht="15" hidden="false" customHeight="false" outlineLevel="0" collapsed="false">
      <c r="A47" s="153" t="s">
        <v>940</v>
      </c>
      <c r="B47" s="154" t="n">
        <v>93</v>
      </c>
      <c r="C47" s="123" t="n">
        <f aca="false">'LICENCE PRO. 2è-3è-4è ANNEE'!C665</f>
        <v>38734500</v>
      </c>
      <c r="D47" s="123" t="n">
        <f aca="false">'LICENCE PRO. 2è-3è-4è ANNEE'!D665</f>
        <v>35771500</v>
      </c>
      <c r="E47" s="123" t="n">
        <f aca="false">C47-D47</f>
        <v>2963000</v>
      </c>
      <c r="F47" s="130" t="n">
        <f aca="false">D47/C47</f>
        <v>0.923504885825298</v>
      </c>
    </row>
    <row r="48" customFormat="false" ht="6.75" hidden="false" customHeight="true" outlineLevel="0" collapsed="false">
      <c r="A48" s="161"/>
      <c r="B48" s="162"/>
      <c r="C48" s="163"/>
      <c r="D48" s="163" t="s">
        <v>941</v>
      </c>
      <c r="E48" s="163"/>
      <c r="F48" s="164"/>
    </row>
    <row r="49" customFormat="false" ht="15" hidden="false" customHeight="false" outlineLevel="0" collapsed="false">
      <c r="A49" s="157" t="s">
        <v>942</v>
      </c>
      <c r="B49" s="158" t="n">
        <v>9</v>
      </c>
      <c r="C49" s="159" t="n">
        <f aca="false">'LICENCE PRO. 2è-3è-4è ANNEE'!C753</f>
        <v>3332000</v>
      </c>
      <c r="D49" s="159" t="n">
        <f aca="false">'LICENCE PRO. 2è-3è-4è ANNEE'!D753</f>
        <v>1889000</v>
      </c>
      <c r="E49" s="159" t="n">
        <f aca="false">C49-D49</f>
        <v>1443000</v>
      </c>
      <c r="F49" s="160" t="n">
        <f aca="false">D49/C49</f>
        <v>0.566926770708283</v>
      </c>
    </row>
    <row r="50" customFormat="false" ht="15" hidden="false" customHeight="false" outlineLevel="0" collapsed="false">
      <c r="A50" s="157" t="s">
        <v>943</v>
      </c>
      <c r="B50" s="158" t="n">
        <v>5</v>
      </c>
      <c r="C50" s="159" t="n">
        <f aca="false">'LICENCE PRO. 2è-3è-4è ANNEE'!C804</f>
        <v>2082500</v>
      </c>
      <c r="D50" s="159" t="n">
        <f aca="false">'LICENCE PRO. 2è-3è-4è ANNEE'!D804</f>
        <v>816500</v>
      </c>
      <c r="E50" s="159" t="n">
        <f aca="false">'LICENCE PRO. 2è-3è-4è ANNEE'!E804</f>
        <v>1266000</v>
      </c>
      <c r="F50" s="160" t="n">
        <f aca="false">D50/C50</f>
        <v>0.392076830732293</v>
      </c>
    </row>
    <row r="51" customFormat="false" ht="15" hidden="false" customHeight="false" outlineLevel="0" collapsed="false">
      <c r="A51" s="157" t="s">
        <v>944</v>
      </c>
      <c r="B51" s="158" t="n">
        <v>25</v>
      </c>
      <c r="C51" s="159" t="n">
        <f aca="false">'LICENCE PRO. 2è-3è-4è ANNEE'!C789</f>
        <v>10412500</v>
      </c>
      <c r="D51" s="159" t="n">
        <f aca="false">'LICENCE PRO. 2è-3è-4è ANNEE'!D789</f>
        <v>6962500</v>
      </c>
      <c r="E51" s="159" t="n">
        <f aca="false">C51-D51</f>
        <v>3450000</v>
      </c>
      <c r="F51" s="160" t="n">
        <f aca="false">D51/C51</f>
        <v>0.668667466986795</v>
      </c>
    </row>
    <row r="52" customFormat="false" ht="8.25" hidden="false" customHeight="true" outlineLevel="0" collapsed="false">
      <c r="A52" s="138"/>
      <c r="B52" s="165"/>
      <c r="C52" s="140"/>
      <c r="D52" s="140"/>
      <c r="E52" s="140"/>
      <c r="F52" s="156"/>
    </row>
    <row r="53" customFormat="false" ht="15" hidden="false" customHeight="false" outlineLevel="0" collapsed="false">
      <c r="A53" s="166" t="s">
        <v>945</v>
      </c>
      <c r="B53" s="167" t="n">
        <f aca="false">SUM(B9:B52)</f>
        <v>760</v>
      </c>
      <c r="C53" s="167" t="n">
        <f aca="false">SUM(C9:C52)</f>
        <v>313116500</v>
      </c>
      <c r="D53" s="168" t="n">
        <f aca="false">SUM(D9:D52)</f>
        <v>218405100</v>
      </c>
      <c r="E53" s="167" t="n">
        <f aca="false">SUM(E9:E52)</f>
        <v>94711400</v>
      </c>
      <c r="F53" s="169" t="n">
        <f aca="false">D53/C53</f>
        <v>0.697520252046762</v>
      </c>
      <c r="K53" s="0" t="s">
        <v>676</v>
      </c>
    </row>
    <row r="54" customFormat="false" ht="15" hidden="false" customHeight="false" outlineLevel="0" collapsed="false">
      <c r="A54" s="170"/>
      <c r="B54" s="170"/>
      <c r="C54" s="171"/>
      <c r="D54" s="171"/>
      <c r="E54" s="171"/>
      <c r="F54" s="172"/>
    </row>
    <row r="59" customFormat="false" ht="15" hidden="false" customHeight="false" outlineLevel="0" collapsed="false">
      <c r="E59" s="0" t="s">
        <v>946</v>
      </c>
    </row>
    <row r="63" customFormat="false" ht="15" hidden="false" customHeight="false" outlineLevel="0" collapsed="false">
      <c r="G63" s="104"/>
      <c r="I63" s="10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7.29"/>
    <col collapsed="false" customWidth="true" hidden="false" outlineLevel="0" max="3" min="3" style="0" width="16.29"/>
    <col collapsed="false" customWidth="true" hidden="false" outlineLevel="0" max="4" min="4" style="0" width="16"/>
  </cols>
  <sheetData>
    <row r="6" customFormat="false" ht="19.7" hidden="false" customHeight="false" outlineLevel="0" collapsed="false">
      <c r="A6" s="173" t="s">
        <v>947</v>
      </c>
    </row>
    <row r="8" customFormat="false" ht="26.85" hidden="false" customHeight="false" outlineLevel="0" collapsed="false">
      <c r="A8" s="174" t="s">
        <v>948</v>
      </c>
      <c r="B8" s="175" t="s">
        <v>949</v>
      </c>
      <c r="C8" s="175" t="s">
        <v>950</v>
      </c>
      <c r="D8" s="175" t="s">
        <v>951</v>
      </c>
    </row>
    <row r="9" customFormat="false" ht="25.5" hidden="false" customHeight="true" outlineLevel="0" collapsed="false">
      <c r="A9" s="176" t="s">
        <v>952</v>
      </c>
      <c r="B9" s="177"/>
      <c r="C9" s="177"/>
      <c r="D9" s="177"/>
      <c r="E9" s="104" t="n">
        <f aca="false">B9+C9+D9</f>
        <v>0</v>
      </c>
    </row>
    <row r="10" customFormat="false" ht="24" hidden="false" customHeight="true" outlineLevel="0" collapsed="false">
      <c r="A10" s="178" t="s">
        <v>953</v>
      </c>
      <c r="B10" s="179"/>
      <c r="C10" s="179"/>
      <c r="D10" s="179"/>
      <c r="E10" s="104" t="n">
        <f aca="false">B10+C10+D10</f>
        <v>0</v>
      </c>
    </row>
    <row r="11" customFormat="false" ht="24.75" hidden="false" customHeight="true" outlineLevel="0" collapsed="false">
      <c r="A11" s="178" t="s">
        <v>954</v>
      </c>
      <c r="B11" s="179"/>
      <c r="C11" s="179"/>
      <c r="D11" s="179"/>
      <c r="E11" s="104" t="n">
        <f aca="false">B11+C11+D11</f>
        <v>0</v>
      </c>
    </row>
    <row r="12" customFormat="false" ht="26.25" hidden="false" customHeight="true" outlineLevel="0" collapsed="false">
      <c r="A12" s="178" t="s">
        <v>955</v>
      </c>
      <c r="B12" s="179"/>
      <c r="C12" s="179"/>
      <c r="D12" s="179"/>
      <c r="E12" s="104" t="n">
        <f aca="false">B12+C12+D12</f>
        <v>0</v>
      </c>
    </row>
    <row r="13" customFormat="false" ht="22.5" hidden="false" customHeight="true" outlineLevel="0" collapsed="false">
      <c r="A13" s="178" t="s">
        <v>956</v>
      </c>
      <c r="B13" s="179"/>
      <c r="C13" s="179"/>
      <c r="D13" s="179"/>
      <c r="E13" s="104" t="n">
        <f aca="false">B13+C13+D13</f>
        <v>0</v>
      </c>
    </row>
    <row r="14" customFormat="false" ht="26.25" hidden="false" customHeight="true" outlineLevel="0" collapsed="false">
      <c r="A14" s="178" t="s">
        <v>957</v>
      </c>
      <c r="B14" s="179"/>
      <c r="C14" s="179"/>
      <c r="D14" s="179"/>
      <c r="E14" s="104" t="n">
        <f aca="false">B14+C14+D14</f>
        <v>0</v>
      </c>
    </row>
    <row r="15" customFormat="false" ht="24.75" hidden="false" customHeight="true" outlineLevel="0" collapsed="false">
      <c r="A15" s="178" t="s">
        <v>958</v>
      </c>
      <c r="B15" s="179"/>
      <c r="C15" s="179"/>
      <c r="D15" s="179"/>
      <c r="E15" s="104" t="n">
        <f aca="false">B15+C15+D15</f>
        <v>0</v>
      </c>
    </row>
    <row r="16" customFormat="false" ht="26.25" hidden="false" customHeight="true" outlineLevel="0" collapsed="false">
      <c r="A16" s="178" t="s">
        <v>959</v>
      </c>
      <c r="B16" s="179"/>
      <c r="C16" s="179"/>
      <c r="D16" s="179"/>
      <c r="E16" s="104" t="n">
        <f aca="false">B16+C16+D16</f>
        <v>0</v>
      </c>
    </row>
    <row r="17" customFormat="false" ht="25.5" hidden="false" customHeight="true" outlineLevel="0" collapsed="false">
      <c r="A17" s="178" t="s">
        <v>960</v>
      </c>
      <c r="B17" s="179"/>
      <c r="C17" s="179"/>
      <c r="D17" s="179"/>
      <c r="E17" s="104" t="n">
        <f aca="false">B17+C17+D17</f>
        <v>0</v>
      </c>
    </row>
    <row r="18" customFormat="false" ht="22.5" hidden="false" customHeight="true" outlineLevel="0" collapsed="false">
      <c r="A18" s="178" t="s">
        <v>961</v>
      </c>
      <c r="B18" s="179"/>
      <c r="C18" s="179"/>
      <c r="D18" s="179"/>
      <c r="E18" s="104" t="n">
        <f aca="false">B18+C18+D18</f>
        <v>0</v>
      </c>
    </row>
    <row r="19" customFormat="false" ht="27.75" hidden="false" customHeight="true" outlineLevel="0" collapsed="false">
      <c r="A19" s="178" t="s">
        <v>962</v>
      </c>
      <c r="B19" s="180"/>
      <c r="C19" s="180"/>
      <c r="D19" s="179"/>
      <c r="E19" s="104" t="n">
        <f aca="false">B19+C19+D19</f>
        <v>0</v>
      </c>
    </row>
    <row r="20" customFormat="false" ht="27.75" hidden="false" customHeight="true" outlineLevel="0" collapsed="false">
      <c r="A20" s="178" t="s">
        <v>963</v>
      </c>
      <c r="B20" s="181"/>
      <c r="C20" s="181"/>
      <c r="D20" s="182"/>
      <c r="E20" s="104" t="n">
        <f aca="false">B20+C20+D20</f>
        <v>0</v>
      </c>
    </row>
    <row r="21" customFormat="false" ht="24.75" hidden="false" customHeight="true" outlineLevel="0" collapsed="false">
      <c r="A21" s="183" t="s">
        <v>964</v>
      </c>
      <c r="B21" s="184" t="n">
        <f aca="false">SUM(B9:B18)</f>
        <v>0</v>
      </c>
      <c r="C21" s="184" t="n">
        <f aca="false">SUM(C9:C20)</f>
        <v>0</v>
      </c>
      <c r="D21" s="184" t="n">
        <f aca="false">SUM(D9:D18)</f>
        <v>0</v>
      </c>
      <c r="E21" s="104" t="n">
        <f aca="false">SUM(E9:E20)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E2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2" activeCellId="0" sqref="I17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5.14"/>
  </cols>
  <sheetData>
    <row r="5" customFormat="false" ht="17.35" hidden="false" customHeight="false" outlineLevel="0" collapsed="false">
      <c r="A5" s="1"/>
      <c r="B5" s="2" t="s">
        <v>0</v>
      </c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1"/>
    </row>
    <row r="8" customFormat="false" ht="17.25" hidden="false" customHeight="false" outlineLevel="0" collapsed="false">
      <c r="A8" s="1"/>
      <c r="B8" s="3" t="s">
        <v>1</v>
      </c>
      <c r="D8" s="4" t="s">
        <v>2</v>
      </c>
    </row>
    <row r="9" customFormat="false" ht="15" hidden="false" customHeight="false" outlineLevel="0" collapsed="false">
      <c r="A9" s="1"/>
    </row>
    <row r="10" customFormat="false" ht="15" hidden="false" customHeight="false" outlineLevel="0" collapsed="false">
      <c r="A10" s="5" t="s">
        <v>3</v>
      </c>
      <c r="B10" s="6" t="s">
        <v>4</v>
      </c>
      <c r="C10" s="7" t="s">
        <v>5</v>
      </c>
      <c r="D10" s="8" t="s">
        <v>6</v>
      </c>
      <c r="E10" s="9" t="s">
        <v>7</v>
      </c>
    </row>
    <row r="11" customFormat="false" ht="15" hidden="false" customHeight="false" outlineLevel="0" collapsed="false">
      <c r="A11" s="10" t="n">
        <v>1</v>
      </c>
      <c r="B11" s="11" t="s">
        <v>8</v>
      </c>
      <c r="C11" s="12"/>
      <c r="D11" s="12"/>
      <c r="E11" s="13"/>
    </row>
    <row r="12" customFormat="false" ht="15" hidden="false" customHeight="false" outlineLevel="0" collapsed="false">
      <c r="A12" s="10" t="n">
        <v>2</v>
      </c>
      <c r="B12" s="14" t="s">
        <v>9</v>
      </c>
      <c r="C12" s="12"/>
      <c r="D12" s="12"/>
      <c r="E12" s="13"/>
    </row>
    <row r="13" customFormat="false" ht="15" hidden="false" customHeight="false" outlineLevel="0" collapsed="false">
      <c r="A13" s="10" t="n">
        <v>3</v>
      </c>
      <c r="B13" s="14" t="s">
        <v>11</v>
      </c>
      <c r="C13" s="12"/>
      <c r="D13" s="12"/>
      <c r="E13" s="13"/>
    </row>
    <row r="14" customFormat="false" ht="15" hidden="false" customHeight="false" outlineLevel="0" collapsed="false">
      <c r="A14" s="10" t="n">
        <v>4</v>
      </c>
      <c r="B14" s="14" t="s">
        <v>12</v>
      </c>
      <c r="C14" s="12"/>
      <c r="D14" s="12"/>
      <c r="E14" s="13"/>
    </row>
    <row r="15" customFormat="false" ht="15" hidden="false" customHeight="false" outlineLevel="0" collapsed="false">
      <c r="A15" s="10" t="n">
        <v>5</v>
      </c>
      <c r="B15" s="14" t="s">
        <v>13</v>
      </c>
      <c r="C15" s="12"/>
      <c r="D15" s="12"/>
      <c r="E15" s="13"/>
    </row>
    <row r="16" customFormat="false" ht="15" hidden="false" customHeight="false" outlineLevel="0" collapsed="false">
      <c r="A16" s="10" t="n">
        <v>6</v>
      </c>
      <c r="B16" s="14" t="s">
        <v>14</v>
      </c>
      <c r="C16" s="12"/>
      <c r="D16" s="12"/>
      <c r="E16" s="13"/>
    </row>
    <row r="17" customFormat="false" ht="15" hidden="false" customHeight="false" outlineLevel="0" collapsed="false">
      <c r="A17" s="10" t="n">
        <v>7</v>
      </c>
      <c r="B17" s="14" t="s">
        <v>15</v>
      </c>
      <c r="C17" s="12"/>
      <c r="D17" s="12"/>
      <c r="E17" s="13"/>
    </row>
    <row r="18" customFormat="false" ht="15" hidden="false" customHeight="false" outlineLevel="0" collapsed="false">
      <c r="A18" s="10" t="n">
        <v>8</v>
      </c>
      <c r="B18" s="14" t="s">
        <v>16</v>
      </c>
      <c r="C18" s="12"/>
      <c r="D18" s="12"/>
      <c r="E18" s="13"/>
    </row>
    <row r="19" customFormat="false" ht="15" hidden="false" customHeight="false" outlineLevel="0" collapsed="false">
      <c r="A19" s="10" t="n">
        <v>9</v>
      </c>
      <c r="B19" s="14" t="s">
        <v>17</v>
      </c>
      <c r="C19" s="12"/>
      <c r="D19" s="12"/>
      <c r="E19" s="13"/>
    </row>
    <row r="20" customFormat="false" ht="15" hidden="false" customHeight="false" outlineLevel="0" collapsed="false">
      <c r="A20" s="10" t="n">
        <v>10</v>
      </c>
      <c r="B20" s="14" t="s">
        <v>18</v>
      </c>
      <c r="C20" s="12"/>
      <c r="D20" s="12"/>
      <c r="E20" s="13"/>
    </row>
    <row r="21" customFormat="false" ht="15" hidden="false" customHeight="false" outlineLevel="0" collapsed="false">
      <c r="A21" s="10" t="n">
        <v>11</v>
      </c>
      <c r="B21" s="14" t="s">
        <v>19</v>
      </c>
      <c r="C21" s="12"/>
      <c r="D21" s="12"/>
      <c r="E21" s="13"/>
    </row>
    <row r="22" customFormat="false" ht="15" hidden="false" customHeight="false" outlineLevel="0" collapsed="false">
      <c r="A22" s="10" t="n">
        <v>12</v>
      </c>
      <c r="B22" s="14" t="s">
        <v>20</v>
      </c>
      <c r="C22" s="12"/>
      <c r="D22" s="12"/>
      <c r="E22" s="13"/>
    </row>
    <row r="23" customFormat="false" ht="15" hidden="false" customHeight="false" outlineLevel="0" collapsed="false">
      <c r="A23" s="10" t="n">
        <v>13</v>
      </c>
      <c r="B23" s="14" t="s">
        <v>21</v>
      </c>
      <c r="C23" s="12"/>
      <c r="D23" s="12"/>
      <c r="E23" s="13"/>
    </row>
    <row r="24" customFormat="false" ht="15" hidden="false" customHeight="false" outlineLevel="0" collapsed="false">
      <c r="A24" s="10" t="n">
        <v>14</v>
      </c>
      <c r="B24" s="14" t="s">
        <v>22</v>
      </c>
      <c r="C24" s="12"/>
      <c r="D24" s="12"/>
      <c r="E24" s="13"/>
    </row>
    <row r="25" customFormat="false" ht="15" hidden="false" customHeight="false" outlineLevel="0" collapsed="false">
      <c r="A25" s="10" t="n">
        <v>15</v>
      </c>
      <c r="B25" s="14" t="s">
        <v>23</v>
      </c>
      <c r="C25" s="12"/>
      <c r="D25" s="12"/>
      <c r="E25" s="13"/>
    </row>
    <row r="26" customFormat="false" ht="15" hidden="false" customHeight="false" outlineLevel="0" collapsed="false">
      <c r="A26" s="10" t="n">
        <v>16</v>
      </c>
      <c r="B26" s="14" t="s">
        <v>24</v>
      </c>
      <c r="C26" s="12"/>
      <c r="D26" s="12"/>
      <c r="E26" s="13"/>
    </row>
    <row r="27" customFormat="false" ht="15" hidden="false" customHeight="false" outlineLevel="0" collapsed="false">
      <c r="A27" s="10" t="n">
        <v>17</v>
      </c>
      <c r="B27" s="11" t="s">
        <v>25</v>
      </c>
      <c r="C27" s="12"/>
      <c r="D27" s="12"/>
      <c r="E27" s="13"/>
    </row>
    <row r="28" customFormat="false" ht="15" hidden="false" customHeight="false" outlineLevel="0" collapsed="false">
      <c r="A28" s="10" t="n">
        <v>18</v>
      </c>
      <c r="B28" s="14" t="s">
        <v>965</v>
      </c>
      <c r="C28" s="12"/>
      <c r="D28" s="12"/>
      <c r="E28" s="13"/>
    </row>
    <row r="29" customFormat="false" ht="15" hidden="false" customHeight="false" outlineLevel="0" collapsed="false">
      <c r="A29" s="10" t="n">
        <v>19</v>
      </c>
      <c r="B29" s="14" t="s">
        <v>28</v>
      </c>
      <c r="C29" s="12"/>
      <c r="D29" s="12"/>
      <c r="E29" s="13"/>
    </row>
    <row r="30" customFormat="false" ht="15" hidden="false" customHeight="false" outlineLevel="0" collapsed="false">
      <c r="A30" s="15" t="n">
        <v>20</v>
      </c>
      <c r="B30" s="16" t="s">
        <v>27</v>
      </c>
      <c r="C30" s="12"/>
      <c r="D30" s="17"/>
      <c r="E30" s="13"/>
    </row>
    <row r="31" customFormat="false" ht="15" hidden="false" customHeight="false" outlineLevel="0" collapsed="false">
      <c r="A31" s="15" t="n">
        <v>21</v>
      </c>
      <c r="B31" s="20" t="s">
        <v>29</v>
      </c>
      <c r="C31" s="12"/>
      <c r="D31" s="12"/>
      <c r="E31" s="13"/>
    </row>
    <row r="32" customFormat="false" ht="15" hidden="false" customHeight="false" outlineLevel="0" collapsed="false">
      <c r="A32" s="10" t="n">
        <v>22</v>
      </c>
      <c r="B32" s="14" t="s">
        <v>10</v>
      </c>
      <c r="C32" s="12"/>
      <c r="D32" s="12"/>
      <c r="E32" s="13"/>
    </row>
    <row r="33" customFormat="false" ht="17.35" hidden="false" customHeight="false" outlineLevel="0" collapsed="false">
      <c r="A33" s="10"/>
      <c r="B33" s="22" t="s">
        <v>30</v>
      </c>
      <c r="C33" s="23" t="n">
        <f aca="false">SUM(C11:C32)</f>
        <v>0</v>
      </c>
      <c r="D33" s="24" t="n">
        <f aca="false">SUM(D11:D32)</f>
        <v>0</v>
      </c>
      <c r="E33" s="13" t="n">
        <f aca="false">C33-D33</f>
        <v>0</v>
      </c>
    </row>
    <row r="34" customFormat="false" ht="15" hidden="false" customHeight="false" outlineLevel="0" collapsed="false">
      <c r="A34" s="15"/>
    </row>
    <row r="36" customFormat="false" ht="17.35" hidden="false" customHeight="false" outlineLevel="0" collapsed="false">
      <c r="B36" s="2" t="s">
        <v>0</v>
      </c>
      <c r="C36" s="2"/>
    </row>
    <row r="38" customFormat="false" ht="15" hidden="false" customHeight="false" outlineLevel="0" collapsed="false">
      <c r="A38" s="1"/>
    </row>
    <row r="39" customFormat="false" ht="17.25" hidden="false" customHeight="false" outlineLevel="0" collapsed="false">
      <c r="A39" s="1"/>
      <c r="B39" s="3" t="s">
        <v>31</v>
      </c>
      <c r="D39" s="4" t="s">
        <v>2</v>
      </c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5" t="s">
        <v>3</v>
      </c>
      <c r="B41" s="6" t="s">
        <v>4</v>
      </c>
      <c r="C41" s="7" t="s">
        <v>5</v>
      </c>
      <c r="D41" s="8" t="s">
        <v>6</v>
      </c>
      <c r="E41" s="9" t="s">
        <v>7</v>
      </c>
    </row>
    <row r="42" customFormat="false" ht="15" hidden="false" customHeight="false" outlineLevel="0" collapsed="false">
      <c r="A42" s="10" t="n">
        <v>1</v>
      </c>
      <c r="B42" s="16" t="s">
        <v>32</v>
      </c>
      <c r="C42" s="12"/>
      <c r="D42" s="17"/>
      <c r="E42" s="13"/>
    </row>
    <row r="43" customFormat="false" ht="15" hidden="false" customHeight="false" outlineLevel="0" collapsed="false">
      <c r="A43" s="26" t="n">
        <v>2</v>
      </c>
      <c r="B43" s="16" t="s">
        <v>966</v>
      </c>
      <c r="C43" s="12"/>
      <c r="D43" s="17"/>
      <c r="E43" s="13"/>
    </row>
    <row r="44" customFormat="false" ht="15" hidden="false" customHeight="false" outlineLevel="0" collapsed="false">
      <c r="A44" s="26" t="n">
        <v>3</v>
      </c>
      <c r="B44" s="16" t="s">
        <v>33</v>
      </c>
      <c r="C44" s="12"/>
      <c r="D44" s="17"/>
      <c r="E44" s="13"/>
    </row>
    <row r="45" customFormat="false" ht="15" hidden="false" customHeight="false" outlineLevel="0" collapsed="false">
      <c r="A45" s="26" t="n">
        <v>4</v>
      </c>
      <c r="B45" s="16" t="s">
        <v>34</v>
      </c>
      <c r="C45" s="12"/>
      <c r="D45" s="17"/>
      <c r="E45" s="13"/>
    </row>
    <row r="46" customFormat="false" ht="15" hidden="false" customHeight="false" outlineLevel="0" collapsed="false">
      <c r="A46" s="10" t="n">
        <v>5</v>
      </c>
      <c r="B46" s="16" t="s">
        <v>967</v>
      </c>
      <c r="C46" s="12"/>
      <c r="D46" s="17"/>
      <c r="E46" s="13"/>
    </row>
    <row r="47" customFormat="false" ht="15" hidden="false" customHeight="false" outlineLevel="0" collapsed="false">
      <c r="A47" s="10" t="n">
        <v>6</v>
      </c>
      <c r="B47" s="16" t="s">
        <v>35</v>
      </c>
      <c r="C47" s="12"/>
      <c r="D47" s="17"/>
      <c r="E47" s="13"/>
    </row>
    <row r="48" customFormat="false" ht="15" hidden="false" customHeight="false" outlineLevel="0" collapsed="false">
      <c r="A48" s="10" t="n">
        <v>7</v>
      </c>
      <c r="B48" s="16" t="s">
        <v>968</v>
      </c>
      <c r="C48" s="12"/>
      <c r="D48" s="17"/>
      <c r="E48" s="13"/>
    </row>
    <row r="49" customFormat="false" ht="15" hidden="false" customHeight="false" outlineLevel="0" collapsed="false">
      <c r="A49" s="10" t="n">
        <v>8</v>
      </c>
      <c r="B49" s="16" t="s">
        <v>37</v>
      </c>
      <c r="C49" s="12"/>
      <c r="D49" s="17"/>
      <c r="E49" s="13"/>
    </row>
    <row r="50" customFormat="false" ht="15" hidden="false" customHeight="false" outlineLevel="0" collapsed="false">
      <c r="A50" s="10" t="n">
        <v>9</v>
      </c>
      <c r="B50" s="16" t="s">
        <v>38</v>
      </c>
      <c r="C50" s="12"/>
      <c r="D50" s="17"/>
      <c r="E50" s="13"/>
    </row>
    <row r="51" customFormat="false" ht="15" hidden="false" customHeight="false" outlineLevel="0" collapsed="false">
      <c r="A51" s="10" t="n">
        <v>10</v>
      </c>
      <c r="B51" s="16" t="s">
        <v>39</v>
      </c>
      <c r="C51" s="12"/>
      <c r="D51" s="17"/>
      <c r="E51" s="13"/>
    </row>
    <row r="52" customFormat="false" ht="15" hidden="false" customHeight="false" outlineLevel="0" collapsed="false">
      <c r="A52" s="10" t="n">
        <v>11</v>
      </c>
      <c r="B52" s="16" t="s">
        <v>969</v>
      </c>
      <c r="C52" s="12"/>
      <c r="D52" s="17"/>
      <c r="E52" s="13"/>
    </row>
    <row r="53" customFormat="false" ht="15" hidden="false" customHeight="false" outlineLevel="0" collapsed="false">
      <c r="A53" s="15" t="n">
        <v>12</v>
      </c>
      <c r="B53" s="16" t="s">
        <v>42</v>
      </c>
      <c r="C53" s="12"/>
      <c r="D53" s="17"/>
      <c r="E53" s="13"/>
    </row>
    <row r="54" customFormat="false" ht="15" hidden="false" customHeight="false" outlineLevel="0" collapsed="false">
      <c r="A54" s="10" t="n">
        <v>13</v>
      </c>
      <c r="B54" s="16" t="s">
        <v>44</v>
      </c>
      <c r="C54" s="12"/>
      <c r="D54" s="17"/>
      <c r="E54" s="13"/>
    </row>
    <row r="55" customFormat="false" ht="15" hidden="false" customHeight="false" outlineLevel="0" collapsed="false">
      <c r="A55" s="10" t="n">
        <v>14</v>
      </c>
      <c r="B55" s="16" t="s">
        <v>45</v>
      </c>
      <c r="C55" s="12"/>
      <c r="D55" s="17"/>
      <c r="E55" s="13"/>
    </row>
    <row r="56" customFormat="false" ht="15" hidden="false" customHeight="false" outlineLevel="0" collapsed="false">
      <c r="A56" s="10" t="n">
        <v>15</v>
      </c>
      <c r="B56" s="16" t="s">
        <v>46</v>
      </c>
      <c r="C56" s="12"/>
      <c r="D56" s="17"/>
      <c r="E56" s="13"/>
    </row>
    <row r="57" customFormat="false" ht="15" hidden="false" customHeight="false" outlineLevel="0" collapsed="false">
      <c r="A57" s="10" t="n">
        <v>16</v>
      </c>
      <c r="B57" s="16" t="s">
        <v>47</v>
      </c>
      <c r="C57" s="12"/>
      <c r="D57" s="17"/>
      <c r="E57" s="13"/>
    </row>
    <row r="58" customFormat="false" ht="15" hidden="false" customHeight="false" outlineLevel="0" collapsed="false">
      <c r="A58" s="10" t="n">
        <v>17</v>
      </c>
      <c r="B58" s="16" t="s">
        <v>48</v>
      </c>
      <c r="C58" s="12"/>
      <c r="D58" s="17"/>
      <c r="E58" s="13"/>
    </row>
    <row r="59" customFormat="false" ht="15" hidden="false" customHeight="false" outlineLevel="0" collapsed="false">
      <c r="A59" s="10" t="n">
        <v>18</v>
      </c>
      <c r="B59" s="16" t="s">
        <v>49</v>
      </c>
      <c r="C59" s="12"/>
      <c r="D59" s="17"/>
      <c r="E59" s="13"/>
    </row>
    <row r="60" customFormat="false" ht="15" hidden="false" customHeight="false" outlineLevel="0" collapsed="false">
      <c r="A60" s="10" t="n">
        <v>19</v>
      </c>
      <c r="B60" s="16" t="s">
        <v>50</v>
      </c>
      <c r="C60" s="12"/>
      <c r="D60" s="17"/>
      <c r="E60" s="13"/>
    </row>
    <row r="61" customFormat="false" ht="15" hidden="false" customHeight="false" outlineLevel="0" collapsed="false">
      <c r="A61" s="10" t="n">
        <v>20</v>
      </c>
      <c r="B61" s="16" t="s">
        <v>51</v>
      </c>
      <c r="C61" s="12"/>
      <c r="D61" s="17"/>
      <c r="E61" s="13"/>
    </row>
    <row r="62" customFormat="false" ht="15" hidden="false" customHeight="false" outlineLevel="0" collapsed="false">
      <c r="A62" s="10" t="n">
        <v>21</v>
      </c>
      <c r="B62" s="16" t="s">
        <v>53</v>
      </c>
      <c r="C62" s="12"/>
      <c r="D62" s="17"/>
      <c r="E62" s="13"/>
    </row>
    <row r="63" customFormat="false" ht="15" hidden="false" customHeight="false" outlineLevel="0" collapsed="false">
      <c r="A63" s="10" t="n">
        <v>22</v>
      </c>
      <c r="B63" s="16" t="s">
        <v>54</v>
      </c>
      <c r="C63" s="12"/>
      <c r="D63" s="17"/>
      <c r="E63" s="13"/>
    </row>
    <row r="64" customFormat="false" ht="15" hidden="false" customHeight="false" outlineLevel="0" collapsed="false">
      <c r="A64" s="10" t="n">
        <v>23</v>
      </c>
      <c r="B64" s="16" t="s">
        <v>55</v>
      </c>
      <c r="C64" s="12"/>
      <c r="D64" s="17"/>
      <c r="E64" s="13"/>
    </row>
    <row r="65" customFormat="false" ht="15" hidden="false" customHeight="false" outlineLevel="0" collapsed="false">
      <c r="A65" s="10" t="n">
        <v>24</v>
      </c>
      <c r="B65" s="16" t="s">
        <v>56</v>
      </c>
      <c r="C65" s="12"/>
      <c r="D65" s="17"/>
      <c r="E65" s="13"/>
    </row>
    <row r="66" customFormat="false" ht="15" hidden="false" customHeight="false" outlineLevel="0" collapsed="false">
      <c r="A66" s="10" t="n">
        <v>25</v>
      </c>
      <c r="B66" s="16" t="s">
        <v>57</v>
      </c>
      <c r="C66" s="12"/>
      <c r="D66" s="17"/>
      <c r="E66" s="13"/>
    </row>
    <row r="67" customFormat="false" ht="15" hidden="false" customHeight="false" outlineLevel="0" collapsed="false">
      <c r="A67" s="10" t="n">
        <v>26</v>
      </c>
      <c r="B67" s="16" t="s">
        <v>58</v>
      </c>
      <c r="C67" s="12"/>
      <c r="D67" s="17"/>
      <c r="E67" s="13"/>
    </row>
    <row r="68" customFormat="false" ht="15" hidden="false" customHeight="false" outlineLevel="0" collapsed="false">
      <c r="A68" s="10" t="n">
        <v>27</v>
      </c>
      <c r="B68" s="16" t="s">
        <v>59</v>
      </c>
      <c r="C68" s="12"/>
      <c r="D68" s="17"/>
      <c r="E68" s="13"/>
    </row>
    <row r="69" customFormat="false" ht="15" hidden="false" customHeight="false" outlineLevel="0" collapsed="false">
      <c r="A69" s="10" t="n">
        <v>28</v>
      </c>
      <c r="B69" s="16" t="s">
        <v>60</v>
      </c>
      <c r="C69" s="12"/>
      <c r="D69" s="17"/>
      <c r="E69" s="13"/>
    </row>
    <row r="70" customFormat="false" ht="15" hidden="false" customHeight="false" outlineLevel="0" collapsed="false">
      <c r="A70" s="10" t="n">
        <v>29</v>
      </c>
      <c r="B70" s="16" t="s">
        <v>61</v>
      </c>
      <c r="C70" s="12"/>
      <c r="D70" s="17"/>
      <c r="E70" s="13"/>
    </row>
    <row r="71" customFormat="false" ht="15" hidden="false" customHeight="false" outlineLevel="0" collapsed="false">
      <c r="A71" s="10" t="n">
        <v>30</v>
      </c>
      <c r="B71" s="16" t="s">
        <v>62</v>
      </c>
      <c r="C71" s="12"/>
      <c r="D71" s="17"/>
      <c r="E71" s="13"/>
    </row>
    <row r="72" customFormat="false" ht="15" hidden="false" customHeight="false" outlineLevel="0" collapsed="false">
      <c r="A72" s="10" t="n">
        <v>31</v>
      </c>
      <c r="B72" s="16" t="s">
        <v>63</v>
      </c>
      <c r="C72" s="12"/>
      <c r="D72" s="17"/>
      <c r="E72" s="13"/>
    </row>
    <row r="73" customFormat="false" ht="15" hidden="false" customHeight="false" outlineLevel="0" collapsed="false">
      <c r="A73" s="10" t="n">
        <v>32</v>
      </c>
      <c r="B73" s="16" t="s">
        <v>64</v>
      </c>
      <c r="C73" s="12"/>
      <c r="D73" s="17"/>
      <c r="E73" s="13"/>
    </row>
    <row r="74" customFormat="false" ht="17.35" hidden="false" customHeight="false" outlineLevel="0" collapsed="false">
      <c r="A74" s="10"/>
      <c r="B74" s="22" t="s">
        <v>30</v>
      </c>
      <c r="C74" s="23"/>
      <c r="D74" s="24"/>
      <c r="E74" s="25"/>
    </row>
    <row r="75" customFormat="false" ht="17.35" hidden="false" customHeight="false" outlineLevel="0" collapsed="false">
      <c r="B75" s="28"/>
      <c r="C75" s="29"/>
      <c r="D75" s="30"/>
      <c r="E75" s="31"/>
    </row>
    <row r="76" customFormat="false" ht="17.35" hidden="false" customHeight="false" outlineLevel="0" collapsed="false">
      <c r="B76" s="28"/>
      <c r="C76" s="29"/>
      <c r="D76" s="30"/>
      <c r="E76" s="31"/>
    </row>
    <row r="77" customFormat="false" ht="17.35" hidden="false" customHeight="false" outlineLevel="0" collapsed="false">
      <c r="A77" s="1"/>
      <c r="B77" s="2" t="s">
        <v>0</v>
      </c>
    </row>
    <row r="78" customFormat="false" ht="17.35" hidden="false" customHeight="false" outlineLevel="0" collapsed="false">
      <c r="A78" s="33"/>
    </row>
    <row r="79" customFormat="false" ht="15" hidden="false" customHeight="false" outlineLevel="0" collapsed="false">
      <c r="A79" s="1"/>
    </row>
    <row r="80" customFormat="false" ht="17.25" hidden="false" customHeight="false" outlineLevel="0" collapsed="false">
      <c r="A80" s="1"/>
      <c r="B80" s="3" t="s">
        <v>695</v>
      </c>
    </row>
    <row r="81" customFormat="false" ht="15" hidden="false" customHeight="false" outlineLevel="0" collapsed="false">
      <c r="A81" s="1"/>
      <c r="D81" s="4" t="s">
        <v>2</v>
      </c>
    </row>
    <row r="82" customFormat="false" ht="15" hidden="false" customHeight="false" outlineLevel="0" collapsed="false">
      <c r="A82" s="1"/>
    </row>
    <row r="83" customFormat="false" ht="15" hidden="false" customHeight="false" outlineLevel="0" collapsed="false">
      <c r="A83" s="5" t="s">
        <v>3</v>
      </c>
      <c r="B83" s="6" t="s">
        <v>4</v>
      </c>
      <c r="C83" s="7" t="s">
        <v>5</v>
      </c>
      <c r="D83" s="8" t="s">
        <v>6</v>
      </c>
      <c r="E83" s="9" t="s">
        <v>7</v>
      </c>
    </row>
    <row r="84" customFormat="false" ht="15" hidden="false" customHeight="false" outlineLevel="0" collapsed="false">
      <c r="A84" s="84" t="n">
        <v>1</v>
      </c>
      <c r="B84" s="81" t="s">
        <v>85</v>
      </c>
      <c r="C84" s="12"/>
      <c r="D84" s="12"/>
      <c r="E84" s="13"/>
    </row>
    <row r="85" customFormat="false" ht="15" hidden="false" customHeight="false" outlineLevel="0" collapsed="false">
      <c r="A85" s="26" t="n">
        <v>2</v>
      </c>
      <c r="B85" s="34" t="s">
        <v>970</v>
      </c>
      <c r="C85" s="12"/>
      <c r="D85" s="12"/>
      <c r="E85" s="13"/>
    </row>
    <row r="86" customFormat="false" ht="17.35" hidden="false" customHeight="false" outlineLevel="0" collapsed="false">
      <c r="A86" s="21"/>
      <c r="B86" s="22" t="s">
        <v>30</v>
      </c>
      <c r="C86" s="23" t="n">
        <f aca="false">SUM(C84:C85)</f>
        <v>0</v>
      </c>
      <c r="D86" s="24" t="n">
        <f aca="false">SUM(D84:D85)</f>
        <v>0</v>
      </c>
      <c r="E86" s="25" t="n">
        <f aca="false">SUM(E85)</f>
        <v>0</v>
      </c>
    </row>
    <row r="87" customFormat="false" ht="17.35" hidden="false" customHeight="false" outlineLevel="0" collapsed="false">
      <c r="A87" s="185"/>
      <c r="B87" s="28"/>
      <c r="C87" s="29"/>
      <c r="D87" s="30"/>
      <c r="E87" s="31"/>
    </row>
    <row r="88" customFormat="false" ht="15" hidden="false" customHeight="false" outlineLevel="0" collapsed="false">
      <c r="A88" s="185"/>
    </row>
    <row r="89" customFormat="false" ht="17.35" hidden="false" customHeight="false" outlineLevel="0" collapsed="false">
      <c r="A89" s="1"/>
      <c r="B89" s="2" t="s">
        <v>0</v>
      </c>
    </row>
    <row r="90" customFormat="false" ht="17.35" hidden="false" customHeight="false" outlineLevel="0" collapsed="false">
      <c r="A90" s="33"/>
    </row>
    <row r="91" customFormat="false" ht="15" hidden="false" customHeight="false" outlineLevel="0" collapsed="false">
      <c r="A91" s="1"/>
    </row>
    <row r="92" customFormat="false" ht="17.25" hidden="false" customHeight="false" outlineLevel="0" collapsed="false">
      <c r="A92" s="1"/>
      <c r="B92" s="3" t="s">
        <v>65</v>
      </c>
    </row>
    <row r="93" customFormat="false" ht="15" hidden="false" customHeight="false" outlineLevel="0" collapsed="false">
      <c r="A93" s="1"/>
      <c r="D93" s="4" t="s">
        <v>2</v>
      </c>
    </row>
    <row r="94" customFormat="false" ht="15" hidden="false" customHeight="false" outlineLevel="0" collapsed="false">
      <c r="A94" s="1"/>
    </row>
    <row r="95" customFormat="false" ht="15" hidden="false" customHeight="false" outlineLevel="0" collapsed="false">
      <c r="A95" s="5" t="s">
        <v>3</v>
      </c>
      <c r="B95" s="6" t="s">
        <v>4</v>
      </c>
      <c r="C95" s="7" t="s">
        <v>5</v>
      </c>
      <c r="D95" s="8" t="s">
        <v>6</v>
      </c>
      <c r="E95" s="9" t="s">
        <v>7</v>
      </c>
    </row>
    <row r="96" customFormat="false" ht="15" hidden="false" customHeight="false" outlineLevel="0" collapsed="false">
      <c r="A96" s="0" t="n">
        <v>1</v>
      </c>
      <c r="B96" s="14" t="s">
        <v>66</v>
      </c>
      <c r="C96" s="12"/>
      <c r="D96" s="12"/>
      <c r="E96" s="13"/>
    </row>
    <row r="97" customFormat="false" ht="15" hidden="false" customHeight="false" outlineLevel="0" collapsed="false">
      <c r="A97" s="0" t="n">
        <v>2</v>
      </c>
      <c r="B97" s="14" t="s">
        <v>67</v>
      </c>
      <c r="C97" s="12"/>
      <c r="D97" s="12"/>
      <c r="E97" s="13"/>
    </row>
    <row r="98" customFormat="false" ht="15" hidden="false" customHeight="false" outlineLevel="0" collapsed="false">
      <c r="A98" s="10" t="n">
        <v>3</v>
      </c>
      <c r="B98" s="14" t="s">
        <v>68</v>
      </c>
      <c r="C98" s="12"/>
      <c r="D98" s="12"/>
      <c r="E98" s="13"/>
    </row>
    <row r="99" customFormat="false" ht="15" hidden="false" customHeight="false" outlineLevel="0" collapsed="false">
      <c r="A99" s="26" t="n">
        <v>4</v>
      </c>
      <c r="B99" s="16" t="s">
        <v>69</v>
      </c>
      <c r="C99" s="12"/>
      <c r="D99" s="17"/>
      <c r="E99" s="13"/>
    </row>
    <row r="100" customFormat="false" ht="15" hidden="false" customHeight="false" outlineLevel="0" collapsed="false">
      <c r="A100" s="10" t="n">
        <v>5</v>
      </c>
      <c r="B100" s="14" t="s">
        <v>70</v>
      </c>
      <c r="C100" s="12"/>
      <c r="D100" s="12"/>
      <c r="E100" s="13"/>
    </row>
    <row r="101" customFormat="false" ht="15" hidden="false" customHeight="false" outlineLevel="0" collapsed="false">
      <c r="A101" s="26" t="n">
        <v>6</v>
      </c>
      <c r="B101" s="34" t="s">
        <v>71</v>
      </c>
      <c r="C101" s="12"/>
      <c r="D101" s="12"/>
      <c r="E101" s="13"/>
    </row>
    <row r="102" customFormat="false" ht="15" hidden="false" customHeight="false" outlineLevel="0" collapsed="false">
      <c r="A102" s="26" t="n">
        <v>7</v>
      </c>
      <c r="B102" s="34" t="s">
        <v>72</v>
      </c>
      <c r="C102" s="12"/>
      <c r="D102" s="12"/>
      <c r="E102" s="13"/>
    </row>
    <row r="103" customFormat="false" ht="15" hidden="false" customHeight="false" outlineLevel="0" collapsed="false">
      <c r="A103" s="10" t="n">
        <v>8</v>
      </c>
      <c r="B103" s="14" t="s">
        <v>73</v>
      </c>
      <c r="C103" s="12"/>
      <c r="D103" s="12"/>
      <c r="E103" s="13"/>
    </row>
    <row r="104" customFormat="false" ht="15" hidden="false" customHeight="false" outlineLevel="0" collapsed="false">
      <c r="A104" s="26" t="n">
        <v>9</v>
      </c>
      <c r="B104" s="14" t="s">
        <v>74</v>
      </c>
      <c r="C104" s="12"/>
      <c r="D104" s="12"/>
      <c r="E104" s="13"/>
    </row>
    <row r="105" customFormat="false" ht="15" hidden="false" customHeight="false" outlineLevel="0" collapsed="false">
      <c r="A105" s="26" t="n">
        <v>10</v>
      </c>
      <c r="B105" s="14" t="s">
        <v>75</v>
      </c>
      <c r="C105" s="12"/>
      <c r="D105" s="12"/>
      <c r="E105" s="13"/>
    </row>
    <row r="106" customFormat="false" ht="15" hidden="false" customHeight="false" outlineLevel="0" collapsed="false">
      <c r="A106" s="10" t="n">
        <v>11</v>
      </c>
      <c r="B106" s="14" t="s">
        <v>76</v>
      </c>
      <c r="C106" s="12"/>
      <c r="D106" s="12"/>
      <c r="E106" s="13"/>
    </row>
    <row r="107" customFormat="false" ht="15" hidden="false" customHeight="false" outlineLevel="0" collapsed="false">
      <c r="A107" s="35" t="n">
        <v>12</v>
      </c>
      <c r="B107" s="14" t="s">
        <v>77</v>
      </c>
      <c r="C107" s="12"/>
      <c r="D107" s="12"/>
      <c r="E107" s="13"/>
    </row>
    <row r="108" customFormat="false" ht="15" hidden="false" customHeight="false" outlineLevel="0" collapsed="false">
      <c r="A108" s="10" t="n">
        <v>13</v>
      </c>
      <c r="B108" s="14" t="s">
        <v>78</v>
      </c>
      <c r="C108" s="12"/>
      <c r="D108" s="12"/>
      <c r="E108" s="13"/>
    </row>
    <row r="109" customFormat="false" ht="15" hidden="false" customHeight="false" outlineLevel="0" collapsed="false">
      <c r="A109" s="26" t="n">
        <v>14</v>
      </c>
      <c r="B109" s="14" t="s">
        <v>79</v>
      </c>
      <c r="C109" s="12"/>
      <c r="D109" s="12"/>
      <c r="E109" s="13"/>
    </row>
    <row r="110" customFormat="false" ht="15" hidden="false" customHeight="false" outlineLevel="0" collapsed="false">
      <c r="A110" s="10" t="n">
        <v>15</v>
      </c>
      <c r="B110" s="14" t="s">
        <v>971</v>
      </c>
      <c r="C110" s="12"/>
      <c r="D110" s="12"/>
      <c r="E110" s="13"/>
    </row>
    <row r="111" customFormat="false" ht="15" hidden="false" customHeight="false" outlineLevel="0" collapsed="false">
      <c r="A111" s="35" t="n">
        <v>16</v>
      </c>
      <c r="B111" s="14" t="s">
        <v>81</v>
      </c>
      <c r="C111" s="12"/>
      <c r="D111" s="12"/>
      <c r="E111" s="13"/>
    </row>
    <row r="112" customFormat="false" ht="15" hidden="false" customHeight="false" outlineLevel="0" collapsed="false">
      <c r="A112" s="35" t="n">
        <v>17</v>
      </c>
      <c r="B112" s="14" t="s">
        <v>82</v>
      </c>
      <c r="C112" s="12"/>
      <c r="D112" s="12"/>
      <c r="E112" s="13"/>
    </row>
    <row r="113" customFormat="false" ht="15" hidden="false" customHeight="false" outlineLevel="0" collapsed="false">
      <c r="A113" s="35" t="n">
        <v>18</v>
      </c>
      <c r="B113" s="14" t="s">
        <v>83</v>
      </c>
      <c r="C113" s="12"/>
      <c r="D113" s="12"/>
      <c r="E113" s="13"/>
    </row>
    <row r="114" customFormat="false" ht="17.35" hidden="false" customHeight="false" outlineLevel="0" collapsed="false">
      <c r="A114" s="21"/>
      <c r="B114" s="22" t="s">
        <v>30</v>
      </c>
      <c r="C114" s="23"/>
      <c r="D114" s="24"/>
      <c r="E114" s="25"/>
    </row>
    <row r="116" customFormat="false" ht="17.35" hidden="false" customHeight="false" outlineLevel="0" collapsed="false">
      <c r="B116" s="2" t="s">
        <v>0</v>
      </c>
    </row>
    <row r="117" customFormat="false" ht="15" hidden="false" customHeight="false" outlineLevel="0" collapsed="false">
      <c r="A117" s="1"/>
    </row>
    <row r="118" customFormat="false" ht="15" hidden="false" customHeight="false" outlineLevel="0" collapsed="false">
      <c r="A118" s="1"/>
    </row>
    <row r="119" customFormat="false" ht="17.25" hidden="false" customHeight="false" outlineLevel="0" collapsed="false">
      <c r="A119" s="1"/>
      <c r="B119" s="3" t="s">
        <v>84</v>
      </c>
    </row>
    <row r="120" customFormat="false" ht="15" hidden="false" customHeight="false" outlineLevel="0" collapsed="false">
      <c r="A120" s="1"/>
      <c r="E120" s="4" t="s">
        <v>2</v>
      </c>
    </row>
    <row r="121" customFormat="false" ht="15" hidden="false" customHeight="false" outlineLevel="0" collapsed="false">
      <c r="A121" s="1"/>
    </row>
    <row r="122" customFormat="false" ht="15" hidden="false" customHeight="false" outlineLevel="0" collapsed="false">
      <c r="A122" s="5" t="s">
        <v>3</v>
      </c>
      <c r="B122" s="6" t="s">
        <v>4</v>
      </c>
      <c r="C122" s="7" t="s">
        <v>5</v>
      </c>
      <c r="D122" s="8" t="s">
        <v>6</v>
      </c>
      <c r="E122" s="9" t="s">
        <v>7</v>
      </c>
    </row>
    <row r="123" customFormat="false" ht="15" hidden="false" customHeight="false" outlineLevel="0" collapsed="false">
      <c r="A123" s="10" t="n">
        <v>1</v>
      </c>
      <c r="B123" s="14" t="s">
        <v>86</v>
      </c>
      <c r="C123" s="12"/>
      <c r="D123" s="12"/>
      <c r="E123" s="13"/>
    </row>
    <row r="124" customFormat="false" ht="15" hidden="false" customHeight="false" outlineLevel="0" collapsed="false">
      <c r="A124" s="10" t="n">
        <v>2</v>
      </c>
      <c r="B124" s="14" t="s">
        <v>87</v>
      </c>
      <c r="C124" s="12"/>
      <c r="D124" s="12"/>
      <c r="E124" s="13"/>
    </row>
    <row r="125" customFormat="false" ht="15" hidden="false" customHeight="false" outlineLevel="0" collapsed="false">
      <c r="A125" s="15" t="n">
        <v>3</v>
      </c>
      <c r="B125" s="14" t="s">
        <v>88</v>
      </c>
      <c r="C125" s="12"/>
      <c r="D125" s="12"/>
      <c r="E125" s="13"/>
    </row>
    <row r="126" customFormat="false" ht="15" hidden="false" customHeight="false" outlineLevel="0" collapsed="false">
      <c r="A126" s="10" t="n">
        <v>4</v>
      </c>
      <c r="B126" s="14" t="s">
        <v>89</v>
      </c>
      <c r="C126" s="12"/>
      <c r="D126" s="12"/>
      <c r="E126" s="13"/>
    </row>
    <row r="127" customFormat="false" ht="15" hidden="false" customHeight="false" outlineLevel="0" collapsed="false">
      <c r="A127" s="10" t="n">
        <v>5</v>
      </c>
      <c r="B127" s="14" t="s">
        <v>90</v>
      </c>
      <c r="C127" s="12"/>
      <c r="D127" s="12"/>
      <c r="E127" s="13"/>
    </row>
    <row r="128" customFormat="false" ht="15" hidden="false" customHeight="false" outlineLevel="0" collapsed="false">
      <c r="A128" s="10" t="n">
        <v>6</v>
      </c>
      <c r="B128" s="14" t="s">
        <v>91</v>
      </c>
      <c r="C128" s="12"/>
      <c r="D128" s="12"/>
      <c r="E128" s="13"/>
    </row>
    <row r="129" customFormat="false" ht="15" hidden="false" customHeight="false" outlineLevel="0" collapsed="false">
      <c r="A129" s="10" t="n">
        <v>7</v>
      </c>
      <c r="B129" s="14" t="s">
        <v>92</v>
      </c>
      <c r="C129" s="12"/>
      <c r="D129" s="12"/>
      <c r="E129" s="13"/>
    </row>
    <row r="130" customFormat="false" ht="15" hidden="false" customHeight="false" outlineLevel="0" collapsed="false">
      <c r="A130" s="10" t="n">
        <v>8</v>
      </c>
      <c r="B130" s="14" t="s">
        <v>93</v>
      </c>
      <c r="C130" s="12"/>
      <c r="D130" s="12"/>
      <c r="E130" s="13"/>
    </row>
    <row r="131" customFormat="false" ht="15" hidden="false" customHeight="false" outlineLevel="0" collapsed="false">
      <c r="A131" s="10" t="n">
        <v>9</v>
      </c>
      <c r="B131" s="14" t="s">
        <v>94</v>
      </c>
      <c r="C131" s="12"/>
      <c r="D131" s="12"/>
      <c r="E131" s="13"/>
    </row>
    <row r="132" customFormat="false" ht="15" hidden="false" customHeight="false" outlineLevel="0" collapsed="false">
      <c r="A132" s="10" t="n">
        <v>10</v>
      </c>
      <c r="B132" s="36" t="s">
        <v>95</v>
      </c>
      <c r="C132" s="12"/>
      <c r="D132" s="37"/>
      <c r="E132" s="13"/>
    </row>
    <row r="133" customFormat="false" ht="15" hidden="false" customHeight="false" outlineLevel="0" collapsed="false">
      <c r="A133" s="10" t="n">
        <v>11</v>
      </c>
      <c r="B133" s="14" t="s">
        <v>96</v>
      </c>
      <c r="C133" s="12"/>
      <c r="D133" s="12"/>
      <c r="E133" s="13"/>
    </row>
    <row r="134" customFormat="false" ht="15" hidden="false" customHeight="false" outlineLevel="0" collapsed="false">
      <c r="A134" s="10" t="n">
        <v>12</v>
      </c>
      <c r="B134" s="38" t="s">
        <v>97</v>
      </c>
      <c r="C134" s="12"/>
      <c r="D134" s="37"/>
      <c r="E134" s="13"/>
    </row>
    <row r="135" customFormat="false" ht="15" hidden="false" customHeight="false" outlineLevel="0" collapsed="false">
      <c r="A135" s="10" t="n">
        <v>13</v>
      </c>
      <c r="B135" s="36" t="s">
        <v>98</v>
      </c>
      <c r="C135" s="12"/>
      <c r="D135" s="37"/>
      <c r="E135" s="13"/>
    </row>
    <row r="136" customFormat="false" ht="15" hidden="false" customHeight="false" outlineLevel="0" collapsed="false">
      <c r="A136" s="10" t="n">
        <v>14</v>
      </c>
      <c r="B136" s="36" t="s">
        <v>99</v>
      </c>
      <c r="C136" s="12"/>
      <c r="D136" s="37"/>
      <c r="E136" s="13"/>
    </row>
    <row r="137" customFormat="false" ht="15" hidden="false" customHeight="false" outlineLevel="0" collapsed="false">
      <c r="A137" s="10" t="n">
        <v>15</v>
      </c>
      <c r="B137" s="36" t="s">
        <v>100</v>
      </c>
      <c r="C137" s="12"/>
      <c r="D137" s="37"/>
      <c r="E137" s="13"/>
    </row>
    <row r="138" customFormat="false" ht="15" hidden="false" customHeight="false" outlineLevel="0" collapsed="false">
      <c r="A138" s="10" t="n">
        <v>16</v>
      </c>
      <c r="B138" s="36" t="s">
        <v>101</v>
      </c>
      <c r="C138" s="12"/>
      <c r="D138" s="37"/>
      <c r="E138" s="13"/>
    </row>
    <row r="139" customFormat="false" ht="15" hidden="false" customHeight="false" outlineLevel="0" collapsed="false">
      <c r="A139" s="10" t="n">
        <v>17</v>
      </c>
      <c r="B139" s="36" t="s">
        <v>102</v>
      </c>
      <c r="C139" s="12"/>
      <c r="D139" s="37"/>
      <c r="E139" s="13"/>
    </row>
    <row r="140" customFormat="false" ht="15" hidden="false" customHeight="false" outlineLevel="0" collapsed="false">
      <c r="A140" s="10" t="n">
        <v>18</v>
      </c>
      <c r="B140" s="39" t="s">
        <v>103</v>
      </c>
      <c r="C140" s="12"/>
      <c r="D140" s="37"/>
      <c r="E140" s="13"/>
    </row>
    <row r="141" customFormat="false" ht="17.35" hidden="false" customHeight="false" outlineLevel="0" collapsed="false">
      <c r="A141" s="10"/>
      <c r="B141" s="22" t="s">
        <v>30</v>
      </c>
      <c r="C141" s="23"/>
      <c r="D141" s="24"/>
      <c r="E141" s="25"/>
    </row>
    <row r="143" customFormat="false" ht="17.35" hidden="false" customHeight="false" outlineLevel="0" collapsed="false">
      <c r="A143" s="1"/>
      <c r="B143" s="2" t="s">
        <v>0</v>
      </c>
    </row>
    <row r="144" customFormat="false" ht="17.35" hidden="false" customHeight="false" outlineLevel="0" collapsed="false">
      <c r="A144" s="33"/>
    </row>
    <row r="145" customFormat="false" ht="15" hidden="false" customHeight="false" outlineLevel="0" collapsed="false">
      <c r="A145" s="1"/>
    </row>
    <row r="146" customFormat="false" ht="17.25" hidden="false" customHeight="false" outlineLevel="0" collapsed="false">
      <c r="A146" s="1"/>
      <c r="B146" s="3" t="s">
        <v>104</v>
      </c>
    </row>
    <row r="147" customFormat="false" ht="15" hidden="false" customHeight="false" outlineLevel="0" collapsed="false">
      <c r="A147" s="1"/>
      <c r="D147" s="4" t="s">
        <v>2</v>
      </c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5" t="s">
        <v>3</v>
      </c>
      <c r="B149" s="6" t="s">
        <v>4</v>
      </c>
      <c r="C149" s="7" t="s">
        <v>5</v>
      </c>
      <c r="D149" s="8" t="s">
        <v>6</v>
      </c>
      <c r="E149" s="9" t="s">
        <v>7</v>
      </c>
    </row>
    <row r="150" customFormat="false" ht="15" hidden="false" customHeight="false" outlineLevel="0" collapsed="false">
      <c r="A150" s="26" t="n">
        <v>1</v>
      </c>
      <c r="B150" s="14" t="s">
        <v>118</v>
      </c>
      <c r="C150" s="12"/>
      <c r="D150" s="12"/>
      <c r="E150" s="13"/>
    </row>
    <row r="151" customFormat="false" ht="15" hidden="false" customHeight="false" outlineLevel="0" collapsed="false">
      <c r="A151" s="10" t="n">
        <v>2</v>
      </c>
      <c r="B151" s="14" t="s">
        <v>120</v>
      </c>
      <c r="C151" s="12"/>
      <c r="D151" s="12"/>
      <c r="E151" s="13"/>
    </row>
    <row r="152" customFormat="false" ht="15" hidden="false" customHeight="false" outlineLevel="0" collapsed="false">
      <c r="A152" s="10" t="n">
        <v>3</v>
      </c>
      <c r="B152" s="14" t="s">
        <v>105</v>
      </c>
      <c r="C152" s="12"/>
      <c r="D152" s="12"/>
      <c r="E152" s="13"/>
    </row>
    <row r="153" customFormat="false" ht="15" hidden="false" customHeight="false" outlineLevel="0" collapsed="false">
      <c r="A153" s="26" t="n">
        <v>4</v>
      </c>
      <c r="B153" s="14" t="s">
        <v>106</v>
      </c>
      <c r="C153" s="12"/>
      <c r="D153" s="12"/>
      <c r="E153" s="13"/>
    </row>
    <row r="154" customFormat="false" ht="15" hidden="false" customHeight="false" outlineLevel="0" collapsed="false">
      <c r="A154" s="10" t="n">
        <v>5</v>
      </c>
      <c r="B154" s="14" t="s">
        <v>107</v>
      </c>
      <c r="C154" s="12"/>
      <c r="D154" s="12"/>
      <c r="E154" s="13"/>
    </row>
    <row r="155" customFormat="false" ht="15" hidden="false" customHeight="false" outlineLevel="0" collapsed="false">
      <c r="A155" s="26" t="n">
        <v>6</v>
      </c>
      <c r="B155" s="14" t="s">
        <v>108</v>
      </c>
      <c r="C155" s="12"/>
      <c r="D155" s="12"/>
      <c r="E155" s="13"/>
    </row>
    <row r="156" customFormat="false" ht="15" hidden="false" customHeight="false" outlineLevel="0" collapsed="false">
      <c r="A156" s="10" t="n">
        <v>7</v>
      </c>
      <c r="B156" s="14" t="s">
        <v>109</v>
      </c>
      <c r="C156" s="12"/>
      <c r="D156" s="12"/>
      <c r="E156" s="13"/>
    </row>
    <row r="157" customFormat="false" ht="15" hidden="false" customHeight="false" outlineLevel="0" collapsed="false">
      <c r="A157" s="35" t="n">
        <v>8</v>
      </c>
      <c r="B157" s="14" t="s">
        <v>154</v>
      </c>
      <c r="C157" s="12"/>
      <c r="D157" s="12"/>
      <c r="E157" s="13"/>
    </row>
    <row r="158" customFormat="false" ht="15" hidden="false" customHeight="false" outlineLevel="0" collapsed="false">
      <c r="A158" s="26" t="n">
        <v>9</v>
      </c>
      <c r="B158" s="14" t="s">
        <v>110</v>
      </c>
      <c r="C158" s="12"/>
      <c r="D158" s="12"/>
      <c r="E158" s="13"/>
    </row>
    <row r="159" customFormat="false" ht="15" hidden="false" customHeight="false" outlineLevel="0" collapsed="false">
      <c r="A159" s="10" t="n">
        <v>10</v>
      </c>
      <c r="B159" s="14" t="s">
        <v>111</v>
      </c>
      <c r="C159" s="12"/>
      <c r="D159" s="12"/>
      <c r="E159" s="13"/>
    </row>
    <row r="160" customFormat="false" ht="15" hidden="false" customHeight="false" outlineLevel="0" collapsed="false">
      <c r="A160" s="26" t="n">
        <v>11</v>
      </c>
      <c r="B160" s="14" t="s">
        <v>112</v>
      </c>
      <c r="C160" s="12"/>
      <c r="D160" s="12"/>
      <c r="E160" s="13"/>
    </row>
    <row r="161" customFormat="false" ht="15" hidden="false" customHeight="false" outlineLevel="0" collapsed="false">
      <c r="A161" s="10" t="n">
        <v>12</v>
      </c>
      <c r="B161" s="14" t="s">
        <v>113</v>
      </c>
      <c r="C161" s="12"/>
      <c r="D161" s="12"/>
      <c r="E161" s="13"/>
    </row>
    <row r="162" customFormat="false" ht="15" hidden="false" customHeight="false" outlineLevel="0" collapsed="false">
      <c r="A162" s="10" t="n">
        <v>13</v>
      </c>
      <c r="B162" s="14" t="s">
        <v>114</v>
      </c>
      <c r="C162" s="12"/>
      <c r="D162" s="12"/>
      <c r="E162" s="13"/>
    </row>
    <row r="163" customFormat="false" ht="15" hidden="false" customHeight="false" outlineLevel="0" collapsed="false">
      <c r="A163" s="35" t="n">
        <v>14</v>
      </c>
      <c r="B163" s="14" t="s">
        <v>115</v>
      </c>
      <c r="C163" s="12"/>
      <c r="D163" s="12"/>
      <c r="E163" s="13"/>
    </row>
    <row r="164" customFormat="false" ht="15" hidden="false" customHeight="false" outlineLevel="0" collapsed="false">
      <c r="A164" s="35" t="n">
        <v>15</v>
      </c>
      <c r="B164" s="14" t="s">
        <v>116</v>
      </c>
      <c r="C164" s="12"/>
      <c r="D164" s="12"/>
      <c r="E164" s="13"/>
    </row>
    <row r="165" customFormat="false" ht="15" hidden="false" customHeight="false" outlineLevel="0" collapsed="false">
      <c r="A165" s="35" t="n">
        <v>16</v>
      </c>
      <c r="B165" s="14" t="s">
        <v>188</v>
      </c>
      <c r="C165" s="12"/>
      <c r="D165" s="12"/>
      <c r="E165" s="13"/>
    </row>
    <row r="166" customFormat="false" ht="17.35" hidden="false" customHeight="false" outlineLevel="0" collapsed="false">
      <c r="A166" s="21"/>
      <c r="B166" s="22" t="s">
        <v>30</v>
      </c>
      <c r="C166" s="23"/>
      <c r="D166" s="24"/>
      <c r="E166" s="25"/>
    </row>
    <row r="167" customFormat="false" ht="17.35" hidden="false" customHeight="false" outlineLevel="0" collapsed="false">
      <c r="B167" s="28"/>
      <c r="C167" s="29"/>
      <c r="D167" s="30"/>
      <c r="E167" s="31"/>
    </row>
    <row r="168" customFormat="false" ht="17.35" hidden="false" customHeight="false" outlineLevel="0" collapsed="false">
      <c r="A168" s="1"/>
      <c r="B168" s="2" t="s">
        <v>0</v>
      </c>
    </row>
    <row r="169" customFormat="false" ht="17.35" hidden="false" customHeight="false" outlineLevel="0" collapsed="false">
      <c r="A169" s="33"/>
    </row>
    <row r="170" customFormat="false" ht="15" hidden="false" customHeight="false" outlineLevel="0" collapsed="false">
      <c r="A170" s="1"/>
    </row>
    <row r="171" customFormat="false" ht="17.25" hidden="false" customHeight="false" outlineLevel="0" collapsed="false">
      <c r="A171" s="1"/>
      <c r="B171" s="3" t="s">
        <v>117</v>
      </c>
    </row>
    <row r="172" customFormat="false" ht="15" hidden="false" customHeight="false" outlineLevel="0" collapsed="false">
      <c r="A172" s="1"/>
      <c r="D172" s="4" t="s">
        <v>2</v>
      </c>
    </row>
    <row r="173" customFormat="false" ht="15" hidden="false" customHeight="false" outlineLevel="0" collapsed="false">
      <c r="A173" s="1"/>
    </row>
    <row r="174" customFormat="false" ht="15" hidden="false" customHeight="false" outlineLevel="0" collapsed="false">
      <c r="A174" s="5" t="s">
        <v>3</v>
      </c>
      <c r="B174" s="6" t="s">
        <v>4</v>
      </c>
      <c r="C174" s="7" t="s">
        <v>5</v>
      </c>
      <c r="D174" s="8" t="s">
        <v>6</v>
      </c>
      <c r="E174" s="9" t="s">
        <v>7</v>
      </c>
    </row>
    <row r="175" customFormat="false" ht="15" hidden="false" customHeight="false" outlineLevel="0" collapsed="false">
      <c r="A175" s="10" t="n">
        <v>1</v>
      </c>
      <c r="B175" s="14" t="s">
        <v>119</v>
      </c>
      <c r="C175" s="12"/>
      <c r="D175" s="12"/>
      <c r="E175" s="13"/>
    </row>
    <row r="176" customFormat="false" ht="15" hidden="false" customHeight="false" outlineLevel="0" collapsed="false">
      <c r="A176" s="26" t="n">
        <v>2</v>
      </c>
      <c r="B176" s="14" t="s">
        <v>121</v>
      </c>
      <c r="C176" s="12"/>
      <c r="D176" s="12"/>
      <c r="E176" s="13"/>
    </row>
    <row r="177" customFormat="false" ht="15" hidden="false" customHeight="false" outlineLevel="0" collapsed="false">
      <c r="A177" s="10" t="n">
        <v>3</v>
      </c>
      <c r="B177" s="14" t="s">
        <v>122</v>
      </c>
      <c r="C177" s="12"/>
      <c r="D177" s="12"/>
      <c r="E177" s="13"/>
    </row>
    <row r="178" customFormat="false" ht="15" hidden="false" customHeight="false" outlineLevel="0" collapsed="false">
      <c r="A178" s="26" t="n">
        <v>4</v>
      </c>
      <c r="B178" s="14" t="s">
        <v>123</v>
      </c>
      <c r="C178" s="12"/>
      <c r="D178" s="12"/>
      <c r="E178" s="13"/>
    </row>
    <row r="179" customFormat="false" ht="15" hidden="false" customHeight="false" outlineLevel="0" collapsed="false">
      <c r="A179" s="26" t="n">
        <v>5</v>
      </c>
      <c r="B179" s="14" t="s">
        <v>124</v>
      </c>
      <c r="C179" s="12"/>
      <c r="D179" s="12"/>
      <c r="E179" s="13"/>
    </row>
    <row r="180" customFormat="false" ht="15" hidden="false" customHeight="false" outlineLevel="0" collapsed="false">
      <c r="A180" s="10" t="n">
        <v>6</v>
      </c>
      <c r="B180" s="14" t="s">
        <v>125</v>
      </c>
      <c r="C180" s="12"/>
      <c r="D180" s="12"/>
      <c r="E180" s="13"/>
    </row>
    <row r="181" customFormat="false" ht="15" hidden="false" customHeight="false" outlineLevel="0" collapsed="false">
      <c r="A181" s="26" t="n">
        <v>7</v>
      </c>
      <c r="B181" s="14" t="s">
        <v>126</v>
      </c>
      <c r="C181" s="12"/>
      <c r="D181" s="12"/>
      <c r="E181" s="13"/>
    </row>
    <row r="182" customFormat="false" ht="15" hidden="false" customHeight="false" outlineLevel="0" collapsed="false">
      <c r="A182" s="10" t="n">
        <v>8</v>
      </c>
      <c r="B182" s="14" t="s">
        <v>127</v>
      </c>
      <c r="C182" s="12"/>
      <c r="D182" s="12"/>
      <c r="E182" s="13"/>
    </row>
    <row r="183" customFormat="false" ht="15" hidden="false" customHeight="false" outlineLevel="0" collapsed="false">
      <c r="A183" s="26" t="n">
        <v>9</v>
      </c>
      <c r="B183" s="14" t="s">
        <v>128</v>
      </c>
      <c r="C183" s="12"/>
      <c r="D183" s="12"/>
      <c r="E183" s="13"/>
    </row>
    <row r="184" customFormat="false" ht="15" hidden="false" customHeight="false" outlineLevel="0" collapsed="false">
      <c r="A184" s="10" t="n">
        <v>10</v>
      </c>
      <c r="B184" s="14" t="s">
        <v>129</v>
      </c>
      <c r="C184" s="12"/>
      <c r="D184" s="12"/>
      <c r="E184" s="13"/>
    </row>
    <row r="185" customFormat="false" ht="15" hidden="false" customHeight="false" outlineLevel="0" collapsed="false">
      <c r="A185" s="35" t="n">
        <v>11</v>
      </c>
      <c r="B185" s="14" t="s">
        <v>130</v>
      </c>
      <c r="C185" s="12"/>
      <c r="D185" s="12"/>
      <c r="E185" s="13"/>
    </row>
    <row r="186" customFormat="false" ht="15" hidden="false" customHeight="false" outlineLevel="0" collapsed="false">
      <c r="A186" s="26" t="n">
        <v>12</v>
      </c>
      <c r="B186" s="14" t="s">
        <v>131</v>
      </c>
      <c r="C186" s="12"/>
      <c r="D186" s="12"/>
      <c r="E186" s="13"/>
    </row>
    <row r="187" customFormat="false" ht="15" hidden="false" customHeight="false" outlineLevel="0" collapsed="false">
      <c r="A187" s="10" t="n">
        <v>13</v>
      </c>
      <c r="B187" s="14" t="s">
        <v>132</v>
      </c>
      <c r="C187" s="12"/>
      <c r="D187" s="12"/>
      <c r="E187" s="13"/>
    </row>
    <row r="188" customFormat="false" ht="15" hidden="false" customHeight="false" outlineLevel="0" collapsed="false">
      <c r="A188" s="35" t="n">
        <v>14</v>
      </c>
      <c r="B188" s="14" t="s">
        <v>133</v>
      </c>
      <c r="C188" s="12"/>
      <c r="D188" s="12"/>
      <c r="E188" s="13"/>
    </row>
    <row r="189" customFormat="false" ht="15" hidden="false" customHeight="false" outlineLevel="0" collapsed="false">
      <c r="A189" s="35" t="n">
        <v>15</v>
      </c>
      <c r="B189" s="14" t="s">
        <v>134</v>
      </c>
      <c r="C189" s="12"/>
      <c r="D189" s="12"/>
      <c r="E189" s="13"/>
    </row>
    <row r="190" customFormat="false" ht="15" hidden="false" customHeight="false" outlineLevel="0" collapsed="false">
      <c r="A190" s="35" t="n">
        <v>16</v>
      </c>
      <c r="B190" s="14" t="s">
        <v>135</v>
      </c>
      <c r="C190" s="12"/>
      <c r="D190" s="12"/>
      <c r="E190" s="13"/>
    </row>
    <row r="191" customFormat="false" ht="15" hidden="false" customHeight="false" outlineLevel="0" collapsed="false">
      <c r="A191" s="35" t="n">
        <v>17</v>
      </c>
      <c r="B191" s="14" t="s">
        <v>136</v>
      </c>
      <c r="C191" s="12"/>
      <c r="D191" s="12"/>
      <c r="E191" s="13"/>
    </row>
    <row r="192" customFormat="false" ht="15" hidden="false" customHeight="false" outlineLevel="0" collapsed="false">
      <c r="A192" s="35" t="n">
        <v>18</v>
      </c>
      <c r="B192" s="14" t="s">
        <v>137</v>
      </c>
      <c r="C192" s="12"/>
      <c r="D192" s="12"/>
      <c r="E192" s="13"/>
    </row>
    <row r="193" customFormat="false" ht="15" hidden="false" customHeight="false" outlineLevel="0" collapsed="false">
      <c r="A193" s="35" t="n">
        <v>19</v>
      </c>
      <c r="B193" s="14" t="s">
        <v>138</v>
      </c>
      <c r="C193" s="12"/>
      <c r="D193" s="12"/>
      <c r="E193" s="13"/>
    </row>
    <row r="194" customFormat="false" ht="15" hidden="false" customHeight="false" outlineLevel="0" collapsed="false">
      <c r="A194" s="35" t="n">
        <v>20</v>
      </c>
      <c r="B194" s="14" t="s">
        <v>139</v>
      </c>
      <c r="C194" s="12"/>
      <c r="D194" s="12"/>
      <c r="E194" s="13"/>
    </row>
    <row r="195" customFormat="false" ht="15" hidden="false" customHeight="false" outlineLevel="0" collapsed="false">
      <c r="A195" s="35" t="n">
        <v>21</v>
      </c>
      <c r="B195" s="14" t="s">
        <v>140</v>
      </c>
      <c r="C195" s="12"/>
      <c r="D195" s="12"/>
      <c r="E195" s="13"/>
    </row>
    <row r="196" customFormat="false" ht="15" hidden="false" customHeight="false" outlineLevel="0" collapsed="false">
      <c r="A196" s="35" t="n">
        <v>22</v>
      </c>
      <c r="B196" s="14" t="s">
        <v>141</v>
      </c>
      <c r="C196" s="12"/>
      <c r="D196" s="12"/>
      <c r="E196" s="13"/>
    </row>
    <row r="197" customFormat="false" ht="15" hidden="false" customHeight="false" outlineLevel="0" collapsed="false">
      <c r="A197" s="35" t="n">
        <v>23</v>
      </c>
      <c r="B197" s="14" t="s">
        <v>142</v>
      </c>
      <c r="C197" s="12"/>
      <c r="D197" s="12"/>
      <c r="E197" s="13"/>
    </row>
    <row r="198" customFormat="false" ht="15" hidden="false" customHeight="false" outlineLevel="0" collapsed="false">
      <c r="A198" s="35" t="n">
        <v>24</v>
      </c>
      <c r="B198" s="14" t="s">
        <v>143</v>
      </c>
      <c r="C198" s="12"/>
      <c r="D198" s="12"/>
      <c r="E198" s="13"/>
    </row>
    <row r="199" customFormat="false" ht="15" hidden="false" customHeight="false" outlineLevel="0" collapsed="false">
      <c r="A199" s="35" t="n">
        <v>25</v>
      </c>
      <c r="B199" s="14" t="s">
        <v>144</v>
      </c>
      <c r="C199" s="12"/>
      <c r="D199" s="12"/>
      <c r="E199" s="13"/>
    </row>
    <row r="200" customFormat="false" ht="15" hidden="false" customHeight="false" outlineLevel="0" collapsed="false">
      <c r="A200" s="35" t="n">
        <v>26</v>
      </c>
      <c r="B200" s="14" t="s">
        <v>145</v>
      </c>
      <c r="C200" s="12"/>
      <c r="D200" s="12"/>
      <c r="E200" s="13"/>
    </row>
    <row r="201" customFormat="false" ht="15" hidden="false" customHeight="false" outlineLevel="0" collapsed="false">
      <c r="A201" s="35" t="n">
        <v>27</v>
      </c>
      <c r="B201" s="14" t="s">
        <v>146</v>
      </c>
      <c r="C201" s="12"/>
      <c r="D201" s="12"/>
      <c r="E201" s="13"/>
    </row>
    <row r="202" customFormat="false" ht="15" hidden="false" customHeight="false" outlineLevel="0" collapsed="false">
      <c r="A202" s="35" t="n">
        <v>28</v>
      </c>
      <c r="B202" s="14" t="s">
        <v>147</v>
      </c>
      <c r="C202" s="12"/>
      <c r="D202" s="12"/>
      <c r="E202" s="13"/>
    </row>
    <row r="203" customFormat="false" ht="15" hidden="false" customHeight="false" outlineLevel="0" collapsed="false">
      <c r="A203" s="35" t="n">
        <v>29</v>
      </c>
      <c r="B203" s="14" t="s">
        <v>148</v>
      </c>
      <c r="C203" s="12"/>
      <c r="D203" s="12"/>
      <c r="E203" s="13"/>
    </row>
    <row r="204" customFormat="false" ht="15" hidden="false" customHeight="false" outlineLevel="0" collapsed="false">
      <c r="A204" s="35" t="n">
        <v>30</v>
      </c>
      <c r="B204" s="14" t="s">
        <v>149</v>
      </c>
      <c r="C204" s="18"/>
      <c r="D204" s="18"/>
      <c r="E204" s="19"/>
    </row>
    <row r="205" customFormat="false" ht="15" hidden="false" customHeight="false" outlineLevel="0" collapsed="false">
      <c r="A205" s="35" t="n">
        <v>31</v>
      </c>
      <c r="B205" s="14" t="s">
        <v>150</v>
      </c>
      <c r="C205" s="12"/>
      <c r="D205" s="12"/>
      <c r="E205" s="13"/>
    </row>
    <row r="206" customFormat="false" ht="15" hidden="false" customHeight="false" outlineLevel="0" collapsed="false">
      <c r="A206" s="35" t="n">
        <v>32</v>
      </c>
      <c r="B206" s="14" t="s">
        <v>151</v>
      </c>
      <c r="C206" s="12"/>
      <c r="D206" s="12"/>
      <c r="E206" s="13"/>
    </row>
    <row r="207" customFormat="false" ht="15" hidden="false" customHeight="false" outlineLevel="0" collapsed="false">
      <c r="A207" s="35" t="n">
        <v>33</v>
      </c>
      <c r="B207" s="14" t="s">
        <v>152</v>
      </c>
      <c r="C207" s="12"/>
      <c r="D207" s="12"/>
      <c r="E207" s="13"/>
    </row>
    <row r="208" customFormat="false" ht="15" hidden="false" customHeight="false" outlineLevel="0" collapsed="false">
      <c r="A208" s="35" t="n">
        <v>34</v>
      </c>
      <c r="B208" s="14" t="s">
        <v>153</v>
      </c>
      <c r="C208" s="12"/>
      <c r="D208" s="12"/>
      <c r="E208" s="13"/>
    </row>
    <row r="209" customFormat="false" ht="15" hidden="false" customHeight="false" outlineLevel="0" collapsed="false">
      <c r="A209" s="35" t="n">
        <v>35</v>
      </c>
      <c r="B209" s="14" t="s">
        <v>155</v>
      </c>
      <c r="C209" s="12"/>
      <c r="D209" s="12"/>
      <c r="E209" s="13"/>
    </row>
    <row r="210" customFormat="false" ht="15" hidden="false" customHeight="false" outlineLevel="0" collapsed="false">
      <c r="A210" s="35" t="n">
        <v>36</v>
      </c>
      <c r="B210" s="14" t="s">
        <v>156</v>
      </c>
      <c r="C210" s="12"/>
      <c r="D210" s="12"/>
      <c r="E210" s="13"/>
    </row>
    <row r="211" customFormat="false" ht="15" hidden="false" customHeight="false" outlineLevel="0" collapsed="false">
      <c r="A211" s="35" t="n">
        <v>37</v>
      </c>
      <c r="B211" s="14" t="s">
        <v>157</v>
      </c>
      <c r="C211" s="12"/>
      <c r="D211" s="12"/>
      <c r="E211" s="13"/>
    </row>
    <row r="212" customFormat="false" ht="15" hidden="false" customHeight="false" outlineLevel="0" collapsed="false">
      <c r="A212" s="35" t="n">
        <v>38</v>
      </c>
      <c r="B212" s="14" t="s">
        <v>158</v>
      </c>
      <c r="C212" s="12"/>
      <c r="D212" s="12"/>
      <c r="E212" s="13"/>
    </row>
    <row r="213" customFormat="false" ht="15" hidden="false" customHeight="false" outlineLevel="0" collapsed="false">
      <c r="A213" s="35" t="n">
        <v>39</v>
      </c>
      <c r="B213" s="14" t="s">
        <v>159</v>
      </c>
      <c r="C213" s="12"/>
      <c r="D213" s="12"/>
      <c r="E213" s="13"/>
    </row>
    <row r="214" customFormat="false" ht="15" hidden="false" customHeight="false" outlineLevel="0" collapsed="false">
      <c r="A214" s="35" t="n">
        <v>40</v>
      </c>
      <c r="B214" s="14" t="s">
        <v>160</v>
      </c>
      <c r="C214" s="12"/>
      <c r="D214" s="12"/>
      <c r="E214" s="13"/>
    </row>
    <row r="215" customFormat="false" ht="15" hidden="false" customHeight="false" outlineLevel="0" collapsed="false">
      <c r="A215" s="35" t="n">
        <v>41</v>
      </c>
      <c r="B215" s="14" t="s">
        <v>161</v>
      </c>
      <c r="C215" s="12"/>
      <c r="D215" s="12"/>
      <c r="E215" s="13"/>
    </row>
    <row r="216" customFormat="false" ht="15" hidden="false" customHeight="false" outlineLevel="0" collapsed="false">
      <c r="A216" s="35" t="n">
        <v>42</v>
      </c>
      <c r="B216" s="14" t="s">
        <v>162</v>
      </c>
      <c r="C216" s="12"/>
      <c r="D216" s="12"/>
      <c r="E216" s="13"/>
    </row>
    <row r="217" customFormat="false" ht="15" hidden="false" customHeight="false" outlineLevel="0" collapsed="false">
      <c r="A217" s="35" t="n">
        <v>43</v>
      </c>
      <c r="B217" s="14" t="s">
        <v>163</v>
      </c>
      <c r="C217" s="12"/>
      <c r="D217" s="12"/>
      <c r="E217" s="13"/>
    </row>
    <row r="218" customFormat="false" ht="15" hidden="false" customHeight="false" outlineLevel="0" collapsed="false">
      <c r="A218" s="35" t="n">
        <v>44</v>
      </c>
      <c r="B218" s="14" t="s">
        <v>164</v>
      </c>
      <c r="C218" s="12"/>
      <c r="D218" s="12"/>
      <c r="E218" s="13"/>
    </row>
    <row r="219" customFormat="false" ht="15" hidden="false" customHeight="false" outlineLevel="0" collapsed="false">
      <c r="A219" s="35" t="n">
        <v>45</v>
      </c>
      <c r="B219" s="14" t="s">
        <v>165</v>
      </c>
      <c r="C219" s="12"/>
      <c r="D219" s="12"/>
      <c r="E219" s="13"/>
    </row>
    <row r="220" customFormat="false" ht="15" hidden="false" customHeight="false" outlineLevel="0" collapsed="false">
      <c r="A220" s="35" t="n">
        <v>46</v>
      </c>
      <c r="B220" s="14" t="s">
        <v>166</v>
      </c>
      <c r="C220" s="12"/>
      <c r="D220" s="12"/>
      <c r="E220" s="13"/>
    </row>
    <row r="221" customFormat="false" ht="15" hidden="false" customHeight="false" outlineLevel="0" collapsed="false">
      <c r="A221" s="35" t="n">
        <v>47</v>
      </c>
      <c r="B221" s="14" t="s">
        <v>167</v>
      </c>
      <c r="C221" s="12"/>
      <c r="D221" s="12"/>
      <c r="E221" s="13"/>
    </row>
    <row r="222" customFormat="false" ht="15" hidden="false" customHeight="false" outlineLevel="0" collapsed="false">
      <c r="A222" s="35" t="n">
        <v>48</v>
      </c>
      <c r="B222" s="14" t="s">
        <v>168</v>
      </c>
      <c r="C222" s="12"/>
      <c r="D222" s="12"/>
      <c r="E222" s="13"/>
    </row>
    <row r="223" customFormat="false" ht="15" hidden="false" customHeight="false" outlineLevel="0" collapsed="false">
      <c r="A223" s="35" t="n">
        <v>49</v>
      </c>
      <c r="B223" s="14" t="s">
        <v>169</v>
      </c>
      <c r="C223" s="12"/>
      <c r="D223" s="12"/>
      <c r="E223" s="13"/>
    </row>
    <row r="224" customFormat="false" ht="15" hidden="false" customHeight="false" outlineLevel="0" collapsed="false">
      <c r="A224" s="35" t="n">
        <v>50</v>
      </c>
      <c r="B224" s="14" t="s">
        <v>170</v>
      </c>
      <c r="C224" s="12"/>
      <c r="D224" s="12"/>
      <c r="E224" s="13"/>
    </row>
    <row r="225" customFormat="false" ht="15" hidden="false" customHeight="false" outlineLevel="0" collapsed="false">
      <c r="A225" s="35" t="n">
        <v>51</v>
      </c>
      <c r="B225" s="14" t="s">
        <v>171</v>
      </c>
      <c r="C225" s="12"/>
      <c r="D225" s="12"/>
      <c r="E225" s="13"/>
    </row>
    <row r="226" customFormat="false" ht="15" hidden="false" customHeight="false" outlineLevel="0" collapsed="false">
      <c r="A226" s="35" t="n">
        <v>52</v>
      </c>
      <c r="B226" s="14" t="s">
        <v>172</v>
      </c>
      <c r="C226" s="12"/>
      <c r="D226" s="12"/>
      <c r="E226" s="13"/>
    </row>
    <row r="227" customFormat="false" ht="15" hidden="false" customHeight="false" outlineLevel="0" collapsed="false">
      <c r="A227" s="35" t="n">
        <v>53</v>
      </c>
      <c r="B227" s="14" t="s">
        <v>173</v>
      </c>
      <c r="C227" s="12"/>
      <c r="D227" s="12"/>
      <c r="E227" s="13"/>
    </row>
    <row r="228" customFormat="false" ht="15" hidden="false" customHeight="false" outlineLevel="0" collapsed="false">
      <c r="A228" s="35" t="n">
        <v>54</v>
      </c>
      <c r="B228" s="14" t="s">
        <v>174</v>
      </c>
      <c r="C228" s="12"/>
      <c r="D228" s="12"/>
      <c r="E228" s="13"/>
    </row>
    <row r="229" customFormat="false" ht="15" hidden="false" customHeight="false" outlineLevel="0" collapsed="false">
      <c r="A229" s="35" t="n">
        <v>55</v>
      </c>
      <c r="B229" s="14" t="s">
        <v>175</v>
      </c>
      <c r="C229" s="12"/>
      <c r="D229" s="12"/>
      <c r="E229" s="13"/>
    </row>
    <row r="230" customFormat="false" ht="15" hidden="false" customHeight="false" outlineLevel="0" collapsed="false">
      <c r="A230" s="35" t="n">
        <v>56</v>
      </c>
      <c r="B230" s="14" t="s">
        <v>176</v>
      </c>
      <c r="C230" s="12"/>
      <c r="D230" s="12"/>
      <c r="E230" s="13"/>
    </row>
    <row r="231" customFormat="false" ht="15" hidden="false" customHeight="false" outlineLevel="0" collapsed="false">
      <c r="A231" s="35" t="n">
        <v>57</v>
      </c>
      <c r="B231" s="14" t="s">
        <v>177</v>
      </c>
      <c r="C231" s="12"/>
      <c r="D231" s="12"/>
      <c r="E231" s="13"/>
    </row>
    <row r="232" customFormat="false" ht="15" hidden="false" customHeight="false" outlineLevel="0" collapsed="false">
      <c r="A232" s="35" t="n">
        <v>58</v>
      </c>
      <c r="B232" s="14" t="s">
        <v>178</v>
      </c>
      <c r="C232" s="12"/>
      <c r="D232" s="12"/>
      <c r="E232" s="13"/>
    </row>
    <row r="233" customFormat="false" ht="15" hidden="false" customHeight="false" outlineLevel="0" collapsed="false">
      <c r="A233" s="35" t="n">
        <v>59</v>
      </c>
      <c r="B233" s="14" t="s">
        <v>179</v>
      </c>
      <c r="C233" s="12"/>
      <c r="D233" s="12"/>
      <c r="E233" s="13"/>
    </row>
    <row r="234" customFormat="false" ht="15" hidden="false" customHeight="false" outlineLevel="0" collapsed="false">
      <c r="A234" s="35" t="n">
        <v>60</v>
      </c>
      <c r="B234" s="14" t="s">
        <v>180</v>
      </c>
      <c r="C234" s="12"/>
      <c r="D234" s="12"/>
      <c r="E234" s="13"/>
    </row>
    <row r="235" customFormat="false" ht="15" hidden="false" customHeight="false" outlineLevel="0" collapsed="false">
      <c r="A235" s="35" t="n">
        <v>61</v>
      </c>
      <c r="B235" s="14" t="s">
        <v>181</v>
      </c>
      <c r="C235" s="12"/>
      <c r="D235" s="12"/>
      <c r="E235" s="13"/>
    </row>
    <row r="236" customFormat="false" ht="15" hidden="false" customHeight="false" outlineLevel="0" collapsed="false">
      <c r="A236" s="35" t="n">
        <v>62</v>
      </c>
      <c r="B236" s="14" t="s">
        <v>182</v>
      </c>
      <c r="C236" s="12"/>
      <c r="D236" s="12"/>
      <c r="E236" s="13"/>
    </row>
    <row r="237" customFormat="false" ht="15" hidden="false" customHeight="false" outlineLevel="0" collapsed="false">
      <c r="A237" s="35" t="n">
        <v>63</v>
      </c>
      <c r="B237" s="14" t="s">
        <v>183</v>
      </c>
      <c r="C237" s="12"/>
      <c r="D237" s="12"/>
      <c r="E237" s="13"/>
    </row>
    <row r="238" customFormat="false" ht="15" hidden="false" customHeight="false" outlineLevel="0" collapsed="false">
      <c r="A238" s="35" t="n">
        <v>64</v>
      </c>
      <c r="B238" s="36" t="s">
        <v>184</v>
      </c>
      <c r="C238" s="12"/>
      <c r="D238" s="37"/>
      <c r="E238" s="13"/>
    </row>
    <row r="239" customFormat="false" ht="15" hidden="false" customHeight="false" outlineLevel="0" collapsed="false">
      <c r="A239" s="35" t="n">
        <v>65</v>
      </c>
      <c r="B239" s="36" t="s">
        <v>185</v>
      </c>
      <c r="C239" s="12"/>
      <c r="D239" s="37"/>
      <c r="E239" s="13"/>
    </row>
    <row r="240" customFormat="false" ht="15" hidden="false" customHeight="false" outlineLevel="0" collapsed="false">
      <c r="A240" s="35" t="n">
        <v>66</v>
      </c>
      <c r="B240" s="36" t="s">
        <v>186</v>
      </c>
      <c r="C240" s="12"/>
      <c r="D240" s="37"/>
      <c r="E240" s="13"/>
    </row>
    <row r="241" customFormat="false" ht="15" hidden="false" customHeight="false" outlineLevel="0" collapsed="false">
      <c r="A241" s="35" t="n">
        <v>67</v>
      </c>
      <c r="B241" s="36" t="s">
        <v>187</v>
      </c>
      <c r="C241" s="12"/>
      <c r="D241" s="37"/>
      <c r="E241" s="13"/>
    </row>
    <row r="242" customFormat="false" ht="15" hidden="false" customHeight="false" outlineLevel="0" collapsed="false">
      <c r="A242" s="35" t="n">
        <v>68</v>
      </c>
      <c r="B242" s="14" t="s">
        <v>189</v>
      </c>
      <c r="C242" s="12"/>
      <c r="D242" s="12"/>
      <c r="E242" s="13"/>
    </row>
    <row r="243" customFormat="false" ht="17.35" hidden="false" customHeight="false" outlineLevel="0" collapsed="false">
      <c r="A243" s="35" t="n">
        <v>69</v>
      </c>
      <c r="B243" s="22" t="s">
        <v>30</v>
      </c>
      <c r="C243" s="23" t="n">
        <f aca="false">SUM(C175:C242)</f>
        <v>0</v>
      </c>
      <c r="D243" s="24" t="n">
        <f aca="false">SUM(D175:D242)</f>
        <v>0</v>
      </c>
      <c r="E243" s="25" t="n">
        <f aca="false">SUM(E175:E242)</f>
        <v>0</v>
      </c>
    </row>
    <row r="244" customFormat="false" ht="15" hidden="false" customHeight="false" outlineLevel="0" collapsed="false">
      <c r="A244" s="15"/>
    </row>
    <row r="247" customFormat="false" ht="17.35" hidden="false" customHeight="false" outlineLevel="0" collapsed="false">
      <c r="A247" s="1"/>
      <c r="B247" s="2" t="s">
        <v>0</v>
      </c>
    </row>
    <row r="248" customFormat="false" ht="17.35" hidden="false" customHeight="false" outlineLevel="0" collapsed="false">
      <c r="A248" s="33"/>
    </row>
    <row r="249" customFormat="false" ht="15" hidden="false" customHeight="false" outlineLevel="0" collapsed="false">
      <c r="A249" s="1"/>
    </row>
    <row r="250" customFormat="false" ht="17.25" hidden="false" customHeight="false" outlineLevel="0" collapsed="false">
      <c r="A250" s="1"/>
      <c r="B250" s="3" t="s">
        <v>738</v>
      </c>
    </row>
    <row r="251" customFormat="false" ht="15" hidden="false" customHeight="false" outlineLevel="0" collapsed="false">
      <c r="A251" s="1"/>
      <c r="D251" s="4" t="s">
        <v>2</v>
      </c>
    </row>
    <row r="252" customFormat="false" ht="15" hidden="false" customHeight="false" outlineLevel="0" collapsed="false">
      <c r="A252" s="1"/>
    </row>
    <row r="253" customFormat="false" ht="15" hidden="false" customHeight="false" outlineLevel="0" collapsed="false">
      <c r="A253" s="5" t="s">
        <v>3</v>
      </c>
      <c r="B253" s="6" t="s">
        <v>4</v>
      </c>
      <c r="C253" s="7" t="s">
        <v>5</v>
      </c>
      <c r="D253" s="8" t="s">
        <v>6</v>
      </c>
      <c r="E253" s="9" t="s">
        <v>7</v>
      </c>
    </row>
    <row r="254" customFormat="false" ht="15" hidden="false" customHeight="false" outlineLevel="0" collapsed="false">
      <c r="A254" s="26" t="n">
        <v>1</v>
      </c>
      <c r="B254" s="14" t="s">
        <v>972</v>
      </c>
      <c r="C254" s="12"/>
      <c r="D254" s="12"/>
      <c r="E254" s="13"/>
    </row>
    <row r="255" customFormat="false" ht="15" hidden="false" customHeight="false" outlineLevel="0" collapsed="false">
      <c r="A255" s="10" t="n">
        <v>2</v>
      </c>
      <c r="B255" s="14" t="s">
        <v>973</v>
      </c>
      <c r="C255" s="12"/>
      <c r="D255" s="12"/>
      <c r="E255" s="13"/>
    </row>
    <row r="256" customFormat="false" ht="15" hidden="false" customHeight="false" outlineLevel="0" collapsed="false">
      <c r="A256" s="10"/>
      <c r="B256" s="14"/>
      <c r="C256" s="12"/>
      <c r="D256" s="12"/>
      <c r="E256" s="13" t="n">
        <f aca="false">C256-D256</f>
        <v>0</v>
      </c>
    </row>
    <row r="257" customFormat="false" ht="17.35" hidden="false" customHeight="false" outlineLevel="0" collapsed="false">
      <c r="A257" s="21"/>
      <c r="B257" s="22" t="s">
        <v>30</v>
      </c>
      <c r="C257" s="23" t="n">
        <f aca="false">SUM(C254:C256)</f>
        <v>0</v>
      </c>
      <c r="D257" s="24" t="n">
        <f aca="false">SUM(D254:D256)</f>
        <v>0</v>
      </c>
      <c r="E257" s="25" t="n">
        <f aca="false">SUM(E254:E256)</f>
        <v>0</v>
      </c>
    </row>
    <row r="2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9" activeCellId="0" sqref="J69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8.86"/>
    <col collapsed="false" customWidth="true" hidden="false" outlineLevel="0" max="3" min="3" style="0" width="13.29"/>
    <col collapsed="false" customWidth="true" hidden="false" outlineLevel="0" max="4" min="4" style="0" width="13.86"/>
    <col collapsed="false" customWidth="true" hidden="false" outlineLevel="0" max="5" min="5" style="0" width="14.14"/>
    <col collapsed="false" customWidth="true" hidden="false" outlineLevel="0" max="6" min="6" style="0" width="17.57"/>
    <col collapsed="false" customWidth="true" hidden="false" outlineLevel="0" max="7" min="7" style="0" width="8.43"/>
  </cols>
  <sheetData>
    <row r="3" customFormat="false" ht="15" hidden="false" customHeight="false" outlineLevel="0" collapsed="false">
      <c r="A3" s="99"/>
      <c r="B3" s="186" t="s">
        <v>974</v>
      </c>
      <c r="C3" s="99"/>
      <c r="D3" s="99"/>
      <c r="E3" s="99"/>
    </row>
    <row r="4" customFormat="false" ht="15" hidden="false" customHeight="false" outlineLevel="0" collapsed="false">
      <c r="A4" s="99"/>
      <c r="B4" s="3"/>
      <c r="C4" s="99"/>
      <c r="D4" s="99"/>
      <c r="E4" s="99"/>
    </row>
    <row r="5" customFormat="false" ht="15" hidden="false" customHeight="false" outlineLevel="0" collapsed="false">
      <c r="A5" s="99"/>
      <c r="B5" s="99"/>
      <c r="C5" s="100" t="s">
        <v>975</v>
      </c>
      <c r="D5" s="99"/>
      <c r="E5" s="99"/>
    </row>
    <row r="6" customFormat="false" ht="15" hidden="false" customHeight="false" outlineLevel="0" collapsed="false">
      <c r="A6" s="99"/>
      <c r="B6" s="3"/>
      <c r="C6" s="99"/>
      <c r="D6" s="99"/>
      <c r="E6" s="99"/>
    </row>
    <row r="7" customFormat="false" ht="15" hidden="false" customHeight="false" outlineLevel="0" collapsed="false">
      <c r="A7" s="99"/>
      <c r="B7" s="100" t="s">
        <v>976</v>
      </c>
      <c r="C7" s="99"/>
      <c r="D7" s="99"/>
      <c r="E7" s="99"/>
    </row>
    <row r="8" customFormat="false" ht="15" hidden="false" customHeight="false" outlineLevel="0" collapsed="false">
      <c r="A8" s="99"/>
      <c r="B8" s="99"/>
      <c r="C8" s="99"/>
      <c r="D8" s="99"/>
      <c r="E8" s="99"/>
    </row>
    <row r="9" customFormat="false" ht="15" hidden="false" customHeight="false" outlineLevel="0" collapsed="false">
      <c r="A9" s="187" t="s">
        <v>3</v>
      </c>
      <c r="B9" s="188" t="s">
        <v>977</v>
      </c>
      <c r="C9" s="188" t="s">
        <v>978</v>
      </c>
      <c r="D9" s="188" t="s">
        <v>979</v>
      </c>
      <c r="E9" s="189" t="s">
        <v>980</v>
      </c>
    </row>
    <row r="10" customFormat="false" ht="15" hidden="false" customHeight="false" outlineLevel="0" collapsed="false">
      <c r="A10" s="190"/>
      <c r="B10" s="191" t="s">
        <v>981</v>
      </c>
      <c r="C10" s="192" t="n">
        <v>97374458</v>
      </c>
      <c r="D10" s="193" t="s">
        <v>982</v>
      </c>
      <c r="E10" s="194"/>
    </row>
    <row r="11" customFormat="false" ht="15" hidden="false" customHeight="false" outlineLevel="0" collapsed="false">
      <c r="A11" s="195" t="n">
        <v>1</v>
      </c>
      <c r="B11" s="101" t="s">
        <v>983</v>
      </c>
      <c r="C11" s="196" t="n">
        <v>96619484</v>
      </c>
      <c r="D11" s="197" t="s">
        <v>984</v>
      </c>
      <c r="E11" s="198"/>
    </row>
    <row r="12" customFormat="false" ht="15" hidden="false" customHeight="false" outlineLevel="0" collapsed="false">
      <c r="A12" s="195" t="n">
        <v>2</v>
      </c>
      <c r="B12" s="101" t="s">
        <v>985</v>
      </c>
      <c r="C12" s="196" t="n">
        <v>96185890</v>
      </c>
      <c r="D12" s="197" t="s">
        <v>986</v>
      </c>
      <c r="E12" s="198"/>
    </row>
    <row r="13" customFormat="false" ht="15" hidden="false" customHeight="false" outlineLevel="0" collapsed="false">
      <c r="A13" s="195" t="n">
        <v>3</v>
      </c>
      <c r="B13" s="101" t="s">
        <v>987</v>
      </c>
      <c r="C13" s="196" t="n">
        <v>97877227</v>
      </c>
      <c r="D13" s="101"/>
      <c r="E13" s="198"/>
    </row>
    <row r="14" customFormat="false" ht="15" hidden="false" customHeight="false" outlineLevel="0" collapsed="false">
      <c r="A14" s="199" t="n">
        <v>4</v>
      </c>
      <c r="B14" s="200" t="s">
        <v>988</v>
      </c>
      <c r="C14" s="201" t="n">
        <v>97475188</v>
      </c>
      <c r="D14" s="202" t="s">
        <v>989</v>
      </c>
      <c r="E14" s="203" t="s">
        <v>990</v>
      </c>
    </row>
    <row r="15" customFormat="false" ht="15" hidden="false" customHeight="false" outlineLevel="0" collapsed="false">
      <c r="A15" s="195" t="n">
        <v>5</v>
      </c>
      <c r="B15" s="101" t="s">
        <v>991</v>
      </c>
      <c r="C15" s="196" t="n">
        <v>67142227</v>
      </c>
      <c r="D15" s="197" t="s">
        <v>992</v>
      </c>
      <c r="E15" s="198"/>
    </row>
    <row r="16" customFormat="false" ht="15" hidden="false" customHeight="false" outlineLevel="0" collapsed="false">
      <c r="A16" s="195" t="n">
        <v>6</v>
      </c>
      <c r="B16" s="101" t="s">
        <v>886</v>
      </c>
      <c r="C16" s="196" t="n">
        <v>66894347</v>
      </c>
      <c r="D16" s="197" t="s">
        <v>993</v>
      </c>
      <c r="E16" s="198"/>
    </row>
    <row r="17" customFormat="false" ht="15" hidden="false" customHeight="false" outlineLevel="0" collapsed="false">
      <c r="A17" s="195" t="n">
        <v>7</v>
      </c>
      <c r="B17" s="101" t="s">
        <v>994</v>
      </c>
      <c r="C17" s="196" t="n">
        <v>97027122</v>
      </c>
      <c r="D17" s="101"/>
      <c r="E17" s="198"/>
    </row>
    <row r="18" customFormat="false" ht="15" hidden="false" customHeight="false" outlineLevel="0" collapsed="false">
      <c r="A18" s="195" t="n">
        <v>8</v>
      </c>
      <c r="B18" s="101" t="s">
        <v>995</v>
      </c>
      <c r="C18" s="196" t="n">
        <v>97459161</v>
      </c>
      <c r="D18" s="197" t="s">
        <v>996</v>
      </c>
      <c r="E18" s="198"/>
    </row>
    <row r="19" customFormat="false" ht="15" hidden="false" customHeight="false" outlineLevel="0" collapsed="false">
      <c r="A19" s="195" t="n">
        <v>9</v>
      </c>
      <c r="B19" s="101" t="s">
        <v>900</v>
      </c>
      <c r="C19" s="196" t="n">
        <v>96547050</v>
      </c>
      <c r="D19" s="197" t="s">
        <v>997</v>
      </c>
      <c r="E19" s="198"/>
    </row>
    <row r="20" customFormat="false" ht="15" hidden="false" customHeight="false" outlineLevel="0" collapsed="false">
      <c r="A20" s="195" t="n">
        <v>10</v>
      </c>
      <c r="B20" s="101" t="s">
        <v>998</v>
      </c>
      <c r="C20" s="196" t="n">
        <v>96517340</v>
      </c>
      <c r="D20" s="197" t="s">
        <v>999</v>
      </c>
      <c r="E20" s="198"/>
    </row>
    <row r="21" customFormat="false" ht="15" hidden="false" customHeight="false" outlineLevel="0" collapsed="false">
      <c r="A21" s="195" t="n">
        <v>11</v>
      </c>
      <c r="B21" s="101" t="s">
        <v>1000</v>
      </c>
      <c r="C21" s="196" t="n">
        <v>95752568</v>
      </c>
      <c r="D21" s="197" t="s">
        <v>1001</v>
      </c>
      <c r="E21" s="198"/>
    </row>
    <row r="22" customFormat="false" ht="15" hidden="false" customHeight="false" outlineLevel="0" collapsed="false">
      <c r="A22" s="195" t="n">
        <v>12</v>
      </c>
      <c r="B22" s="101" t="s">
        <v>1002</v>
      </c>
      <c r="C22" s="196" t="n">
        <v>97495400</v>
      </c>
      <c r="D22" s="197" t="s">
        <v>1003</v>
      </c>
      <c r="E22" s="198"/>
    </row>
    <row r="23" customFormat="false" ht="15" hidden="false" customHeight="false" outlineLevel="0" collapsed="false">
      <c r="A23" s="195" t="n">
        <v>13</v>
      </c>
      <c r="B23" s="101" t="s">
        <v>1004</v>
      </c>
      <c r="C23" s="196" t="n">
        <v>96368727</v>
      </c>
      <c r="D23" s="101"/>
      <c r="E23" s="198"/>
    </row>
    <row r="24" customFormat="false" ht="15" hidden="false" customHeight="false" outlineLevel="0" collapsed="false">
      <c r="A24" s="195" t="n">
        <v>14</v>
      </c>
      <c r="B24" s="101" t="s">
        <v>1005</v>
      </c>
      <c r="C24" s="196" t="n">
        <v>96285931</v>
      </c>
      <c r="D24" s="197" t="s">
        <v>1006</v>
      </c>
      <c r="E24" s="198"/>
    </row>
    <row r="25" customFormat="false" ht="15" hidden="false" customHeight="false" outlineLevel="0" collapsed="false">
      <c r="A25" s="195" t="n">
        <v>15</v>
      </c>
      <c r="B25" s="101" t="s">
        <v>1007</v>
      </c>
      <c r="C25" s="196" t="n">
        <v>96939593</v>
      </c>
      <c r="D25" s="101"/>
      <c r="E25" s="198"/>
    </row>
    <row r="26" customFormat="false" ht="15" hidden="false" customHeight="false" outlineLevel="0" collapsed="false">
      <c r="A26" s="195" t="n">
        <v>16</v>
      </c>
      <c r="B26" s="101" t="s">
        <v>1008</v>
      </c>
      <c r="C26" s="196" t="n">
        <v>67273637</v>
      </c>
      <c r="D26" s="101"/>
      <c r="E26" s="198"/>
    </row>
    <row r="27" customFormat="false" ht="15" hidden="false" customHeight="false" outlineLevel="0" collapsed="false">
      <c r="A27" s="195" t="n">
        <v>17</v>
      </c>
      <c r="B27" s="101" t="s">
        <v>1009</v>
      </c>
      <c r="C27" s="196" t="n">
        <v>96569917</v>
      </c>
      <c r="D27" s="101"/>
      <c r="E27" s="198"/>
    </row>
    <row r="28" customFormat="false" ht="15" hidden="false" customHeight="false" outlineLevel="0" collapsed="false">
      <c r="A28" s="195" t="n">
        <v>18</v>
      </c>
      <c r="B28" s="101" t="s">
        <v>1010</v>
      </c>
      <c r="C28" s="196" t="n">
        <v>67038492</v>
      </c>
      <c r="D28" s="197" t="s">
        <v>1011</v>
      </c>
      <c r="E28" s="198"/>
    </row>
    <row r="29" customFormat="false" ht="15" hidden="false" customHeight="false" outlineLevel="0" collapsed="false">
      <c r="A29" s="195" t="n">
        <v>19</v>
      </c>
      <c r="B29" s="101" t="s">
        <v>1012</v>
      </c>
      <c r="C29" s="196" t="n">
        <v>97229678</v>
      </c>
      <c r="D29" s="101"/>
      <c r="E29" s="198"/>
    </row>
    <row r="30" customFormat="false" ht="15" hidden="false" customHeight="false" outlineLevel="0" collapsed="false">
      <c r="A30" s="195" t="n">
        <v>20</v>
      </c>
      <c r="B30" s="101" t="s">
        <v>1013</v>
      </c>
      <c r="C30" s="196" t="n">
        <v>97679191</v>
      </c>
      <c r="D30" s="197" t="s">
        <v>1014</v>
      </c>
      <c r="E30" s="198"/>
    </row>
    <row r="31" customFormat="false" ht="15" hidden="false" customHeight="false" outlineLevel="0" collapsed="false">
      <c r="A31" s="195" t="n">
        <v>21</v>
      </c>
      <c r="B31" s="101" t="s">
        <v>1015</v>
      </c>
      <c r="C31" s="196" t="n">
        <v>97397405</v>
      </c>
      <c r="D31" s="101"/>
      <c r="E31" s="198"/>
    </row>
    <row r="32" customFormat="false" ht="15" hidden="false" customHeight="false" outlineLevel="0" collapsed="false">
      <c r="A32" s="195" t="n">
        <v>22</v>
      </c>
      <c r="B32" s="101" t="s">
        <v>1016</v>
      </c>
      <c r="C32" s="196" t="n">
        <v>66046772</v>
      </c>
      <c r="D32" s="197" t="s">
        <v>1017</v>
      </c>
      <c r="E32" s="198"/>
    </row>
    <row r="33" customFormat="false" ht="15" hidden="false" customHeight="false" outlineLevel="0" collapsed="false">
      <c r="A33" s="195" t="n">
        <v>23</v>
      </c>
      <c r="B33" s="101" t="s">
        <v>1018</v>
      </c>
      <c r="C33" s="196"/>
      <c r="D33" s="101"/>
      <c r="E33" s="198"/>
    </row>
    <row r="34" customFormat="false" ht="15" hidden="false" customHeight="false" outlineLevel="0" collapsed="false">
      <c r="A34" s="195" t="n">
        <v>24</v>
      </c>
      <c r="B34" s="101" t="s">
        <v>894</v>
      </c>
      <c r="C34" s="196" t="n">
        <v>66343058</v>
      </c>
      <c r="D34" s="101"/>
      <c r="E34" s="198"/>
    </row>
    <row r="35" customFormat="false" ht="15" hidden="false" customHeight="false" outlineLevel="0" collapsed="false">
      <c r="A35" s="195" t="n">
        <v>25</v>
      </c>
      <c r="B35" s="101" t="s">
        <v>1019</v>
      </c>
      <c r="C35" s="196" t="n">
        <v>64658281</v>
      </c>
      <c r="D35" s="197" t="s">
        <v>1020</v>
      </c>
      <c r="E35" s="198"/>
    </row>
    <row r="36" customFormat="false" ht="15" hidden="false" customHeight="false" outlineLevel="0" collapsed="false">
      <c r="A36" s="195" t="n">
        <v>26</v>
      </c>
      <c r="B36" s="101" t="s">
        <v>1021</v>
      </c>
      <c r="C36" s="196" t="n">
        <v>67154582</v>
      </c>
      <c r="D36" s="197" t="s">
        <v>1022</v>
      </c>
      <c r="E36" s="198"/>
    </row>
    <row r="37" customFormat="false" ht="15" hidden="false" customHeight="false" outlineLevel="0" collapsed="false">
      <c r="A37" s="195" t="n">
        <v>27</v>
      </c>
      <c r="B37" s="101" t="s">
        <v>1023</v>
      </c>
      <c r="C37" s="196" t="n">
        <v>97826183</v>
      </c>
      <c r="D37" s="197" t="s">
        <v>1024</v>
      </c>
      <c r="E37" s="198"/>
    </row>
    <row r="38" customFormat="false" ht="15" hidden="false" customHeight="false" outlineLevel="0" collapsed="false">
      <c r="A38" s="195" t="n">
        <v>28</v>
      </c>
      <c r="B38" s="101" t="s">
        <v>1025</v>
      </c>
      <c r="C38" s="196" t="n">
        <v>97640944</v>
      </c>
      <c r="D38" s="101"/>
      <c r="E38" s="198"/>
    </row>
    <row r="39" customFormat="false" ht="15" hidden="false" customHeight="false" outlineLevel="0" collapsed="false">
      <c r="A39" s="195" t="n">
        <v>29</v>
      </c>
      <c r="B39" s="101" t="s">
        <v>1026</v>
      </c>
      <c r="C39" s="196" t="n">
        <v>97361546</v>
      </c>
      <c r="D39" s="197" t="s">
        <v>1027</v>
      </c>
      <c r="E39" s="198"/>
    </row>
    <row r="40" customFormat="false" ht="15" hidden="false" customHeight="false" outlineLevel="0" collapsed="false">
      <c r="A40" s="195" t="n">
        <v>30</v>
      </c>
      <c r="B40" s="101" t="s">
        <v>1028</v>
      </c>
      <c r="C40" s="196" t="n">
        <v>96692926</v>
      </c>
      <c r="D40" s="197" t="s">
        <v>1029</v>
      </c>
      <c r="E40" s="198"/>
    </row>
    <row r="41" customFormat="false" ht="15" hidden="false" customHeight="false" outlineLevel="0" collapsed="false">
      <c r="A41" s="195" t="n">
        <v>31</v>
      </c>
      <c r="B41" s="101" t="s">
        <v>1030</v>
      </c>
      <c r="C41" s="196" t="n">
        <v>66089937</v>
      </c>
      <c r="D41" s="101"/>
      <c r="E41" s="198"/>
    </row>
    <row r="42" customFormat="false" ht="15" hidden="false" customHeight="false" outlineLevel="0" collapsed="false">
      <c r="A42" s="195" t="n">
        <v>32</v>
      </c>
      <c r="B42" s="101" t="s">
        <v>1031</v>
      </c>
      <c r="C42" s="196" t="n">
        <v>97026977</v>
      </c>
      <c r="D42" s="101"/>
      <c r="E42" s="198"/>
    </row>
    <row r="43" customFormat="false" ht="15" hidden="false" customHeight="false" outlineLevel="0" collapsed="false">
      <c r="A43" s="195" t="n">
        <v>33</v>
      </c>
      <c r="B43" s="101" t="s">
        <v>1032</v>
      </c>
      <c r="C43" s="196" t="n">
        <v>67248320</v>
      </c>
      <c r="D43" s="101"/>
      <c r="E43" s="198"/>
    </row>
    <row r="44" customFormat="false" ht="15" hidden="false" customHeight="false" outlineLevel="0" collapsed="false">
      <c r="A44" s="195" t="n">
        <v>34</v>
      </c>
      <c r="B44" s="101" t="s">
        <v>1033</v>
      </c>
      <c r="C44" s="196" t="n">
        <v>95074826</v>
      </c>
      <c r="D44" s="101"/>
      <c r="E44" s="198"/>
    </row>
    <row r="45" customFormat="false" ht="15" hidden="false" customHeight="false" outlineLevel="0" collapsed="false">
      <c r="A45" s="195" t="n">
        <v>35</v>
      </c>
      <c r="B45" s="101" t="s">
        <v>1034</v>
      </c>
      <c r="C45" s="196" t="n">
        <v>94659043</v>
      </c>
      <c r="D45" s="197" t="s">
        <v>1035</v>
      </c>
      <c r="E45" s="198"/>
    </row>
    <row r="46" customFormat="false" ht="21.75" hidden="false" customHeight="true" outlineLevel="0" collapsed="false">
      <c r="A46" s="195" t="n">
        <v>36</v>
      </c>
      <c r="B46" s="101" t="s">
        <v>1036</v>
      </c>
      <c r="C46" s="204" t="s">
        <v>1037</v>
      </c>
      <c r="D46" s="197" t="s">
        <v>1038</v>
      </c>
      <c r="E46" s="198"/>
    </row>
    <row r="47" customFormat="false" ht="15" hidden="false" customHeight="false" outlineLevel="0" collapsed="false">
      <c r="A47" s="195" t="n">
        <v>37</v>
      </c>
      <c r="B47" s="101" t="s">
        <v>1039</v>
      </c>
      <c r="C47" s="196" t="n">
        <v>97580696</v>
      </c>
      <c r="D47" s="205"/>
      <c r="E47" s="198"/>
    </row>
    <row r="48" customFormat="false" ht="15" hidden="false" customHeight="false" outlineLevel="0" collapsed="false">
      <c r="A48" s="195" t="n">
        <v>38</v>
      </c>
      <c r="B48" s="101" t="s">
        <v>1040</v>
      </c>
      <c r="C48" s="196" t="n">
        <v>97176102</v>
      </c>
      <c r="D48" s="101"/>
      <c r="E48" s="198"/>
    </row>
    <row r="49" customFormat="false" ht="15" hidden="false" customHeight="false" outlineLevel="0" collapsed="false">
      <c r="A49" s="195" t="n">
        <v>39</v>
      </c>
      <c r="B49" s="101" t="s">
        <v>1041</v>
      </c>
      <c r="C49" s="196" t="n">
        <v>97018681</v>
      </c>
      <c r="D49" s="101"/>
      <c r="E49" s="198"/>
    </row>
    <row r="50" customFormat="false" ht="15" hidden="false" customHeight="false" outlineLevel="0" collapsed="false">
      <c r="A50" s="199" t="n">
        <v>40</v>
      </c>
      <c r="B50" s="200" t="s">
        <v>1042</v>
      </c>
      <c r="C50" s="201" t="n">
        <v>96686150</v>
      </c>
      <c r="D50" s="200"/>
      <c r="E50" s="203" t="s">
        <v>1043</v>
      </c>
    </row>
    <row r="51" customFormat="false" ht="15" hidden="false" customHeight="false" outlineLevel="0" collapsed="false">
      <c r="A51" s="195" t="n">
        <v>41</v>
      </c>
      <c r="B51" s="101" t="s">
        <v>1044</v>
      </c>
      <c r="C51" s="196" t="n">
        <v>97014421</v>
      </c>
      <c r="D51" s="101"/>
      <c r="E51" s="198"/>
    </row>
    <row r="52" customFormat="false" ht="15" hidden="false" customHeight="false" outlineLevel="0" collapsed="false">
      <c r="A52" s="195" t="n">
        <v>42</v>
      </c>
      <c r="B52" s="101" t="s">
        <v>1045</v>
      </c>
      <c r="C52" s="196" t="n">
        <v>97644993</v>
      </c>
      <c r="D52" s="197" t="s">
        <v>1046</v>
      </c>
      <c r="E52" s="198"/>
    </row>
    <row r="53" customFormat="false" ht="15" hidden="false" customHeight="false" outlineLevel="0" collapsed="false">
      <c r="A53" s="195" t="n">
        <v>43</v>
      </c>
      <c r="B53" s="101" t="s">
        <v>1047</v>
      </c>
      <c r="C53" s="196" t="n">
        <v>97457699</v>
      </c>
      <c r="D53" s="101"/>
      <c r="E53" s="198"/>
    </row>
    <row r="54" customFormat="false" ht="15" hidden="false" customHeight="false" outlineLevel="0" collapsed="false">
      <c r="A54" s="195" t="n">
        <v>44</v>
      </c>
      <c r="B54" s="101" t="s">
        <v>1048</v>
      </c>
      <c r="C54" s="196" t="n">
        <v>95629110</v>
      </c>
      <c r="D54" s="197" t="s">
        <v>1049</v>
      </c>
      <c r="E54" s="198"/>
    </row>
    <row r="55" customFormat="false" ht="15" hidden="false" customHeight="false" outlineLevel="0" collapsed="false">
      <c r="A55" s="195" t="n">
        <v>45</v>
      </c>
      <c r="B55" s="101" t="s">
        <v>1050</v>
      </c>
      <c r="C55" s="196" t="n">
        <v>66300818</v>
      </c>
      <c r="D55" s="197"/>
      <c r="E55" s="198"/>
    </row>
    <row r="56" customFormat="false" ht="15" hidden="false" customHeight="false" outlineLevel="0" collapsed="false">
      <c r="A56" s="206" t="n">
        <v>46</v>
      </c>
      <c r="B56" s="207" t="s">
        <v>1051</v>
      </c>
      <c r="C56" s="208"/>
      <c r="D56" s="207"/>
      <c r="E56" s="209"/>
    </row>
    <row r="57" customFormat="false" ht="15" hidden="false" customHeight="false" outlineLevel="0" collapsed="false">
      <c r="A57" s="99"/>
      <c r="B57" s="99"/>
      <c r="C57" s="99"/>
      <c r="D57" s="99"/>
      <c r="E57" s="99"/>
    </row>
    <row r="58" customFormat="false" ht="15" hidden="false" customHeight="false" outlineLevel="0" collapsed="false">
      <c r="A58" s="99"/>
      <c r="B58" s="99"/>
      <c r="C58" s="99"/>
      <c r="D58" s="99"/>
      <c r="E58" s="99"/>
    </row>
    <row r="59" customFormat="false" ht="15" hidden="false" customHeight="false" outlineLevel="0" collapsed="false">
      <c r="A59" s="99"/>
      <c r="B59" s="99"/>
      <c r="C59" s="99"/>
      <c r="D59" s="99"/>
      <c r="E59" s="99"/>
    </row>
    <row r="62" customFormat="false" ht="15" hidden="false" customHeight="false" outlineLevel="0" collapsed="false">
      <c r="A62" s="109" t="s">
        <v>901</v>
      </c>
      <c r="B62" s="110"/>
      <c r="C62" s="110"/>
      <c r="D62" s="110"/>
      <c r="E62" s="110"/>
      <c r="F62" s="110"/>
      <c r="G62" s="110"/>
    </row>
    <row r="63" customFormat="false" ht="15" hidden="false" customHeight="false" outlineLevel="0" collapsed="false">
      <c r="A63" s="111" t="s">
        <v>902</v>
      </c>
      <c r="B63" s="110" t="s">
        <v>903</v>
      </c>
      <c r="C63" s="110"/>
      <c r="D63" s="110"/>
      <c r="E63" s="112"/>
      <c r="F63" s="110"/>
      <c r="G63" s="110"/>
    </row>
    <row r="65" customFormat="false" ht="42" hidden="false" customHeight="true" outlineLevel="0" collapsed="false">
      <c r="A65" s="210" t="s">
        <v>904</v>
      </c>
      <c r="B65" s="211" t="s">
        <v>905</v>
      </c>
      <c r="C65" s="210" t="s">
        <v>906</v>
      </c>
      <c r="D65" s="212" t="s">
        <v>907</v>
      </c>
      <c r="E65" s="210" t="s">
        <v>908</v>
      </c>
      <c r="F65" s="116" t="s">
        <v>909</v>
      </c>
    </row>
    <row r="66" customFormat="false" ht="15" hidden="false" customHeight="false" outlineLevel="0" collapsed="false">
      <c r="A66" s="117"/>
      <c r="B66" s="118"/>
      <c r="C66" s="119"/>
      <c r="D66" s="119"/>
      <c r="E66" s="119"/>
      <c r="F66" s="120"/>
    </row>
    <row r="67" customFormat="false" ht="25.5" hidden="false" customHeight="true" outlineLevel="0" collapsed="false">
      <c r="A67" s="121" t="s">
        <v>1052</v>
      </c>
      <c r="B67" s="122" t="n">
        <v>17</v>
      </c>
      <c r="C67" s="123" t="n">
        <v>6375000</v>
      </c>
      <c r="D67" s="123" t="n">
        <v>6000000</v>
      </c>
      <c r="E67" s="124" t="n">
        <v>375000</v>
      </c>
      <c r="F67" s="125" t="n">
        <f aca="false">D67/C67</f>
        <v>0.941176470588235</v>
      </c>
    </row>
    <row r="68" customFormat="false" ht="27" hidden="false" customHeight="true" outlineLevel="0" collapsed="false">
      <c r="A68" s="121" t="s">
        <v>1053</v>
      </c>
      <c r="B68" s="122" t="n">
        <v>27</v>
      </c>
      <c r="C68" s="123" t="n">
        <v>20250000</v>
      </c>
      <c r="D68" s="123" t="n">
        <v>13920000</v>
      </c>
      <c r="E68" s="124" t="n">
        <v>6330000</v>
      </c>
      <c r="F68" s="125" t="n">
        <f aca="false">D68/C68</f>
        <v>0.687407407407407</v>
      </c>
    </row>
    <row r="69" customFormat="false" ht="20.25" hidden="false" customHeight="true" outlineLevel="0" collapsed="false">
      <c r="A69" s="121" t="s">
        <v>1054</v>
      </c>
      <c r="B69" s="122" t="n">
        <v>19</v>
      </c>
      <c r="C69" s="123" t="n">
        <v>14250000</v>
      </c>
      <c r="D69" s="123" t="n">
        <v>6930000</v>
      </c>
      <c r="E69" s="124" t="n">
        <v>7320000</v>
      </c>
      <c r="F69" s="125" t="n">
        <f aca="false">D69/C69</f>
        <v>0.486315789473684</v>
      </c>
    </row>
    <row r="70" customFormat="false" ht="19.5" hidden="false" customHeight="true" outlineLevel="0" collapsed="false">
      <c r="A70" s="121" t="s">
        <v>1055</v>
      </c>
      <c r="B70" s="122" t="n">
        <v>18</v>
      </c>
      <c r="C70" s="123" t="n">
        <v>7650000</v>
      </c>
      <c r="D70" s="123" t="n">
        <v>7600000</v>
      </c>
      <c r="E70" s="124" t="n">
        <v>50000</v>
      </c>
      <c r="F70" s="125" t="n">
        <f aca="false">D70/C70</f>
        <v>0.993464052287582</v>
      </c>
    </row>
    <row r="71" customFormat="false" ht="23.25" hidden="false" customHeight="true" outlineLevel="0" collapsed="false">
      <c r="A71" s="138"/>
      <c r="B71" s="165"/>
      <c r="C71" s="140"/>
      <c r="D71" s="140"/>
      <c r="E71" s="140"/>
      <c r="F71" s="156"/>
    </row>
    <row r="72" customFormat="false" ht="22.5" hidden="false" customHeight="true" outlineLevel="0" collapsed="false">
      <c r="A72" s="166" t="s">
        <v>945</v>
      </c>
      <c r="B72" s="167" t="n">
        <f aca="false">SUM(B67:B71)</f>
        <v>81</v>
      </c>
      <c r="C72" s="167" t="n">
        <f aca="false">SUM(C67:C71)</f>
        <v>48525000</v>
      </c>
      <c r="D72" s="168" t="n">
        <f aca="false">SUM(D67:D71)</f>
        <v>34450000</v>
      </c>
      <c r="E72" s="167" t="n">
        <f aca="false">SUM(E67:E71)</f>
        <v>14075000</v>
      </c>
      <c r="F72" s="169" t="n">
        <f aca="false">D72/C72</f>
        <v>0.70994332818135</v>
      </c>
    </row>
    <row r="73" customFormat="false" ht="15.75" hidden="false" customHeight="false" outlineLevel="0" collapsed="false">
      <c r="A73" s="170"/>
      <c r="B73" s="170"/>
      <c r="C73" s="171"/>
      <c r="D73" s="171"/>
      <c r="E73" s="171"/>
      <c r="F73" s="172"/>
    </row>
  </sheetData>
  <hyperlinks>
    <hyperlink ref="D10" r:id="rId1" display="ezkadjov@gmail.com"/>
    <hyperlink ref="D11" r:id="rId2" display="afouda96fabice@gmail.com"/>
    <hyperlink ref="D12" r:id="rId3" display="finagnonb@yahoo.fr"/>
    <hyperlink ref="D14" r:id="rId4" display="rodrigue.allognon@yahoo.fr "/>
    <hyperlink ref="D15" r:id="rId5" display="allocop1@gmail.com"/>
    <hyperlink ref="D16" r:id="rId6" display="prudencioamoussou@gmail.com"/>
    <hyperlink ref="D18" r:id="rId7" display="setchegbee1@yahoo.fr"/>
    <hyperlink ref="D19" r:id="rId8" display="atcédric.91@gmail.com"/>
    <hyperlink ref="D20" r:id="rId9" display="oscar.bokovo@yahoo.fr"/>
    <hyperlink ref="D21" r:id="rId10" display="lapatmail@yahoo.fr"/>
    <hyperlink ref="D22" r:id="rId11" display="abnahel@yahoo.fr"/>
    <hyperlink ref="D24" r:id="rId12" display="djoertho@gmail.com"/>
    <hyperlink ref="D28" r:id="rId13" display="ditoudogiovanni@gmail.com"/>
    <hyperlink ref="D30" r:id="rId14" display="heric1981@yahoo.fr"/>
    <hyperlink ref="D32" r:id="rId15" display="KahoRhode@gmail.com"/>
    <hyperlink ref="D35" r:id="rId16" display="madjeedkoto@yahoo.fr"/>
    <hyperlink ref="D36" r:id="rId17" display="jkoudjedon@gmail.com"/>
    <hyperlink ref="D37" r:id="rId18" display="barbaritalino@gmail.com"/>
    <hyperlink ref="D39" r:id="rId19" display="abelnegomensah@gmail.com"/>
    <hyperlink ref="D40" r:id="rId20" display="metodakouherbert@outlook.fr"/>
    <hyperlink ref="D45" r:id="rId21" display="paficama@gmail.com"/>
    <hyperlink ref="D46" r:id="rId22" display="aiejotechno@yahoo.fr"/>
    <hyperlink ref="D52" r:id="rId23" display="htoffa@yahoo.fr"/>
    <hyperlink ref="D54" r:id="rId24" display="herpoly@2000yahoo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2011-08-10T08:10:00Z</cp:lastPrinted>
  <dcterms:modified xsi:type="dcterms:W3CDTF">2024-12-23T05:38:38Z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BE1E8D19D03D478E9A2853815D6B629B_12</vt:lpwstr>
  </property>
  <property fmtid="{D5CDD505-2E9C-101B-9397-08002B2CF9AE}" pid="3" name="KSOProductBuildVer">
    <vt:lpwstr>1036-12.2.0.17119</vt:lpwstr>
  </property>
</Properties>
</file>