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A_IGNORER_1" sheetId="1" state="visible" r:id="rId3"/>
    <sheet name="LICENCE PRO. 1ère ANNEE" sheetId="2" state="visible" r:id="rId4"/>
    <sheet name="LICENCE PRO. 2è-3è-4è ANNEE" sheetId="3" state="visible" r:id="rId5"/>
    <sheet name="INGENIEUR" sheetId="4" state="visible" r:id="rId6"/>
    <sheet name="A_IGNORER_2" sheetId="5" state="visible" r:id="rId7"/>
    <sheet name="A_IGNORER_3" sheetId="6" state="visible" r:id="rId8"/>
    <sheet name="A_IGNORER_4" sheetId="7" state="visible" r:id="rId9"/>
    <sheet name="A_IGNORER_5" sheetId="8" state="visible" r:id="rId10"/>
    <sheet name="MASTER" sheetId="9" state="visible" r:id="rId11"/>
    <sheet name="Feuil4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<sst xmlns="http://schemas.openxmlformats.org/spreadsheetml/2006/main" count="3269" uniqueCount="1127">
  <si>
    <t xml:space="preserve">LICENCE PROFESSIONNELLE 2016-2017</t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</si>
  <si>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GESTION DE L'ENVIRONNEMENT</t>
    </r>
  </si>
  <si>
    <t xml:space="preserve">1ère Année</t>
  </si>
  <si>
    <t xml:space="preserve">N°</t>
  </si>
  <si>
    <t xml:space="preserve">NOM  ET  PRENOMS</t>
  </si>
  <si>
    <t xml:space="preserve">MONT.TOTAL</t>
  </si>
  <si>
    <t xml:space="preserve">MONT.PAYE</t>
  </si>
  <si>
    <t xml:space="preserve">MONT.DÜ</t>
  </si>
  <si>
    <t xml:space="preserve">OGUIDI I. Arnauld Rock</t>
  </si>
  <si>
    <t xml:space="preserve">DANHIN Sewanou Richard</t>
  </si>
  <si>
    <t xml:space="preserve">FONTEKLOUNON A. Arnaud</t>
  </si>
  <si>
    <t xml:space="preserve">ABD</t>
  </si>
  <si>
    <t xml:space="preserve">GANSE H. Florentin</t>
  </si>
  <si>
    <t xml:space="preserve">HAGNONNOU Daniel</t>
  </si>
  <si>
    <t xml:space="preserve">HESSOU A. Sophie</t>
  </si>
  <si>
    <t xml:space="preserve">IDRISSOU Aboudou Issifou</t>
  </si>
  <si>
    <t xml:space="preserve">KANHONOU D.M.B. Serge</t>
  </si>
  <si>
    <t xml:space="preserve">KOUKPO Y. Marius</t>
  </si>
  <si>
    <t xml:space="preserve">KPATCHA A Landry</t>
  </si>
  <si>
    <t xml:space="preserve">PEDANOU Maxime Romain</t>
  </si>
  <si>
    <t xml:space="preserve">ROMAO Romanus Alban</t>
  </si>
  <si>
    <t xml:space="preserve">BALANCE</t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</si>
  <si>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</t>
    </r>
    <r>
      <rPr>
        <b val="true"/>
        <u val="single"/>
        <sz val="12"/>
        <color theme="1"/>
        <rFont val="comic"/>
        <family val="0"/>
        <charset val="134"/>
      </rPr>
      <t xml:space="preserve">PRODUCTION VEGETALE</t>
    </r>
  </si>
  <si>
    <t xml:space="preserve">AGBANZOUME Valentine</t>
  </si>
  <si>
    <t xml:space="preserve">AHOUANSOU Albert Mahoutondji</t>
  </si>
  <si>
    <t xml:space="preserve">ALOWANOU D. Armel Giresse</t>
  </si>
  <si>
    <t xml:space="preserve">COSSI Rachid</t>
  </si>
  <si>
    <t xml:space="preserve">DJOMAMOU Y. Amel Prisel(redoublant)</t>
  </si>
  <si>
    <t xml:space="preserve">EDOH M. Marius Jeovite</t>
  </si>
  <si>
    <t xml:space="preserve">GNIGLA Pélagie Y. </t>
  </si>
  <si>
    <t xml:space="preserve">HOUNHUI S. Gisèle</t>
  </si>
  <si>
    <t xml:space="preserve">HOUNTON Ernest Nestor</t>
  </si>
  <si>
    <t xml:space="preserve">LAFIA ALI Ibrahim</t>
  </si>
  <si>
    <t xml:space="preserve">NOUNDJA Abdoulaye</t>
  </si>
  <si>
    <t xml:space="preserve">N'TCHA N'KPATI Nicolas</t>
  </si>
  <si>
    <t xml:space="preserve">OROU SOUA Icham</t>
  </si>
  <si>
    <t xml:space="preserve">TOHOZIN Boris</t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</si>
  <si>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</t>
    </r>
    <r>
      <rPr>
        <b val="true"/>
        <u val="single"/>
        <sz val="12"/>
        <color theme="1"/>
        <rFont val="comic"/>
        <family val="0"/>
        <charset val="134"/>
      </rPr>
      <t xml:space="preserve">GENIE CIVIL</t>
    </r>
  </si>
  <si>
    <t xml:space="preserve">ABOUDOU SANDA Saroukou A.(redblant)</t>
  </si>
  <si>
    <t xml:space="preserve">ADAM ABDOU Fassai</t>
  </si>
  <si>
    <t xml:space="preserve">ADAM ALASSANE Séïdou</t>
  </si>
  <si>
    <t xml:space="preserve">ADONOU Romaric Fabien</t>
  </si>
  <si>
    <t xml:space="preserve">AGBEDJEKUN Samson Amos M.</t>
  </si>
  <si>
    <t xml:space="preserve">ALIOU Mouhamadou (redblant)</t>
  </si>
  <si>
    <t xml:space="preserve">ANIWANOU B. Trésor</t>
  </si>
  <si>
    <t xml:space="preserve">AVOCEVOU E. Ignace (redblant)</t>
  </si>
  <si>
    <t xml:space="preserve">BANI SAMBO Abdoulaye</t>
  </si>
  <si>
    <t xml:space="preserve">GBAGUIDI B. Marius</t>
  </si>
  <si>
    <t xml:space="preserve">HOUENOU A Yémalin</t>
  </si>
  <si>
    <t xml:space="preserve">HOUESSINON S. Coriolis Nelle</t>
  </si>
  <si>
    <t xml:space="preserve">HOUNDJO Martin Coovi</t>
  </si>
  <si>
    <t xml:space="preserve">HOUNWANOU Etienne</t>
  </si>
  <si>
    <t xml:space="preserve">IMOROU Amidalaha</t>
  </si>
  <si>
    <t xml:space="preserve">MESSOUNA Sadikou</t>
  </si>
  <si>
    <t xml:space="preserve">NASSIROU Falilatou</t>
  </si>
  <si>
    <t xml:space="preserve">NASSOU Sabin</t>
  </si>
  <si>
    <t xml:space="preserve">NOUNAGNON J. Serge</t>
  </si>
  <si>
    <t xml:space="preserve">PADONOU Sylvestre</t>
  </si>
  <si>
    <t xml:space="preserve">SAGBO K. Isaac</t>
  </si>
  <si>
    <t xml:space="preserve">SAGBOHAN</t>
  </si>
  <si>
    <t xml:space="preserve">TOGBE Laurent Christian</t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</si>
  <si>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</t>
    </r>
    <r>
      <rPr>
        <b val="true"/>
        <u val="single"/>
        <sz val="12"/>
        <color theme="1"/>
        <rFont val="comic"/>
        <family val="0"/>
        <charset val="134"/>
      </rPr>
      <t xml:space="preserve">PRODUCTION ANIMAL</t>
    </r>
  </si>
  <si>
    <t xml:space="preserve">ABADAGAN Harold Ulrich</t>
  </si>
  <si>
    <t xml:space="preserve">ADAM AMADOU Abdoul Kader</t>
  </si>
  <si>
    <t xml:space="preserve">ADJIBODOU Florence</t>
  </si>
  <si>
    <t xml:space="preserve">AGOUSSIN Hippolyte</t>
  </si>
  <si>
    <t xml:space="preserve">HOUNKPATIN D. Gildas</t>
  </si>
  <si>
    <t xml:space="preserve">ASSOGBAKPE Remy</t>
  </si>
  <si>
    <t xml:space="preserve">ATCHEKPE Blanche</t>
  </si>
  <si>
    <t xml:space="preserve">DASSOU A. Bénédicte</t>
  </si>
  <si>
    <t xml:space="preserve">EDESSOU B. Milence</t>
  </si>
  <si>
    <t xml:space="preserve">EDIKOU Odette</t>
  </si>
  <si>
    <t xml:space="preserve">SABI SABI Abdel-Faïçal</t>
  </si>
  <si>
    <t xml:space="preserve">THOO Béatrice Essèdo Appolline</t>
  </si>
  <si>
    <t xml:space="preserve">YANI KARIM Abou</t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</si>
  <si>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</t>
    </r>
    <r>
      <rPr>
        <b val="true"/>
        <u val="single"/>
        <sz val="12"/>
        <color theme="1"/>
        <rFont val="comic"/>
        <family val="0"/>
        <charset val="134"/>
      </rPr>
      <t xml:space="preserve">GENIE ELECTRIQUE</t>
    </r>
  </si>
  <si>
    <t xml:space="preserve">ADJOVI Ange Gildas</t>
  </si>
  <si>
    <t xml:space="preserve">CODO Eusèbe Roch</t>
  </si>
  <si>
    <t xml:space="preserve">DASSI Geneviève</t>
  </si>
  <si>
    <t xml:space="preserve">DATONDJI Eusèbe Hyppolite</t>
  </si>
  <si>
    <t xml:space="preserve">DOSSA VODJO Daniel</t>
  </si>
  <si>
    <t xml:space="preserve">DOVONOU Debora K. Bernadette</t>
  </si>
  <si>
    <t xml:space="preserve">EDOH K. G. Ambroise</t>
  </si>
  <si>
    <t xml:space="preserve">GOGAN A Fréderic</t>
  </si>
  <si>
    <t xml:space="preserve">LAWSON BOE IME Josiah</t>
  </si>
  <si>
    <t xml:space="preserve">SOUNON LAMISSI Véronique</t>
  </si>
  <si>
    <t xml:space="preserve">M'PO Dinté</t>
  </si>
  <si>
    <t xml:space="preserve">HOUEDANOU S. Berthe</t>
  </si>
  <si>
    <t xml:space="preserve">KOUDAFADE Y. Mathieu</t>
  </si>
  <si>
    <t xml:space="preserve">ZANNOU Eugène</t>
  </si>
  <si>
    <t xml:space="preserve">TOHINLO Yves</t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</si>
  <si>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</t>
    </r>
    <r>
      <rPr>
        <b val="true"/>
        <u val="single"/>
        <sz val="12"/>
        <color theme="1"/>
        <rFont val="comic"/>
        <family val="0"/>
        <charset val="134"/>
      </rPr>
      <t xml:space="preserve">HYGIENE ET CONTRÔLE DE QUALITE DES DENREES ALIMENTAIRES</t>
    </r>
  </si>
  <si>
    <t xml:space="preserve">AFFOUDJI DJIGBO Louis</t>
  </si>
  <si>
    <t xml:space="preserve">BOKOSSA Genevieve</t>
  </si>
  <si>
    <t xml:space="preserve">DOHONOU Delphin</t>
  </si>
  <si>
    <t xml:space="preserve">FAGNIDE Bénédicta L. O.</t>
  </si>
  <si>
    <t xml:space="preserve">GBODO D. Valerie</t>
  </si>
  <si>
    <t xml:space="preserve">GNANGUESSY Renaud</t>
  </si>
  <si>
    <t xml:space="preserve">KODJO Dénise Gbèdossou</t>
  </si>
  <si>
    <t xml:space="preserve">LATOUNDJI Laetitia Annie I. Carolle</t>
  </si>
  <si>
    <t xml:space="preserve">LEKE Viros Doudji Bariou</t>
  </si>
  <si>
    <t xml:space="preserve">SANNI ALAO Ramanou A.</t>
  </si>
  <si>
    <t xml:space="preserve">VIAINON H. A. Felicité</t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</si>
  <si>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</t>
    </r>
    <r>
      <rPr>
        <b val="true"/>
        <u val="single"/>
        <sz val="12"/>
        <color theme="1"/>
        <rFont val="comic"/>
        <family val="0"/>
        <charset val="134"/>
      </rPr>
      <t xml:space="preserve">GEOMETRE TOPOGRAPHE</t>
    </r>
  </si>
  <si>
    <t xml:space="preserve">ALITAKOUN Bain Emmanuel</t>
  </si>
  <si>
    <t xml:space="preserve">AHINDE NINA Maxime</t>
  </si>
  <si>
    <t xml:space="preserve">DJOKPE Comlan Ferdinand</t>
  </si>
  <si>
    <t xml:space="preserve">SONON Koffi Narcisse</t>
  </si>
  <si>
    <t xml:space="preserve">AGUIAR C. Thibaut</t>
  </si>
  <si>
    <t xml:space="preserve">ALLIDJINOU W. Gerard</t>
  </si>
  <si>
    <t xml:space="preserve">ATTAKPA Augustin</t>
  </si>
  <si>
    <t xml:space="preserve">OGOUBIYI C. Samson</t>
  </si>
  <si>
    <t xml:space="preserve">HONVOU Amankpe Charles</t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</si>
  <si>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</t>
    </r>
    <r>
      <rPr>
        <b val="true"/>
        <u val="single"/>
        <sz val="12"/>
        <color theme="1"/>
        <rFont val="comic"/>
        <family val="0"/>
        <charset val="134"/>
      </rPr>
      <t xml:space="preserve">BIO HYGIENNE ET SECURITE SANITAIRE</t>
    </r>
  </si>
  <si>
    <t xml:space="preserve">ABISSI A.A.Diane</t>
  </si>
  <si>
    <t xml:space="preserve">ADAGLO Abdon</t>
  </si>
  <si>
    <t xml:space="preserve">ADELAKOUN Mamert</t>
  </si>
  <si>
    <t xml:space="preserve">ADJAGNISSODE Toussaint</t>
  </si>
  <si>
    <t xml:space="preserve">ADJATAN A. Y. Hermine</t>
  </si>
  <si>
    <t xml:space="preserve">AGUIAR ANNY Monrenike</t>
  </si>
  <si>
    <t xml:space="preserve">ALIA Bernis H. A. M.</t>
  </si>
  <si>
    <t xml:space="preserve">ANIAMBOSSOU Eudoxie A.A.S.</t>
  </si>
  <si>
    <t xml:space="preserve">AZANMASSO Boniface</t>
  </si>
  <si>
    <t xml:space="preserve">BA-KASSIN Marceline(redblant)</t>
  </si>
  <si>
    <t xml:space="preserve">BAYI Freitas</t>
  </si>
  <si>
    <t xml:space="preserve">DAKPOGAN SESSI Leonie</t>
  </si>
  <si>
    <t xml:space="preserve">DAVO Kevin François D'Assise</t>
  </si>
  <si>
    <t xml:space="preserve">DJOSSOU A. Ayissatou</t>
  </si>
  <si>
    <t xml:space="preserve">DOSSOUVI G.R.Sponsa</t>
  </si>
  <si>
    <t xml:space="preserve">FAGLA Gwaladys M.A.M.</t>
  </si>
  <si>
    <t xml:space="preserve">FAMAGA Philomène A.</t>
  </si>
  <si>
    <t xml:space="preserve">GANSIMIN S. Vincent</t>
  </si>
  <si>
    <t xml:space="preserve">GBEYETIN SETONDJI Cyprien</t>
  </si>
  <si>
    <t xml:space="preserve">GOUKPANIAN Germain</t>
  </si>
  <si>
    <t xml:space="preserve">HOUNTIKPO Sessito Sylvie B.</t>
  </si>
  <si>
    <t xml:space="preserve">HOUNTONDJI S. Rosette</t>
  </si>
  <si>
    <t xml:space="preserve">KOUNI Assana Sidonie</t>
  </si>
  <si>
    <t xml:space="preserve">KPONON TOCHEME Irène Adeline</t>
  </si>
  <si>
    <t xml:space="preserve">LIAMIDI Raïmatou</t>
  </si>
  <si>
    <t xml:space="preserve">LOKONON Laurette</t>
  </si>
  <si>
    <t xml:space="preserve">LOKOSSOU A. Anatole</t>
  </si>
  <si>
    <t xml:space="preserve">MEKPO A. Blandine</t>
  </si>
  <si>
    <t xml:space="preserve">MELIHO Irené Sabine</t>
  </si>
  <si>
    <t xml:space="preserve">MIDOKPO H.B.Laétitia</t>
  </si>
  <si>
    <t xml:space="preserve">MOUMOUNI Daouda</t>
  </si>
  <si>
    <t xml:space="preserve">NOUHOUMON Fitila Clément</t>
  </si>
  <si>
    <t xml:space="preserve">ROINGUEM MIDANA Berthe</t>
  </si>
  <si>
    <t xml:space="preserve">SAÏZONOU Rosemonde</t>
  </si>
  <si>
    <t xml:space="preserve">SALAMI Azizath</t>
  </si>
  <si>
    <t xml:space="preserve">SAVI Irene</t>
  </si>
  <si>
    <t xml:space="preserve">SEMEVO Nadine Armande A.(redblant)</t>
  </si>
  <si>
    <t xml:space="preserve">SOGLO Fernandine Justine</t>
  </si>
  <si>
    <t xml:space="preserve">VIDJANNAGNI S. Victor</t>
  </si>
  <si>
    <t xml:space="preserve">VIGNON Valerie(redblant)</t>
  </si>
  <si>
    <t xml:space="preserve">VILON GUEZO S. Frise Moreas</t>
  </si>
  <si>
    <t xml:space="preserve">GNANGUESSY Reaud</t>
  </si>
  <si>
    <t xml:space="preserve">SABI Abdel Faïçal</t>
  </si>
  <si>
    <t xml:space="preserve">THOO Beatrice E. Apolline</t>
  </si>
  <si>
    <t xml:space="preserve">                                                                        </t>
  </si>
  <si>
    <r>
      <rPr>
        <sz val="12"/>
        <color theme="1"/>
        <rFont val="Arial"/>
        <family val="0"/>
        <charset val="134"/>
      </rPr>
      <t xml:space="preserve">Filière</t>
    </r>
    <r>
      <rPr>
        <sz val="12"/>
        <color theme="1"/>
        <rFont val="comic"/>
        <family val="0"/>
        <charset val="134"/>
      </rPr>
      <t xml:space="preserve">:    </t>
    </r>
    <r>
      <rPr>
        <b val="true"/>
        <sz val="12"/>
        <color theme="1"/>
        <rFont val="comic"/>
        <family val="0"/>
        <charset val="134"/>
      </rPr>
      <t xml:space="preserve">SCIENCE AGRICOLE</t>
    </r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</si>
  <si>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</t>
    </r>
    <r>
      <rPr>
        <b val="true"/>
        <u val="single"/>
        <sz val="12"/>
        <color theme="1"/>
        <rFont val="comic"/>
        <family val="0"/>
        <charset val="134"/>
      </rPr>
      <t xml:space="preserve">GESTION DE L'ENVIRONNEMENT</t>
    </r>
  </si>
  <si>
    <t xml:space="preserve">3ème Année</t>
  </si>
  <si>
    <t xml:space="preserve">ADAMOU I. Badarou</t>
  </si>
  <si>
    <t xml:space="preserve">AGBOTON J. Noëlie</t>
  </si>
  <si>
    <t xml:space="preserve">AGOSSOUKPE Mahugnon Pièrre</t>
  </si>
  <si>
    <t xml:space="preserve">ALASSANE Sahadou Soulé F.</t>
  </si>
  <si>
    <t xml:space="preserve">CAKPO Alfred Jeannot Codjo(redouble)</t>
  </si>
  <si>
    <t xml:space="preserve">BAGNAN Ahmed Habib</t>
  </si>
  <si>
    <t xml:space="preserve">BONI I. Landry</t>
  </si>
  <si>
    <t xml:space="preserve">DONOU Hermann Frédéric</t>
  </si>
  <si>
    <t xml:space="preserve">DRANON Hercules Quentin</t>
  </si>
  <si>
    <t xml:space="preserve">FANOU Y. Rodolphe</t>
  </si>
  <si>
    <t xml:space="preserve">HOUNKPATIN H. Torrentale Salva A.</t>
  </si>
  <si>
    <t xml:space="preserve">LAOUROU O. Jean</t>
  </si>
  <si>
    <t xml:space="preserve">MAMAN CHABI A. Razack</t>
  </si>
  <si>
    <t xml:space="preserve">SOSSOU Auguste Romain</t>
  </si>
  <si>
    <t xml:space="preserve">SOSSOUHOUNTO Ibrahima Satarou</t>
  </si>
  <si>
    <t xml:space="preserve">YACOUBOU Sakiratou</t>
  </si>
  <si>
    <t xml:space="preserve">4ème Année</t>
  </si>
  <si>
    <t xml:space="preserve">AGBATO Gouvidé Aurel G.</t>
  </si>
  <si>
    <t xml:space="preserve">AGONKPO Arnaud Boris</t>
  </si>
  <si>
    <t xml:space="preserve">AHOKIIN Codjo Bertin</t>
  </si>
  <si>
    <t xml:space="preserve">ASSOUMANOU IMOROU AbdeL A. A.</t>
  </si>
  <si>
    <t xml:space="preserve">AYINON Sètondé Mireille</t>
  </si>
  <si>
    <t xml:space="preserve">DJINAHIN Felicien</t>
  </si>
  <si>
    <t xml:space="preserve">DJOUBALI Jeannot</t>
  </si>
  <si>
    <t xml:space="preserve">KASSA FANOUVI C. Benoit</t>
  </si>
  <si>
    <t xml:space="preserve">KASSIN Akochayé Ibitoyé Barthélémy</t>
  </si>
  <si>
    <t xml:space="preserve">SERO Abdel-Fadel </t>
  </si>
  <si>
    <t xml:space="preserve">ZALE Sabi Stasnislas</t>
  </si>
  <si>
    <t xml:space="preserve">ZAMMASSOU Y. Prudence</t>
  </si>
  <si>
    <t xml:space="preserve">2ème Année</t>
  </si>
  <si>
    <t xml:space="preserve">CAPO Wenceslas Mahougbé</t>
  </si>
  <si>
    <t xml:space="preserve">ABDOU HASSAN Idrissou</t>
  </si>
  <si>
    <t xml:space="preserve">AIBATIN Alexis</t>
  </si>
  <si>
    <t xml:space="preserve">AKPO Naomie Pulcherie</t>
  </si>
  <si>
    <t xml:space="preserve">ALPHA BIO Mikaila</t>
  </si>
  <si>
    <t xml:space="preserve">BIO OURE Fadel</t>
  </si>
  <si>
    <t xml:space="preserve">DODO ISSA Aminou</t>
  </si>
  <si>
    <t xml:space="preserve">DOUHAKOUA Sambieni</t>
  </si>
  <si>
    <t xml:space="preserve">GANDAHO J. Christian</t>
  </si>
  <si>
    <t xml:space="preserve">GNITANGNI A. Emilie</t>
  </si>
  <si>
    <t xml:space="preserve">HANGBE MAX Ulrich G.</t>
  </si>
  <si>
    <t xml:space="preserve">LOKONON Wilfried Codjo T.</t>
  </si>
  <si>
    <t xml:space="preserve">MADOUGOU Moumouni</t>
  </si>
  <si>
    <t xml:space="preserve">MAYAKI ADAMOU Nafissatou</t>
  </si>
  <si>
    <t xml:space="preserve">MOUNIROU Widad A. M.</t>
  </si>
  <si>
    <t xml:space="preserve">OYENIRAN Michel Kolawolé</t>
  </si>
  <si>
    <t xml:space="preserve">SANNI Zalikatou</t>
  </si>
  <si>
    <t xml:space="preserve">SENON M. Bienvenu</t>
  </si>
  <si>
    <t xml:space="preserve">SINDEMION C. Flore</t>
  </si>
  <si>
    <t xml:space="preserve">TOHOZIN Hector Eustache</t>
  </si>
  <si>
    <t xml:space="preserve">TOKOURA LAFIA Kora</t>
  </si>
  <si>
    <t xml:space="preserve">ABDOULAYE MAMA Eliassou</t>
  </si>
  <si>
    <t xml:space="preserve">ADIBA D. Clément</t>
  </si>
  <si>
    <t xml:space="preserve">AFFO ADAM Abdoul Hakim</t>
  </si>
  <si>
    <t xml:space="preserve">AGBOTOME K. Bertin</t>
  </si>
  <si>
    <t xml:space="preserve">AGBOTON Abigail</t>
  </si>
  <si>
    <t xml:space="preserve">ALIDOU BIAO Affoussatou</t>
  </si>
  <si>
    <t xml:space="preserve">AMOUSSOU Augustine</t>
  </si>
  <si>
    <t xml:space="preserve">ARAYE Ifèdé Eric</t>
  </si>
  <si>
    <t xml:space="preserve">ASSANI Yazid</t>
  </si>
  <si>
    <t xml:space="preserve">BADE A. Hippolyte</t>
  </si>
  <si>
    <t xml:space="preserve">BAH DANMON Alimi</t>
  </si>
  <si>
    <t xml:space="preserve">BAPARAPE Saleck</t>
  </si>
  <si>
    <t xml:space="preserve">BIONAN Sanni Kousséni</t>
  </si>
  <si>
    <t xml:space="preserve">BLENON Thomas </t>
  </si>
  <si>
    <t xml:space="preserve">CHABI O. A. Régine</t>
  </si>
  <si>
    <t xml:space="preserve">DESSOUASSI A. G. Bibiane</t>
  </si>
  <si>
    <t xml:space="preserve">DJAGLO G. Ella</t>
  </si>
  <si>
    <t xml:space="preserve">DOKOTO SAKA Gniré Zouhératou</t>
  </si>
  <si>
    <t xml:space="preserve">FAGBEDJI D. Pierre</t>
  </si>
  <si>
    <t xml:space="preserve">GAWE Wilfrief</t>
  </si>
  <si>
    <t xml:space="preserve">GBENONCHI Adelphe</t>
  </si>
  <si>
    <t xml:space="preserve">GNAMMI Y. Dieu Donné</t>
  </si>
  <si>
    <t xml:space="preserve">GNONLONFOUN E. Valentin</t>
  </si>
  <si>
    <t xml:space="preserve">GOUNOU Gérard</t>
  </si>
  <si>
    <t xml:space="preserve">HESSOU M. C. Samson</t>
  </si>
  <si>
    <t xml:space="preserve">HOUDE Gratien</t>
  </si>
  <si>
    <t xml:space="preserve">ISSA Hasmi</t>
  </si>
  <si>
    <t xml:space="preserve">ISSIFOU Oumar</t>
  </si>
  <si>
    <t xml:space="preserve">KENALI B. Togbédji</t>
  </si>
  <si>
    <t xml:space="preserve">KOGBEDJI Dieu Donné Y.</t>
  </si>
  <si>
    <t xml:space="preserve">KOGUI GOUNOU Sabi Koto</t>
  </si>
  <si>
    <t xml:space="preserve">KPOGBOZAN A. G. Odile</t>
  </si>
  <si>
    <t xml:space="preserve">LISSANON T. Gabriel</t>
  </si>
  <si>
    <t xml:space="preserve">LOKOSSOU A. Christine</t>
  </si>
  <si>
    <t xml:space="preserve">NONKOUDJE Assogba</t>
  </si>
  <si>
    <t xml:space="preserve">OROU MERE Y. Waliou</t>
  </si>
  <si>
    <t xml:space="preserve">PEDE W. Sétan</t>
  </si>
  <si>
    <t xml:space="preserve">RAMANOU N. H. Epiphane</t>
  </si>
  <si>
    <t xml:space="preserve">SEGBADJO L. Stanislas</t>
  </si>
  <si>
    <t xml:space="preserve">TIDJANI Clémence T. M.</t>
  </si>
  <si>
    <t xml:space="preserve">YACOUBOU Amidou</t>
  </si>
  <si>
    <t xml:space="preserve">ZINZINDOHOUE Thierry R.</t>
  </si>
  <si>
    <t xml:space="preserve">ZATO SALIFOU Nassirou</t>
  </si>
  <si>
    <t xml:space="preserve">ZOROBOURAGUI Loukmane</t>
  </si>
  <si>
    <t xml:space="preserve">AGASSOUNON Eyonkpon Samson M.</t>
  </si>
  <si>
    <t xml:space="preserve">AGOUGOU Ehuzu Kossi Ghislain</t>
  </si>
  <si>
    <t xml:space="preserve">AHONONGA Noël Comlan</t>
  </si>
  <si>
    <t xml:space="preserve">AMOUSSOUGA Sêdjro Arnaud Gildas</t>
  </si>
  <si>
    <t xml:space="preserve">ASSAN AOUDOU Abdoudou Malick</t>
  </si>
  <si>
    <t xml:space="preserve">AVOGBE Germain</t>
  </si>
  <si>
    <t xml:space="preserve">BAGRI B. Christ</t>
  </si>
  <si>
    <t xml:space="preserve">BIAO Dieudonné Eloïme</t>
  </si>
  <si>
    <t xml:space="preserve">DANSOU Abdel Bachirou </t>
  </si>
  <si>
    <t xml:space="preserve">DAVOU Géofroid Gérard Mathieu</t>
  </si>
  <si>
    <t xml:space="preserve">DOVONON Adonis Romaric N.</t>
  </si>
  <si>
    <t xml:space="preserve">ENDEMI MORAT SERO Taïrou R.</t>
  </si>
  <si>
    <t xml:space="preserve">FELIHO Bonaventure Sèdjro</t>
  </si>
  <si>
    <t xml:space="preserve">GAHOUE M. Moudjibou </t>
  </si>
  <si>
    <t xml:space="preserve">GUERRA Amina</t>
  </si>
  <si>
    <t xml:space="preserve">HESSA Evarisre</t>
  </si>
  <si>
    <t xml:space="preserve">MADJIDE Akuavi Odile</t>
  </si>
  <si>
    <t xml:space="preserve">ZALE Vilonnou Lauriano</t>
  </si>
  <si>
    <t xml:space="preserve">DRAMANE Azimou</t>
  </si>
  <si>
    <t xml:space="preserve">ZIME Safiatou</t>
  </si>
  <si>
    <t xml:space="preserve">ACCROBESSI Geraud C. François</t>
  </si>
  <si>
    <t xml:space="preserve">ADANDONON Paulin B. Stanislas</t>
  </si>
  <si>
    <t xml:space="preserve">ADEH Pacome</t>
  </si>
  <si>
    <t xml:space="preserve">AHONSOU ATSOU Donatien</t>
  </si>
  <si>
    <t xml:space="preserve">AHOUANGANSI Florentin</t>
  </si>
  <si>
    <t xml:space="preserve">AKOFFODJI Contant Rollant</t>
  </si>
  <si>
    <t xml:space="preserve">AKOHOU Hospice</t>
  </si>
  <si>
    <t xml:space="preserve">AKOUEDENOUDJE Retis L. S.</t>
  </si>
  <si>
    <t xml:space="preserve">ALAPINI A. Rovelime</t>
  </si>
  <si>
    <t xml:space="preserve">ASSANGBE Nadège P. Carmène</t>
  </si>
  <si>
    <t xml:space="preserve">ASSIFA DRAMANE Zaliatou</t>
  </si>
  <si>
    <t xml:space="preserve">AZELOKONON S. O. Amour (redblant)</t>
  </si>
  <si>
    <t xml:space="preserve">BANOUWIN Limombi Rodrigue</t>
  </si>
  <si>
    <t xml:space="preserve">BATCHO Fiacre Fructueux B.</t>
  </si>
  <si>
    <t xml:space="preserve">BIAOU Bienvenue (redblant)</t>
  </si>
  <si>
    <t xml:space="preserve">DADDAH Damase</t>
  </si>
  <si>
    <t xml:space="preserve">GBEMETONOU  T. Vivien Rodrigue</t>
  </si>
  <si>
    <t xml:space="preserve">GBESSO René</t>
  </si>
  <si>
    <t xml:space="preserve">GBONSOU T. Sylvère</t>
  </si>
  <si>
    <t xml:space="preserve">HETCHILI Habib B. Hyacinthe</t>
  </si>
  <si>
    <t xml:space="preserve">HOUENOU Aimé Jésugnon</t>
  </si>
  <si>
    <t xml:space="preserve">HOUINSA Dossa Christian (redblant)</t>
  </si>
  <si>
    <t xml:space="preserve">HOUNKONNOU M. Emmanuel</t>
  </si>
  <si>
    <t xml:space="preserve">HOUNSA Astrid S. N.</t>
  </si>
  <si>
    <t xml:space="preserve">KASSA KOUASSI Maxime Rodrigue</t>
  </si>
  <si>
    <t xml:space="preserve">KITI K. C. Claude (redblant)</t>
  </si>
  <si>
    <t xml:space="preserve">KOUASSIVI HOUNKPATIN Hilarion</t>
  </si>
  <si>
    <t xml:space="preserve">KOUAVO Y. Jean Baptiste</t>
  </si>
  <si>
    <t xml:space="preserve">KOUVEGLO Alban Romeo</t>
  </si>
  <si>
    <t xml:space="preserve">KPEDE Alexis</t>
  </si>
  <si>
    <t xml:space="preserve">LOHENTO Donald (redblant)</t>
  </si>
  <si>
    <t xml:space="preserve">MABOUDOU M. A. Badiou</t>
  </si>
  <si>
    <t xml:space="preserve">MAHINOU KODJO Enyonam</t>
  </si>
  <si>
    <t xml:space="preserve">MEDENOUVO Mathieu (redblant)</t>
  </si>
  <si>
    <t xml:space="preserve">NAMIMA Claver T. (redblant)</t>
  </si>
  <si>
    <t xml:space="preserve">OLOUKOU Serges</t>
  </si>
  <si>
    <t xml:space="preserve">OUANTA Philippe (redblant)</t>
  </si>
  <si>
    <t xml:space="preserve">SOTON A. Aimé (redblant)</t>
  </si>
  <si>
    <t xml:space="preserve">TCHARO Yokossi</t>
  </si>
  <si>
    <t xml:space="preserve">YOKOSSI KOUANDETE Tchowe</t>
  </si>
  <si>
    <t xml:space="preserve">AHIDE Z. Théophile</t>
  </si>
  <si>
    <t xml:space="preserve">ADITI H. Gaël (redblant)</t>
  </si>
  <si>
    <t xml:space="preserve">ALAVO Angelos. Gérard (redblant)</t>
  </si>
  <si>
    <t xml:space="preserve">ATTANGBE M. Aristide C.T.</t>
  </si>
  <si>
    <t xml:space="preserve">AVENON Constant</t>
  </si>
  <si>
    <t xml:space="preserve">AYAKPON DON Ulrich</t>
  </si>
  <si>
    <t xml:space="preserve">AYAKPON M. G. Aesène</t>
  </si>
  <si>
    <t xml:space="preserve">CHABI SIDI W. Azedine (redblant)</t>
  </si>
  <si>
    <t xml:space="preserve">DANHOUEGNON D. Syvestre (redblant)</t>
  </si>
  <si>
    <t xml:space="preserve">DANSI Paulin (redblant)</t>
  </si>
  <si>
    <t xml:space="preserve">DEGLA T. Martial</t>
  </si>
  <si>
    <t xml:space="preserve">DJIDAHO Moïse</t>
  </si>
  <si>
    <t xml:space="preserve">EDAH Coffi Rose</t>
  </si>
  <si>
    <t xml:space="preserve">GBAGUIDI Gerard Martial</t>
  </si>
  <si>
    <t xml:space="preserve">GBAHANYASSI Yves Davy</t>
  </si>
  <si>
    <t xml:space="preserve">GOUNOUDE N. Hébert O. (redblant)</t>
  </si>
  <si>
    <t xml:space="preserve">HEDOKINGBE Juste S.</t>
  </si>
  <si>
    <t xml:space="preserve">HOUNSOUVI Z. D. Adolphe</t>
  </si>
  <si>
    <t xml:space="preserve">KASSOUIN Assana (redblant)</t>
  </si>
  <si>
    <t xml:space="preserve">KOUOLA Ahmed (redblant)</t>
  </si>
  <si>
    <t xml:space="preserve">MESSANH Aude Grégoire (redblant)</t>
  </si>
  <si>
    <t xml:space="preserve">OROU KOBORO Bachirou</t>
  </si>
  <si>
    <t xml:space="preserve">SETONDJI Tamègnon Mariano</t>
  </si>
  <si>
    <t xml:space="preserve">ZANNOU S. O. Bertrand</t>
  </si>
  <si>
    <t xml:space="preserve">ZOUNTOUNNOU Aimé</t>
  </si>
  <si>
    <t xml:space="preserve">AGBANA Kossi Augustin</t>
  </si>
  <si>
    <t xml:space="preserve">AGBOKONI C. Julien</t>
  </si>
  <si>
    <t xml:space="preserve">ALITONOU B. Arcadius Luc</t>
  </si>
  <si>
    <t xml:space="preserve">ASSOGBA Yvon</t>
  </si>
  <si>
    <t xml:space="preserve">BANCOLE B. Rico Romuald</t>
  </si>
  <si>
    <t xml:space="preserve">BATOKO ISSAKA Issa</t>
  </si>
  <si>
    <t xml:space="preserve">COMLAN C. Virgile</t>
  </si>
  <si>
    <t xml:space="preserve">DOSSOU Théophile</t>
  </si>
  <si>
    <t xml:space="preserve">FOLY Mesmin</t>
  </si>
  <si>
    <t xml:space="preserve">GAMBA Abdel Wahidi</t>
  </si>
  <si>
    <t xml:space="preserve">GANGAN Félicien</t>
  </si>
  <si>
    <t xml:space="preserve">GNIMADI Sèmèvo Arsène Elie</t>
  </si>
  <si>
    <t xml:space="preserve">HOUEGBELO GOUSSIN T. Felix</t>
  </si>
  <si>
    <t xml:space="preserve">HOUESSOU A Theophile</t>
  </si>
  <si>
    <t xml:space="preserve">LISSASSI M. Achille E.</t>
  </si>
  <si>
    <t xml:space="preserve">NICO Kadukpè Roméo</t>
  </si>
  <si>
    <t xml:space="preserve">NONVIGNON Eric</t>
  </si>
  <si>
    <t xml:space="preserve">OWO-ETCHO Bonê Firmine</t>
  </si>
  <si>
    <t xml:space="preserve">SOVOESSI N. Patrice Joël</t>
  </si>
  <si>
    <t xml:space="preserve">TOGBOSSI Cocou Robert</t>
  </si>
  <si>
    <t xml:space="preserve">YEMEZIN Comlan François-Xavier</t>
  </si>
  <si>
    <t xml:space="preserve">ADJAKPE Codjo Paulin</t>
  </si>
  <si>
    <t xml:space="preserve">ADJANOHOUN M . Zoulkifl AKAMBI</t>
  </si>
  <si>
    <t xml:space="preserve">AGBADJAGAN Victor Marcel</t>
  </si>
  <si>
    <t xml:space="preserve">ATCHA NOUGBOGNON Elie</t>
  </si>
  <si>
    <t xml:space="preserve">BABA ABDOU Halidou</t>
  </si>
  <si>
    <t xml:space="preserve">CHOGOLOU Bidjokè Yvonne</t>
  </si>
  <si>
    <t xml:space="preserve">DAKOSSI Constant</t>
  </si>
  <si>
    <t xml:space="preserve">DJABOUTOUBOUTOU Mansourou</t>
  </si>
  <si>
    <t xml:space="preserve">EZROU Appolinaire Koffi</t>
  </si>
  <si>
    <t xml:space="preserve">FANDOHAN S. Donald</t>
  </si>
  <si>
    <t xml:space="preserve">FATON Ossanou Come</t>
  </si>
  <si>
    <t xml:space="preserve">GBENAHOU Vinongbe Placide</t>
  </si>
  <si>
    <t xml:space="preserve">GBETOUNOU K. Aubin</t>
  </si>
  <si>
    <t xml:space="preserve">HOUNGUE V. Dénis</t>
  </si>
  <si>
    <t xml:space="preserve">KITIHOUN Michel </t>
  </si>
  <si>
    <t xml:space="preserve">TCHOUMADO TOHOSSI Rodolphe</t>
  </si>
  <si>
    <t xml:space="preserve">TOGBE William </t>
  </si>
  <si>
    <t xml:space="preserve">AHONOUKOUN Médard (redblant)</t>
  </si>
  <si>
    <t xml:space="preserve">D'ALMEIDA Armand D. Kouassi (redblant)</t>
  </si>
  <si>
    <t xml:space="preserve">HOUINDO Guy S. (redblant)</t>
  </si>
  <si>
    <t xml:space="preserve">HOUNDETON Joly Gabin(redblant)</t>
  </si>
  <si>
    <t xml:space="preserve">KINKPE Gildas Didier K. V. (redblant)</t>
  </si>
  <si>
    <t xml:space="preserve">SAÏZONOU Narcisse S. (redblant)</t>
  </si>
  <si>
    <t xml:space="preserve">TOTONGNON AGOSSOU René Jules (redblant)</t>
  </si>
  <si>
    <t xml:space="preserve">TOUNGAKOUAGOU K. Sokoka (redblant)</t>
  </si>
  <si>
    <t xml:space="preserve">HOUNNOU Hamilton Hershell</t>
  </si>
  <si>
    <t xml:space="preserve">YEMADJRO Juste</t>
  </si>
  <si>
    <t xml:space="preserve">GNIMAVO</t>
  </si>
  <si>
    <t xml:space="preserve">AGBOTON J. Euloge Narcisse G. S.</t>
  </si>
  <si>
    <t xml:space="preserve">AISSOUN ADODIGBE Francis Vivien</t>
  </si>
  <si>
    <t xml:space="preserve">ANIAMBOSSOU Coffi Dénis</t>
  </si>
  <si>
    <t xml:space="preserve">BAGBONON M. Thurmol Mea</t>
  </si>
  <si>
    <t xml:space="preserve">BIO Mantani</t>
  </si>
  <si>
    <t xml:space="preserve">DAVODOUN T. Constantin</t>
  </si>
  <si>
    <t xml:space="preserve">DEGILA Gisèle Francine Alice G.</t>
  </si>
  <si>
    <t xml:space="preserve">GUEDOU Pascal Bernadin</t>
  </si>
  <si>
    <t xml:space="preserve">HOUNDJO E. C. Cyrille</t>
  </si>
  <si>
    <t xml:space="preserve">HOUNGBADJI Christian Eunis E. T.</t>
  </si>
  <si>
    <t xml:space="preserve">KANGNI I. Jacob F.</t>
  </si>
  <si>
    <t xml:space="preserve">KOTTIN Stanislas G.</t>
  </si>
  <si>
    <t xml:space="preserve">SEDAMI Sègbédji Bertrand</t>
  </si>
  <si>
    <t xml:space="preserve">SESSOU F. I. Rolande</t>
  </si>
  <si>
    <t xml:space="preserve">SOSSOU S. Francis</t>
  </si>
  <si>
    <t xml:space="preserve">SOUNKOTO Vincent Florent</t>
  </si>
  <si>
    <t xml:space="preserve">TCHEKPE Emmanuel</t>
  </si>
  <si>
    <t xml:space="preserve">HINGLO M. Elvis</t>
  </si>
  <si>
    <t xml:space="preserve">TOFFODJI Blaise</t>
  </si>
  <si>
    <t xml:space="preserve">ADEBI Abbas</t>
  </si>
  <si>
    <t xml:space="preserve">ZINZINDOHOUE Mahouwètin Tobi S.</t>
  </si>
  <si>
    <t xml:space="preserve">AGNISSEY K. Magloire</t>
  </si>
  <si>
    <t xml:space="preserve">BANDEIRA Gbéïgbéna Kodjo Angelo</t>
  </si>
  <si>
    <t xml:space="preserve">HOUESSOU Adéfounsi Gildas Félicien</t>
  </si>
  <si>
    <t xml:space="preserve">HOUMAVO Wilfried Rolland C.</t>
  </si>
  <si>
    <t xml:space="preserve">HOUNKPOSSO A, Janvier</t>
  </si>
  <si>
    <t xml:space="preserve">KOUHOSSOUNON Florence Adjoavi</t>
  </si>
  <si>
    <t xml:space="preserve">OGOUDINA Vianou Germain</t>
  </si>
  <si>
    <t xml:space="preserve">OLOUKOTOUN Parfait</t>
  </si>
  <si>
    <t xml:space="preserve">SEDJRO Bonaventure Joël</t>
  </si>
  <si>
    <t xml:space="preserve">SEGNON Carlos Carmel G.</t>
  </si>
  <si>
    <t xml:space="preserve">TELLA Comlan Stanislas Odjoladé L.</t>
  </si>
  <si>
    <t xml:space="preserve">TOGUI-LOGUI Vladimira Chimène</t>
  </si>
  <si>
    <t xml:space="preserve">VIERA Mouléro Fidèl Cécil</t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</si>
  <si>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</t>
    </r>
    <r>
      <rPr>
        <b val="true"/>
        <u val="single"/>
        <sz val="10"/>
        <color theme="1"/>
        <rFont val="comic"/>
        <family val="0"/>
        <charset val="134"/>
      </rPr>
      <t xml:space="preserve">HYGIENE ET CONTRÔLE DE QUALITE DES DENREES ALIMENTAIRES</t>
    </r>
  </si>
  <si>
    <t xml:space="preserve">ADOLIGBE Aubierge</t>
  </si>
  <si>
    <t xml:space="preserve">AGOHOUNDJE E. Hector Espero</t>
  </si>
  <si>
    <t xml:space="preserve">ALLADAYE Sènan Clotilde</t>
  </si>
  <si>
    <t xml:space="preserve">HODONOU A. Robert</t>
  </si>
  <si>
    <t xml:space="preserve">HOUNDJI O. Raoul K.</t>
  </si>
  <si>
    <t xml:space="preserve">ISSIFOU B. Abdoulaye</t>
  </si>
  <si>
    <t xml:space="preserve">KIATTI T. Crespin</t>
  </si>
  <si>
    <t xml:space="preserve">LANLENOU Elvire L. M.</t>
  </si>
  <si>
    <t xml:space="preserve">MAHOUNON Laure Semevo</t>
  </si>
  <si>
    <t xml:space="preserve">MARTINS K. Romaric</t>
  </si>
  <si>
    <t xml:space="preserve">MEDEBAHO M. Dieudonné</t>
  </si>
  <si>
    <t xml:space="preserve">MOUSSA Rafiatou</t>
  </si>
  <si>
    <t xml:space="preserve">NOUDAMADJO Yollande M. W.</t>
  </si>
  <si>
    <t xml:space="preserve">OTCHOUN D. Chrysante C.</t>
  </si>
  <si>
    <t xml:space="preserve">SOGNON Juliette</t>
  </si>
  <si>
    <t xml:space="preserve">SOSSOU D. V. Pamphile</t>
  </si>
  <si>
    <t xml:space="preserve">WANTOFIO Corneille</t>
  </si>
  <si>
    <t xml:space="preserve">KPANOU Rosalie</t>
  </si>
  <si>
    <t xml:space="preserve">YEDJENOU T. D. Donatien</t>
  </si>
  <si>
    <t xml:space="preserve">ACHOUKE W. Flora O.</t>
  </si>
  <si>
    <t xml:space="preserve">AHOUISSOU Mesmin Maurille(redblant)</t>
  </si>
  <si>
    <t xml:space="preserve">AGBATCHI Yvette O.A.</t>
  </si>
  <si>
    <t xml:space="preserve">AGOÏNON C. Elisée</t>
  </si>
  <si>
    <t xml:space="preserve">ALLOGNON Laurent</t>
  </si>
  <si>
    <t xml:space="preserve">ALLOGNON René Y. Enassouwan</t>
  </si>
  <si>
    <t xml:space="preserve">ASSANI Mohamed</t>
  </si>
  <si>
    <t xml:space="preserve">BAOUA SADOU Zakiatou</t>
  </si>
  <si>
    <t xml:space="preserve">DEBLEO L. Sylvère</t>
  </si>
  <si>
    <t xml:space="preserve">FAGNISSE A. Fernand</t>
  </si>
  <si>
    <t xml:space="preserve">HOUNKOKOE M. E. Thomas</t>
  </si>
  <si>
    <t xml:space="preserve">HOUNKPE Sébastiennne</t>
  </si>
  <si>
    <t xml:space="preserve">HOUNTONDJI Nicolas</t>
  </si>
  <si>
    <t xml:space="preserve">KOSSA Juliette</t>
  </si>
  <si>
    <t xml:space="preserve">LEGUEDE K. Jules</t>
  </si>
  <si>
    <t xml:space="preserve">MIGNANWANDE OUSSOU Anselme M.</t>
  </si>
  <si>
    <t xml:space="preserve">MONLIQUI D. Colette</t>
  </si>
  <si>
    <t xml:space="preserve">ADJOU Abraham Hervé T.</t>
  </si>
  <si>
    <t xml:space="preserve">ALINGO TOHIO C. S.Bruce</t>
  </si>
  <si>
    <t xml:space="preserve">ANAGO Jules. Coffi Nouwou</t>
  </si>
  <si>
    <t xml:space="preserve">BLAKA Ulrich Samuel</t>
  </si>
  <si>
    <t xml:space="preserve">BOUBAKAR Mêgnon Rolland R.</t>
  </si>
  <si>
    <t xml:space="preserve">DEGNON Ansavi</t>
  </si>
  <si>
    <t xml:space="preserve">DOGBLE Ablavi Edwige</t>
  </si>
  <si>
    <t xml:space="preserve">FIOGBE Prudencio</t>
  </si>
  <si>
    <t xml:space="preserve">HOUNKANLIN Achille C. O.</t>
  </si>
  <si>
    <t xml:space="preserve">HOUNMONDJI Djahou Elie</t>
  </si>
  <si>
    <t xml:space="preserve">HOUNZINME Gbêtondji Edmond</t>
  </si>
  <si>
    <t xml:space="preserve">IDRISSOU Sakinatou</t>
  </si>
  <si>
    <t xml:space="preserve">KOUKOU Missinwa</t>
  </si>
  <si>
    <t xml:space="preserve">LAWIN Eustache Pierre R. A.</t>
  </si>
  <si>
    <t xml:space="preserve">MAHOUNON Véronique Avotchékpo L.</t>
  </si>
  <si>
    <t xml:space="preserve">NOUNAGNON F. Gilles Ernest</t>
  </si>
  <si>
    <t xml:space="preserve">PLOGOUN Crépine</t>
  </si>
  <si>
    <t xml:space="preserve">SAGBO Akomabou Sylvestre</t>
  </si>
  <si>
    <t xml:space="preserve">SAYO ISSA Tamala</t>
  </si>
  <si>
    <t xml:space="preserve">SEKPON Selligbena Patricia N.</t>
  </si>
  <si>
    <t xml:space="preserve">SEWADE Alex</t>
  </si>
  <si>
    <t xml:space="preserve">SIMBIA Lucie N'Koua</t>
  </si>
  <si>
    <t xml:space="preserve">SOSSOU Alowamon Pélagie</t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</si>
  <si>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</t>
    </r>
    <r>
      <rPr>
        <b val="true"/>
        <u val="single"/>
        <sz val="12"/>
        <color theme="1"/>
        <rFont val="comic"/>
        <family val="0"/>
        <charset val="134"/>
      </rPr>
      <t xml:space="preserve">ANALYSES BIOMEDICALES</t>
    </r>
  </si>
  <si>
    <t xml:space="preserve">AGBADJA O. Claurie Ashley</t>
  </si>
  <si>
    <t xml:space="preserve">AKOTEGNON G. Mireille Mathilde</t>
  </si>
  <si>
    <t xml:space="preserve">ASSOUWAN Alice</t>
  </si>
  <si>
    <t xml:space="preserve">BARRA Faycal</t>
  </si>
  <si>
    <t xml:space="preserve">CAKPO Comlan Gérôme</t>
  </si>
  <si>
    <t xml:space="preserve">DADJO D. H. Evrard</t>
  </si>
  <si>
    <t xml:space="preserve">GBAGUIDI S. Basile</t>
  </si>
  <si>
    <t xml:space="preserve">HOUNGNON Dorothée</t>
  </si>
  <si>
    <t xml:space="preserve">NOUGBODOHOUE Aristide</t>
  </si>
  <si>
    <t xml:space="preserve">OKE Finangnon Magloire</t>
  </si>
  <si>
    <t xml:space="preserve">TAMOU Nehemie</t>
  </si>
  <si>
    <t xml:space="preserve">TOSSA Monsoyi Reine</t>
  </si>
  <si>
    <t xml:space="preserve">ZOHOUN G. Sylvie</t>
  </si>
  <si>
    <t xml:space="preserve">YANTIKOUA Sophie</t>
  </si>
  <si>
    <t xml:space="preserve">ADJASSA A. Ruth P.</t>
  </si>
  <si>
    <t xml:space="preserve">ADJOVI Christiane Raymonde</t>
  </si>
  <si>
    <t xml:space="preserve">AGBANGNAN Moïse M.</t>
  </si>
  <si>
    <t xml:space="preserve">AMETEPE Yaovi Fabius</t>
  </si>
  <si>
    <t xml:space="preserve">AMOUZOUVI K. Elisabeth</t>
  </si>
  <si>
    <t xml:space="preserve">ASSOGBA A. Sandrine</t>
  </si>
  <si>
    <t xml:space="preserve">ATCHOGNON Thérèse</t>
  </si>
  <si>
    <t xml:space="preserve">ATOESSI Laurence</t>
  </si>
  <si>
    <t xml:space="preserve">BAGAN G. Benjamin</t>
  </si>
  <si>
    <t xml:space="preserve">BIO YERIMA Kora </t>
  </si>
  <si>
    <t xml:space="preserve">BOKOSSA Xavier Dumas Felix.</t>
  </si>
  <si>
    <t xml:space="preserve">DAZOCLANCLOUNON Honore</t>
  </si>
  <si>
    <t xml:space="preserve">DAZOGBO Stanislas N.</t>
  </si>
  <si>
    <t xml:space="preserve">DEDO A. Sandrine</t>
  </si>
  <si>
    <t xml:space="preserve">DOTOU Assou Pamphile</t>
  </si>
  <si>
    <t xml:space="preserve">EDAH Pauline</t>
  </si>
  <si>
    <t xml:space="preserve">GANYEHESSOU A. Blandine</t>
  </si>
  <si>
    <t xml:space="preserve">GAUTHO CLAUDINE Hermine A.</t>
  </si>
  <si>
    <t xml:space="preserve">HOUSSOU M. Marcelle</t>
  </si>
  <si>
    <t xml:space="preserve">KOUTON Blandine M.</t>
  </si>
  <si>
    <t xml:space="preserve">KPEDEHOUNSI C. Alain</t>
  </si>
  <si>
    <t xml:space="preserve">MARTINS Chantal Pascaline</t>
  </si>
  <si>
    <t xml:space="preserve">SALISSOU Ali Faroundine</t>
  </si>
  <si>
    <t xml:space="preserve">SAMSON ALBERIC T. Wilfrid</t>
  </si>
  <si>
    <t xml:space="preserve">SEGUE B. Viviane</t>
  </si>
  <si>
    <r>
      <rPr>
        <sz val="12"/>
        <color theme="1"/>
        <rFont val="Arial Narrow"/>
        <family val="0"/>
        <charset val="134"/>
      </rPr>
      <t xml:space="preserve">SOSSA C</t>
    </r>
    <r>
      <rPr>
        <sz val="11"/>
        <color theme="1"/>
        <rFont val="Arial Narrow"/>
        <family val="0"/>
        <charset val="134"/>
      </rPr>
      <t xml:space="preserve">HARRISSE</t>
    </r>
  </si>
  <si>
    <t xml:space="preserve">SOSSOUKPE AMEDE Priscilla Gisele</t>
  </si>
  <si>
    <t xml:space="preserve">TCHOBO Hervé Yves M. O.</t>
  </si>
  <si>
    <t xml:space="preserve">TUYABA T. Valère</t>
  </si>
  <si>
    <t xml:space="preserve">VODOUNOU M. Arsene Maxime</t>
  </si>
  <si>
    <t xml:space="preserve">WHANNOU Y. Germaine Justine</t>
  </si>
  <si>
    <t xml:space="preserve">YACOUBOU Zakari A.</t>
  </si>
  <si>
    <t xml:space="preserve">ZOSSOU S. B. Arnaud</t>
  </si>
  <si>
    <t xml:space="preserve">ABDOULAYE F. Tamimou</t>
  </si>
  <si>
    <t xml:space="preserve">ABOGOURIN W. Fatimata</t>
  </si>
  <si>
    <t xml:space="preserve">AGBOWAI B. Armelle</t>
  </si>
  <si>
    <t xml:space="preserve">AHOUANDJINOU Romea</t>
  </si>
  <si>
    <t xml:space="preserve">AHOUANNOU Enagnon Jocelyne</t>
  </si>
  <si>
    <t xml:space="preserve">AHOYO J. S. Paulette Sylvie</t>
  </si>
  <si>
    <t xml:space="preserve">ALINGO AYABA Irene Solange</t>
  </si>
  <si>
    <t xml:space="preserve">ALLE K. Didier</t>
  </si>
  <si>
    <t xml:space="preserve">ALTINI Foussena </t>
  </si>
  <si>
    <t xml:space="preserve">AMOUSSOU Chantale Christiane</t>
  </si>
  <si>
    <t xml:space="preserve">ANATO Francky</t>
  </si>
  <si>
    <t xml:space="preserve">ASSAH AGBOMADJI Etienne</t>
  </si>
  <si>
    <t xml:space="preserve">ASSAN Mesmin</t>
  </si>
  <si>
    <t xml:space="preserve">ASSOSSOU Seraphin</t>
  </si>
  <si>
    <t xml:space="preserve">ATIOUKPE AFFOUDJI S.C. Leonard</t>
  </si>
  <si>
    <t xml:space="preserve">ATTIBA C. Wilfrief</t>
  </si>
  <si>
    <t xml:space="preserve">BADOU A. S. R. Chantal</t>
  </si>
  <si>
    <t xml:space="preserve">BATCHO A. Lucienne</t>
  </si>
  <si>
    <t xml:space="preserve">BEHANZIN Josiane Bai Nadine</t>
  </si>
  <si>
    <t xml:space="preserve">BIO ADAM Raliatou</t>
  </si>
  <si>
    <t xml:space="preserve">BOSSOU S. Aimé Justin</t>
  </si>
  <si>
    <t xml:space="preserve">BOTCHI C. Alselme</t>
  </si>
  <si>
    <t xml:space="preserve">BOURAIMA SADISSOU Kolawolé</t>
  </si>
  <si>
    <t xml:space="preserve">DAOUDA Salamatou</t>
  </si>
  <si>
    <t xml:space="preserve">DE SOUZA O. Judith</t>
  </si>
  <si>
    <t xml:space="preserve">DEGBELO Y. Nadege Carine</t>
  </si>
  <si>
    <t xml:space="preserve">EGOUNLETY SARA Oluwa Cheyi</t>
  </si>
  <si>
    <t xml:space="preserve">GAÏ Martine</t>
  </si>
  <si>
    <t xml:space="preserve">GBAGUIDI Doris</t>
  </si>
  <si>
    <t xml:space="preserve">GBEGBE Myrlène</t>
  </si>
  <si>
    <t xml:space="preserve">GBEMANON Videva Lydie</t>
  </si>
  <si>
    <t xml:space="preserve">GBENOU Elsie Paula</t>
  </si>
  <si>
    <t xml:space="preserve">GBETO Laure AMADJI</t>
  </si>
  <si>
    <t xml:space="preserve">GNONKE Medard</t>
  </si>
  <si>
    <t xml:space="preserve">GOUVI A. Wilfried</t>
  </si>
  <si>
    <t xml:space="preserve">HENRY Faïth AYODELE M.</t>
  </si>
  <si>
    <t xml:space="preserve">HOUNSA S. Nadine</t>
  </si>
  <si>
    <t xml:space="preserve">HOUNTONGBE F. Douce Gloria</t>
  </si>
  <si>
    <t xml:space="preserve">KLELE G. Christine</t>
  </si>
  <si>
    <t xml:space="preserve">KOUASSI AMIN Louise Fideline</t>
  </si>
  <si>
    <t xml:space="preserve">KOUTCHIKA Tanagnon Olga</t>
  </si>
  <si>
    <t xml:space="preserve">LAGNIKA Yazid Akin-Ola</t>
  </si>
  <si>
    <t xml:space="preserve">LIMA Lucine Sandrine</t>
  </si>
  <si>
    <t xml:space="preserve">MAMADOU ODJO Yvette Tatiana</t>
  </si>
  <si>
    <t xml:space="preserve">MEHOUNOU Yemalin Edith</t>
  </si>
  <si>
    <t xml:space="preserve">MIGAN Francine Almandine Y. </t>
  </si>
  <si>
    <t xml:space="preserve">MIGAN GANDONOU T. Edwige </t>
  </si>
  <si>
    <t xml:space="preserve">OLIKOYI  ADUKE Oladjobi Y. O.</t>
  </si>
  <si>
    <t xml:space="preserve">OREKAN ADEYEMI Adjikè Charlotte</t>
  </si>
  <si>
    <t xml:space="preserve">OREKAN R. K. Mariette</t>
  </si>
  <si>
    <t xml:space="preserve">PIO Adiatou</t>
  </si>
  <si>
    <t xml:space="preserve">PORIMATE N. Dieudonné</t>
  </si>
  <si>
    <t xml:space="preserve">SEFOU Moheimed</t>
  </si>
  <si>
    <t xml:space="preserve">SOLEVO Francois</t>
  </si>
  <si>
    <t xml:space="preserve">TOHOUE Nestor</t>
  </si>
  <si>
    <t xml:space="preserve">TOMAVO Mireille Rachelle</t>
  </si>
  <si>
    <t xml:space="preserve">TOTTIN GBETONDJI Frejus</t>
  </si>
  <si>
    <t xml:space="preserve">TOVIDE J. Celestine</t>
  </si>
  <si>
    <t xml:space="preserve">VODOUNSI O. Serge</t>
  </si>
  <si>
    <t xml:space="preserve">WALIOU Moucharafou</t>
  </si>
  <si>
    <t xml:space="preserve">ZANNOU Y Nadine Estelle</t>
  </si>
  <si>
    <t xml:space="preserve">ZOSSOUNGBO A. Corinne</t>
  </si>
  <si>
    <t xml:space="preserve">AGOSSOU N. Prosper</t>
  </si>
  <si>
    <t xml:space="preserve">AKIBOU AKANNI Iliyas</t>
  </si>
  <si>
    <t xml:space="preserve">ARO K. Isabelle</t>
  </si>
  <si>
    <t xml:space="preserve">ASSANKPON Emeline Chantal P.</t>
  </si>
  <si>
    <t xml:space="preserve">ASSOCLE Henriette M.</t>
  </si>
  <si>
    <t xml:space="preserve">AVOHOU Mathieu</t>
  </si>
  <si>
    <t xml:space="preserve">BABADJIHOU S. Françoise F.</t>
  </si>
  <si>
    <t xml:space="preserve">BIO MORA Kassim</t>
  </si>
  <si>
    <t xml:space="preserve">BOKO A. Edouard</t>
  </si>
  <si>
    <t xml:space="preserve">BOKO K. Prisca Sèna</t>
  </si>
  <si>
    <t xml:space="preserve">CAPO CHICHI Edouard Norbert</t>
  </si>
  <si>
    <t xml:space="preserve">CHALLA Anasthasie</t>
  </si>
  <si>
    <t xml:space="preserve">DJEHOUNKPETE L. Paul</t>
  </si>
  <si>
    <t xml:space="preserve">FATON H. Clément</t>
  </si>
  <si>
    <t xml:space="preserve">GLELE-MELE G.T.Franck Comlan</t>
  </si>
  <si>
    <t xml:space="preserve">HOSSOU Noukpo</t>
  </si>
  <si>
    <t xml:space="preserve">HOUNSOU E. Solange</t>
  </si>
  <si>
    <t xml:space="preserve">HOUNSOU Ghislaine Sylvie S.</t>
  </si>
  <si>
    <t xml:space="preserve">NOUAGOVI Firmine E.</t>
  </si>
  <si>
    <t xml:space="preserve">OKE S. Olivier</t>
  </si>
  <si>
    <t xml:space="preserve">SEFOUNON Richard</t>
  </si>
  <si>
    <t xml:space="preserve">TAMEGNON Bertille</t>
  </si>
  <si>
    <t xml:space="preserve">TOKPANOU K. Hubert Carbel</t>
  </si>
  <si>
    <t xml:space="preserve">TOVIDE Dona Alphonsine</t>
  </si>
  <si>
    <t xml:space="preserve">ZINSOU Michel</t>
  </si>
  <si>
    <t xml:space="preserve">ZOGBLATIN Celestin</t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</si>
  <si>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</t>
    </r>
    <r>
      <rPr>
        <b val="true"/>
        <u val="single"/>
        <sz val="12"/>
        <color theme="1"/>
        <rFont val="comic"/>
        <family val="0"/>
        <charset val="134"/>
      </rPr>
      <t xml:space="preserve">ANALYSE BIOMEDICALE</t>
    </r>
  </si>
  <si>
    <t xml:space="preserve">ABATTY Estelle Ida</t>
  </si>
  <si>
    <t xml:space="preserve">ADELAKOUN Chegun Honoré</t>
  </si>
  <si>
    <t xml:space="preserve">ADIMI Nadine Yéba</t>
  </si>
  <si>
    <t xml:space="preserve">ADJIDOWE Sourou Firmin</t>
  </si>
  <si>
    <t xml:space="preserve">ADOGBO-MEDAGBE Sèdami F.H. Luc</t>
  </si>
  <si>
    <t xml:space="preserve">ADOHOUNBLESSI Bastide</t>
  </si>
  <si>
    <t xml:space="preserve">AGBANGNANOU Y. D. Ulrich</t>
  </si>
  <si>
    <t xml:space="preserve">AGNILA Soumaïla</t>
  </si>
  <si>
    <t xml:space="preserve">AGUIDISSOU Armel Edgar Koffi</t>
  </si>
  <si>
    <t xml:space="preserve">AHOGNI Gustave</t>
  </si>
  <si>
    <t xml:space="preserve">AHOLOUKPE Huguette Houéfa Irène</t>
  </si>
  <si>
    <t xml:space="preserve">AKIBOU Maroufou Irénée</t>
  </si>
  <si>
    <t xml:space="preserve">AKPODE Sèmèvo Benoît</t>
  </si>
  <si>
    <t xml:space="preserve">ALLABI Sessi Rachel Yolande</t>
  </si>
  <si>
    <t xml:space="preserve">ALLODOHOUNDE Bernard</t>
  </si>
  <si>
    <t xml:space="preserve">AMAVI ANOUVI Pelula Firmine</t>
  </si>
  <si>
    <t xml:space="preserve">APOVO Zinsou Jean Hervé</t>
  </si>
  <si>
    <t xml:space="preserve">ARAYE Okpè Abadjayé Evelyne</t>
  </si>
  <si>
    <t xml:space="preserve">AREKPA Karamatou</t>
  </si>
  <si>
    <t xml:space="preserve">ASSANI Saïdath</t>
  </si>
  <si>
    <t xml:space="preserve">ASSOGBA Bessan Jean</t>
  </si>
  <si>
    <t xml:space="preserve">ASSOGBA Monlou Claudine</t>
  </si>
  <si>
    <t xml:space="preserve">ATANHLOUETO Bricette Ayaba</t>
  </si>
  <si>
    <t xml:space="preserve">BADAROU Fataî Djidjoho</t>
  </si>
  <si>
    <t xml:space="preserve">BANCOLE Makandjou-Ola E. Marie-N.</t>
  </si>
  <si>
    <t xml:space="preserve">BIAOU Chabi Ibidonni David</t>
  </si>
  <si>
    <t xml:space="preserve">BOLEAN Sourou Thierry</t>
  </si>
  <si>
    <t xml:space="preserve">BOTON Rolland Harold Elias D.</t>
  </si>
  <si>
    <t xml:space="preserve">CAPO-CHICHI Florentin César</t>
  </si>
  <si>
    <t xml:space="preserve">CHADARE Augias Olougbemi</t>
  </si>
  <si>
    <t xml:space="preserve">CHOGOLOU Cyriaque</t>
  </si>
  <si>
    <t xml:space="preserve">DAGBA Afifonsi Roselyne Liliane</t>
  </si>
  <si>
    <t xml:space="preserve">DAGBA Gabin</t>
  </si>
  <si>
    <t xml:space="preserve">DANVI Ogoudegnon Jacques</t>
  </si>
  <si>
    <t xml:space="preserve">DOFONSOUHOU Toundé Florent</t>
  </si>
  <si>
    <t xml:space="preserve">DOFONWAKOU Yénalin Marcelin</t>
  </si>
  <si>
    <t xml:space="preserve">DOSSOU-TOGBE John-Ross</t>
  </si>
  <si>
    <t xml:space="preserve">ENIANLOKO Yaya Delphine</t>
  </si>
  <si>
    <t xml:space="preserve">ESSOUN Oyéwolé Wassi</t>
  </si>
  <si>
    <t xml:space="preserve">EZIN Wilfried</t>
  </si>
  <si>
    <t xml:space="preserve">FAMBO Machel</t>
  </si>
  <si>
    <t xml:space="preserve">FANDOHAN Antoine</t>
  </si>
  <si>
    <t xml:space="preserve">FATOUMBI Lorette Saîda M.</t>
  </si>
  <si>
    <t xml:space="preserve">FAYALO Comlan Gilbert</t>
  </si>
  <si>
    <t xml:space="preserve">GBETOKPANOU Jean-Baptiste R.</t>
  </si>
  <si>
    <t xml:space="preserve">GERARD NANA Aïchatou</t>
  </si>
  <si>
    <t xml:space="preserve">GNINOU Nicaise</t>
  </si>
  <si>
    <t xml:space="preserve">GNONHOUE Clorinde</t>
  </si>
  <si>
    <t xml:space="preserve">GNONLONFIN DOHOU Wilfried M.</t>
  </si>
  <si>
    <t xml:space="preserve">GOUSSI Mariette</t>
  </si>
  <si>
    <t xml:space="preserve">HAMIDOU Yaya Koladé</t>
  </si>
  <si>
    <t xml:space="preserve">HOUNDAYI Sylvie Enagnon</t>
  </si>
  <si>
    <t xml:space="preserve">HOUNKANRIN Yéyinou Hombéline</t>
  </si>
  <si>
    <t xml:space="preserve">HOUNKPONOU Sègla Raoul R.</t>
  </si>
  <si>
    <t xml:space="preserve">KAGBO Cosme</t>
  </si>
  <si>
    <t xml:space="preserve">KANGBETO Clotaire Clovis Claude</t>
  </si>
  <si>
    <t xml:space="preserve">KIKISSAGBE Wanvêmi Honorine</t>
  </si>
  <si>
    <t xml:space="preserve">KIOSSOU Romarie</t>
  </si>
  <si>
    <t xml:space="preserve">KOTTO Sonagnon Augustin A.</t>
  </si>
  <si>
    <t xml:space="preserve">KOUASSI Melkior Yaovi</t>
  </si>
  <si>
    <t xml:space="preserve">KPEKOU Tossou Cyriaque</t>
  </si>
  <si>
    <t xml:space="preserve">KPODJEDO Yéhomè Jeanne</t>
  </si>
  <si>
    <t xml:space="preserve">KPOZE Rodrigue Justin Sètchégbé</t>
  </si>
  <si>
    <t xml:space="preserve">LANIKPEKOUN Nafiou-Olakou Désiré</t>
  </si>
  <si>
    <t xml:space="preserve">LANTEYI G. S. Michel</t>
  </si>
  <si>
    <t xml:space="preserve">LOUMEDJINON Frank</t>
  </si>
  <si>
    <t xml:space="preserve">MAHINOU Cossi Eliace</t>
  </si>
  <si>
    <t xml:space="preserve">MAKPONSE Afiavi Houénafa Esther O.</t>
  </si>
  <si>
    <t xml:space="preserve">MALENOU Dieu-donné</t>
  </si>
  <si>
    <t xml:space="preserve">MEVODJO Pascaline Akovognon</t>
  </si>
  <si>
    <t xml:space="preserve">MONTEIRO Amamath Aïda</t>
  </si>
  <si>
    <t xml:space="preserve">NATABOU Olandé Christiane</t>
  </si>
  <si>
    <t xml:space="preserve">NOUAGOVI Marcellin H. Dieudonné</t>
  </si>
  <si>
    <t xml:space="preserve">ODO Yaba Charlotte</t>
  </si>
  <si>
    <t xml:space="preserve">OGOUMOUIWA Innocent</t>
  </si>
  <si>
    <t xml:space="preserve">OKE Alfred Juste</t>
  </si>
  <si>
    <t xml:space="preserve">OLADIKPO Bella Honorine Titibla</t>
  </si>
  <si>
    <t xml:space="preserve">OSSENI Mombereola Taliatou</t>
  </si>
  <si>
    <t xml:space="preserve">PARAÏSO Abdou Raïmi Alladé</t>
  </si>
  <si>
    <t xml:space="preserve">QUENUM Sèdjro Ella Gildas</t>
  </si>
  <si>
    <t xml:space="preserve">SABI CISSE F. Séîdou</t>
  </si>
  <si>
    <t xml:space="preserve">SAOSSI Dèhouégnon Paul</t>
  </si>
  <si>
    <t xml:space="preserve">SIANOU Houénagnon Antoine</t>
  </si>
  <si>
    <t xml:space="preserve">SOMAKPO Félicienne</t>
  </si>
  <si>
    <t xml:space="preserve">SOUKPO Dossou Jean-Marie</t>
  </si>
  <si>
    <t xml:space="preserve">TCHINCOUN Ayawovi</t>
  </si>
  <si>
    <t xml:space="preserve">TOKPANOU Médard Nounagnon</t>
  </si>
  <si>
    <t xml:space="preserve">TOKPO W. Nicephore</t>
  </si>
  <si>
    <t xml:space="preserve">TOLLO Pulcherie Claire</t>
  </si>
  <si>
    <t xml:space="preserve">WOROU OLOU Frédéric</t>
  </si>
  <si>
    <t xml:space="preserve">YESSOUFOU Aziz Akanni</t>
  </si>
  <si>
    <t xml:space="preserve">ZODOME Pélagie</t>
  </si>
  <si>
    <t xml:space="preserve">ZOHOU Bruno</t>
  </si>
  <si>
    <t xml:space="preserve">ABOUI Geraud Joanexe</t>
  </si>
  <si>
    <t xml:space="preserve">ADAM Amidou</t>
  </si>
  <si>
    <t xml:space="preserve">AGOLIGAN M. Romaric</t>
  </si>
  <si>
    <t xml:space="preserve">BIO ZATO Lafia</t>
  </si>
  <si>
    <t xml:space="preserve">DJIKINHEDO Elisabeth</t>
  </si>
  <si>
    <t xml:space="preserve">DJITRINOU Marinhos</t>
  </si>
  <si>
    <t xml:space="preserve">GNIMAVO Edwige</t>
  </si>
  <si>
    <t xml:space="preserve">HOUNYOVI Y. Rolande Estelle</t>
  </si>
  <si>
    <t xml:space="preserve">KOBA A. O. Franck</t>
  </si>
  <si>
    <t xml:space="preserve">LAWANI T. Rafiou</t>
  </si>
  <si>
    <t xml:space="preserve">KASSA T. Justin</t>
  </si>
  <si>
    <t xml:space="preserve">PEDRO A. Safal</t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</si>
  <si>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</t>
    </r>
    <r>
      <rPr>
        <b val="true"/>
        <u val="single"/>
        <sz val="12"/>
        <color theme="1"/>
        <rFont val="comic"/>
        <family val="0"/>
        <charset val="134"/>
      </rPr>
      <t xml:space="preserve">PRODUCTION ANIMALE</t>
    </r>
  </si>
  <si>
    <t xml:space="preserve">ABDOULAYE Rashidi</t>
  </si>
  <si>
    <t xml:space="preserve">ALIOU Mikdar</t>
  </si>
  <si>
    <t xml:space="preserve">REPPOERT</t>
  </si>
  <si>
    <t xml:space="preserve">REPPORT</t>
  </si>
  <si>
    <t xml:space="preserve">AMOUSSA Madinatou Dohonou</t>
  </si>
  <si>
    <t xml:space="preserve">CHITOU NAFIOU Nadjimou</t>
  </si>
  <si>
    <t xml:space="preserve">DAFIA-YAROU gounou Zimé H.</t>
  </si>
  <si>
    <t xml:space="preserve">ELECHO Abibola Abdoul Raïmy</t>
  </si>
  <si>
    <t xml:space="preserve">ENOUHERAN Mondoukpè Hermionne</t>
  </si>
  <si>
    <t xml:space="preserve">GBAGUIDI V. Posidius </t>
  </si>
  <si>
    <t xml:space="preserve">KODJA Mirtha</t>
  </si>
  <si>
    <t xml:space="preserve">KOUAKANOU Donaldo Beaugelais</t>
  </si>
  <si>
    <t xml:space="preserve">MIGAN Marizouk Arèmou</t>
  </si>
  <si>
    <t xml:space="preserve">TOHOUN Cossi Hervé Marc</t>
  </si>
  <si>
    <t xml:space="preserve">ANANI Charles Lebon</t>
  </si>
  <si>
    <t xml:space="preserve">DOSSOU Akouègnikan Fabrice</t>
  </si>
  <si>
    <t xml:space="preserve">HOUINSA Dominique A.M.</t>
  </si>
  <si>
    <t xml:space="preserve">KOUCHOELO N. Tobias</t>
  </si>
  <si>
    <t xml:space="preserve">SEDJRO Gérard</t>
  </si>
  <si>
    <t xml:space="preserve">SETOSSI Severin</t>
  </si>
  <si>
    <t xml:space="preserve">LEKOYO M. Hippolyte (redblant)</t>
  </si>
  <si>
    <t xml:space="preserve">DAMALA M. Djamal Deen</t>
  </si>
  <si>
    <t xml:space="preserve">WOROU B. K. Franc</t>
  </si>
  <si>
    <r>
      <rPr>
        <sz val="12"/>
        <color theme="1"/>
        <rFont val="Arial"/>
        <family val="0"/>
        <charset val="134"/>
      </rPr>
      <t xml:space="preserve">Filière</t>
    </r>
    <r>
      <rPr>
        <sz val="12"/>
        <color theme="1"/>
        <rFont val="comic"/>
        <family val="0"/>
        <charset val="134"/>
      </rPr>
      <t xml:space="preserve">:    </t>
    </r>
    <r>
      <rPr>
        <b val="true"/>
        <sz val="12"/>
        <color theme="1"/>
        <rFont val="comic"/>
        <family val="0"/>
        <charset val="134"/>
      </rPr>
      <t xml:space="preserve">GEOMETRE TOPOGRAPHE</t>
    </r>
  </si>
  <si>
    <t xml:space="preserve">ADJOKANNOU Quentin Koffi</t>
  </si>
  <si>
    <t xml:space="preserve">AFOUDA Malé Charles</t>
  </si>
  <si>
    <t xml:space="preserve">AHOLOU Tankpinou Sèna Victorin</t>
  </si>
  <si>
    <t xml:space="preserve">AHOUANADI Dètondji Olivier</t>
  </si>
  <si>
    <t xml:space="preserve">AKABASSI-TOGAN Mêtognon A.</t>
  </si>
  <si>
    <t xml:space="preserve">ASSOGBA Dèdènou Tindo Prudencio</t>
  </si>
  <si>
    <t xml:space="preserve">AKAMBI A. Chakour B.</t>
  </si>
  <si>
    <t xml:space="preserve">DANHAZOUN Sètondji Euloge</t>
  </si>
  <si>
    <t xml:space="preserve">DETONDJI Yémonho Midoché</t>
  </si>
  <si>
    <t xml:space="preserve">DJESSOU Djima Randal</t>
  </si>
  <si>
    <t xml:space="preserve">DOSSOU Dénis Ogouchinan</t>
  </si>
  <si>
    <t xml:space="preserve">FAGLA MEDEGAN Bignon</t>
  </si>
  <si>
    <t xml:space="preserve">FIOGBE Epiphane</t>
  </si>
  <si>
    <t xml:space="preserve">FOLLY Houéssou Félix</t>
  </si>
  <si>
    <t xml:space="preserve">GANSA Marc</t>
  </si>
  <si>
    <t xml:space="preserve">HOUNWANOU Yélian Fernand</t>
  </si>
  <si>
    <t xml:space="preserve">KAKPO Gildas</t>
  </si>
  <si>
    <t xml:space="preserve">KOKOUVI AYI Bertrand Modeste O.</t>
  </si>
  <si>
    <t xml:space="preserve">KPAKPA SOGLO Gratien H.</t>
  </si>
  <si>
    <t xml:space="preserve">KPELOUSSI Olivier</t>
  </si>
  <si>
    <t xml:space="preserve">MIVEDE Houégninou Olivier</t>
  </si>
  <si>
    <t xml:space="preserve">NOUHOTO Félix</t>
  </si>
  <si>
    <t xml:space="preserve">ALI RAMATH ABEKE</t>
  </si>
  <si>
    <t xml:space="preserve">VIVENAGBO Landry Cokou</t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</si>
  <si>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</t>
    </r>
    <r>
      <rPr>
        <b val="true"/>
        <u val="single"/>
        <sz val="12"/>
        <color theme="1"/>
        <rFont val="comic"/>
        <family val="0"/>
        <charset val="134"/>
      </rPr>
      <t xml:space="preserve">MAINTENANCE INDUSTRIELLE</t>
    </r>
  </si>
  <si>
    <t xml:space="preserve">ADANGUEDE F. Zinsou Damien</t>
  </si>
  <si>
    <t xml:space="preserve">BIWINTON Aristide W.</t>
  </si>
  <si>
    <t xml:space="preserve">DJOKPE Mahunan Enorc Prudencio H.</t>
  </si>
  <si>
    <t xml:space="preserve">GANYE A. Damien </t>
  </si>
  <si>
    <t xml:space="preserve">HOUNSOU SEIVE Hermann Mahoussi</t>
  </si>
  <si>
    <t xml:space="preserve">HOUNGBEDJI H. Roland </t>
  </si>
  <si>
    <t xml:space="preserve">                                                                                                                                                                                                                       </t>
  </si>
  <si>
    <t xml:space="preserve">INGENIEUR GEOMETRE TOPOGRAPHE 2016-2017</t>
  </si>
  <si>
    <t xml:space="preserve">3ème Année de spécialité</t>
  </si>
  <si>
    <t xml:space="preserve">ABOKI Senami Satingo Emmanuel</t>
  </si>
  <si>
    <t xml:space="preserve">ADJAHO Nathalie</t>
  </si>
  <si>
    <t xml:space="preserve">AFORA Kéda K. Myrianne Josée</t>
  </si>
  <si>
    <t xml:space="preserve">AHLOUMESSOU Codjo Amadin</t>
  </si>
  <si>
    <t xml:space="preserve">AHOYA-AKPODE Yélian Renaud</t>
  </si>
  <si>
    <t xml:space="preserve">AIZO Christelle Marie-Agathe D.</t>
  </si>
  <si>
    <t xml:space="preserve">AKOWANOU Robert</t>
  </si>
  <si>
    <t xml:space="preserve">ALLAGBE Benjamin</t>
  </si>
  <si>
    <t xml:space="preserve">ALLASSANE Aboudou S. Boladji</t>
  </si>
  <si>
    <t xml:space="preserve">BALOGOUN Amanian Hervé</t>
  </si>
  <si>
    <t xml:space="preserve">CODJIA Vital Christian</t>
  </si>
  <si>
    <t xml:space="preserve">DJEDOKANSI Cyprien</t>
  </si>
  <si>
    <t xml:space="preserve">DOVONON Togbédji Nicodème</t>
  </si>
  <si>
    <t xml:space="preserve">GODO Yénoukoumè Sylvain</t>
  </si>
  <si>
    <t xml:space="preserve">GONCALVES Octaviano</t>
  </si>
  <si>
    <t xml:space="preserve">HOUNDADJO Edmond</t>
  </si>
  <si>
    <t xml:space="preserve">HOUNKANRIN Fiacre Pérince F.</t>
  </si>
  <si>
    <t xml:space="preserve">HOUNKPE Coffi Roger Modeste</t>
  </si>
  <si>
    <t xml:space="preserve">KIKI SENA Samson</t>
  </si>
  <si>
    <t xml:space="preserve">LAWSON Hypolyte A. A. I.</t>
  </si>
  <si>
    <t xml:space="preserve">MEBOUNOU Codjo Claude</t>
  </si>
  <si>
    <t xml:space="preserve">RADJI Abel Rasack</t>
  </si>
  <si>
    <t xml:space="preserve">SOSSOU Matinkpon Alexandre</t>
  </si>
  <si>
    <t xml:space="preserve">TCHEGNONSI B. Bienvenu Parmenas</t>
  </si>
  <si>
    <t xml:space="preserve">TONOUKOIN Codjo Francis</t>
  </si>
  <si>
    <t xml:space="preserve">ZOFFOUN Nounagnon Firmin</t>
  </si>
  <si>
    <t xml:space="preserve">ZOUNLI Yélian Olivier</t>
  </si>
  <si>
    <t xml:space="preserve">INGENIEUR DE CONCEPTION  EN GENIE CIVIL 2015-2016</t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</si>
  <si>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</t>
    </r>
    <r>
      <rPr>
        <b val="true"/>
        <u val="single"/>
        <sz val="12"/>
        <color theme="1"/>
        <rFont val="Calibri"/>
        <family val="0"/>
        <charset val="134"/>
      </rPr>
      <t xml:space="preserve">GENIE CIVIL</t>
    </r>
  </si>
  <si>
    <t xml:space="preserve">NOM ET PRENOMS</t>
  </si>
  <si>
    <t xml:space="preserve">ADJAHO V. Olivier Poitiers</t>
  </si>
  <si>
    <t xml:space="preserve">ADOHO Sènakpon Parfait</t>
  </si>
  <si>
    <t xml:space="preserve">ADOUGAN Antoine Marie Claret</t>
  </si>
  <si>
    <t xml:space="preserve">ADRA Coffi Elias </t>
  </si>
  <si>
    <t xml:space="preserve">AGBAGAN N. Fermat</t>
  </si>
  <si>
    <t xml:space="preserve">AGBE Narcisse Vignon</t>
  </si>
  <si>
    <t xml:space="preserve">AGLI Arnaud</t>
  </si>
  <si>
    <t xml:space="preserve">AGOSSOU C. Fabrice</t>
  </si>
  <si>
    <t xml:space="preserve">AGOSSOU Rogatien</t>
  </si>
  <si>
    <t xml:space="preserve">AGUIDISSOU Crespin</t>
  </si>
  <si>
    <t xml:space="preserve">AILO KOSSI Laurent</t>
  </si>
  <si>
    <t xml:space="preserve">AKOUTA Franck</t>
  </si>
  <si>
    <t xml:space="preserve">ATTIKPA Alexis</t>
  </si>
  <si>
    <t xml:space="preserve">DADONOUGBO T. Mathieu</t>
  </si>
  <si>
    <t xml:space="preserve">de SOUZA Fiacre Sewanou</t>
  </si>
  <si>
    <t xml:space="preserve">DEGUENON Mahugnon Bienvenu</t>
  </si>
  <si>
    <t xml:space="preserve">DOSSA Y. C. Placide A.</t>
  </si>
  <si>
    <t xml:space="preserve">FAVI Hodonou Honoré</t>
  </si>
  <si>
    <t xml:space="preserve">GBEMENOU Gabin</t>
  </si>
  <si>
    <t xml:space="preserve">GNONHOUE Sènami Eric Wilfrid</t>
  </si>
  <si>
    <t xml:space="preserve">GNONLONFOUN Frank Françis J.</t>
  </si>
  <si>
    <t xml:space="preserve">HOUNWAKANOU Carlos</t>
  </si>
  <si>
    <t xml:space="preserve">HOUNYEME Ferdinand</t>
  </si>
  <si>
    <t xml:space="preserve">HOUSSOU KICHO Eliane</t>
  </si>
  <si>
    <t xml:space="preserve">KOLEOCHO SALAMI Laïssi</t>
  </si>
  <si>
    <t xml:space="preserve">KOLOYITO Luc</t>
  </si>
  <si>
    <t xml:space="preserve">KOTY S. Damien</t>
  </si>
  <si>
    <t xml:space="preserve">KOUHONOU Hector A.</t>
  </si>
  <si>
    <t xml:space="preserve">KPATCHAVI A. Damien</t>
  </si>
  <si>
    <t xml:space="preserve">LANTONKPODE  Stanislas</t>
  </si>
  <si>
    <t xml:space="preserve">MATCHOUDO TCHOUMON Bani</t>
  </si>
  <si>
    <t xml:space="preserve">MICHOZOUNNOU N. Benoit</t>
  </si>
  <si>
    <t xml:space="preserve">MILOHIN Claude</t>
  </si>
  <si>
    <t xml:space="preserve">MOUSSA ALASSOLE K. Dine M.</t>
  </si>
  <si>
    <t xml:space="preserve">MOUTAIROU Abdel Assad</t>
  </si>
  <si>
    <t xml:space="preserve">M'PO MBIMA KOUAGOU Soukou</t>
  </si>
  <si>
    <t xml:space="preserve">NOUNAWON Sena Herve</t>
  </si>
  <si>
    <t xml:space="preserve">OROULA S. Michel</t>
  </si>
  <si>
    <t xml:space="preserve">SAGBOHAN D. Joël</t>
  </si>
  <si>
    <t xml:space="preserve">SALIFOU Abdel Smail I.</t>
  </si>
  <si>
    <t xml:space="preserve">SEMAKO Serge Gislain N.</t>
  </si>
  <si>
    <t xml:space="preserve">TAMEGNON Bertin Roger</t>
  </si>
  <si>
    <t xml:space="preserve">TOKPANOUDE Diane</t>
  </si>
  <si>
    <t xml:space="preserve">TOSSOU Séverin</t>
  </si>
  <si>
    <t xml:space="preserve">VICHEMEY Samson</t>
  </si>
  <si>
    <t xml:space="preserve">ZOLA ZOSSOU Megni Bido Maroubou</t>
  </si>
  <si>
    <t xml:space="preserve"> </t>
  </si>
  <si>
    <t xml:space="preserve">INGENIEUR EN GENIE CIVIL 2016-2017</t>
  </si>
  <si>
    <r>
      <rPr>
        <sz val="12"/>
        <color theme="1"/>
        <rFont val="Arial"/>
        <family val="0"/>
        <charset val="134"/>
      </rPr>
      <t xml:space="preserve">Filière</t>
    </r>
    <r>
      <rPr>
        <sz val="12"/>
        <color theme="1"/>
        <rFont val="comic"/>
        <family val="0"/>
        <charset val="134"/>
      </rPr>
      <t xml:space="preserve">:    </t>
    </r>
    <r>
      <rPr>
        <b val="true"/>
        <sz val="12"/>
        <color theme="1"/>
        <rFont val="comic"/>
        <family val="0"/>
        <charset val="134"/>
      </rPr>
      <t xml:space="preserve">GENIE CIVIL</t>
    </r>
  </si>
  <si>
    <r>
      <rPr>
        <b val="true"/>
        <i val="true"/>
        <sz val="12"/>
        <color theme="1"/>
        <rFont val="Calibri"/>
        <family val="0"/>
        <charset val="134"/>
      </rPr>
      <t xml:space="preserve">Option</t>
    </r>
    <r>
      <rPr>
        <b val="true"/>
        <sz val="12"/>
        <color theme="1"/>
        <rFont val="Calibri"/>
        <family val="0"/>
        <charset val="134"/>
      </rPr>
      <t xml:space="preserve">: </t>
    </r>
    <r>
      <rPr>
        <b val="true"/>
        <u val="single"/>
        <sz val="12"/>
        <color theme="1"/>
        <rFont val="Calibri"/>
        <family val="0"/>
        <charset val="134"/>
      </rPr>
      <t xml:space="preserve">CERTIFICAT PREPARATOIRE</t>
    </r>
  </si>
  <si>
    <t xml:space="preserve"> DAGBA Y. Eric</t>
  </si>
  <si>
    <t xml:space="preserve">ADINGNI Léonce</t>
  </si>
  <si>
    <t xml:space="preserve">ADJOVI Ezekiel</t>
  </si>
  <si>
    <t xml:space="preserve">AFOUDA Olatoudji Fabrice</t>
  </si>
  <si>
    <t xml:space="preserve">AGBESSI Serge</t>
  </si>
  <si>
    <t xml:space="preserve">AKAKPO Alfred</t>
  </si>
  <si>
    <t xml:space="preserve">ALLOGNON G. Rodrigue</t>
  </si>
  <si>
    <t xml:space="preserve">ALLOHOUMBO M. Virgile Copernick</t>
  </si>
  <si>
    <t xml:space="preserve">AMOUSSOU Comlan Prudencio</t>
  </si>
  <si>
    <t xml:space="preserve">ASSO Alidou Amos</t>
  </si>
  <si>
    <t xml:space="preserve">ASSOGBA S. Christel</t>
  </si>
  <si>
    <t xml:space="preserve">AVOTRICAN Thierry Cedric</t>
  </si>
  <si>
    <t xml:space="preserve">BOKOVO Oscar Coovi</t>
  </si>
  <si>
    <t xml:space="preserve">DAKOSSI Abel</t>
  </si>
  <si>
    <t xml:space="preserve">DANNOU R. Privat</t>
  </si>
  <si>
    <t xml:space="preserve">DEGBESSOU Donald</t>
  </si>
  <si>
    <t xml:space="preserve">DEGUENON M. Benvenu</t>
  </si>
  <si>
    <t xml:space="preserve">DJOSSOU Berthelot</t>
  </si>
  <si>
    <t xml:space="preserve">DURAND Neil Giovani</t>
  </si>
  <si>
    <t xml:space="preserve">FAVI Marcelline Imeda</t>
  </si>
  <si>
    <t xml:space="preserve">GBAKOUE Zinhoué H. Bernadine</t>
  </si>
  <si>
    <t xml:space="preserve">GUEDE Jean Bosco Giovanni</t>
  </si>
  <si>
    <t xml:space="preserve">HOUKANDJI K. Jacques</t>
  </si>
  <si>
    <t xml:space="preserve">HOUKPETODE Eric</t>
  </si>
  <si>
    <t xml:space="preserve">HOUNLELOU Franck</t>
  </si>
  <si>
    <t xml:space="preserve">KABA AKOTCHAYE Martinien</t>
  </si>
  <si>
    <t xml:space="preserve">KAHO RHODE Dagbégnikin</t>
  </si>
  <si>
    <t xml:space="preserve">KOTCHE B. Christel</t>
  </si>
  <si>
    <t xml:space="preserve">KOTO Madjeed</t>
  </si>
  <si>
    <t xml:space="preserve">KOUDJEDON Jean Marie</t>
  </si>
  <si>
    <t xml:space="preserve">LINO Marielle K.  Madjè</t>
  </si>
  <si>
    <t xml:space="preserve">LOKOSSOU Cyr Edgard Y.</t>
  </si>
  <si>
    <t xml:space="preserve">MEHOU GBEDOLO Désiré Hugues</t>
  </si>
  <si>
    <t xml:space="preserve">MENSAH Abel Négo</t>
  </si>
  <si>
    <t xml:space="preserve">METODAKOU Herbert</t>
  </si>
  <si>
    <t xml:space="preserve">OGOU Nel Midas</t>
  </si>
  <si>
    <t xml:space="preserve">OGOUNGBE A. Franck</t>
  </si>
  <si>
    <t xml:space="preserve">OUSMANE Issaka</t>
  </si>
  <si>
    <t xml:space="preserve">PADONOU Carmel</t>
  </si>
  <si>
    <t xml:space="preserve">PATINVOH Fiacre Candide</t>
  </si>
  <si>
    <t xml:space="preserve">SEGNON Claude F.</t>
  </si>
  <si>
    <t xml:space="preserve">SODEDJI Nadine</t>
  </si>
  <si>
    <t xml:space="preserve">SOVI Géraud Sèna</t>
  </si>
  <si>
    <t xml:space="preserve">TCHEHOUALI Nadège</t>
  </si>
  <si>
    <t xml:space="preserve">THOTO B. E. Evrard</t>
  </si>
  <si>
    <t xml:space="preserve">TOFFA H. Joël</t>
  </si>
  <si>
    <t xml:space="preserve">TONI Diane</t>
  </si>
  <si>
    <t xml:space="preserve">TOSSA H. Polycarpe</t>
  </si>
  <si>
    <t xml:space="preserve">TOUMENOU Liberty S. Brice</t>
  </si>
  <si>
    <t xml:space="preserve">ZINGBE Luc</t>
  </si>
  <si>
    <r>
      <rPr>
        <sz val="12"/>
        <color theme="1"/>
        <rFont val="Arial"/>
        <family val="0"/>
        <charset val="134"/>
      </rPr>
      <t xml:space="preserve">Filière</t>
    </r>
    <r>
      <rPr>
        <sz val="12"/>
        <color theme="1"/>
        <rFont val="comic"/>
        <family val="0"/>
        <charset val="134"/>
      </rPr>
      <t xml:space="preserve">:    GEOMETRE TOPOGRAPHE</t>
    </r>
  </si>
  <si>
    <t xml:space="preserve">ADJIBOYE Koyodé Sylvestre</t>
  </si>
  <si>
    <t xml:space="preserve">AFFOGNON Hyacinthe A.</t>
  </si>
  <si>
    <t xml:space="preserve">AGBESSI A. Marc</t>
  </si>
  <si>
    <t xml:space="preserve">AGBOSSAGA M. Ladislas Germain</t>
  </si>
  <si>
    <t xml:space="preserve">ATANKPON A. Germain D.</t>
  </si>
  <si>
    <t xml:space="preserve">BAKO Malik</t>
  </si>
  <si>
    <t xml:space="preserve">BOGLO MENSAH Kenth Gedéon</t>
  </si>
  <si>
    <t xml:space="preserve">CHODATON Hurbert Hervé</t>
  </si>
  <si>
    <t xml:space="preserve">FADO Sourou Vivien</t>
  </si>
  <si>
    <t xml:space="preserve">HOUESSIONON Chantale Mahoudjro</t>
  </si>
  <si>
    <t xml:space="preserve">HOUETO Bernad Mahougnon</t>
  </si>
  <si>
    <t xml:space="preserve">HOUETOHOSSOU Hospice</t>
  </si>
  <si>
    <t xml:space="preserve">HOUNDJE Polycarpe C.</t>
  </si>
  <si>
    <t xml:space="preserve">KELANI M. Kassirou</t>
  </si>
  <si>
    <t xml:space="preserve">KOKOUVI Ayi Paul Louis</t>
  </si>
  <si>
    <t xml:space="preserve">KOUDJROHEDE Boris S. Modeste</t>
  </si>
  <si>
    <t xml:space="preserve">KPADONOU Joël Henry</t>
  </si>
  <si>
    <t xml:space="preserve">LAWANI Mahfouz Oréwa Modeste</t>
  </si>
  <si>
    <t xml:space="preserve">SEGO Arnaud</t>
  </si>
  <si>
    <t xml:space="preserve">SEMASSOU Jean Rodrigue</t>
  </si>
  <si>
    <t xml:space="preserve">TANKEU GWAMBA Jocelyn Ines</t>
  </si>
  <si>
    <t xml:space="preserve">TCHIDI Sèwanou Rodolphe</t>
  </si>
  <si>
    <t xml:space="preserve">TODOME Sèmatin Roméo</t>
  </si>
  <si>
    <t xml:space="preserve">VODOUNON Elvis Michel</t>
  </si>
  <si>
    <t xml:space="preserve">YENOUSSA Ileassou Alabi</t>
  </si>
  <si>
    <t xml:space="preserve">   RECAPITULATIF DES RECETTES PAR FILIERS AU TITRE DE 2016-2017</t>
  </si>
  <si>
    <t xml:space="preserve">                                                                                                                    </t>
  </si>
  <si>
    <t xml:space="preserve">FILIERES / ANNEE</t>
  </si>
  <si>
    <t xml:space="preserve">Eff.</t>
  </si>
  <si>
    <t xml:space="preserve">RECETTE ATTENDUE</t>
  </si>
  <si>
    <t xml:space="preserve">RECOUVRE</t>
  </si>
  <si>
    <t xml:space="preserve">RESTE</t>
  </si>
  <si>
    <t xml:space="preserve">TAUX</t>
  </si>
  <si>
    <t xml:space="preserve">G.C 1</t>
  </si>
  <si>
    <t xml:space="preserve">G.C 2</t>
  </si>
  <si>
    <t xml:space="preserve">G.C 3</t>
  </si>
  <si>
    <t xml:space="preserve">G.C 4</t>
  </si>
  <si>
    <t xml:space="preserve">G.E 1</t>
  </si>
  <si>
    <t xml:space="preserve">G.E 2</t>
  </si>
  <si>
    <t xml:space="preserve">G.E 3</t>
  </si>
  <si>
    <t xml:space="preserve">G.E 4</t>
  </si>
  <si>
    <t xml:space="preserve">HCQDA 1</t>
  </si>
  <si>
    <t xml:space="preserve">HCQDA 2</t>
  </si>
  <si>
    <t xml:space="preserve">HCQDA3</t>
  </si>
  <si>
    <t xml:space="preserve">HCQDA 4</t>
  </si>
  <si>
    <t xml:space="preserve">PA1</t>
  </si>
  <si>
    <t xml:space="preserve">P.A 3</t>
  </si>
  <si>
    <t xml:space="preserve">P.A 4</t>
  </si>
  <si>
    <t xml:space="preserve">P.V 1</t>
  </si>
  <si>
    <t xml:space="preserve">P.V 2</t>
  </si>
  <si>
    <t xml:space="preserve">P.V 3</t>
  </si>
  <si>
    <t xml:space="preserve">P.V 4</t>
  </si>
  <si>
    <t xml:space="preserve">Env.1</t>
  </si>
  <si>
    <t xml:space="preserve">Env. 3</t>
  </si>
  <si>
    <t xml:space="preserve">Env. 4</t>
  </si>
  <si>
    <t xml:space="preserve">M I.4</t>
  </si>
  <si>
    <t xml:space="preserve">BHSS1</t>
  </si>
  <si>
    <t xml:space="preserve">BHSS2</t>
  </si>
  <si>
    <t xml:space="preserve">BHSS3</t>
  </si>
  <si>
    <t xml:space="preserve">                   </t>
  </si>
  <si>
    <t xml:space="preserve">ABM2</t>
  </si>
  <si>
    <t xml:space="preserve">ABM3</t>
  </si>
  <si>
    <t xml:space="preserve">ABM4</t>
  </si>
  <si>
    <t xml:space="preserve">GT1</t>
  </si>
  <si>
    <t xml:space="preserve">GT4</t>
  </si>
  <si>
    <t xml:space="preserve">GT3</t>
  </si>
  <si>
    <t xml:space="preserve">TOTAL:  </t>
  </si>
  <si>
    <t xml:space="preserve">      RECETTES GLOBALES DE 2016</t>
  </si>
  <si>
    <t xml:space="preserve">Mois</t>
  </si>
  <si>
    <t xml:space="preserve">Formation à Distance </t>
  </si>
  <si>
    <t xml:space="preserve">Formation continue</t>
  </si>
  <si>
    <t xml:space="preserve">Autre Recettes</t>
  </si>
  <si>
    <t xml:space="preserve">Janvier</t>
  </si>
  <si>
    <t xml:space="preserve">Février</t>
  </si>
  <si>
    <t xml:space="preserve">Mars </t>
  </si>
  <si>
    <t xml:space="preserve">Avril</t>
  </si>
  <si>
    <t xml:space="preserve">Mai</t>
  </si>
  <si>
    <t xml:space="preserve">Juin</t>
  </si>
  <si>
    <t xml:space="preserve">Juillet</t>
  </si>
  <si>
    <t xml:space="preserve">Août</t>
  </si>
  <si>
    <t xml:space="preserve">Septembre</t>
  </si>
  <si>
    <t xml:space="preserve">Octobre</t>
  </si>
  <si>
    <t xml:space="preserve">Novembre</t>
  </si>
  <si>
    <t xml:space="preserve">Décembre</t>
  </si>
  <si>
    <t xml:space="preserve">TOTAL</t>
  </si>
  <si>
    <t xml:space="preserve">LICENCE PROFESSIONNELLE 2015-2016</t>
  </si>
  <si>
    <t xml:space="preserve">DJOMAMOU YAVE Amel Prisel</t>
  </si>
  <si>
    <t xml:space="preserve">ABOUDOU SANDA Saroukou A.</t>
  </si>
  <si>
    <t xml:space="preserve">ACEVOU E. Ignace</t>
  </si>
  <si>
    <t xml:space="preserve">AHIDE ZINSOU Théophile</t>
  </si>
  <si>
    <t xml:space="preserve">AHOUANGANSI Florentin (redouble)</t>
  </si>
  <si>
    <t xml:space="preserve">ALASSI K. Ghislain (redouble)</t>
  </si>
  <si>
    <t xml:space="preserve">ALIOU Mohamadou</t>
  </si>
  <si>
    <t xml:space="preserve">EDO KOKOU Bertrand</t>
  </si>
  <si>
    <t xml:space="preserve">HETCHILI Habib</t>
  </si>
  <si>
    <t xml:space="preserve">TCHARO Orou (redouble)</t>
  </si>
  <si>
    <t xml:space="preserve">GUERRA IBRAHIM Aboubakari (redoubl)</t>
  </si>
  <si>
    <t xml:space="preserve">ADJANOHOUN M. Zoulkifl AKAMBI</t>
  </si>
  <si>
    <t xml:space="preserve">KITIHOUN Mchel (redouble)</t>
  </si>
  <si>
    <t xml:space="preserve">TOGBE William (redouble)</t>
  </si>
  <si>
    <t xml:space="preserve">YEMADJRO Laurence Rebecca</t>
  </si>
  <si>
    <t xml:space="preserve">DOHEMETO SESSI Marthe Falone</t>
  </si>
  <si>
    <t xml:space="preserve">SEMEVO Nadine Armande A.</t>
  </si>
  <si>
    <t xml:space="preserve">ABOGOUNRI W. Fatimata</t>
  </si>
  <si>
    <t xml:space="preserve">ALI SEDAMI O. Aurore</t>
  </si>
  <si>
    <t xml:space="preserve">ASSAH Mesmin</t>
  </si>
  <si>
    <t xml:space="preserve">BA-KASSIN Marceline</t>
  </si>
  <si>
    <t xml:space="preserve">BOKO Abicou Eric Cyriaque</t>
  </si>
  <si>
    <t xml:space="preserve">DAVID DENADI Aurelie</t>
  </si>
  <si>
    <t xml:space="preserve">DEGBOGBAHOUN Albert Jose</t>
  </si>
  <si>
    <t xml:space="preserve">DJABOUTOU Olivier Gally</t>
  </si>
  <si>
    <t xml:space="preserve">EGOULETY SARA Oluwa Cheyi</t>
  </si>
  <si>
    <t xml:space="preserve">GBENOU Elsie</t>
  </si>
  <si>
    <t xml:space="preserve">GNONKPE Medard</t>
  </si>
  <si>
    <t xml:space="preserve">OLOUOSSA A. Bertin</t>
  </si>
  <si>
    <t xml:space="preserve">TOMAVO Mireille</t>
  </si>
  <si>
    <t xml:space="preserve">VIGNON Valerie</t>
  </si>
  <si>
    <t xml:space="preserve">HOUANKOUN O. C Emmanuel (redoubl)</t>
  </si>
  <si>
    <t xml:space="preserve">LANIYONOU Robert (redouble)</t>
  </si>
  <si>
    <t xml:space="preserve">KIOSSOU Romaric</t>
  </si>
  <si>
    <t xml:space="preserve">COURS PREPARATOIRES INGENIEURS GENIE CIVIL CAP EPAC 2016</t>
  </si>
  <si>
    <t xml:space="preserve">LISTE DE PRESENCE</t>
  </si>
  <si>
    <t xml:space="preserve">DATE: …………………………….</t>
  </si>
  <si>
    <t xml:space="preserve">NOMS ET PRENOMS</t>
  </si>
  <si>
    <t xml:space="preserve">Téléphones</t>
  </si>
  <si>
    <t xml:space="preserve">emails</t>
  </si>
  <si>
    <t xml:space="preserve">Signatures</t>
  </si>
  <si>
    <t xml:space="preserve">ADJOVI Ezéchiel</t>
  </si>
  <si>
    <t xml:space="preserve">ezkadjov@gmail.com</t>
  </si>
  <si>
    <t xml:space="preserve">afouda96fabice@gmail.com</t>
  </si>
  <si>
    <t xml:space="preserve">finagnonb@yahoo.fr</t>
  </si>
  <si>
    <t xml:space="preserve">ALLOGNON Rodrigue</t>
  </si>
  <si>
    <t xml:space="preserve">rodrigue.allognon@yahoo.fr </t>
  </si>
  <si>
    <t xml:space="preserve">1er Responsable</t>
  </si>
  <si>
    <t xml:space="preserve">ALLOHOUMBO Copernik</t>
  </si>
  <si>
    <t xml:space="preserve">allocop1@gmail.com</t>
  </si>
  <si>
    <t xml:space="preserve">prudencioamoussou@gmail.com</t>
  </si>
  <si>
    <t xml:space="preserve">ASSOGBA S. C. Christel</t>
  </si>
  <si>
    <t xml:space="preserve">setchegbee1@yahoo.fr</t>
  </si>
  <si>
    <t xml:space="preserve">atcédric.91@gmail.com</t>
  </si>
  <si>
    <t xml:space="preserve">oscar.bokovo@yahoo.fr</t>
  </si>
  <si>
    <t xml:space="preserve">DAGBA M. Eric</t>
  </si>
  <si>
    <t xml:space="preserve">lapatmail@yahoo.fr</t>
  </si>
  <si>
    <t xml:space="preserve">abnahel@yahoo.fr</t>
  </si>
  <si>
    <t xml:space="preserve">DANOU R. Privat</t>
  </si>
  <si>
    <t xml:space="preserve">DJOSSOU Nougnon Berthelot</t>
  </si>
  <si>
    <t xml:space="preserve">djoertho@gmail.com</t>
  </si>
  <si>
    <t xml:space="preserve">FAVI Imelda</t>
  </si>
  <si>
    <t xml:space="preserve">GBAKOUE Z. Bernadine</t>
  </si>
  <si>
    <t xml:space="preserve">GUEDE Giovanni</t>
  </si>
  <si>
    <t xml:space="preserve">ditoudogiovanni@gmail.com</t>
  </si>
  <si>
    <t xml:space="preserve">heric1981@yahoo.fr</t>
  </si>
  <si>
    <t xml:space="preserve">KAHO Rhode</t>
  </si>
  <si>
    <t xml:space="preserve">KahoRhode@gmail.com</t>
  </si>
  <si>
    <t xml:space="preserve">KOBA Akotchayé Martinien</t>
  </si>
  <si>
    <t xml:space="preserve">madjeedkoto@yahoo.fr</t>
  </si>
  <si>
    <t xml:space="preserve">KOUDJEDON Jean marie</t>
  </si>
  <si>
    <t xml:space="preserve">jkoudjedon@gmail.com</t>
  </si>
  <si>
    <t xml:space="preserve">LINO Marielle KOTO MADJE</t>
  </si>
  <si>
    <t xml:space="preserve">barbaritalino@gmail.com</t>
  </si>
  <si>
    <t xml:space="preserve">MEHOU Hugues</t>
  </si>
  <si>
    <t xml:space="preserve">abelnegomensah@gmail.com</t>
  </si>
  <si>
    <t xml:space="preserve">metodakouherbert@outlook.fr</t>
  </si>
  <si>
    <t xml:space="preserve">OGOU Nel-Midas</t>
  </si>
  <si>
    <t xml:space="preserve">OGOUNGBE Armand Franck</t>
  </si>
  <si>
    <t xml:space="preserve">PATINVOH Fiacre C.</t>
  </si>
  <si>
    <t xml:space="preserve">paficama@gmail.com</t>
  </si>
  <si>
    <t xml:space="preserve">97190432 /64383880</t>
  </si>
  <si>
    <t xml:space="preserve">aiejotechno@yahoo.fr</t>
  </si>
  <si>
    <t xml:space="preserve">TCHEHOUALI Corine F. P.</t>
  </si>
  <si>
    <t xml:space="preserve">2è Responsable</t>
  </si>
  <si>
    <t xml:space="preserve">TOFFA H. Joel</t>
  </si>
  <si>
    <t xml:space="preserve">htoffa@yahoo.fr</t>
  </si>
  <si>
    <t xml:space="preserve">herpoly@2000yahoo.fr</t>
  </si>
  <si>
    <t xml:space="preserve">TOUMENOU Liberty</t>
  </si>
  <si>
    <t xml:space="preserve">REFERENCES QUITTANCES</t>
  </si>
  <si>
    <t xml:space="preserve">AGUIDI I. Arnauld Rock</t>
  </si>
  <si>
    <t xml:space="preserve">AKOUNSOUHA Akponi Rafiou N.</t>
  </si>
  <si>
    <t xml:space="preserve">ATCHEKPE Blandine</t>
  </si>
  <si>
    <t xml:space="preserve">ASSANI Abdel Kassir</t>
  </si>
  <si>
    <t xml:space="preserve">KPONOU TOCHEME Irène Adeline</t>
  </si>
  <si>
    <t xml:space="preserve">LATOUNDJI Laetitia Annie</t>
  </si>
  <si>
    <t xml:space="preserve">ROINGUEM M. Berthe</t>
  </si>
  <si>
    <t xml:space="preserve">SAÏZONOU Rsemonde</t>
  </si>
  <si>
    <t xml:space="preserve">SOGLO Fernandine</t>
  </si>
  <si>
    <t xml:space="preserve">ZANNOU Y. Nadine Estelle</t>
  </si>
  <si>
    <t xml:space="preserve">ABOGOUNRIN W. Fatimata</t>
  </si>
  <si>
    <t xml:space="preserve">HINGLO Mèssomon Elvis(redblant)</t>
  </si>
  <si>
    <t xml:space="preserve">MASTER   EN MICROBIOLOGIE/ IMMUNOLOGIE 2016-2017</t>
  </si>
  <si>
    <t xml:space="preserve">1ER SEMESTRE</t>
  </si>
  <si>
    <t xml:space="preserve">ADEGBINDIN Rafiou</t>
  </si>
  <si>
    <t xml:space="preserve">ADEROMOU Eriyomi Toussain</t>
  </si>
  <si>
    <t xml:space="preserve">GBOSSA Hans Eddy M. O.</t>
  </si>
  <si>
    <t xml:space="preserve">AGOUNDOTE Mahussi L. Hermione</t>
  </si>
  <si>
    <t xml:space="preserve">BOURAÏMA Brikissou Alaga</t>
  </si>
  <si>
    <t xml:space="preserve">MAMAN  NANA Mariama</t>
  </si>
  <si>
    <t xml:space="preserve">DEGBO Jesutin T. Sylvestre</t>
  </si>
  <si>
    <t xml:space="preserve">GBAGUIDI Bernice Carene</t>
  </si>
  <si>
    <t xml:space="preserve">GNACADJA Prisca</t>
  </si>
  <si>
    <t xml:space="preserve">HOUNGUE Koffi Désiré</t>
  </si>
  <si>
    <t xml:space="preserve">HOUNSOU SOUROU Albert</t>
  </si>
  <si>
    <t xml:space="preserve">KOMAHOUE KOMABOU Fulbert</t>
  </si>
  <si>
    <t xml:space="preserve">KOUKE Rosny Sergyne N.</t>
  </si>
  <si>
    <t xml:space="preserve">ODOUN Sêwena Mathieu</t>
  </si>
  <si>
    <t xml:space="preserve">QUENUM Rosine Assiba</t>
  </si>
  <si>
    <t xml:space="preserve">SAGBO  Maranatha</t>
  </si>
  <si>
    <t xml:space="preserve">KINSICLOUNON Rosette</t>
  </si>
  <si>
    <t xml:space="preserve">GUINSI Emma</t>
  </si>
  <si>
    <t xml:space="preserve">TESSI AKPITI Irène</t>
  </si>
  <si>
    <t xml:space="preserve">MOHAMADOU A.. Zoulkifl AKAMBI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</si>
</sst>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General"/>
    <numFmt numFmtId="167" formatCode="0\ %"/>
    <numFmt numFmtId="168" formatCode="0.00\ %"/>
    <numFmt numFmtId="169" formatCode="0.00"/>
  </numFmts>
  <fonts count="54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4"/>
      <color theme="1"/>
      <name val="Elephant"/>
      <family val="0"/>
      <charset val="134"/>
    </font>
    <font>
      <b val="true"/>
      <i val="true"/>
      <sz val="12"/>
      <color theme="1"/>
      <name val="Calibri"/>
      <family val="0"/>
      <charset val="134"/>
    </font>
    <font>
      <b val="true"/>
      <sz val="12"/>
      <color theme="1"/>
      <name val="Calibri"/>
      <family val="0"/>
      <charset val="134"/>
    </font>
    <font>
      <b val="true"/>
      <sz val="12"/>
      <color theme="1"/>
      <name val="Albertus MT Lt"/>
      <family val="0"/>
      <charset val="134"/>
    </font>
    <font>
      <b val="true"/>
      <sz val="12"/>
      <color theme="1"/>
      <name val="Arial Narrow"/>
      <family val="0"/>
      <charset val="134"/>
    </font>
    <font>
      <b val="true"/>
      <sz val="12"/>
      <color rgb="FF00B050"/>
      <name val="Arial Narrow"/>
      <family val="0"/>
      <charset val="134"/>
    </font>
    <font>
      <b val="true"/>
      <sz val="12"/>
      <color rgb="FFC00000"/>
      <name val="Arial Narrow"/>
      <family val="0"/>
      <charset val="134"/>
    </font>
    <font>
      <b val="true"/>
      <sz val="12"/>
      <color rgb="FFFF0000"/>
      <name val="Arial Narrow"/>
      <family val="0"/>
      <charset val="134"/>
    </font>
    <font>
      <sz val="12"/>
      <color theme="1"/>
      <name val="Arial Narrow"/>
      <family val="0"/>
      <charset val="134"/>
    </font>
    <font>
      <sz val="12"/>
      <color theme="1"/>
      <name val="Calibri"/>
      <family val="0"/>
      <charset val="134"/>
    </font>
    <font>
      <sz val="12"/>
      <name val="Calibri"/>
      <family val="0"/>
      <charset val="134"/>
    </font>
    <font>
      <sz val="12"/>
      <name val="Arial Narrow"/>
      <family val="0"/>
      <charset val="134"/>
    </font>
    <font>
      <sz val="14"/>
      <color theme="1"/>
      <name val="Aharoni"/>
      <family val="0"/>
      <charset val="177"/>
    </font>
    <font>
      <b val="true"/>
      <sz val="12"/>
      <color rgb="FF00B050"/>
      <name val="Calibri"/>
      <family val="0"/>
      <charset val="134"/>
    </font>
    <font>
      <b val="true"/>
      <sz val="12"/>
      <color rgb="FFC00000"/>
      <name val="Calibri"/>
      <family val="0"/>
      <charset val="134"/>
    </font>
    <font>
      <b val="true"/>
      <sz val="12"/>
      <color rgb="FFFF0000"/>
      <name val="Calibri"/>
      <family val="0"/>
      <charset val="134"/>
    </font>
    <font>
      <b val="true"/>
      <u val="single"/>
      <sz val="12"/>
      <color theme="1"/>
      <name val="comic"/>
      <family val="0"/>
      <charset val="134"/>
    </font>
    <font>
      <sz val="12"/>
      <color theme="1"/>
      <name val="Arial"/>
      <family val="0"/>
      <charset val="134"/>
    </font>
    <font>
      <sz val="12"/>
      <color theme="1"/>
      <name val="comic"/>
      <family val="0"/>
      <charset val="134"/>
    </font>
    <font>
      <b val="true"/>
      <sz val="12"/>
      <color theme="1"/>
      <name val="comic"/>
      <family val="0"/>
      <charset val="134"/>
    </font>
    <font>
      <b val="true"/>
      <sz val="16"/>
      <color theme="1"/>
      <name val="Aharoni"/>
      <family val="0"/>
      <charset val="177"/>
    </font>
    <font>
      <b val="true"/>
      <sz val="14"/>
      <color rgb="FF00B050"/>
      <name val="Calibri"/>
      <family val="0"/>
      <charset val="134"/>
    </font>
    <font>
      <b val="true"/>
      <sz val="14"/>
      <color rgb="FF002060"/>
      <name val="Calibri"/>
      <family val="0"/>
      <charset val="134"/>
    </font>
    <font>
      <b val="true"/>
      <sz val="14"/>
      <color rgb="FFFF0000"/>
      <name val="Calibri"/>
      <family val="0"/>
      <charset val="134"/>
    </font>
    <font>
      <b val="true"/>
      <sz val="14"/>
      <color theme="1"/>
      <name val="Aharoni"/>
      <family val="0"/>
      <charset val="177"/>
    </font>
    <font>
      <b val="true"/>
      <u val="single"/>
      <sz val="10"/>
      <color theme="1"/>
      <name val="comic"/>
      <family val="0"/>
      <charset val="134"/>
    </font>
    <font>
      <sz val="11"/>
      <color theme="1"/>
      <name val="Arial Narrow"/>
      <family val="0"/>
      <charset val="134"/>
    </font>
    <font>
      <sz val="12"/>
      <color theme="1"/>
      <name val="Elephant"/>
      <family val="0"/>
      <charset val="134"/>
    </font>
    <font>
      <b val="true"/>
      <u val="single"/>
      <sz val="12"/>
      <color theme="1"/>
      <name val="Calibri"/>
      <family val="0"/>
      <charset val="134"/>
    </font>
    <font>
      <b val="true"/>
      <sz val="12"/>
      <color rgb="FF002060"/>
      <name val="Arial Narrow"/>
      <family val="0"/>
      <charset val="134"/>
    </font>
    <font>
      <b val="true"/>
      <sz val="16"/>
      <color theme="1"/>
      <name val="Calibri"/>
      <family val="0"/>
      <charset val="134"/>
    </font>
    <font>
      <b val="true"/>
      <i val="true"/>
      <sz val="14"/>
      <color theme="1"/>
      <name val="Calibri"/>
      <family val="0"/>
      <charset val="134"/>
    </font>
    <font>
      <sz val="14"/>
      <color rgb="FF00B050"/>
      <name val="Calibri"/>
      <family val="0"/>
      <charset val="134"/>
    </font>
    <font>
      <b val="true"/>
      <sz val="11"/>
      <name val="Albertus MT Lt"/>
      <family val="0"/>
      <charset val="134"/>
    </font>
    <font>
      <b val="true"/>
      <sz val="12"/>
      <name val="Baskerville Old Face"/>
      <family val="0"/>
      <charset val="134"/>
    </font>
    <font>
      <b val="true"/>
      <sz val="12"/>
      <name val="Albertus MT Lt"/>
      <family val="0"/>
      <charset val="134"/>
    </font>
    <font>
      <b val="true"/>
      <sz val="10"/>
      <name val="Albertus MT Lt"/>
      <family val="0"/>
      <charset val="134"/>
    </font>
    <font>
      <b val="true"/>
      <sz val="10"/>
      <color theme="7" tint="0.5999"/>
      <name val="Albertus MT Lt"/>
      <family val="0"/>
      <charset val="134"/>
    </font>
    <font>
      <b val="true"/>
      <sz val="11"/>
      <color theme="1"/>
      <name val="Calibri"/>
      <family val="0"/>
      <charset val="134"/>
    </font>
    <font>
      <b val="true"/>
      <sz val="10"/>
      <color theme="7" tint="0.3999"/>
      <name val="Albertus MT Lt"/>
      <family val="0"/>
      <charset val="134"/>
    </font>
    <font>
      <b val="true"/>
      <sz val="12"/>
      <name val="Arial"/>
      <family val="0"/>
      <charset val="134"/>
    </font>
    <font>
      <b val="true"/>
      <sz val="16"/>
      <name val="Arial"/>
      <family val="0"/>
      <charset val="134"/>
    </font>
    <font>
      <sz val="12"/>
      <name val="Arial"/>
      <family val="0"/>
      <charset val="134"/>
    </font>
    <font>
      <sz val="9"/>
      <color theme="1"/>
      <name val="Calibri"/>
      <family val="0"/>
      <charset val="134"/>
    </font>
    <font>
      <b val="true"/>
      <sz val="12"/>
      <color theme="1"/>
      <name val="Eras Demi ITC"/>
      <family val="0"/>
      <charset val="134"/>
    </font>
    <font>
      <u val="single"/>
      <sz val="11"/>
      <color theme="10"/>
      <name val="Calibri"/>
      <family val="0"/>
      <charset val="134"/>
    </font>
    <font>
      <b val="true"/>
      <u val="single"/>
      <sz val="11"/>
      <color theme="10"/>
      <name val="Calibri"/>
      <family val="0"/>
      <charset val="134"/>
    </font>
    <font>
      <sz val="8"/>
      <color theme="1"/>
      <name val="Calibri"/>
      <family val="0"/>
      <charset val="134"/>
    </font>
    <font>
      <b val="true"/>
      <sz val="12"/>
      <color theme="1"/>
      <name val="Arial Narrow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BFBFBF"/>
      </patternFill>
    </fill>
    <fill>
      <patternFill patternType="solid">
        <fgColor theme="0" tint="-0.25"/>
        <bgColor rgb="FFCCC1DA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double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thin"/>
      <right style="thin"/>
      <top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slantDashDot"/>
      <right style="slantDashDot"/>
      <top style="slantDashDot"/>
      <bottom style="slantDashDot"/>
      <diagonal/>
    </border>
    <border diagonalUp="false" diagonalDown="false">
      <left style="slantDashDot"/>
      <right style="dashed"/>
      <top style="slantDashDot"/>
      <bottom style="dashed"/>
      <diagonal/>
    </border>
    <border diagonalUp="false" diagonalDown="false">
      <left style="dashed"/>
      <right style="dashed"/>
      <top style="slantDashDot"/>
      <bottom style="dashed"/>
      <diagonal/>
    </border>
    <border diagonalUp="false" diagonalDown="false">
      <left style="slantDashDot"/>
      <right style="dashed"/>
      <top style="dashed"/>
      <bottom style="dashed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/>
      <top style="dashed"/>
      <bottom style="dashed"/>
      <diagonal/>
    </border>
    <border diagonalUp="false" diagonalDown="false">
      <left style="dashed"/>
      <right style="dashed"/>
      <top/>
      <bottom style="slantDashDot"/>
      <diagonal/>
    </border>
    <border diagonalUp="false" diagonalDown="false">
      <left style="thin"/>
      <right style="double"/>
      <top style="double"/>
      <bottom style="double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 style="double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5" fillId="2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3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2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8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9" fillId="2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0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3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19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2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4" fillId="2" borderId="1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3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2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1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3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6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4" fillId="2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4" fillId="2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0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2" fillId="2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2" borderId="2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0" fillId="2" borderId="2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8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2" borderId="1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2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2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1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2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2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4" fillId="2" borderId="2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5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4" fillId="2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2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2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2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2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0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7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8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7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" fillId="3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4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4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4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1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1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1" fillId="0" borderId="6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0" fillId="4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1" fillId="0" borderId="3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2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2" fillId="4" borderId="6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" fillId="4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4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1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1" fillId="4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4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1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4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1" fillId="4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1" fillId="4" borderId="3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1" fillId="2" borderId="6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1" fillId="0" borderId="38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" fillId="4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0" fillId="4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1" fillId="4" borderId="38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4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1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1" fillId="4" borderId="3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2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1" fillId="2" borderId="3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4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4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4" fillId="4" borderId="3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4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0" fillId="3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0" fillId="0" borderId="2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5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0" borderId="4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7" fillId="0" borderId="4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5" fillId="0" borderId="4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7" fillId="0" borderId="4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7" fillId="0" borderId="4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7" fillId="0" borderId="4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5" fillId="0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5" fillId="0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" fillId="0" borderId="5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8" fillId="0" borderId="5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8" fillId="2" borderId="5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8" fillId="0" borderId="5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0" fillId="2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5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" fillId="5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8" fillId="0" borderId="2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" fillId="0" borderId="2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8" fillId="0" borderId="2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2" fillId="0" borderId="2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2" fillId="2" borderId="2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2" fillId="0" borderId="2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8" fillId="2" borderId="2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5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0" borderId="5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5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0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5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5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9" fontId="0" fillId="0" borderId="52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8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1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B3A2C7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'LICENCE PRO. 1ère ANNEE'!$B$84:$B$89</c:f>
              <c:strCache>
                <c:ptCount val="1"/>
                <c:pt idx="0">
                  <c:v>LICENCE PROFESSIONNELLE 2016-2017 Option: PRODUCTION ANIMAL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'LICENCE PRO. 1ère ANNEE'!$A$90:$A$105</c:f>
              <c:strCache>
                <c:ptCount val="16"/>
                <c:pt idx="0">
                  <c:v>N°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/>
                </c:pt>
              </c:strCache>
            </c:strRef>
          </c:cat>
          <c:val>
            <c:numRef>
              <c:f>'LICENCE PRO. 1ère ANNEE'!$B$90:$B$105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'LICENCE PRO. 1ère ANNEE'!$C$84:$C$89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'LICENCE PRO. 1ère ANNEE'!$A$90:$A$105</c:f>
              <c:strCache>
                <c:ptCount val="16"/>
                <c:pt idx="0">
                  <c:v>N°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/>
                </c:pt>
              </c:strCache>
            </c:strRef>
          </c:cat>
          <c:val>
            <c:numRef>
              <c:f>'LICENCE PRO. 1ère ANNEE'!$C$90:$C$105</c:f>
              <c:numCache>
                <c:formatCode>#,##0</c:formatCode>
                <c:ptCount val="16"/>
                <c:pt idx="2">
                  <c:v>416500</c:v>
                </c:pt>
                <c:pt idx="4">
                  <c:v>416500</c:v>
                </c:pt>
                <c:pt idx="5">
                  <c:v>416500</c:v>
                </c:pt>
                <c:pt idx="6">
                  <c:v>416500</c:v>
                </c:pt>
                <c:pt idx="7">
                  <c:v>416500</c:v>
                </c:pt>
                <c:pt idx="8">
                  <c:v>416500</c:v>
                </c:pt>
                <c:pt idx="10">
                  <c:v>416500</c:v>
                </c:pt>
                <c:pt idx="12">
                  <c:v>416500</c:v>
                </c:pt>
                <c:pt idx="13">
                  <c:v>416500</c:v>
                </c:pt>
                <c:pt idx="15">
                  <c:v>3748500</c:v>
                </c:pt>
              </c:numCache>
            </c:numRef>
          </c:val>
        </c:ser>
        <c:ser>
          <c:idx val="2"/>
          <c:order val="2"/>
          <c:tx>
            <c:strRef>
              <c:f>'LICENCE PRO. 1ère ANNEE'!$D$84:$D$89</c:f>
              <c:strCache>
                <c:ptCount val="1"/>
                <c:pt idx="0">
                  <c:v>1ère Année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'LICENCE PRO. 1ère ANNEE'!$A$90:$A$105</c:f>
              <c:strCache>
                <c:ptCount val="16"/>
                <c:pt idx="0">
                  <c:v>N°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/>
                </c:pt>
              </c:strCache>
            </c:strRef>
          </c:cat>
          <c:val>
            <c:numRef>
              <c:f>'LICENCE PRO. 1ère ANNEE'!$D$90:$D$105</c:f>
              <c:numCache>
                <c:formatCode>General</c:formatCode>
                <c:ptCount val="16"/>
                <c:pt idx="2">
                  <c:v>416500</c:v>
                </c:pt>
                <c:pt idx="4">
                  <c:v>366500</c:v>
                </c:pt>
                <c:pt idx="5">
                  <c:v>416500</c:v>
                </c:pt>
                <c:pt idx="6">
                  <c:v>416500</c:v>
                </c:pt>
                <c:pt idx="7">
                  <c:v>416500</c:v>
                </c:pt>
                <c:pt idx="10">
                  <c:v>330000</c:v>
                </c:pt>
                <c:pt idx="12">
                  <c:v>416500</c:v>
                </c:pt>
                <c:pt idx="13">
                  <c:v>416500</c:v>
                </c:pt>
                <c:pt idx="15">
                  <c:v>3195500</c:v>
                </c:pt>
              </c:numCache>
            </c:numRef>
          </c:val>
        </c:ser>
        <c:ser>
          <c:idx val="3"/>
          <c:order val="3"/>
          <c:tx>
            <c:strRef>
              <c:f>'LICENCE PRO. 1ère ANNEE'!$E$84:$E$89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064a2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'LICENCE PRO. 1ère ANNEE'!$A$90:$A$105</c:f>
              <c:strCache>
                <c:ptCount val="16"/>
                <c:pt idx="0">
                  <c:v>N°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/>
                </c:pt>
              </c:strCache>
            </c:strRef>
          </c:cat>
          <c:val>
            <c:numRef>
              <c:f>'LICENCE PRO. 1ère ANNEE'!$E$90:$E$105</c:f>
              <c:numCache>
                <c:formatCode>#,##0</c:formatCode>
                <c:ptCount val="16"/>
                <c:pt idx="2">
                  <c:v>0</c:v>
                </c:pt>
                <c:pt idx="4">
                  <c:v>50000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416500</c:v>
                </c:pt>
                <c:pt idx="10">
                  <c:v>86500</c:v>
                </c:pt>
                <c:pt idx="12">
                  <c:v>0</c:v>
                </c:pt>
                <c:pt idx="13">
                  <c:v>0</c:v>
                </c:pt>
                <c:pt idx="15">
                  <c:v>553000</c:v>
                </c:pt>
              </c:numCache>
            </c:numRef>
          </c:val>
        </c:ser>
        <c:gapWidth val="150"/>
        <c:overlap val="0"/>
        <c:axId val="99385492"/>
        <c:axId val="82000108"/>
      </c:barChart>
      <c:catAx>
        <c:axId val="993854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fr-FR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82000108"/>
        <c:crosses val="autoZero"/>
        <c:auto val="1"/>
        <c:lblAlgn val="ctr"/>
        <c:lblOffset val="100"/>
        <c:noMultiLvlLbl val="0"/>
      </c:catAx>
      <c:valAx>
        <c:axId val="8200010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fr-FR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99385492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fr-FR" sz="1000" strike="noStrike" u="none">
              <a:solidFill>
                <a:srgbClr val="000000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13</xdr:col>
      <xdr:colOff>375120</xdr:colOff>
      <xdr:row>31</xdr:row>
      <xdr:rowOff>163800</xdr:rowOff>
    </xdr:to>
    <xdr:graphicFrame>
      <xdr:nvGraphicFramePr>
        <xdr:cNvPr id="0" name="Graphique 1"/>
        <xdr:cNvGraphicFramePr/>
      </xdr:nvGraphicFramePr>
      <xdr:xfrm>
        <a:off x="0" y="0"/>
        <a:ext cx="9802440" cy="606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ezkadjov@gmail.com" TargetMode="External"/><Relationship Id="rId2" Type="http://schemas.openxmlformats.org/officeDocument/2006/relationships/hyperlink" Target="mailto:afouda96fabice@gmail.com" TargetMode="External"/><Relationship Id="rId3" Type="http://schemas.openxmlformats.org/officeDocument/2006/relationships/hyperlink" Target="mailto:finagnonb@yahoo.fr" TargetMode="External"/><Relationship Id="rId4" Type="http://schemas.openxmlformats.org/officeDocument/2006/relationships/hyperlink" Target="mailto:rodrigue.allognon@yahoo.fr" TargetMode="External"/><Relationship Id="rId5" Type="http://schemas.openxmlformats.org/officeDocument/2006/relationships/hyperlink" Target="mailto:allocop1@gmail.com" TargetMode="External"/><Relationship Id="rId6" Type="http://schemas.openxmlformats.org/officeDocument/2006/relationships/hyperlink" Target="mailto:prudencioamoussou@gmail.com" TargetMode="External"/><Relationship Id="rId7" Type="http://schemas.openxmlformats.org/officeDocument/2006/relationships/hyperlink" Target="mailto:setchegbee1@yahoo.fr" TargetMode="External"/><Relationship Id="rId8" Type="http://schemas.openxmlformats.org/officeDocument/2006/relationships/hyperlink" Target="mailto:atc&#233;dric.91@gmail.com" TargetMode="External"/><Relationship Id="rId9" Type="http://schemas.openxmlformats.org/officeDocument/2006/relationships/hyperlink" Target="mailto:oscar.bokovo@yahoo.fr" TargetMode="External"/><Relationship Id="rId10" Type="http://schemas.openxmlformats.org/officeDocument/2006/relationships/hyperlink" Target="mailto:lapatmail@yahoo.fr" TargetMode="External"/><Relationship Id="rId11" Type="http://schemas.openxmlformats.org/officeDocument/2006/relationships/hyperlink" Target="mailto:abnahel@yahoo.fr" TargetMode="External"/><Relationship Id="rId12" Type="http://schemas.openxmlformats.org/officeDocument/2006/relationships/hyperlink" Target="mailto:djoertho@gmail.com" TargetMode="External"/><Relationship Id="rId13" Type="http://schemas.openxmlformats.org/officeDocument/2006/relationships/hyperlink" Target="mailto:ditoudogiovanni@gmail.com" TargetMode="External"/><Relationship Id="rId14" Type="http://schemas.openxmlformats.org/officeDocument/2006/relationships/hyperlink" Target="mailto:heric1981@yahoo.fr" TargetMode="External"/><Relationship Id="rId15" Type="http://schemas.openxmlformats.org/officeDocument/2006/relationships/hyperlink" Target="mailto:KahoRhode@gmail.com" TargetMode="External"/><Relationship Id="rId16" Type="http://schemas.openxmlformats.org/officeDocument/2006/relationships/hyperlink" Target="mailto:madjeedkoto@yahoo.fr" TargetMode="External"/><Relationship Id="rId17" Type="http://schemas.openxmlformats.org/officeDocument/2006/relationships/hyperlink" Target="mailto:jkoudjedon@gmail.com" TargetMode="External"/><Relationship Id="rId18" Type="http://schemas.openxmlformats.org/officeDocument/2006/relationships/hyperlink" Target="mailto:barbaritalino@gmail.com" TargetMode="External"/><Relationship Id="rId19" Type="http://schemas.openxmlformats.org/officeDocument/2006/relationships/hyperlink" Target="mailto:abelnegomensah@gmail.com" TargetMode="External"/><Relationship Id="rId20" Type="http://schemas.openxmlformats.org/officeDocument/2006/relationships/hyperlink" Target="mailto:metodakouherbert@outlook.fr" TargetMode="External"/><Relationship Id="rId21" Type="http://schemas.openxmlformats.org/officeDocument/2006/relationships/hyperlink" Target="mailto:paficama@gmail.com" TargetMode="External"/><Relationship Id="rId22" Type="http://schemas.openxmlformats.org/officeDocument/2006/relationships/hyperlink" Target="mailto:aiejotechno@yahoo.fr" TargetMode="External"/><Relationship Id="rId23" Type="http://schemas.openxmlformats.org/officeDocument/2006/relationships/hyperlink" Target="mailto:htoffa@yahoo.fr" TargetMode="External"/><Relationship Id="rId24" Type="http://schemas.openxmlformats.org/officeDocument/2006/relationships/hyperlink" Target="mailto:herpoly@2000yahoo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20" colorId="64" zoomScale="120" zoomScaleNormal="120" zoomScalePageLayoutView="100" workbookViewId="0">
      <selection pane="topLeft" activeCell="A1" activeCellId="0" sqref="A1"/>
    </sheetView>
  </sheetViews>
  <sheetFormatPr defaultColWidth="10.28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243"/>
  <sheetViews>
    <sheetView showFormulas="false" showGridLines="true" showRowColHeaders="true" showZeros="true" rightToLeft="false" tabSelected="false" showOutlineSymbols="true" defaultGridColor="true" view="normal" topLeftCell="A309" colorId="64" zoomScale="100" zoomScaleNormal="100" zoomScalePageLayoutView="100" workbookViewId="0">
      <selection pane="topLeft" activeCell="F6" activeCellId="0" sqref="F6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32.57"/>
    <col collapsed="false" customWidth="true" hidden="false" outlineLevel="0" max="3" min="3" style="1" width="13.15"/>
    <col collapsed="false" customWidth="true" hidden="false" outlineLevel="0" max="4" min="4" style="1" width="12.29"/>
    <col collapsed="false" customWidth="true" hidden="false" outlineLevel="0" max="5" min="5" style="1" width="15.14"/>
    <col collapsed="false" customWidth="true" hidden="false" outlineLevel="0" max="16384" min="16369" style="0" width="11.53"/>
  </cols>
  <sheetData>
    <row r="3" customFormat="false" ht="17.35" hidden="false" customHeight="false" outlineLevel="0" collapsed="false">
      <c r="A3" s="2"/>
      <c r="B3" s="3" t="s">
        <v>0</v>
      </c>
    </row>
    <row r="4" customFormat="false" ht="17.35" hidden="false" customHeight="false" outlineLevel="0" collapsed="false">
      <c r="A4" s="4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2"/>
      <c r="B6" s="5" t="s">
        <v>1</v>
      </c>
    </row>
    <row r="7" customFormat="false" ht="15" hidden="false" customHeight="false" outlineLevel="0" collapsed="false">
      <c r="A7" s="2"/>
      <c r="D7" s="6" t="s">
        <v>2</v>
      </c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7" t="s">
        <v>3</v>
      </c>
      <c r="B9" s="8" t="s">
        <v>4</v>
      </c>
      <c r="C9" s="9" t="s">
        <v>5</v>
      </c>
      <c r="D9" s="10" t="s">
        <v>6</v>
      </c>
      <c r="E9" s="11" t="s">
        <v>7</v>
      </c>
    </row>
    <row r="10" customFormat="false" ht="15" hidden="false" customHeight="false" outlineLevel="0" collapsed="false">
      <c r="A10" s="12" t="n">
        <v>1</v>
      </c>
      <c r="B10" s="13" t="s">
        <v>8</v>
      </c>
      <c r="C10" s="14" t="n">
        <v>416500</v>
      </c>
      <c r="D10" s="15" t="n">
        <f aca="false">216500+200000</f>
        <v>416500</v>
      </c>
      <c r="E10" s="16" t="n">
        <f aca="false">C10-D10</f>
        <v>0</v>
      </c>
    </row>
    <row r="11" customFormat="false" ht="15" hidden="false" customHeight="false" outlineLevel="0" collapsed="false">
      <c r="A11" s="12" t="n">
        <v>2</v>
      </c>
      <c r="B11" s="17" t="s">
        <v>9</v>
      </c>
      <c r="C11" s="14" t="n">
        <v>416500</v>
      </c>
      <c r="D11" s="18" t="n">
        <f aca="false">216500</f>
        <v>216500</v>
      </c>
      <c r="E11" s="16" t="n">
        <f aca="false">C11-D11</f>
        <v>200000</v>
      </c>
    </row>
    <row r="12" customFormat="false" ht="15" hidden="false" customHeight="false" outlineLevel="0" collapsed="false">
      <c r="A12" s="12" t="n">
        <v>3</v>
      </c>
      <c r="B12" s="17" t="s">
        <v>10</v>
      </c>
      <c r="C12" s="14" t="s">
        <v>11</v>
      </c>
      <c r="D12" s="15" t="s">
        <v>11</v>
      </c>
      <c r="E12" s="19" t="s">
        <v>11</v>
      </c>
    </row>
    <row r="13" customFormat="false" ht="15" hidden="false" customHeight="false" outlineLevel="0" collapsed="false">
      <c r="A13" s="12" t="n">
        <v>4</v>
      </c>
      <c r="B13" s="17" t="s">
        <v>12</v>
      </c>
      <c r="C13" s="14" t="n">
        <v>416500</v>
      </c>
      <c r="D13" s="18" t="n">
        <f aca="false">216500+200000</f>
        <v>416500</v>
      </c>
      <c r="E13" s="16" t="n">
        <f aca="false">C13-D13</f>
        <v>0</v>
      </c>
    </row>
    <row r="14" customFormat="false" ht="15" hidden="false" customHeight="false" outlineLevel="0" collapsed="false">
      <c r="A14" s="12" t="n">
        <v>5</v>
      </c>
      <c r="B14" s="17" t="s">
        <v>13</v>
      </c>
      <c r="C14" s="14" t="n">
        <v>416500</v>
      </c>
      <c r="D14" s="18" t="n">
        <f aca="false">216000+200000</f>
        <v>416000</v>
      </c>
      <c r="E14" s="16" t="n">
        <f aca="false">C14-D14</f>
        <v>500</v>
      </c>
    </row>
    <row r="15" customFormat="false" ht="15" hidden="false" customHeight="false" outlineLevel="0" collapsed="false">
      <c r="A15" s="12" t="n">
        <v>6</v>
      </c>
      <c r="B15" s="17" t="s">
        <v>14</v>
      </c>
      <c r="C15" s="14" t="n">
        <v>416500</v>
      </c>
      <c r="D15" s="18" t="n">
        <f aca="false">216500+200000</f>
        <v>416500</v>
      </c>
      <c r="E15" s="16" t="n">
        <f aca="false">C15-D15</f>
        <v>0</v>
      </c>
    </row>
    <row r="16" customFormat="false" ht="15" hidden="false" customHeight="false" outlineLevel="0" collapsed="false">
      <c r="A16" s="12" t="n">
        <v>7</v>
      </c>
      <c r="B16" s="17" t="s">
        <v>15</v>
      </c>
      <c r="C16" s="14" t="n">
        <v>416500</v>
      </c>
      <c r="D16" s="20" t="n">
        <f aca="false">216500+200000</f>
        <v>416500</v>
      </c>
      <c r="E16" s="16" t="n">
        <f aca="false">C16-D16</f>
        <v>0</v>
      </c>
    </row>
    <row r="17" customFormat="false" ht="15" hidden="false" customHeight="false" outlineLevel="0" collapsed="false">
      <c r="A17" s="12" t="n">
        <v>8</v>
      </c>
      <c r="B17" s="17" t="s">
        <v>16</v>
      </c>
      <c r="C17" s="14" t="n">
        <v>416500</v>
      </c>
      <c r="D17" s="21" t="n">
        <v>416500</v>
      </c>
      <c r="E17" s="16" t="n">
        <f aca="false">C17-D17</f>
        <v>0</v>
      </c>
    </row>
    <row r="18" customFormat="false" ht="15" hidden="false" customHeight="false" outlineLevel="0" collapsed="false">
      <c r="A18" s="12" t="n">
        <v>9</v>
      </c>
      <c r="B18" s="17" t="s">
        <v>17</v>
      </c>
      <c r="C18" s="14" t="n">
        <v>416500</v>
      </c>
      <c r="D18" s="21" t="n">
        <f aca="false">216500+200000</f>
        <v>416500</v>
      </c>
      <c r="E18" s="16" t="n">
        <f aca="false">C18-D18</f>
        <v>0</v>
      </c>
    </row>
    <row r="19" customFormat="false" ht="15" hidden="false" customHeight="false" outlineLevel="0" collapsed="false">
      <c r="A19" s="12" t="n">
        <v>10</v>
      </c>
      <c r="B19" s="17" t="s">
        <v>18</v>
      </c>
      <c r="C19" s="14" t="n">
        <v>416500</v>
      </c>
      <c r="D19" s="21" t="n">
        <f aca="false">100000+116500+200000</f>
        <v>416500</v>
      </c>
      <c r="E19" s="16" t="n">
        <f aca="false">C19-D19</f>
        <v>0</v>
      </c>
    </row>
    <row r="20" customFormat="false" ht="15" hidden="false" customHeight="false" outlineLevel="0" collapsed="false">
      <c r="A20" s="12" t="n">
        <v>11</v>
      </c>
      <c r="B20" s="17" t="s">
        <v>19</v>
      </c>
      <c r="C20" s="14" t="n">
        <v>416500</v>
      </c>
      <c r="D20" s="21" t="n">
        <f aca="false">216500+200000</f>
        <v>416500</v>
      </c>
      <c r="E20" s="16" t="n">
        <f aca="false">C20-D20</f>
        <v>0</v>
      </c>
    </row>
    <row r="21" customFormat="false" ht="15" hidden="false" customHeight="false" outlineLevel="0" collapsed="false">
      <c r="A21" s="12" t="n">
        <v>12</v>
      </c>
      <c r="B21" s="17" t="s">
        <v>20</v>
      </c>
      <c r="C21" s="14" t="n">
        <v>416500</v>
      </c>
      <c r="D21" s="20" t="n">
        <f aca="false">216500+200000</f>
        <v>416500</v>
      </c>
      <c r="E21" s="16" t="n">
        <f aca="false">C21-D21</f>
        <v>0</v>
      </c>
    </row>
    <row r="22" customFormat="false" ht="17.35" hidden="false" customHeight="false" outlineLevel="0" collapsed="false">
      <c r="A22" s="22"/>
      <c r="B22" s="23" t="s">
        <v>21</v>
      </c>
      <c r="C22" s="24" t="n">
        <f aca="false">SUM(C10:C21)</f>
        <v>4581500</v>
      </c>
      <c r="D22" s="25" t="n">
        <f aca="false">SUM(D10:D21)</f>
        <v>4381000</v>
      </c>
      <c r="E22" s="26" t="n">
        <f aca="false">SUM(E10:E21)</f>
        <v>200500</v>
      </c>
    </row>
    <row r="23" customFormat="false" ht="17.35" hidden="false" customHeight="false" outlineLevel="0" collapsed="false">
      <c r="A23" s="27"/>
      <c r="B23" s="28"/>
      <c r="C23" s="29"/>
      <c r="D23" s="30"/>
      <c r="E23" s="31"/>
    </row>
    <row r="24" customFormat="false" ht="15" hidden="false" customHeight="false" outlineLevel="0" collapsed="false">
      <c r="D24" s="32"/>
    </row>
    <row r="25" customFormat="false" ht="15" hidden="false" customHeight="false" outlineLevel="0" collapsed="false">
      <c r="D25" s="32"/>
    </row>
    <row r="26" customFormat="false" ht="15" hidden="false" customHeight="false" outlineLevel="0" collapsed="false">
      <c r="D26" s="32"/>
    </row>
    <row r="27" customFormat="false" ht="15" hidden="false" customHeight="false" outlineLevel="0" collapsed="false">
      <c r="D27" s="32"/>
    </row>
    <row r="28" customFormat="false" ht="15" hidden="false" customHeight="false" outlineLevel="0" collapsed="false">
      <c r="D28" s="32"/>
    </row>
    <row r="29" customFormat="false" ht="17.35" hidden="false" customHeight="false" outlineLevel="0" collapsed="false">
      <c r="A29" s="2"/>
      <c r="B29" s="3" t="s">
        <v>0</v>
      </c>
      <c r="D29" s="32"/>
    </row>
    <row r="30" customFormat="false" ht="15" hidden="false" customHeight="false" outlineLevel="0" collapsed="false">
      <c r="A30" s="2"/>
      <c r="D30" s="32"/>
    </row>
    <row r="31" customFormat="false" ht="15" hidden="false" customHeight="false" outlineLevel="0" collapsed="false">
      <c r="A31" s="2"/>
      <c r="D31" s="32"/>
    </row>
    <row r="32" customFormat="false" ht="17.25" hidden="false" customHeight="false" outlineLevel="0" collapsed="false">
      <c r="A32" s="2"/>
      <c r="B32" s="5" t="s">
        <v>22</v>
      </c>
      <c r="D32" s="33" t="s">
        <v>2</v>
      </c>
    </row>
    <row r="33" customFormat="false" ht="15" hidden="false" customHeight="false" outlineLevel="0" collapsed="false">
      <c r="A33" s="2"/>
      <c r="D33" s="32"/>
    </row>
    <row r="34" customFormat="false" ht="15" hidden="false" customHeight="false" outlineLevel="0" collapsed="false">
      <c r="A34" s="7" t="s">
        <v>3</v>
      </c>
      <c r="B34" s="8" t="s">
        <v>4</v>
      </c>
      <c r="C34" s="9" t="s">
        <v>5</v>
      </c>
      <c r="D34" s="34" t="s">
        <v>6</v>
      </c>
      <c r="E34" s="11" t="s">
        <v>7</v>
      </c>
    </row>
    <row r="35" customFormat="false" ht="15" hidden="false" customHeight="false" outlineLevel="0" collapsed="false">
      <c r="A35" s="35" t="n">
        <v>1</v>
      </c>
      <c r="B35" s="36" t="s">
        <v>23</v>
      </c>
      <c r="C35" s="14" t="n">
        <v>416500</v>
      </c>
      <c r="D35" s="37" t="n">
        <f aca="false">216500+200000</f>
        <v>416500</v>
      </c>
      <c r="E35" s="38" t="n">
        <f aca="false">C35-D35</f>
        <v>0</v>
      </c>
    </row>
    <row r="36" customFormat="false" ht="15" hidden="false" customHeight="false" outlineLevel="0" collapsed="false">
      <c r="A36" s="35" t="n">
        <v>2</v>
      </c>
      <c r="B36" s="39" t="s">
        <v>24</v>
      </c>
      <c r="C36" s="14" t="n">
        <v>416500</v>
      </c>
      <c r="D36" s="37" t="n">
        <f aca="false">120000+110000+100000</f>
        <v>330000</v>
      </c>
      <c r="E36" s="38" t="n">
        <f aca="false">C36-D36</f>
        <v>86500</v>
      </c>
    </row>
    <row r="37" customFormat="false" ht="15" hidden="false" customHeight="false" outlineLevel="0" collapsed="false">
      <c r="A37" s="35" t="n">
        <v>3</v>
      </c>
      <c r="B37" s="39" t="s">
        <v>25</v>
      </c>
      <c r="C37" s="14" t="n">
        <v>416500</v>
      </c>
      <c r="D37" s="37" t="n">
        <f aca="false">185000+31000</f>
        <v>216000</v>
      </c>
      <c r="E37" s="38" t="n">
        <f aca="false">C37-D37</f>
        <v>200500</v>
      </c>
    </row>
    <row r="38" customFormat="false" ht="15" hidden="false" customHeight="false" outlineLevel="0" collapsed="false">
      <c r="A38" s="35" t="n">
        <v>4</v>
      </c>
      <c r="B38" s="39" t="s">
        <v>26</v>
      </c>
      <c r="C38" s="14" t="n">
        <v>416500</v>
      </c>
      <c r="D38" s="37" t="n">
        <f aca="false">250000+166500</f>
        <v>416500</v>
      </c>
      <c r="E38" s="38" t="n">
        <f aca="false">C38-D38</f>
        <v>0</v>
      </c>
    </row>
    <row r="39" customFormat="false" ht="15" hidden="false" customHeight="false" outlineLevel="0" collapsed="false">
      <c r="A39" s="35" t="n">
        <v>5</v>
      </c>
      <c r="B39" s="39" t="s">
        <v>27</v>
      </c>
      <c r="C39" s="14" t="s">
        <v>11</v>
      </c>
      <c r="D39" s="37" t="s">
        <v>11</v>
      </c>
      <c r="E39" s="38" t="s">
        <v>11</v>
      </c>
    </row>
    <row r="40" customFormat="false" ht="15" hidden="false" customHeight="false" outlineLevel="0" collapsed="false">
      <c r="A40" s="35" t="n">
        <v>6</v>
      </c>
      <c r="B40" s="39" t="s">
        <v>28</v>
      </c>
      <c r="C40" s="14" t="n">
        <v>416500</v>
      </c>
      <c r="D40" s="37" t="n">
        <f aca="false">216500+200000</f>
        <v>416500</v>
      </c>
      <c r="E40" s="38" t="n">
        <f aca="false">C40-D40</f>
        <v>0</v>
      </c>
    </row>
    <row r="41" customFormat="false" ht="15" hidden="false" customHeight="false" outlineLevel="0" collapsed="false">
      <c r="A41" s="35" t="n">
        <v>7</v>
      </c>
      <c r="B41" s="39" t="s">
        <v>29</v>
      </c>
      <c r="C41" s="14" t="n">
        <v>416500</v>
      </c>
      <c r="D41" s="37" t="n">
        <f aca="false">216500+200000</f>
        <v>416500</v>
      </c>
      <c r="E41" s="38" t="n">
        <f aca="false">C41-D41</f>
        <v>0</v>
      </c>
    </row>
    <row r="42" customFormat="false" ht="15" hidden="false" customHeight="false" outlineLevel="0" collapsed="false">
      <c r="A42" s="35" t="n">
        <v>8</v>
      </c>
      <c r="B42" s="39" t="s">
        <v>30</v>
      </c>
      <c r="C42" s="14" t="n">
        <v>416500</v>
      </c>
      <c r="D42" s="37" t="n">
        <f aca="false">216500+200000</f>
        <v>416500</v>
      </c>
      <c r="E42" s="38" t="n">
        <f aca="false">C42-D42</f>
        <v>0</v>
      </c>
    </row>
    <row r="43" customFormat="false" ht="15" hidden="false" customHeight="false" outlineLevel="0" collapsed="false">
      <c r="A43" s="35" t="n">
        <v>9</v>
      </c>
      <c r="B43" s="39" t="s">
        <v>31</v>
      </c>
      <c r="C43" s="14" t="n">
        <v>416500</v>
      </c>
      <c r="D43" s="37" t="n">
        <f aca="false">216500</f>
        <v>216500</v>
      </c>
      <c r="E43" s="38" t="n">
        <f aca="false">C43-D43</f>
        <v>200000</v>
      </c>
    </row>
    <row r="44" customFormat="false" ht="15" hidden="false" customHeight="false" outlineLevel="0" collapsed="false">
      <c r="A44" s="35" t="n">
        <v>10</v>
      </c>
      <c r="B44" s="39" t="s">
        <v>32</v>
      </c>
      <c r="C44" s="14" t="n">
        <v>416500</v>
      </c>
      <c r="D44" s="37" t="n">
        <f aca="false">216500+100000+100000</f>
        <v>416500</v>
      </c>
      <c r="E44" s="38" t="n">
        <f aca="false">C44-D44</f>
        <v>0</v>
      </c>
    </row>
    <row r="45" customFormat="false" ht="15" hidden="false" customHeight="false" outlineLevel="0" collapsed="false">
      <c r="A45" s="35" t="n">
        <v>11</v>
      </c>
      <c r="B45" s="39" t="s">
        <v>33</v>
      </c>
      <c r="C45" s="14" t="n">
        <v>416500</v>
      </c>
      <c r="D45" s="37" t="n">
        <f aca="false">200000+16500</f>
        <v>216500</v>
      </c>
      <c r="E45" s="38" t="s">
        <v>11</v>
      </c>
    </row>
    <row r="46" customFormat="false" ht="15" hidden="false" customHeight="false" outlineLevel="0" collapsed="false">
      <c r="A46" s="35" t="n">
        <v>12</v>
      </c>
      <c r="B46" s="39" t="s">
        <v>34</v>
      </c>
      <c r="C46" s="14" t="n">
        <v>416500</v>
      </c>
      <c r="D46" s="37" t="n">
        <f aca="false">216000+100000+100500</f>
        <v>416500</v>
      </c>
      <c r="E46" s="38" t="n">
        <f aca="false">C46-D46</f>
        <v>0</v>
      </c>
    </row>
    <row r="47" customFormat="false" ht="15" hidden="false" customHeight="false" outlineLevel="0" collapsed="false">
      <c r="A47" s="35" t="n">
        <v>13</v>
      </c>
      <c r="B47" s="39" t="s">
        <v>35</v>
      </c>
      <c r="C47" s="14" t="n">
        <v>416500</v>
      </c>
      <c r="D47" s="37" t="n">
        <f aca="false">216500+170000+30000</f>
        <v>416500</v>
      </c>
      <c r="E47" s="38" t="n">
        <f aca="false">C47-D47</f>
        <v>0</v>
      </c>
    </row>
    <row r="48" customFormat="false" ht="15" hidden="false" customHeight="false" outlineLevel="0" collapsed="false">
      <c r="A48" s="35" t="n">
        <v>14</v>
      </c>
      <c r="B48" s="39" t="s">
        <v>36</v>
      </c>
      <c r="C48" s="14" t="n">
        <v>416500</v>
      </c>
      <c r="D48" s="37" t="n">
        <f aca="false">200000</f>
        <v>200000</v>
      </c>
      <c r="E48" s="38" t="n">
        <f aca="false">C48-D48</f>
        <v>216500</v>
      </c>
    </row>
    <row r="49" customFormat="false" ht="17.35" hidden="false" customHeight="false" outlineLevel="0" collapsed="false">
      <c r="A49" s="35"/>
      <c r="B49" s="23" t="s">
        <v>21</v>
      </c>
      <c r="C49" s="24" t="n">
        <f aca="false">SUM(C35:C48)</f>
        <v>5414500</v>
      </c>
      <c r="D49" s="25" t="n">
        <f aca="false">SUM(D35:D48)</f>
        <v>4511000</v>
      </c>
      <c r="E49" s="40" t="n">
        <f aca="false">C49-D49</f>
        <v>903500</v>
      </c>
    </row>
    <row r="50" customFormat="false" ht="15" hidden="false" customHeight="false" outlineLevel="0" collapsed="false">
      <c r="A50" s="41"/>
      <c r="D50" s="32"/>
    </row>
    <row r="51" customFormat="false" ht="15" hidden="false" customHeight="false" outlineLevel="0" collapsed="false">
      <c r="D51" s="32"/>
    </row>
    <row r="52" customFormat="false" ht="17.35" hidden="false" customHeight="false" outlineLevel="0" collapsed="false">
      <c r="B52" s="3" t="s">
        <v>0</v>
      </c>
      <c r="C52" s="3"/>
      <c r="D52" s="32"/>
    </row>
    <row r="53" customFormat="false" ht="15" hidden="false" customHeight="false" outlineLevel="0" collapsed="false">
      <c r="D53" s="32"/>
    </row>
    <row r="54" customFormat="false" ht="15" hidden="false" customHeight="false" outlineLevel="0" collapsed="false">
      <c r="A54" s="2"/>
      <c r="D54" s="32"/>
    </row>
    <row r="55" customFormat="false" ht="17.25" hidden="false" customHeight="false" outlineLevel="0" collapsed="false">
      <c r="A55" s="2"/>
      <c r="B55" s="5" t="s">
        <v>37</v>
      </c>
      <c r="D55" s="33" t="s">
        <v>2</v>
      </c>
    </row>
    <row r="56" customFormat="false" ht="15" hidden="false" customHeight="false" outlineLevel="0" collapsed="false">
      <c r="A56" s="2"/>
      <c r="D56" s="32"/>
    </row>
    <row r="57" customFormat="false" ht="15" hidden="false" customHeight="false" outlineLevel="0" collapsed="false">
      <c r="A57" s="7" t="s">
        <v>3</v>
      </c>
      <c r="B57" s="8" t="s">
        <v>4</v>
      </c>
      <c r="C57" s="9" t="s">
        <v>5</v>
      </c>
      <c r="D57" s="34" t="s">
        <v>6</v>
      </c>
      <c r="E57" s="11" t="s">
        <v>7</v>
      </c>
    </row>
    <row r="58" customFormat="false" ht="15" hidden="false" customHeight="false" outlineLevel="0" collapsed="false">
      <c r="A58" s="35" t="n">
        <v>1</v>
      </c>
      <c r="B58" s="20" t="s">
        <v>38</v>
      </c>
      <c r="C58" s="14" t="s">
        <v>11</v>
      </c>
      <c r="D58" s="21" t="s">
        <v>11</v>
      </c>
      <c r="E58" s="42" t="s">
        <v>11</v>
      </c>
    </row>
    <row r="59" customFormat="false" ht="15" hidden="false" customHeight="false" outlineLevel="0" collapsed="false">
      <c r="A59" s="12" t="n">
        <v>2</v>
      </c>
      <c r="B59" s="20" t="s">
        <v>39</v>
      </c>
      <c r="C59" s="14" t="n">
        <v>416500</v>
      </c>
      <c r="D59" s="21" t="n">
        <f aca="false">220000+196500</f>
        <v>416500</v>
      </c>
      <c r="E59" s="42" t="n">
        <f aca="false">C59-D59</f>
        <v>0</v>
      </c>
    </row>
    <row r="60" customFormat="false" ht="15" hidden="false" customHeight="false" outlineLevel="0" collapsed="false">
      <c r="A60" s="12" t="n">
        <v>3</v>
      </c>
      <c r="B60" s="20" t="s">
        <v>40</v>
      </c>
      <c r="C60" s="14" t="n">
        <v>416500</v>
      </c>
      <c r="D60" s="21"/>
      <c r="E60" s="42" t="s">
        <v>11</v>
      </c>
    </row>
    <row r="61" customFormat="false" ht="15" hidden="false" customHeight="false" outlineLevel="0" collapsed="false">
      <c r="A61" s="35" t="n">
        <v>4</v>
      </c>
      <c r="B61" s="20" t="s">
        <v>41</v>
      </c>
      <c r="C61" s="14" t="n">
        <v>416500</v>
      </c>
      <c r="D61" s="21" t="n">
        <f aca="false">216500+100000+100000</f>
        <v>416500</v>
      </c>
      <c r="E61" s="42" t="n">
        <f aca="false">C61-D61</f>
        <v>0</v>
      </c>
    </row>
    <row r="62" customFormat="false" ht="15" hidden="false" customHeight="false" outlineLevel="0" collapsed="false">
      <c r="A62" s="35" t="n">
        <v>5</v>
      </c>
      <c r="B62" s="20" t="s">
        <v>42</v>
      </c>
      <c r="C62" s="14" t="n">
        <v>416500</v>
      </c>
      <c r="D62" s="21" t="n">
        <f aca="false">216500+200000</f>
        <v>416500</v>
      </c>
      <c r="E62" s="42" t="n">
        <f aca="false">C62-D62</f>
        <v>0</v>
      </c>
    </row>
    <row r="63" customFormat="false" ht="15" hidden="false" customHeight="false" outlineLevel="0" collapsed="false">
      <c r="A63" s="12" t="n">
        <v>6</v>
      </c>
      <c r="B63" s="20" t="s">
        <v>43</v>
      </c>
      <c r="C63" s="14" t="s">
        <v>11</v>
      </c>
      <c r="D63" s="21" t="s">
        <v>11</v>
      </c>
      <c r="E63" s="42" t="s">
        <v>11</v>
      </c>
    </row>
    <row r="64" customFormat="false" ht="15" hidden="false" customHeight="false" outlineLevel="0" collapsed="false">
      <c r="A64" s="12" t="n">
        <v>7</v>
      </c>
      <c r="B64" s="20" t="s">
        <v>44</v>
      </c>
      <c r="C64" s="14" t="n">
        <v>416500</v>
      </c>
      <c r="D64" s="21" t="n">
        <f aca="false">216500+100000+50000+50000</f>
        <v>416500</v>
      </c>
      <c r="E64" s="42" t="n">
        <f aca="false">C64-D64</f>
        <v>0</v>
      </c>
    </row>
    <row r="65" customFormat="false" ht="15" hidden="false" customHeight="false" outlineLevel="0" collapsed="false">
      <c r="A65" s="35" t="n">
        <v>8</v>
      </c>
      <c r="B65" s="20" t="s">
        <v>45</v>
      </c>
      <c r="C65" s="14" t="s">
        <v>11</v>
      </c>
      <c r="D65" s="21" t="s">
        <v>11</v>
      </c>
      <c r="E65" s="42" t="s">
        <v>11</v>
      </c>
    </row>
    <row r="66" customFormat="false" ht="15" hidden="false" customHeight="false" outlineLevel="0" collapsed="false">
      <c r="A66" s="35" t="n">
        <v>9</v>
      </c>
      <c r="B66" s="20" t="s">
        <v>46</v>
      </c>
      <c r="C66" s="14" t="n">
        <v>416500</v>
      </c>
      <c r="D66" s="21" t="n">
        <f aca="false">216500+200000</f>
        <v>416500</v>
      </c>
      <c r="E66" s="42" t="n">
        <f aca="false">C66-D66</f>
        <v>0</v>
      </c>
    </row>
    <row r="67" customFormat="false" ht="15" hidden="false" customHeight="false" outlineLevel="0" collapsed="false">
      <c r="A67" s="12" t="n">
        <v>10</v>
      </c>
      <c r="B67" s="20" t="s">
        <v>47</v>
      </c>
      <c r="C67" s="14" t="n">
        <v>416500</v>
      </c>
      <c r="D67" s="21" t="n">
        <f aca="false">110000+80000+30000</f>
        <v>220000</v>
      </c>
      <c r="E67" s="42" t="n">
        <f aca="false">C67-D67</f>
        <v>196500</v>
      </c>
    </row>
    <row r="68" customFormat="false" ht="15" hidden="false" customHeight="false" outlineLevel="0" collapsed="false">
      <c r="A68" s="12" t="n">
        <v>11</v>
      </c>
      <c r="B68" s="20" t="s">
        <v>48</v>
      </c>
      <c r="C68" s="14" t="n">
        <v>416500</v>
      </c>
      <c r="D68" s="21" t="n">
        <f aca="false">319500+100000</f>
        <v>419500</v>
      </c>
      <c r="E68" s="42" t="n">
        <f aca="false">C68-D68</f>
        <v>-3000</v>
      </c>
    </row>
    <row r="69" customFormat="false" ht="15" hidden="false" customHeight="false" outlineLevel="0" collapsed="false">
      <c r="A69" s="35" t="n">
        <v>12</v>
      </c>
      <c r="B69" s="20" t="s">
        <v>49</v>
      </c>
      <c r="C69" s="14" t="n">
        <v>416500</v>
      </c>
      <c r="D69" s="21" t="n">
        <f aca="false">216500+100000</f>
        <v>316500</v>
      </c>
      <c r="E69" s="42" t="n">
        <f aca="false">C69-D69</f>
        <v>100000</v>
      </c>
    </row>
    <row r="70" customFormat="false" ht="15" hidden="false" customHeight="false" outlineLevel="0" collapsed="false">
      <c r="A70" s="35" t="n">
        <v>13</v>
      </c>
      <c r="B70" s="20" t="s">
        <v>50</v>
      </c>
      <c r="C70" s="14" t="n">
        <v>416500</v>
      </c>
      <c r="D70" s="21" t="n">
        <f aca="false">216500</f>
        <v>216500</v>
      </c>
      <c r="E70" s="42" t="s">
        <v>11</v>
      </c>
    </row>
    <row r="71" customFormat="false" ht="15" hidden="false" customHeight="false" outlineLevel="0" collapsed="false">
      <c r="A71" s="12" t="n">
        <v>14</v>
      </c>
      <c r="B71" s="20" t="s">
        <v>51</v>
      </c>
      <c r="C71" s="14" t="n">
        <v>416500</v>
      </c>
      <c r="D71" s="21" t="n">
        <f aca="false">216500</f>
        <v>216500</v>
      </c>
      <c r="E71" s="42" t="n">
        <f aca="false">C71-D71</f>
        <v>200000</v>
      </c>
    </row>
    <row r="72" customFormat="false" ht="15" hidden="false" customHeight="false" outlineLevel="0" collapsed="false">
      <c r="A72" s="12" t="n">
        <v>15</v>
      </c>
      <c r="B72" s="20" t="s">
        <v>52</v>
      </c>
      <c r="C72" s="14" t="n">
        <v>416500</v>
      </c>
      <c r="D72" s="21" t="n">
        <f aca="false">216500+200000</f>
        <v>416500</v>
      </c>
      <c r="E72" s="42" t="n">
        <f aca="false">C72-D72</f>
        <v>0</v>
      </c>
    </row>
    <row r="73" customFormat="false" ht="15" hidden="false" customHeight="false" outlineLevel="0" collapsed="false">
      <c r="A73" s="35" t="n">
        <v>16</v>
      </c>
      <c r="B73" s="20" t="s">
        <v>53</v>
      </c>
      <c r="C73" s="14" t="n">
        <v>416500</v>
      </c>
      <c r="D73" s="21" t="n">
        <f aca="false">216500+200000</f>
        <v>416500</v>
      </c>
      <c r="E73" s="42" t="n">
        <f aca="false">C73-D73</f>
        <v>0</v>
      </c>
    </row>
    <row r="74" customFormat="false" ht="15" hidden="false" customHeight="false" outlineLevel="0" collapsed="false">
      <c r="A74" s="35" t="n">
        <v>17</v>
      </c>
      <c r="B74" s="20" t="s">
        <v>54</v>
      </c>
      <c r="C74" s="14" t="n">
        <v>416500</v>
      </c>
      <c r="D74" s="21" t="n">
        <f aca="false">216500+200000</f>
        <v>416500</v>
      </c>
      <c r="E74" s="42" t="n">
        <f aca="false">C74-D74</f>
        <v>0</v>
      </c>
    </row>
    <row r="75" customFormat="false" ht="15" hidden="false" customHeight="false" outlineLevel="0" collapsed="false">
      <c r="A75" s="12" t="n">
        <v>18</v>
      </c>
      <c r="B75" s="20" t="s">
        <v>55</v>
      </c>
      <c r="C75" s="14" t="n">
        <v>416500</v>
      </c>
      <c r="D75" s="21" t="n">
        <f aca="false">216000+130000+70500</f>
        <v>416500</v>
      </c>
      <c r="E75" s="42" t="n">
        <f aca="false">C75-D75</f>
        <v>0</v>
      </c>
    </row>
    <row r="76" customFormat="false" ht="15" hidden="false" customHeight="false" outlineLevel="0" collapsed="false">
      <c r="A76" s="12" t="n">
        <v>19</v>
      </c>
      <c r="B76" s="20" t="s">
        <v>56</v>
      </c>
      <c r="C76" s="14" t="n">
        <v>416500</v>
      </c>
      <c r="D76" s="21" t="n">
        <f aca="false">216500+200000</f>
        <v>416500</v>
      </c>
      <c r="E76" s="42" t="n">
        <f aca="false">C76-D76</f>
        <v>0</v>
      </c>
    </row>
    <row r="77" customFormat="false" ht="15" hidden="false" customHeight="false" outlineLevel="0" collapsed="false">
      <c r="A77" s="35" t="n">
        <v>20</v>
      </c>
      <c r="B77" s="20" t="s">
        <v>57</v>
      </c>
      <c r="C77" s="14" t="n">
        <v>416500</v>
      </c>
      <c r="D77" s="21" t="n">
        <f aca="false">150000</f>
        <v>150000</v>
      </c>
      <c r="E77" s="42" t="s">
        <v>11</v>
      </c>
    </row>
    <row r="78" customFormat="false" ht="15" hidden="false" customHeight="false" outlineLevel="0" collapsed="false">
      <c r="A78" s="35" t="n">
        <v>21</v>
      </c>
      <c r="B78" s="20" t="s">
        <v>58</v>
      </c>
      <c r="C78" s="14" t="n">
        <v>416500</v>
      </c>
      <c r="D78" s="21" t="n">
        <f aca="false">200000+16000+200500</f>
        <v>416500</v>
      </c>
      <c r="E78" s="42" t="n">
        <f aca="false">C78-D78</f>
        <v>0</v>
      </c>
    </row>
    <row r="79" customFormat="false" ht="15" hidden="false" customHeight="false" outlineLevel="0" collapsed="false">
      <c r="A79" s="12" t="n">
        <v>22</v>
      </c>
      <c r="B79" s="43" t="s">
        <v>59</v>
      </c>
      <c r="C79" s="14" t="n">
        <v>416500</v>
      </c>
      <c r="D79" s="21"/>
      <c r="E79" s="42" t="s">
        <v>11</v>
      </c>
    </row>
    <row r="80" customFormat="false" ht="15" hidden="false" customHeight="false" outlineLevel="0" collapsed="false">
      <c r="A80" s="12" t="n">
        <v>23</v>
      </c>
      <c r="B80" s="20" t="s">
        <v>60</v>
      </c>
      <c r="C80" s="14" t="n">
        <v>416500</v>
      </c>
      <c r="D80" s="21" t="n">
        <f aca="false">216500+20000+180000</f>
        <v>416500</v>
      </c>
      <c r="E80" s="42" t="n">
        <f aca="false">C80-D80</f>
        <v>0</v>
      </c>
    </row>
    <row r="81" customFormat="false" ht="17.35" hidden="false" customHeight="false" outlineLevel="0" collapsed="false">
      <c r="A81" s="35"/>
      <c r="B81" s="23" t="s">
        <v>21</v>
      </c>
      <c r="C81" s="24" t="n">
        <f aca="false">SUM(C59:C80)</f>
        <v>8330000</v>
      </c>
      <c r="D81" s="25" t="n">
        <f aca="false">SUM(D59:D80)</f>
        <v>6537000</v>
      </c>
      <c r="E81" s="26" t="n">
        <f aca="false">SUM(E59:E80)</f>
        <v>493500</v>
      </c>
    </row>
    <row r="82" customFormat="false" ht="17.35" hidden="false" customHeight="false" outlineLevel="0" collapsed="false">
      <c r="B82" s="28"/>
      <c r="C82" s="29"/>
      <c r="D82" s="30"/>
      <c r="E82" s="31"/>
    </row>
    <row r="83" customFormat="false" ht="17.35" hidden="false" customHeight="false" outlineLevel="0" collapsed="false">
      <c r="B83" s="28"/>
      <c r="C83" s="29"/>
      <c r="D83" s="30"/>
      <c r="E83" s="31"/>
    </row>
    <row r="84" customFormat="false" ht="17.35" hidden="false" customHeight="false" outlineLevel="0" collapsed="false">
      <c r="A84" s="2"/>
      <c r="B84" s="3" t="s">
        <v>0</v>
      </c>
      <c r="D84" s="32"/>
    </row>
    <row r="85" customFormat="false" ht="17.35" hidden="false" customHeight="false" outlineLevel="0" collapsed="false">
      <c r="A85" s="4"/>
      <c r="D85" s="32"/>
    </row>
    <row r="86" customFormat="false" ht="15" hidden="false" customHeight="false" outlineLevel="0" collapsed="false">
      <c r="A86" s="2"/>
      <c r="D86" s="32"/>
    </row>
    <row r="87" customFormat="false" ht="17.25" hidden="false" customHeight="false" outlineLevel="0" collapsed="false">
      <c r="A87" s="2"/>
      <c r="B87" s="5" t="s">
        <v>61</v>
      </c>
      <c r="D87" s="32"/>
    </row>
    <row r="88" customFormat="false" ht="15" hidden="false" customHeight="false" outlineLevel="0" collapsed="false">
      <c r="A88" s="2"/>
      <c r="D88" s="33" t="s">
        <v>2</v>
      </c>
    </row>
    <row r="89" customFormat="false" ht="15" hidden="false" customHeight="false" outlineLevel="0" collapsed="false">
      <c r="A89" s="2"/>
      <c r="D89" s="32"/>
    </row>
    <row r="90" customFormat="false" ht="15" hidden="false" customHeight="false" outlineLevel="0" collapsed="false">
      <c r="A90" s="7" t="s">
        <v>3</v>
      </c>
      <c r="B90" s="8" t="s">
        <v>4</v>
      </c>
      <c r="C90" s="9" t="s">
        <v>5</v>
      </c>
      <c r="D90" s="34" t="s">
        <v>6</v>
      </c>
      <c r="E90" s="11" t="s">
        <v>7</v>
      </c>
    </row>
    <row r="91" customFormat="false" ht="15" hidden="false" customHeight="false" outlineLevel="0" collapsed="false">
      <c r="A91" s="12" t="n">
        <v>1</v>
      </c>
      <c r="B91" s="17" t="s">
        <v>62</v>
      </c>
      <c r="C91" s="14" t="s">
        <v>11</v>
      </c>
      <c r="D91" s="44" t="s">
        <v>11</v>
      </c>
      <c r="E91" s="19" t="s">
        <v>11</v>
      </c>
    </row>
    <row r="92" customFormat="false" ht="15" hidden="false" customHeight="false" outlineLevel="0" collapsed="false">
      <c r="A92" s="12" t="n">
        <v>2</v>
      </c>
      <c r="B92" s="17" t="s">
        <v>63</v>
      </c>
      <c r="C92" s="14" t="n">
        <v>416500</v>
      </c>
      <c r="D92" s="18" t="n">
        <f aca="false">216500+200000</f>
        <v>416500</v>
      </c>
      <c r="E92" s="16" t="n">
        <f aca="false">C92-D92</f>
        <v>0</v>
      </c>
    </row>
    <row r="93" customFormat="false" ht="15" hidden="false" customHeight="false" outlineLevel="0" collapsed="false">
      <c r="A93" s="12" t="n">
        <v>3</v>
      </c>
      <c r="B93" s="17" t="s">
        <v>64</v>
      </c>
      <c r="C93" s="14" t="s">
        <v>11</v>
      </c>
      <c r="D93" s="44" t="s">
        <v>11</v>
      </c>
      <c r="E93" s="19" t="s">
        <v>11</v>
      </c>
    </row>
    <row r="94" customFormat="false" ht="15" hidden="false" customHeight="false" outlineLevel="0" collapsed="false">
      <c r="A94" s="12" t="n">
        <v>4</v>
      </c>
      <c r="B94" s="17" t="s">
        <v>65</v>
      </c>
      <c r="C94" s="14" t="n">
        <v>416500</v>
      </c>
      <c r="D94" s="18" t="n">
        <f aca="false">216500+150000</f>
        <v>366500</v>
      </c>
      <c r="E94" s="16" t="n">
        <f aca="false">C94-D94</f>
        <v>50000</v>
      </c>
    </row>
    <row r="95" customFormat="false" ht="15" hidden="false" customHeight="false" outlineLevel="0" collapsed="false">
      <c r="A95" s="12" t="n">
        <v>5</v>
      </c>
      <c r="B95" s="17" t="s">
        <v>66</v>
      </c>
      <c r="C95" s="14" t="n">
        <v>416500</v>
      </c>
      <c r="D95" s="18" t="n">
        <f aca="false">216500+200000</f>
        <v>416500</v>
      </c>
      <c r="E95" s="16" t="n">
        <f aca="false">C95-D95</f>
        <v>0</v>
      </c>
    </row>
    <row r="96" customFormat="false" ht="15" hidden="false" customHeight="false" outlineLevel="0" collapsed="false">
      <c r="A96" s="12" t="n">
        <v>6</v>
      </c>
      <c r="B96" s="17" t="s">
        <v>67</v>
      </c>
      <c r="C96" s="14" t="n">
        <v>416500</v>
      </c>
      <c r="D96" s="18" t="n">
        <f aca="false">216500+200000</f>
        <v>416500</v>
      </c>
      <c r="E96" s="16" t="n">
        <f aca="false">C96-D96</f>
        <v>0</v>
      </c>
    </row>
    <row r="97" customFormat="false" ht="15" hidden="false" customHeight="false" outlineLevel="0" collapsed="false">
      <c r="A97" s="12" t="n">
        <v>7</v>
      </c>
      <c r="B97" s="45" t="s">
        <v>68</v>
      </c>
      <c r="C97" s="46" t="n">
        <v>416500</v>
      </c>
      <c r="D97" s="47" t="n">
        <f aca="false">200000+16500+200000</f>
        <v>416500</v>
      </c>
      <c r="E97" s="48" t="n">
        <f aca="false">C97-D97</f>
        <v>0</v>
      </c>
    </row>
    <row r="98" customFormat="false" ht="15" hidden="false" customHeight="false" outlineLevel="0" collapsed="false">
      <c r="A98" s="12" t="n">
        <v>8</v>
      </c>
      <c r="B98" s="17" t="s">
        <v>69</v>
      </c>
      <c r="C98" s="14" t="n">
        <v>416500</v>
      </c>
      <c r="D98" s="18"/>
      <c r="E98" s="16" t="n">
        <f aca="false">C98-D98</f>
        <v>416500</v>
      </c>
    </row>
    <row r="99" customFormat="false" ht="15" hidden="false" customHeight="false" outlineLevel="0" collapsed="false">
      <c r="A99" s="12" t="n">
        <v>9</v>
      </c>
      <c r="B99" s="17" t="s">
        <v>70</v>
      </c>
      <c r="C99" s="14" t="s">
        <v>11</v>
      </c>
      <c r="D99" s="44" t="s">
        <v>11</v>
      </c>
      <c r="E99" s="19" t="s">
        <v>11</v>
      </c>
    </row>
    <row r="100" customFormat="false" ht="15" hidden="false" customHeight="false" outlineLevel="0" collapsed="false">
      <c r="A100" s="12" t="n">
        <v>10</v>
      </c>
      <c r="B100" s="17" t="s">
        <v>71</v>
      </c>
      <c r="C100" s="14" t="n">
        <v>416500</v>
      </c>
      <c r="D100" s="18" t="n">
        <f aca="false">180000+100000+50000</f>
        <v>330000</v>
      </c>
      <c r="E100" s="16" t="n">
        <f aca="false">C100-D100</f>
        <v>86500</v>
      </c>
    </row>
    <row r="101" customFormat="false" ht="15" hidden="false" customHeight="false" outlineLevel="0" collapsed="false">
      <c r="A101" s="12" t="n">
        <v>11</v>
      </c>
      <c r="B101" s="17" t="s">
        <v>66</v>
      </c>
      <c r="C101" s="14" t="s">
        <v>11</v>
      </c>
      <c r="D101" s="44" t="s">
        <v>11</v>
      </c>
      <c r="E101" s="19" t="s">
        <v>11</v>
      </c>
    </row>
    <row r="102" customFormat="false" ht="15" hidden="false" customHeight="false" outlineLevel="0" collapsed="false">
      <c r="A102" s="12" t="n">
        <v>12</v>
      </c>
      <c r="B102" s="17" t="s">
        <v>72</v>
      </c>
      <c r="C102" s="14" t="n">
        <v>416500</v>
      </c>
      <c r="D102" s="18" t="n">
        <f aca="false">216500+200000</f>
        <v>416500</v>
      </c>
      <c r="E102" s="16" t="n">
        <f aca="false">C102-D102</f>
        <v>0</v>
      </c>
    </row>
    <row r="103" customFormat="false" ht="15" hidden="false" customHeight="false" outlineLevel="0" collapsed="false">
      <c r="A103" s="12" t="n">
        <v>13</v>
      </c>
      <c r="B103" s="17" t="s">
        <v>73</v>
      </c>
      <c r="C103" s="14" t="n">
        <v>416500</v>
      </c>
      <c r="D103" s="18" t="n">
        <v>416500</v>
      </c>
      <c r="E103" s="16" t="n">
        <f aca="false">C103-D103</f>
        <v>0</v>
      </c>
    </row>
    <row r="104" customFormat="false" ht="15" hidden="false" customHeight="false" outlineLevel="0" collapsed="false">
      <c r="A104" s="12" t="n">
        <v>14</v>
      </c>
      <c r="B104" s="17" t="s">
        <v>74</v>
      </c>
      <c r="C104" s="14" t="s">
        <v>11</v>
      </c>
      <c r="D104" s="44" t="s">
        <v>11</v>
      </c>
      <c r="E104" s="19" t="s">
        <v>11</v>
      </c>
    </row>
    <row r="105" customFormat="false" ht="17.35" hidden="false" customHeight="false" outlineLevel="0" collapsed="false">
      <c r="A105" s="22"/>
      <c r="B105" s="23" t="s">
        <v>21</v>
      </c>
      <c r="C105" s="24" t="n">
        <f aca="false">SUM(C92:C104)</f>
        <v>3748500</v>
      </c>
      <c r="D105" s="25" t="n">
        <f aca="false">SUM(D92:D104)</f>
        <v>3195500</v>
      </c>
      <c r="E105" s="26" t="n">
        <f aca="false">SUM(E92:E104)</f>
        <v>553000</v>
      </c>
    </row>
    <row r="106" customFormat="false" ht="17.35" hidden="false" customHeight="false" outlineLevel="0" collapsed="false">
      <c r="A106" s="27"/>
      <c r="B106" s="28"/>
      <c r="C106" s="29"/>
      <c r="D106" s="30"/>
      <c r="E106" s="31"/>
    </row>
    <row r="107" customFormat="false" ht="15" hidden="false" customHeight="false" outlineLevel="0" collapsed="false">
      <c r="A107" s="49"/>
      <c r="D107" s="32"/>
    </row>
    <row r="108" customFormat="false" ht="17.35" hidden="false" customHeight="false" outlineLevel="0" collapsed="false">
      <c r="A108" s="2"/>
      <c r="B108" s="3" t="s">
        <v>0</v>
      </c>
      <c r="D108" s="32"/>
    </row>
    <row r="109" customFormat="false" ht="17.35" hidden="false" customHeight="false" outlineLevel="0" collapsed="false">
      <c r="A109" s="4"/>
      <c r="D109" s="32"/>
    </row>
    <row r="110" customFormat="false" ht="15" hidden="false" customHeight="false" outlineLevel="0" collapsed="false">
      <c r="A110" s="2"/>
      <c r="D110" s="32"/>
    </row>
    <row r="111" customFormat="false" ht="17.25" hidden="false" customHeight="false" outlineLevel="0" collapsed="false">
      <c r="A111" s="2"/>
      <c r="B111" s="5" t="s">
        <v>75</v>
      </c>
      <c r="D111" s="32"/>
    </row>
    <row r="112" customFormat="false" ht="15" hidden="false" customHeight="false" outlineLevel="0" collapsed="false">
      <c r="A112" s="2"/>
      <c r="D112" s="33" t="s">
        <v>2</v>
      </c>
    </row>
    <row r="113" customFormat="false" ht="15" hidden="false" customHeight="false" outlineLevel="0" collapsed="false">
      <c r="A113" s="2"/>
      <c r="D113" s="32"/>
    </row>
    <row r="114" customFormat="false" ht="15" hidden="false" customHeight="false" outlineLevel="0" collapsed="false">
      <c r="A114" s="7" t="s">
        <v>3</v>
      </c>
      <c r="B114" s="8" t="s">
        <v>4</v>
      </c>
      <c r="C114" s="9" t="s">
        <v>5</v>
      </c>
      <c r="D114" s="34" t="s">
        <v>6</v>
      </c>
      <c r="E114" s="11" t="s">
        <v>7</v>
      </c>
    </row>
    <row r="115" customFormat="false" ht="15" hidden="false" customHeight="false" outlineLevel="0" collapsed="false">
      <c r="A115" s="50" t="n">
        <v>1</v>
      </c>
      <c r="B115" s="20" t="s">
        <v>76</v>
      </c>
      <c r="C115" s="14" t="n">
        <v>416500</v>
      </c>
      <c r="D115" s="21" t="n">
        <f aca="false">216000</f>
        <v>216000</v>
      </c>
      <c r="E115" s="42" t="n">
        <f aca="false">C115-D115</f>
        <v>200500</v>
      </c>
    </row>
    <row r="116" customFormat="false" ht="15" hidden="false" customHeight="false" outlineLevel="0" collapsed="false">
      <c r="A116" s="50" t="n">
        <v>2</v>
      </c>
      <c r="B116" s="39" t="s">
        <v>77</v>
      </c>
      <c r="C116" s="14" t="n">
        <v>416500</v>
      </c>
      <c r="D116" s="37" t="n">
        <f aca="false">216000+100000</f>
        <v>316000</v>
      </c>
      <c r="E116" s="42" t="n">
        <f aca="false">C116-D116</f>
        <v>100500</v>
      </c>
    </row>
    <row r="117" customFormat="false" ht="15" hidden="false" customHeight="false" outlineLevel="0" collapsed="false">
      <c r="A117" s="35" t="n">
        <v>3</v>
      </c>
      <c r="B117" s="43" t="s">
        <v>78</v>
      </c>
      <c r="C117" s="14" t="n">
        <v>416500</v>
      </c>
      <c r="D117" s="37" t="n">
        <f aca="false">216000+50000+150000</f>
        <v>416000</v>
      </c>
      <c r="E117" s="42" t="n">
        <f aca="false">C117-D117</f>
        <v>500</v>
      </c>
    </row>
    <row r="118" customFormat="false" ht="15" hidden="false" customHeight="false" outlineLevel="0" collapsed="false">
      <c r="A118" s="12" t="n">
        <v>4</v>
      </c>
      <c r="B118" s="39" t="s">
        <v>79</v>
      </c>
      <c r="C118" s="14" t="n">
        <v>416500</v>
      </c>
      <c r="D118" s="37" t="n">
        <f aca="false">216000+100000</f>
        <v>316000</v>
      </c>
      <c r="E118" s="42" t="n">
        <f aca="false">C118-D118</f>
        <v>100500</v>
      </c>
    </row>
    <row r="119" customFormat="false" ht="15" hidden="false" customHeight="false" outlineLevel="0" collapsed="false">
      <c r="A119" s="35" t="n">
        <v>5</v>
      </c>
      <c r="B119" s="39" t="s">
        <v>80</v>
      </c>
      <c r="C119" s="14" t="n">
        <v>416500</v>
      </c>
      <c r="D119" s="37" t="n">
        <f aca="false">216000+200000</f>
        <v>416000</v>
      </c>
      <c r="E119" s="42" t="n">
        <f aca="false">C119-D119</f>
        <v>500</v>
      </c>
    </row>
    <row r="120" customFormat="false" ht="15" hidden="false" customHeight="false" outlineLevel="0" collapsed="false">
      <c r="A120" s="50" t="n">
        <v>6</v>
      </c>
      <c r="B120" s="43" t="s">
        <v>81</v>
      </c>
      <c r="C120" s="14" t="n">
        <v>416500</v>
      </c>
      <c r="D120" s="37" t="n">
        <f aca="false">216000+100000</f>
        <v>316000</v>
      </c>
      <c r="E120" s="42" t="n">
        <f aca="false">C120-D120</f>
        <v>100500</v>
      </c>
    </row>
    <row r="121" customFormat="false" ht="15" hidden="false" customHeight="false" outlineLevel="0" collapsed="false">
      <c r="A121" s="50" t="n">
        <v>7</v>
      </c>
      <c r="B121" s="39" t="s">
        <v>82</v>
      </c>
      <c r="C121" s="14" t="n">
        <v>416500</v>
      </c>
      <c r="D121" s="37" t="n">
        <f aca="false">216000</f>
        <v>216000</v>
      </c>
      <c r="E121" s="42" t="n">
        <f aca="false">C121-D121</f>
        <v>200500</v>
      </c>
    </row>
    <row r="122" customFormat="false" ht="15" hidden="false" customHeight="false" outlineLevel="0" collapsed="false">
      <c r="A122" s="35" t="n">
        <v>8</v>
      </c>
      <c r="B122" s="39" t="s">
        <v>83</v>
      </c>
      <c r="C122" s="14" t="n">
        <v>416500</v>
      </c>
      <c r="D122" s="37" t="n">
        <f aca="false">230000+120000</f>
        <v>350000</v>
      </c>
      <c r="E122" s="42" t="n">
        <f aca="false">C122-D122</f>
        <v>66500</v>
      </c>
    </row>
    <row r="123" customFormat="false" ht="15" hidden="false" customHeight="false" outlineLevel="0" collapsed="false">
      <c r="A123" s="12" t="n">
        <v>9</v>
      </c>
      <c r="B123" s="39" t="s">
        <v>84</v>
      </c>
      <c r="C123" s="14" t="n">
        <v>416500</v>
      </c>
      <c r="D123" s="37" t="n">
        <f aca="false">216500</f>
        <v>216500</v>
      </c>
      <c r="E123" s="42" t="s">
        <v>11</v>
      </c>
    </row>
    <row r="124" customFormat="false" ht="15" hidden="false" customHeight="false" outlineLevel="0" collapsed="false">
      <c r="A124" s="35" t="n">
        <v>10</v>
      </c>
      <c r="B124" s="39" t="s">
        <v>85</v>
      </c>
      <c r="C124" s="14" t="n">
        <v>416500</v>
      </c>
      <c r="D124" s="37" t="n">
        <f aca="false">220000+100000+96500</f>
        <v>416500</v>
      </c>
      <c r="E124" s="42" t="n">
        <f aca="false">C124-D124</f>
        <v>0</v>
      </c>
    </row>
    <row r="125" customFormat="false" ht="15" hidden="false" customHeight="false" outlineLevel="0" collapsed="false">
      <c r="A125" s="50" t="n">
        <v>11</v>
      </c>
      <c r="B125" s="39" t="s">
        <v>86</v>
      </c>
      <c r="C125" s="14" t="n">
        <v>416500</v>
      </c>
      <c r="D125" s="37" t="n">
        <f aca="false">60450+120000+120000</f>
        <v>300450</v>
      </c>
      <c r="E125" s="42" t="n">
        <f aca="false">C125-D125</f>
        <v>116050</v>
      </c>
    </row>
    <row r="126" customFormat="false" ht="15" hidden="false" customHeight="false" outlineLevel="0" collapsed="false">
      <c r="A126" s="50" t="n">
        <v>12</v>
      </c>
      <c r="B126" s="39" t="s">
        <v>87</v>
      </c>
      <c r="C126" s="14" t="n">
        <v>416500</v>
      </c>
      <c r="D126" s="37" t="n">
        <f aca="false">216000</f>
        <v>216000</v>
      </c>
      <c r="E126" s="42" t="n">
        <f aca="false">C126-D126</f>
        <v>200500</v>
      </c>
    </row>
    <row r="127" customFormat="false" ht="15" hidden="false" customHeight="false" outlineLevel="0" collapsed="false">
      <c r="A127" s="35" t="n">
        <v>13</v>
      </c>
      <c r="B127" s="39" t="s">
        <v>88</v>
      </c>
      <c r="C127" s="14" t="n">
        <v>416500</v>
      </c>
      <c r="D127" s="37" t="n">
        <f aca="false">416000</f>
        <v>416000</v>
      </c>
      <c r="E127" s="42" t="n">
        <f aca="false">C127-D127</f>
        <v>500</v>
      </c>
    </row>
    <row r="128" customFormat="false" ht="15" hidden="false" customHeight="false" outlineLevel="0" collapsed="false">
      <c r="A128" s="12" t="n">
        <v>14</v>
      </c>
      <c r="B128" s="20" t="s">
        <v>89</v>
      </c>
      <c r="C128" s="14" t="n">
        <v>416500</v>
      </c>
      <c r="D128" s="21" t="n">
        <f aca="false">216000+100000</f>
        <v>316000</v>
      </c>
      <c r="E128" s="42" t="n">
        <f aca="false">C128-D128</f>
        <v>100500</v>
      </c>
    </row>
    <row r="129" customFormat="false" ht="15" hidden="false" customHeight="false" outlineLevel="0" collapsed="false">
      <c r="A129" s="35" t="n">
        <v>15</v>
      </c>
      <c r="B129" s="39" t="s">
        <v>90</v>
      </c>
      <c r="C129" s="14" t="n">
        <v>416500</v>
      </c>
      <c r="D129" s="37" t="n">
        <f aca="false">215000+100000</f>
        <v>315000</v>
      </c>
      <c r="E129" s="42" t="n">
        <f aca="false">C129-D129</f>
        <v>101500</v>
      </c>
    </row>
    <row r="130" customFormat="false" ht="17.35" hidden="false" customHeight="false" outlineLevel="0" collapsed="false">
      <c r="A130" s="22"/>
      <c r="B130" s="23" t="s">
        <v>21</v>
      </c>
      <c r="C130" s="24" t="n">
        <f aca="false">SUM(C115:C129)</f>
        <v>6247500</v>
      </c>
      <c r="D130" s="25" t="n">
        <f aca="false">SUM(D115:D129)</f>
        <v>4758450</v>
      </c>
      <c r="E130" s="26" t="n">
        <f aca="false">SUM(E115:E129)</f>
        <v>1289050</v>
      </c>
    </row>
    <row r="131" customFormat="false" ht="15" hidden="false" customHeight="false" outlineLevel="0" collapsed="false">
      <c r="D131" s="32"/>
    </row>
    <row r="132" customFormat="false" ht="17.35" hidden="false" customHeight="false" outlineLevel="0" collapsed="false">
      <c r="B132" s="3" t="s">
        <v>0</v>
      </c>
      <c r="D132" s="32"/>
    </row>
    <row r="133" customFormat="false" ht="15" hidden="false" customHeight="false" outlineLevel="0" collapsed="false">
      <c r="A133" s="2"/>
      <c r="D133" s="32"/>
    </row>
    <row r="134" customFormat="false" ht="15" hidden="false" customHeight="false" outlineLevel="0" collapsed="false">
      <c r="A134" s="2"/>
      <c r="D134" s="32"/>
    </row>
    <row r="135" customFormat="false" ht="17.25" hidden="false" customHeight="false" outlineLevel="0" collapsed="false">
      <c r="A135" s="2"/>
      <c r="B135" s="5" t="s">
        <v>91</v>
      </c>
      <c r="D135" s="32"/>
    </row>
    <row r="136" customFormat="false" ht="15" hidden="false" customHeight="false" outlineLevel="0" collapsed="false">
      <c r="A136" s="2"/>
      <c r="D136" s="32"/>
      <c r="E136" s="6" t="s">
        <v>2</v>
      </c>
    </row>
    <row r="137" customFormat="false" ht="15" hidden="false" customHeight="false" outlineLevel="0" collapsed="false">
      <c r="A137" s="2"/>
      <c r="D137" s="32"/>
    </row>
    <row r="138" customFormat="false" ht="15" hidden="false" customHeight="false" outlineLevel="0" collapsed="false">
      <c r="A138" s="7" t="s">
        <v>3</v>
      </c>
      <c r="B138" s="8" t="s">
        <v>4</v>
      </c>
      <c r="C138" s="9" t="s">
        <v>5</v>
      </c>
      <c r="D138" s="34" t="s">
        <v>6</v>
      </c>
      <c r="E138" s="11" t="s">
        <v>7</v>
      </c>
    </row>
    <row r="139" customFormat="false" ht="15" hidden="false" customHeight="false" outlineLevel="0" collapsed="false">
      <c r="A139" s="35" t="n">
        <v>1</v>
      </c>
      <c r="B139" s="39" t="s">
        <v>92</v>
      </c>
      <c r="C139" s="14" t="n">
        <v>416500</v>
      </c>
      <c r="D139" s="37" t="n">
        <f aca="false">216500+200000</f>
        <v>416500</v>
      </c>
      <c r="E139" s="42" t="n">
        <f aca="false">C139-D139</f>
        <v>0</v>
      </c>
    </row>
    <row r="140" customFormat="false" ht="15" hidden="false" customHeight="false" outlineLevel="0" collapsed="false">
      <c r="A140" s="50" t="n">
        <v>2</v>
      </c>
      <c r="B140" s="39" t="s">
        <v>93</v>
      </c>
      <c r="C140" s="14" t="n">
        <v>416500</v>
      </c>
      <c r="D140" s="37" t="n">
        <f aca="false">200000+150000</f>
        <v>350000</v>
      </c>
      <c r="E140" s="42" t="n">
        <f aca="false">C140-D140</f>
        <v>66500</v>
      </c>
    </row>
    <row r="141" customFormat="false" ht="15" hidden="false" customHeight="false" outlineLevel="0" collapsed="false">
      <c r="A141" s="35" t="n">
        <v>3</v>
      </c>
      <c r="B141" s="39" t="s">
        <v>94</v>
      </c>
      <c r="C141" s="14" t="n">
        <v>416500</v>
      </c>
      <c r="D141" s="37" t="n">
        <f aca="false">216500+200000</f>
        <v>416500</v>
      </c>
      <c r="E141" s="42" t="n">
        <f aca="false">C141-D141</f>
        <v>0</v>
      </c>
    </row>
    <row r="142" customFormat="false" ht="15" hidden="false" customHeight="false" outlineLevel="0" collapsed="false">
      <c r="A142" s="35" t="n">
        <v>4</v>
      </c>
      <c r="B142" s="39" t="s">
        <v>95</v>
      </c>
      <c r="C142" s="14" t="s">
        <v>11</v>
      </c>
      <c r="D142" s="37" t="s">
        <v>11</v>
      </c>
      <c r="E142" s="42" t="s">
        <v>11</v>
      </c>
    </row>
    <row r="143" customFormat="false" ht="15" hidden="false" customHeight="false" outlineLevel="0" collapsed="false">
      <c r="A143" s="50" t="n">
        <v>5</v>
      </c>
      <c r="B143" s="39" t="s">
        <v>96</v>
      </c>
      <c r="C143" s="14" t="n">
        <v>416500</v>
      </c>
      <c r="D143" s="37" t="n">
        <f aca="false">216000+200000</f>
        <v>416000</v>
      </c>
      <c r="E143" s="42" t="n">
        <f aca="false">C143-D143</f>
        <v>500</v>
      </c>
    </row>
    <row r="144" customFormat="false" ht="15" hidden="false" customHeight="false" outlineLevel="0" collapsed="false">
      <c r="A144" s="35" t="n">
        <v>6</v>
      </c>
      <c r="B144" s="39" t="s">
        <v>97</v>
      </c>
      <c r="C144" s="14" t="n">
        <v>416500</v>
      </c>
      <c r="D144" s="37" t="n">
        <f aca="false">220000+196000</f>
        <v>416000</v>
      </c>
      <c r="E144" s="42" t="n">
        <f aca="false">C144-D144</f>
        <v>500</v>
      </c>
    </row>
    <row r="145" customFormat="false" ht="15" hidden="false" customHeight="false" outlineLevel="0" collapsed="false">
      <c r="A145" s="35" t="n">
        <v>7</v>
      </c>
      <c r="B145" s="39" t="s">
        <v>98</v>
      </c>
      <c r="C145" s="14" t="n">
        <v>416500</v>
      </c>
      <c r="D145" s="37" t="n">
        <f aca="false">216500+100000+100000</f>
        <v>416500</v>
      </c>
      <c r="E145" s="42" t="n">
        <f aca="false">C145-D145</f>
        <v>0</v>
      </c>
    </row>
    <row r="146" customFormat="false" ht="15" hidden="false" customHeight="false" outlineLevel="0" collapsed="false">
      <c r="A146" s="50" t="n">
        <v>8</v>
      </c>
      <c r="B146" s="39" t="s">
        <v>99</v>
      </c>
      <c r="C146" s="14" t="n">
        <v>416500</v>
      </c>
      <c r="D146" s="37" t="n">
        <f aca="false">216500+100000</f>
        <v>316500</v>
      </c>
      <c r="E146" s="42" t="n">
        <f aca="false">C146-D146</f>
        <v>100000</v>
      </c>
    </row>
    <row r="147" customFormat="false" ht="15" hidden="false" customHeight="false" outlineLevel="0" collapsed="false">
      <c r="A147" s="35" t="n">
        <v>9</v>
      </c>
      <c r="B147" s="39" t="s">
        <v>100</v>
      </c>
      <c r="C147" s="14" t="n">
        <v>416500</v>
      </c>
      <c r="D147" s="37" t="n">
        <f aca="false">216500+200000</f>
        <v>416500</v>
      </c>
      <c r="E147" s="42" t="n">
        <f aca="false">C147-D147</f>
        <v>0</v>
      </c>
    </row>
    <row r="148" customFormat="false" ht="15" hidden="false" customHeight="false" outlineLevel="0" collapsed="false">
      <c r="A148" s="35" t="n">
        <v>10</v>
      </c>
      <c r="B148" s="39" t="s">
        <v>101</v>
      </c>
      <c r="C148" s="14" t="n">
        <v>416500</v>
      </c>
      <c r="D148" s="37" t="n">
        <f aca="false">216500+200000</f>
        <v>416500</v>
      </c>
      <c r="E148" s="42" t="n">
        <f aca="false">C148-D148</f>
        <v>0</v>
      </c>
    </row>
    <row r="149" customFormat="false" ht="15" hidden="false" customHeight="false" outlineLevel="0" collapsed="false">
      <c r="A149" s="50" t="n">
        <v>11</v>
      </c>
      <c r="B149" s="39" t="s">
        <v>102</v>
      </c>
      <c r="C149" s="14" t="n">
        <v>416500</v>
      </c>
      <c r="D149" s="37" t="n">
        <f aca="false">216500+200000</f>
        <v>416500</v>
      </c>
      <c r="E149" s="42" t="n">
        <f aca="false">C149-D149</f>
        <v>0</v>
      </c>
    </row>
    <row r="150" customFormat="false" ht="17.35" hidden="false" customHeight="false" outlineLevel="0" collapsed="false">
      <c r="A150" s="35"/>
      <c r="B150" s="23" t="s">
        <v>21</v>
      </c>
      <c r="C150" s="24" t="n">
        <f aca="false">SUM(C139:C149)</f>
        <v>4165000</v>
      </c>
      <c r="D150" s="25" t="n">
        <f aca="false">SUM(D139:D149)</f>
        <v>3997500</v>
      </c>
      <c r="E150" s="26" t="n">
        <f aca="false">SUM(E139:E149)</f>
        <v>167500</v>
      </c>
    </row>
    <row r="151" customFormat="false" ht="15" hidden="false" customHeight="false" outlineLevel="0" collapsed="false">
      <c r="D151" s="32"/>
    </row>
    <row r="152" customFormat="false" ht="17.35" hidden="false" customHeight="false" outlineLevel="0" collapsed="false">
      <c r="A152" s="2"/>
      <c r="B152" s="3" t="s">
        <v>0</v>
      </c>
      <c r="D152" s="32"/>
    </row>
    <row r="153" customFormat="false" ht="17.35" hidden="false" customHeight="false" outlineLevel="0" collapsed="false">
      <c r="A153" s="4"/>
      <c r="D153" s="32"/>
    </row>
    <row r="154" customFormat="false" ht="15" hidden="false" customHeight="false" outlineLevel="0" collapsed="false">
      <c r="A154" s="2"/>
      <c r="D154" s="32"/>
    </row>
    <row r="155" customFormat="false" ht="17.25" hidden="false" customHeight="false" outlineLevel="0" collapsed="false">
      <c r="A155" s="2"/>
      <c r="B155" s="5" t="s">
        <v>103</v>
      </c>
      <c r="D155" s="32"/>
    </row>
    <row r="156" customFormat="false" ht="15" hidden="false" customHeight="false" outlineLevel="0" collapsed="false">
      <c r="A156" s="2"/>
      <c r="D156" s="33" t="s">
        <v>2</v>
      </c>
    </row>
    <row r="157" customFormat="false" ht="15" hidden="false" customHeight="false" outlineLevel="0" collapsed="false">
      <c r="A157" s="2"/>
      <c r="D157" s="32"/>
    </row>
    <row r="158" customFormat="false" ht="15" hidden="false" customHeight="false" outlineLevel="0" collapsed="false">
      <c r="A158" s="7" t="s">
        <v>3</v>
      </c>
      <c r="B158" s="8" t="s">
        <v>4</v>
      </c>
      <c r="C158" s="9" t="s">
        <v>5</v>
      </c>
      <c r="D158" s="34" t="s">
        <v>6</v>
      </c>
      <c r="E158" s="11" t="s">
        <v>7</v>
      </c>
    </row>
    <row r="159" customFormat="false" ht="15" hidden="false" customHeight="false" outlineLevel="0" collapsed="false">
      <c r="A159" s="51" t="n">
        <v>1</v>
      </c>
      <c r="B159" s="13" t="s">
        <v>104</v>
      </c>
      <c r="C159" s="14" t="n">
        <v>416500</v>
      </c>
      <c r="D159" s="17"/>
      <c r="E159" s="42" t="n">
        <f aca="false">C159-D159</f>
        <v>416500</v>
      </c>
    </row>
    <row r="160" customFormat="false" ht="15" hidden="false" customHeight="false" outlineLevel="0" collapsed="false">
      <c r="A160" s="35" t="n">
        <v>2</v>
      </c>
      <c r="B160" s="39" t="s">
        <v>105</v>
      </c>
      <c r="C160" s="14" t="n">
        <v>416500</v>
      </c>
      <c r="D160" s="37" t="n">
        <f aca="false">215000</f>
        <v>215000</v>
      </c>
      <c r="E160" s="42" t="s">
        <v>11</v>
      </c>
    </row>
    <row r="161" customFormat="false" ht="15" hidden="false" customHeight="false" outlineLevel="0" collapsed="false">
      <c r="A161" s="35" t="n">
        <v>3</v>
      </c>
      <c r="B161" s="39" t="s">
        <v>106</v>
      </c>
      <c r="C161" s="14" t="n">
        <v>416500</v>
      </c>
      <c r="D161" s="37" t="n">
        <f aca="false">166000</f>
        <v>166000</v>
      </c>
      <c r="E161" s="42" t="n">
        <f aca="false">C161-D161</f>
        <v>250500</v>
      </c>
    </row>
    <row r="162" customFormat="false" ht="15" hidden="false" customHeight="false" outlineLevel="0" collapsed="false">
      <c r="A162" s="35" t="n">
        <v>4</v>
      </c>
      <c r="B162" s="20" t="s">
        <v>107</v>
      </c>
      <c r="C162" s="14" t="n">
        <v>416500</v>
      </c>
      <c r="D162" s="37" t="n">
        <f aca="false">215000+150000</f>
        <v>365000</v>
      </c>
      <c r="E162" s="42" t="n">
        <f aca="false">C162-D162</f>
        <v>51500</v>
      </c>
    </row>
    <row r="163" customFormat="false" ht="15" hidden="false" customHeight="false" outlineLevel="0" collapsed="false">
      <c r="A163" s="51" t="n">
        <v>5</v>
      </c>
      <c r="B163" s="20" t="s">
        <v>108</v>
      </c>
      <c r="C163" s="14" t="n">
        <v>416500</v>
      </c>
      <c r="D163" s="37" t="n">
        <f aca="false">250000</f>
        <v>250000</v>
      </c>
      <c r="E163" s="42" t="n">
        <f aca="false">C163-D163</f>
        <v>166500</v>
      </c>
    </row>
    <row r="164" customFormat="false" ht="15" hidden="false" customHeight="false" outlineLevel="0" collapsed="false">
      <c r="A164" s="35" t="n">
        <v>6</v>
      </c>
      <c r="B164" s="20" t="s">
        <v>109</v>
      </c>
      <c r="C164" s="14" t="n">
        <v>416500</v>
      </c>
      <c r="D164" s="37"/>
      <c r="E164" s="42" t="n">
        <f aca="false">C164-D164</f>
        <v>416500</v>
      </c>
    </row>
    <row r="165" customFormat="false" ht="15" hidden="false" customHeight="false" outlineLevel="0" collapsed="false">
      <c r="A165" s="35" t="n">
        <v>7</v>
      </c>
      <c r="B165" s="20" t="s">
        <v>110</v>
      </c>
      <c r="C165" s="14" t="n">
        <v>416500</v>
      </c>
      <c r="D165" s="37"/>
      <c r="E165" s="42" t="n">
        <f aca="false">C165-D165</f>
        <v>416500</v>
      </c>
    </row>
    <row r="166" customFormat="false" ht="15" hidden="false" customHeight="false" outlineLevel="0" collapsed="false">
      <c r="A166" s="35" t="n">
        <v>8</v>
      </c>
      <c r="B166" s="20" t="s">
        <v>111</v>
      </c>
      <c r="C166" s="14" t="n">
        <v>416500</v>
      </c>
      <c r="D166" s="37"/>
      <c r="E166" s="42" t="n">
        <f aca="false">C166-D166</f>
        <v>416500</v>
      </c>
    </row>
    <row r="167" customFormat="false" ht="15" hidden="false" customHeight="false" outlineLevel="0" collapsed="false">
      <c r="A167" s="51" t="n">
        <v>9</v>
      </c>
      <c r="B167" s="20" t="s">
        <v>112</v>
      </c>
      <c r="C167" s="37" t="n">
        <v>416500</v>
      </c>
      <c r="D167" s="21" t="n">
        <f aca="false">216500</f>
        <v>216500</v>
      </c>
      <c r="E167" s="42" t="n">
        <f aca="false">C167-D167</f>
        <v>200000</v>
      </c>
    </row>
    <row r="168" customFormat="false" ht="17.35" hidden="false" customHeight="false" outlineLevel="0" collapsed="false">
      <c r="A168" s="22"/>
      <c r="B168" s="23" t="s">
        <v>21</v>
      </c>
      <c r="C168" s="24" t="n">
        <f aca="false">SUM(C159:C167)</f>
        <v>3748500</v>
      </c>
      <c r="D168" s="25" t="n">
        <f aca="false">SUM(D159:D167)</f>
        <v>1212500</v>
      </c>
      <c r="E168" s="26" t="n">
        <f aca="false">SUM(E159:E167)</f>
        <v>2334500</v>
      </c>
    </row>
    <row r="169" customFormat="false" ht="17.35" hidden="false" customHeight="false" outlineLevel="0" collapsed="false">
      <c r="B169" s="28"/>
      <c r="C169" s="29"/>
      <c r="D169" s="30"/>
      <c r="E169" s="31"/>
    </row>
    <row r="170" customFormat="false" ht="17.35" hidden="false" customHeight="false" outlineLevel="0" collapsed="false">
      <c r="A170" s="2"/>
      <c r="B170" s="3" t="s">
        <v>0</v>
      </c>
      <c r="D170" s="32"/>
    </row>
    <row r="171" customFormat="false" ht="17.35" hidden="false" customHeight="false" outlineLevel="0" collapsed="false">
      <c r="A171" s="4"/>
      <c r="D171" s="32"/>
    </row>
    <row r="172" customFormat="false" ht="15" hidden="false" customHeight="false" outlineLevel="0" collapsed="false">
      <c r="A172" s="2"/>
      <c r="D172" s="32"/>
    </row>
    <row r="173" customFormat="false" ht="17.25" hidden="false" customHeight="false" outlineLevel="0" collapsed="false">
      <c r="A173" s="2"/>
      <c r="B173" s="5" t="s">
        <v>113</v>
      </c>
      <c r="D173" s="32"/>
    </row>
    <row r="174" customFormat="false" ht="15" hidden="false" customHeight="false" outlineLevel="0" collapsed="false">
      <c r="A174" s="2"/>
      <c r="D174" s="33" t="s">
        <v>2</v>
      </c>
    </row>
    <row r="175" customFormat="false" ht="15" hidden="false" customHeight="false" outlineLevel="0" collapsed="false">
      <c r="A175" s="2"/>
      <c r="D175" s="32"/>
    </row>
    <row r="176" customFormat="false" ht="15" hidden="false" customHeight="false" outlineLevel="0" collapsed="false">
      <c r="A176" s="7" t="s">
        <v>3</v>
      </c>
      <c r="B176" s="8" t="s">
        <v>4</v>
      </c>
      <c r="C176" s="9" t="s">
        <v>5</v>
      </c>
      <c r="D176" s="34" t="s">
        <v>6</v>
      </c>
      <c r="E176" s="11" t="s">
        <v>7</v>
      </c>
    </row>
    <row r="177" customFormat="false" ht="15" hidden="false" customHeight="false" outlineLevel="0" collapsed="false">
      <c r="A177" s="35" t="n">
        <v>1</v>
      </c>
      <c r="B177" s="39" t="s">
        <v>114</v>
      </c>
      <c r="C177" s="14" t="n">
        <v>416500</v>
      </c>
      <c r="D177" s="37" t="n">
        <f aca="false">216500</f>
        <v>216500</v>
      </c>
      <c r="E177" s="42" t="n">
        <f aca="false">C177-D177</f>
        <v>200000</v>
      </c>
    </row>
    <row r="178" customFormat="false" ht="15" hidden="false" customHeight="false" outlineLevel="0" collapsed="false">
      <c r="A178" s="12" t="n">
        <v>2</v>
      </c>
      <c r="B178" s="39" t="s">
        <v>115</v>
      </c>
      <c r="C178" s="14" t="n">
        <v>416500</v>
      </c>
      <c r="D178" s="37" t="n">
        <f aca="false">216500</f>
        <v>216500</v>
      </c>
      <c r="E178" s="42" t="n">
        <f aca="false">C178-D178</f>
        <v>200000</v>
      </c>
    </row>
    <row r="179" customFormat="false" ht="15" hidden="false" customHeight="false" outlineLevel="0" collapsed="false">
      <c r="A179" s="35" t="n">
        <v>3</v>
      </c>
      <c r="B179" s="52" t="s">
        <v>116</v>
      </c>
      <c r="C179" s="14" t="n">
        <v>416500</v>
      </c>
      <c r="D179" s="21" t="n">
        <f aca="false">240000+176500</f>
        <v>416500</v>
      </c>
      <c r="E179" s="42" t="n">
        <f aca="false">C179-D179</f>
        <v>0</v>
      </c>
    </row>
    <row r="180" customFormat="false" ht="15" hidden="false" customHeight="false" outlineLevel="0" collapsed="false">
      <c r="A180" s="12" t="n">
        <v>4</v>
      </c>
      <c r="B180" s="39" t="s">
        <v>117</v>
      </c>
      <c r="C180" s="14" t="n">
        <v>416500</v>
      </c>
      <c r="D180" s="37" t="n">
        <f aca="false">200000+16500+100000+100000</f>
        <v>416500</v>
      </c>
      <c r="E180" s="42" t="n">
        <f aca="false">C180-D180</f>
        <v>0</v>
      </c>
    </row>
    <row r="181" customFormat="false" ht="15" hidden="false" customHeight="false" outlineLevel="0" collapsed="false">
      <c r="A181" s="12" t="n">
        <v>5</v>
      </c>
      <c r="B181" s="39" t="s">
        <v>118</v>
      </c>
      <c r="C181" s="14" t="n">
        <v>416500</v>
      </c>
      <c r="D181" s="37" t="n">
        <f aca="false">216500+100000</f>
        <v>316500</v>
      </c>
      <c r="E181" s="42" t="n">
        <f aca="false">C181-D181</f>
        <v>100000</v>
      </c>
    </row>
    <row r="182" customFormat="false" ht="15" hidden="false" customHeight="false" outlineLevel="0" collapsed="false">
      <c r="A182" s="35" t="n">
        <v>6</v>
      </c>
      <c r="B182" s="39" t="s">
        <v>119</v>
      </c>
      <c r="C182" s="14" t="n">
        <v>416500</v>
      </c>
      <c r="D182" s="37" t="n">
        <f aca="false">216500+100000</f>
        <v>316500</v>
      </c>
      <c r="E182" s="42" t="n">
        <f aca="false">C182-D182</f>
        <v>100000</v>
      </c>
    </row>
    <row r="183" customFormat="false" ht="15" hidden="false" customHeight="false" outlineLevel="0" collapsed="false">
      <c r="A183" s="12" t="n">
        <v>7</v>
      </c>
      <c r="B183" s="39" t="s">
        <v>120</v>
      </c>
      <c r="C183" s="14" t="n">
        <v>416500</v>
      </c>
      <c r="D183" s="37" t="n">
        <f aca="false">216500+100000</f>
        <v>316500</v>
      </c>
      <c r="E183" s="42" t="n">
        <f aca="false">C183-D183</f>
        <v>100000</v>
      </c>
    </row>
    <row r="184" customFormat="false" ht="15" hidden="false" customHeight="false" outlineLevel="0" collapsed="false">
      <c r="A184" s="35" t="n">
        <v>8</v>
      </c>
      <c r="B184" s="39" t="s">
        <v>121</v>
      </c>
      <c r="C184" s="14" t="n">
        <v>416500</v>
      </c>
      <c r="D184" s="37" t="n">
        <f aca="false">216500+100000+100000</f>
        <v>416500</v>
      </c>
      <c r="E184" s="42" t="n">
        <f aca="false">C184-D184</f>
        <v>0</v>
      </c>
    </row>
    <row r="185" customFormat="false" ht="15" hidden="false" customHeight="false" outlineLevel="0" collapsed="false">
      <c r="A185" s="12" t="n">
        <v>9</v>
      </c>
      <c r="B185" s="39" t="s">
        <v>122</v>
      </c>
      <c r="C185" s="14" t="n">
        <v>416500</v>
      </c>
      <c r="D185" s="37" t="n">
        <f aca="false">216000+100000+100500</f>
        <v>416500</v>
      </c>
      <c r="E185" s="42" t="n">
        <f aca="false">C185-D185</f>
        <v>0</v>
      </c>
    </row>
    <row r="186" customFormat="false" ht="15" hidden="false" customHeight="false" outlineLevel="0" collapsed="false">
      <c r="A186" s="12" t="n">
        <v>10</v>
      </c>
      <c r="B186" s="39" t="s">
        <v>123</v>
      </c>
      <c r="C186" s="14" t="n">
        <v>416500</v>
      </c>
      <c r="D186" s="37" t="n">
        <f aca="false">100000+100000</f>
        <v>200000</v>
      </c>
      <c r="E186" s="42" t="n">
        <f aca="false">C186-D186</f>
        <v>216500</v>
      </c>
    </row>
    <row r="187" customFormat="false" ht="15" hidden="false" customHeight="false" outlineLevel="0" collapsed="false">
      <c r="A187" s="35" t="n">
        <v>11</v>
      </c>
      <c r="B187" s="39" t="s">
        <v>124</v>
      </c>
      <c r="C187" s="14" t="n">
        <v>416500</v>
      </c>
      <c r="D187" s="37" t="n">
        <f aca="false">216000+200000+500</f>
        <v>416500</v>
      </c>
      <c r="E187" s="42" t="n">
        <f aca="false">C187-D187</f>
        <v>0</v>
      </c>
    </row>
    <row r="188" customFormat="false" ht="15" hidden="false" customHeight="false" outlineLevel="0" collapsed="false">
      <c r="A188" s="12" t="n">
        <v>12</v>
      </c>
      <c r="B188" s="39" t="s">
        <v>125</v>
      </c>
      <c r="C188" s="14" t="n">
        <v>416500</v>
      </c>
      <c r="D188" s="37" t="n">
        <f aca="false">216500+100000+100000</f>
        <v>416500</v>
      </c>
      <c r="E188" s="42" t="n">
        <f aca="false">C188-D188</f>
        <v>0</v>
      </c>
    </row>
    <row r="189" customFormat="false" ht="15" hidden="false" customHeight="false" outlineLevel="0" collapsed="false">
      <c r="A189" s="35" t="n">
        <v>13</v>
      </c>
      <c r="B189" s="39" t="s">
        <v>126</v>
      </c>
      <c r="C189" s="14" t="n">
        <v>416500</v>
      </c>
      <c r="D189" s="37" t="n">
        <f aca="false">216500+200000</f>
        <v>416500</v>
      </c>
      <c r="E189" s="42" t="n">
        <f aca="false">C189-D189</f>
        <v>0</v>
      </c>
    </row>
    <row r="190" customFormat="false" ht="15" hidden="false" customHeight="false" outlineLevel="0" collapsed="false">
      <c r="A190" s="12" t="n">
        <v>14</v>
      </c>
      <c r="B190" s="39" t="s">
        <v>127</v>
      </c>
      <c r="C190" s="14" t="n">
        <v>416500</v>
      </c>
      <c r="D190" s="37" t="n">
        <f aca="false">216500+100000+100000</f>
        <v>416500</v>
      </c>
      <c r="E190" s="42" t="n">
        <f aca="false">C190-D190</f>
        <v>0</v>
      </c>
    </row>
    <row r="191" customFormat="false" ht="15" hidden="false" customHeight="false" outlineLevel="0" collapsed="false">
      <c r="A191" s="12" t="n">
        <v>15</v>
      </c>
      <c r="B191" s="39" t="s">
        <v>128</v>
      </c>
      <c r="C191" s="14" t="n">
        <v>416500</v>
      </c>
      <c r="D191" s="37" t="n">
        <f aca="false">216000+200000</f>
        <v>416000</v>
      </c>
      <c r="E191" s="42" t="n">
        <f aca="false">C191-D191</f>
        <v>500</v>
      </c>
    </row>
    <row r="192" customFormat="false" ht="15" hidden="false" customHeight="false" outlineLevel="0" collapsed="false">
      <c r="A192" s="35" t="n">
        <v>16</v>
      </c>
      <c r="B192" s="39" t="s">
        <v>129</v>
      </c>
      <c r="C192" s="14" t="n">
        <v>416500</v>
      </c>
      <c r="D192" s="37" t="n">
        <f aca="false">260500+100000+100000</f>
        <v>460500</v>
      </c>
      <c r="E192" s="42" t="n">
        <f aca="false">C192-D192</f>
        <v>-44000</v>
      </c>
    </row>
    <row r="193" customFormat="false" ht="15" hidden="false" customHeight="false" outlineLevel="0" collapsed="false">
      <c r="A193" s="12" t="n">
        <v>17</v>
      </c>
      <c r="B193" s="39" t="s">
        <v>130</v>
      </c>
      <c r="C193" s="14" t="n">
        <v>416500</v>
      </c>
      <c r="D193" s="37" t="n">
        <f aca="false">216000+100000</f>
        <v>316000</v>
      </c>
      <c r="E193" s="42" t="n">
        <f aca="false">C193-D193</f>
        <v>100500</v>
      </c>
    </row>
    <row r="194" customFormat="false" ht="15" hidden="false" customHeight="false" outlineLevel="0" collapsed="false">
      <c r="A194" s="35" t="n">
        <v>18</v>
      </c>
      <c r="B194" s="39" t="s">
        <v>131</v>
      </c>
      <c r="C194" s="14" t="n">
        <v>416500</v>
      </c>
      <c r="D194" s="37" t="n">
        <f aca="false">216500</f>
        <v>216500</v>
      </c>
      <c r="E194" s="42" t="s">
        <v>11</v>
      </c>
    </row>
    <row r="195" customFormat="false" ht="15" hidden="false" customHeight="false" outlineLevel="0" collapsed="false">
      <c r="A195" s="12" t="n">
        <v>19</v>
      </c>
      <c r="B195" s="39" t="s">
        <v>132</v>
      </c>
      <c r="C195" s="14" t="n">
        <v>416500</v>
      </c>
      <c r="D195" s="37" t="n">
        <f aca="false">240000+176000</f>
        <v>416000</v>
      </c>
      <c r="E195" s="42" t="n">
        <f aca="false">C195-D195</f>
        <v>500</v>
      </c>
    </row>
    <row r="196" customFormat="false" ht="15" hidden="false" customHeight="false" outlineLevel="0" collapsed="false">
      <c r="A196" s="12" t="n">
        <v>20</v>
      </c>
      <c r="B196" s="39" t="s">
        <v>133</v>
      </c>
      <c r="C196" s="14" t="n">
        <v>416500</v>
      </c>
      <c r="D196" s="37"/>
      <c r="E196" s="42" t="s">
        <v>11</v>
      </c>
    </row>
    <row r="197" customFormat="false" ht="15" hidden="false" customHeight="false" outlineLevel="0" collapsed="false">
      <c r="A197" s="35" t="n">
        <v>21</v>
      </c>
      <c r="B197" s="39" t="s">
        <v>134</v>
      </c>
      <c r="C197" s="14" t="n">
        <v>416500</v>
      </c>
      <c r="D197" s="37" t="n">
        <f aca="false">216500+200000</f>
        <v>416500</v>
      </c>
      <c r="E197" s="42" t="n">
        <f aca="false">C197-D197</f>
        <v>0</v>
      </c>
    </row>
    <row r="198" customFormat="false" ht="15" hidden="false" customHeight="false" outlineLevel="0" collapsed="false">
      <c r="A198" s="12" t="n">
        <v>22</v>
      </c>
      <c r="B198" s="39" t="s">
        <v>135</v>
      </c>
      <c r="C198" s="14" t="n">
        <v>416500</v>
      </c>
      <c r="D198" s="37" t="n">
        <f aca="false">100000+216500+100000</f>
        <v>416500</v>
      </c>
      <c r="E198" s="42" t="n">
        <f aca="false">C198-D198</f>
        <v>0</v>
      </c>
    </row>
    <row r="199" customFormat="false" ht="15" hidden="false" customHeight="false" outlineLevel="0" collapsed="false">
      <c r="A199" s="35" t="n">
        <v>23</v>
      </c>
      <c r="B199" s="39" t="s">
        <v>136</v>
      </c>
      <c r="C199" s="14" t="n">
        <v>215000</v>
      </c>
      <c r="D199" s="37" t="n">
        <f aca="false">216000</f>
        <v>216000</v>
      </c>
      <c r="E199" s="42" t="s">
        <v>11</v>
      </c>
    </row>
    <row r="200" customFormat="false" ht="15" hidden="false" customHeight="false" outlineLevel="0" collapsed="false">
      <c r="A200" s="12" t="n">
        <v>24</v>
      </c>
      <c r="B200" s="39" t="s">
        <v>137</v>
      </c>
      <c r="C200" s="14" t="n">
        <v>416500</v>
      </c>
      <c r="D200" s="37" t="n">
        <f aca="false">216500+200000</f>
        <v>416500</v>
      </c>
      <c r="E200" s="42" t="n">
        <f aca="false">C200-D200</f>
        <v>0</v>
      </c>
    </row>
    <row r="201" customFormat="false" ht="15" hidden="false" customHeight="false" outlineLevel="0" collapsed="false">
      <c r="A201" s="12" t="n">
        <v>25</v>
      </c>
      <c r="B201" s="39" t="s">
        <v>138</v>
      </c>
      <c r="C201" s="14" t="n">
        <v>416500</v>
      </c>
      <c r="D201" s="37" t="n">
        <f aca="false">216000+100000</f>
        <v>316000</v>
      </c>
      <c r="E201" s="42" t="n">
        <f aca="false">C201-D201</f>
        <v>100500</v>
      </c>
    </row>
    <row r="202" customFormat="false" ht="15" hidden="false" customHeight="false" outlineLevel="0" collapsed="false">
      <c r="A202" s="35" t="n">
        <v>26</v>
      </c>
      <c r="B202" s="39" t="s">
        <v>139</v>
      </c>
      <c r="C202" s="14" t="n">
        <v>416500</v>
      </c>
      <c r="D202" s="37" t="n">
        <f aca="false">216500+100000+100000</f>
        <v>416500</v>
      </c>
      <c r="E202" s="42" t="n">
        <f aca="false">C202-D202</f>
        <v>0</v>
      </c>
    </row>
    <row r="203" customFormat="false" ht="15" hidden="false" customHeight="false" outlineLevel="0" collapsed="false">
      <c r="A203" s="12" t="n">
        <v>27</v>
      </c>
      <c r="B203" s="39" t="s">
        <v>140</v>
      </c>
      <c r="C203" s="14" t="n">
        <v>416500</v>
      </c>
      <c r="D203" s="37" t="n">
        <f aca="false">216000</f>
        <v>216000</v>
      </c>
      <c r="E203" s="42" t="s">
        <v>11</v>
      </c>
    </row>
    <row r="204" customFormat="false" ht="15" hidden="false" customHeight="false" outlineLevel="0" collapsed="false">
      <c r="A204" s="35" t="n">
        <v>28</v>
      </c>
      <c r="B204" s="39" t="s">
        <v>141</v>
      </c>
      <c r="C204" s="14" t="n">
        <v>416500</v>
      </c>
      <c r="D204" s="37" t="n">
        <f aca="false">216500</f>
        <v>216500</v>
      </c>
      <c r="E204" s="42" t="s">
        <v>11</v>
      </c>
    </row>
    <row r="205" customFormat="false" ht="15" hidden="false" customHeight="false" outlineLevel="0" collapsed="false">
      <c r="A205" s="12" t="n">
        <v>29</v>
      </c>
      <c r="B205" s="39" t="s">
        <v>142</v>
      </c>
      <c r="C205" s="14" t="n">
        <v>416500</v>
      </c>
      <c r="D205" s="37" t="n">
        <f aca="false">216500+200000</f>
        <v>416500</v>
      </c>
      <c r="E205" s="42" t="n">
        <f aca="false">C205-D205</f>
        <v>0</v>
      </c>
    </row>
    <row r="206" customFormat="false" ht="15" hidden="false" customHeight="false" outlineLevel="0" collapsed="false">
      <c r="A206" s="12" t="n">
        <v>30</v>
      </c>
      <c r="B206" s="39" t="s">
        <v>143</v>
      </c>
      <c r="C206" s="14" t="n">
        <v>416500</v>
      </c>
      <c r="D206" s="37" t="n">
        <f aca="false">216500+200000</f>
        <v>416500</v>
      </c>
      <c r="E206" s="42" t="n">
        <f aca="false">C206-D206</f>
        <v>0</v>
      </c>
    </row>
    <row r="207" customFormat="false" ht="15" hidden="false" customHeight="false" outlineLevel="0" collapsed="false">
      <c r="A207" s="35" t="n">
        <v>31</v>
      </c>
      <c r="B207" s="39" t="s">
        <v>144</v>
      </c>
      <c r="C207" s="14" t="n">
        <v>416500</v>
      </c>
      <c r="D207" s="37" t="n">
        <f aca="false">196500+20000+100000</f>
        <v>316500</v>
      </c>
      <c r="E207" s="42" t="n">
        <f aca="false">C207-D207</f>
        <v>100000</v>
      </c>
    </row>
    <row r="208" customFormat="false" ht="15" hidden="false" customHeight="false" outlineLevel="0" collapsed="false">
      <c r="A208" s="12" t="n">
        <v>32</v>
      </c>
      <c r="B208" s="39" t="s">
        <v>145</v>
      </c>
      <c r="C208" s="14" t="n">
        <v>416500</v>
      </c>
      <c r="D208" s="37" t="n">
        <f aca="false">216000+200000</f>
        <v>416000</v>
      </c>
      <c r="E208" s="42" t="n">
        <f aca="false">C208-D208</f>
        <v>500</v>
      </c>
    </row>
    <row r="209" customFormat="false" ht="15" hidden="false" customHeight="false" outlineLevel="0" collapsed="false">
      <c r="A209" s="35" t="n">
        <v>33</v>
      </c>
      <c r="B209" s="39" t="s">
        <v>146</v>
      </c>
      <c r="C209" s="14" t="n">
        <v>416500</v>
      </c>
      <c r="D209" s="37" t="n">
        <f aca="false">216500+200000</f>
        <v>416500</v>
      </c>
      <c r="E209" s="42" t="n">
        <f aca="false">C209-D209</f>
        <v>0</v>
      </c>
    </row>
    <row r="210" customFormat="false" ht="15" hidden="false" customHeight="false" outlineLevel="0" collapsed="false">
      <c r="A210" s="12" t="n">
        <v>34</v>
      </c>
      <c r="B210" s="39" t="s">
        <v>147</v>
      </c>
      <c r="C210" s="14" t="n">
        <v>416500</v>
      </c>
      <c r="D210" s="37" t="n">
        <f aca="false">215500+201000</f>
        <v>416500</v>
      </c>
      <c r="E210" s="42" t="n">
        <f aca="false">C210-D210</f>
        <v>0</v>
      </c>
    </row>
    <row r="211" customFormat="false" ht="15" hidden="false" customHeight="false" outlineLevel="0" collapsed="false">
      <c r="A211" s="12" t="n">
        <v>35</v>
      </c>
      <c r="B211" s="39" t="s">
        <v>148</v>
      </c>
      <c r="C211" s="14" t="n">
        <v>416500</v>
      </c>
      <c r="D211" s="37" t="n">
        <f aca="false">216500+200000</f>
        <v>416500</v>
      </c>
      <c r="E211" s="42" t="n">
        <f aca="false">C211-D211</f>
        <v>0</v>
      </c>
    </row>
    <row r="212" customFormat="false" ht="15" hidden="false" customHeight="false" outlineLevel="0" collapsed="false">
      <c r="A212" s="35" t="n">
        <v>36</v>
      </c>
      <c r="B212" s="39" t="s">
        <v>149</v>
      </c>
      <c r="C212" s="14" t="n">
        <v>416500</v>
      </c>
      <c r="D212" s="37" t="n">
        <f aca="false">216500+200500</f>
        <v>417000</v>
      </c>
      <c r="E212" s="42" t="n">
        <f aca="false">C212-D212</f>
        <v>-500</v>
      </c>
    </row>
    <row r="213" customFormat="false" ht="15" hidden="false" customHeight="false" outlineLevel="0" collapsed="false">
      <c r="A213" s="12" t="n">
        <v>37</v>
      </c>
      <c r="B213" s="39" t="s">
        <v>150</v>
      </c>
      <c r="C213" s="14" t="n">
        <v>416500</v>
      </c>
      <c r="D213" s="37" t="n">
        <f aca="false">300000+116500</f>
        <v>416500</v>
      </c>
      <c r="E213" s="42" t="n">
        <f aca="false">C213-D213</f>
        <v>0</v>
      </c>
    </row>
    <row r="214" customFormat="false" ht="15" hidden="false" customHeight="false" outlineLevel="0" collapsed="false">
      <c r="A214" s="35" t="n">
        <v>38</v>
      </c>
      <c r="B214" s="39" t="s">
        <v>151</v>
      </c>
      <c r="C214" s="14" t="n">
        <v>416500</v>
      </c>
      <c r="D214" s="37" t="n">
        <f aca="false">216000+200000</f>
        <v>416000</v>
      </c>
      <c r="E214" s="42" t="n">
        <f aca="false">C214-D214</f>
        <v>500</v>
      </c>
    </row>
    <row r="215" customFormat="false" ht="15" hidden="false" customHeight="false" outlineLevel="0" collapsed="false">
      <c r="A215" s="12" t="n">
        <v>39</v>
      </c>
      <c r="B215" s="39" t="s">
        <v>152</v>
      </c>
      <c r="C215" s="37" t="n">
        <v>416500</v>
      </c>
      <c r="D215" s="37" t="n">
        <f aca="false">216500+200000</f>
        <v>416500</v>
      </c>
      <c r="E215" s="42" t="n">
        <f aca="false">C215-D215</f>
        <v>0</v>
      </c>
    </row>
    <row r="216" customFormat="false" ht="15" hidden="false" customHeight="false" outlineLevel="0" collapsed="false">
      <c r="A216" s="12" t="n">
        <v>40</v>
      </c>
      <c r="B216" s="39" t="s">
        <v>153</v>
      </c>
      <c r="C216" s="14" t="n">
        <v>215000</v>
      </c>
      <c r="D216" s="37" t="n">
        <v>416000</v>
      </c>
      <c r="E216" s="42" t="n">
        <v>215000</v>
      </c>
    </row>
    <row r="217" customFormat="false" ht="15" hidden="false" customHeight="false" outlineLevel="0" collapsed="false">
      <c r="A217" s="35" t="n">
        <v>41</v>
      </c>
      <c r="B217" s="39" t="s">
        <v>154</v>
      </c>
      <c r="C217" s="14" t="n">
        <v>416500</v>
      </c>
      <c r="D217" s="37" t="n">
        <f aca="false">216500</f>
        <v>216500</v>
      </c>
      <c r="E217" s="42" t="s">
        <v>11</v>
      </c>
    </row>
    <row r="218" customFormat="false" ht="17.35" hidden="false" customHeight="false" outlineLevel="0" collapsed="false">
      <c r="A218" s="53"/>
      <c r="B218" s="23" t="s">
        <v>21</v>
      </c>
      <c r="C218" s="24" t="n">
        <f aca="false">SUM(C177:C217)</f>
        <v>16673500</v>
      </c>
      <c r="D218" s="54" t="n">
        <f aca="false">SUM(D177:D217)</f>
        <v>14483500</v>
      </c>
      <c r="E218" s="26" t="n">
        <f aca="false">SUM(E177:E217)</f>
        <v>1390000</v>
      </c>
    </row>
    <row r="219" customFormat="false" ht="15" hidden="false" customHeight="false" outlineLevel="0" collapsed="false">
      <c r="A219" s="50"/>
    </row>
    <row r="223" customFormat="false" ht="17.35" hidden="false" customHeight="false" outlineLevel="0" collapsed="false">
      <c r="A223" s="2"/>
      <c r="B223" s="3" t="s">
        <v>0</v>
      </c>
    </row>
    <row r="224" customFormat="false" ht="15" hidden="false" customHeight="false" outlineLevel="0" collapsed="false">
      <c r="A224" s="2"/>
    </row>
    <row r="225" customFormat="false" ht="15" hidden="false" customHeight="false" outlineLevel="0" collapsed="false">
      <c r="A225" s="2"/>
    </row>
    <row r="226" customFormat="false" ht="17.9" hidden="false" customHeight="false" outlineLevel="0" collapsed="false">
      <c r="A226" s="2"/>
      <c r="B226" s="5" t="s">
        <v>22</v>
      </c>
      <c r="D226" s="6" t="s">
        <v>2</v>
      </c>
    </row>
    <row r="227" customFormat="false" ht="15" hidden="false" customHeight="false" outlineLevel="0" collapsed="false">
      <c r="A227" s="2"/>
    </row>
    <row r="228" customFormat="false" ht="15" hidden="false" customHeight="false" outlineLevel="0" collapsed="false">
      <c r="A228" s="7" t="s">
        <v>3</v>
      </c>
      <c r="B228" s="8" t="s">
        <v>4</v>
      </c>
      <c r="C228" s="9" t="s">
        <v>5</v>
      </c>
      <c r="D228" s="10" t="s">
        <v>6</v>
      </c>
      <c r="E228" s="11" t="s">
        <v>7</v>
      </c>
    </row>
    <row r="229" customFormat="false" ht="15" hidden="false" customHeight="false" outlineLevel="0" collapsed="false">
      <c r="A229" s="35" t="n">
        <v>1</v>
      </c>
      <c r="B229" s="39" t="s">
        <v>27</v>
      </c>
      <c r="C229" s="14" t="n">
        <v>416500</v>
      </c>
      <c r="D229" s="14"/>
      <c r="E229" s="42" t="n">
        <f aca="false">C229-D229</f>
        <v>416500</v>
      </c>
    </row>
    <row r="230" customFormat="false" ht="15" hidden="false" customHeight="false" outlineLevel="0" collapsed="false">
      <c r="A230" s="35" t="n">
        <v>2</v>
      </c>
      <c r="B230" s="39" t="s">
        <v>30</v>
      </c>
      <c r="C230" s="14" t="n">
        <v>416500</v>
      </c>
      <c r="D230" s="14" t="n">
        <f aca="false">216500</f>
        <v>216500</v>
      </c>
      <c r="E230" s="42" t="n">
        <f aca="false">C230-D230</f>
        <v>200000</v>
      </c>
    </row>
    <row r="231" customFormat="false" ht="15" hidden="false" customHeight="false" outlineLevel="0" collapsed="false">
      <c r="A231" s="35" t="n">
        <v>3</v>
      </c>
      <c r="B231" s="39" t="s">
        <v>29</v>
      </c>
      <c r="C231" s="14" t="n">
        <v>416500</v>
      </c>
      <c r="D231" s="14" t="n">
        <f aca="false">216500</f>
        <v>216500</v>
      </c>
      <c r="E231" s="42" t="n">
        <f aca="false">C231-D231</f>
        <v>200000</v>
      </c>
    </row>
    <row r="232" customFormat="false" ht="15" hidden="false" customHeight="false" outlineLevel="0" collapsed="false">
      <c r="A232" s="35" t="n">
        <v>4</v>
      </c>
      <c r="B232" s="39" t="s">
        <v>155</v>
      </c>
      <c r="C232" s="14" t="n">
        <v>416500</v>
      </c>
      <c r="D232" s="14" t="n">
        <f aca="false">220000</f>
        <v>220000</v>
      </c>
      <c r="E232" s="42" t="n">
        <f aca="false">C232-D232</f>
        <v>196500</v>
      </c>
    </row>
    <row r="233" customFormat="false" ht="15" hidden="false" customHeight="false" outlineLevel="0" collapsed="false">
      <c r="A233" s="35" t="n">
        <v>5</v>
      </c>
      <c r="B233" s="39" t="s">
        <v>34</v>
      </c>
      <c r="C233" s="14" t="n">
        <v>416500</v>
      </c>
      <c r="D233" s="14" t="n">
        <f aca="false">216000</f>
        <v>216000</v>
      </c>
      <c r="E233" s="42" t="n">
        <f aca="false">C233-D233</f>
        <v>200500</v>
      </c>
    </row>
    <row r="234" customFormat="false" ht="15" hidden="false" customHeight="false" outlineLevel="0" collapsed="false">
      <c r="A234" s="35" t="n">
        <v>6</v>
      </c>
      <c r="B234" s="39" t="s">
        <v>28</v>
      </c>
      <c r="C234" s="14" t="n">
        <v>416500</v>
      </c>
      <c r="D234" s="14" t="n">
        <f aca="false">216500</f>
        <v>216500</v>
      </c>
      <c r="E234" s="42" t="n">
        <f aca="false">C234-D234</f>
        <v>200000</v>
      </c>
    </row>
    <row r="235" customFormat="false" ht="15" hidden="false" customHeight="false" outlineLevel="0" collapsed="false">
      <c r="A235" s="35" t="n">
        <v>7</v>
      </c>
      <c r="B235" s="39" t="s">
        <v>25</v>
      </c>
      <c r="C235" s="14" t="n">
        <v>416500</v>
      </c>
      <c r="D235" s="14" t="n">
        <f aca="false">185000+31000</f>
        <v>216000</v>
      </c>
      <c r="E235" s="42" t="n">
        <f aca="false">C235-D235</f>
        <v>200500</v>
      </c>
    </row>
    <row r="236" customFormat="false" ht="15" hidden="false" customHeight="false" outlineLevel="0" collapsed="false">
      <c r="A236" s="35" t="n">
        <v>8</v>
      </c>
      <c r="B236" s="39" t="s">
        <v>33</v>
      </c>
      <c r="C236" s="14" t="n">
        <v>416500</v>
      </c>
      <c r="D236" s="14" t="n">
        <f aca="false">200000+16500</f>
        <v>216500</v>
      </c>
      <c r="E236" s="42" t="n">
        <f aca="false">C236-D236</f>
        <v>200000</v>
      </c>
    </row>
    <row r="237" customFormat="false" ht="15" hidden="false" customHeight="false" outlineLevel="0" collapsed="false">
      <c r="A237" s="35" t="n">
        <v>9</v>
      </c>
      <c r="B237" s="39" t="s">
        <v>156</v>
      </c>
      <c r="C237" s="14" t="n">
        <v>416500</v>
      </c>
      <c r="D237" s="14" t="n">
        <f aca="false">216500</f>
        <v>216500</v>
      </c>
      <c r="E237" s="42" t="n">
        <f aca="false">C237-D237</f>
        <v>200000</v>
      </c>
    </row>
    <row r="238" customFormat="false" ht="15" hidden="false" customHeight="false" outlineLevel="0" collapsed="false">
      <c r="A238" s="35" t="n">
        <v>10</v>
      </c>
      <c r="B238" s="39" t="s">
        <v>36</v>
      </c>
      <c r="C238" s="14" t="n">
        <v>416500</v>
      </c>
      <c r="D238" s="14" t="n">
        <f aca="false">200000</f>
        <v>200000</v>
      </c>
      <c r="E238" s="42" t="n">
        <f aca="false">C238-D238</f>
        <v>216500</v>
      </c>
    </row>
    <row r="239" customFormat="false" ht="15" hidden="false" customHeight="false" outlineLevel="0" collapsed="false">
      <c r="A239" s="35" t="n">
        <v>11</v>
      </c>
      <c r="B239" s="39" t="s">
        <v>157</v>
      </c>
      <c r="C239" s="14" t="n">
        <v>416500</v>
      </c>
      <c r="D239" s="14" t="n">
        <f aca="false">416500</f>
        <v>416500</v>
      </c>
      <c r="E239" s="42" t="n">
        <f aca="false">C239-D239</f>
        <v>0</v>
      </c>
    </row>
    <row r="240" customFormat="false" ht="15" hidden="false" customHeight="false" outlineLevel="0" collapsed="false">
      <c r="A240" s="35" t="n">
        <v>12</v>
      </c>
      <c r="B240" s="39" t="s">
        <v>32</v>
      </c>
      <c r="C240" s="14" t="n">
        <v>416500</v>
      </c>
      <c r="D240" s="14" t="n">
        <f aca="false">216500</f>
        <v>216500</v>
      </c>
      <c r="E240" s="42" t="n">
        <f aca="false">C240-D240</f>
        <v>200000</v>
      </c>
    </row>
    <row r="241" customFormat="false" ht="15" hidden="false" customHeight="false" outlineLevel="0" collapsed="false">
      <c r="A241" s="35" t="n">
        <v>13</v>
      </c>
      <c r="B241" s="39" t="s">
        <v>26</v>
      </c>
      <c r="C241" s="14" t="n">
        <v>416500</v>
      </c>
      <c r="D241" s="14" t="n">
        <f aca="false">250000</f>
        <v>250000</v>
      </c>
      <c r="E241" s="42" t="n">
        <f aca="false">C241-D241</f>
        <v>166500</v>
      </c>
    </row>
    <row r="242" customFormat="false" ht="15" hidden="false" customHeight="false" outlineLevel="0" collapsed="false">
      <c r="A242" s="35" t="n">
        <v>14</v>
      </c>
      <c r="B242" s="39" t="s">
        <v>35</v>
      </c>
      <c r="C242" s="14" t="n">
        <v>416500</v>
      </c>
      <c r="D242" s="14" t="n">
        <f aca="false">216500</f>
        <v>216500</v>
      </c>
      <c r="E242" s="42" t="n">
        <f aca="false">C242-D242</f>
        <v>200000</v>
      </c>
    </row>
    <row r="243" customFormat="false" ht="17.35" hidden="false" customHeight="false" outlineLevel="0" collapsed="false">
      <c r="A243" s="35"/>
      <c r="B243" s="23" t="s">
        <v>21</v>
      </c>
      <c r="C243" s="24" t="n">
        <f aca="false">SUM(C229:C242)</f>
        <v>5831000</v>
      </c>
      <c r="D243" s="54" t="n">
        <f aca="false">SUM(D229:D242)</f>
        <v>3034000</v>
      </c>
      <c r="E243" s="26" t="n">
        <f aca="false">C243-D243</f>
        <v>2797000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901"/>
  <sheetViews>
    <sheetView showFormulas="false" showGridLines="true" showRowColHeaders="true" showZeros="true" rightToLeft="false" tabSelected="false" showOutlineSymbols="true" defaultGridColor="true" view="normal" topLeftCell="A841" colorId="64" zoomScale="100" zoomScaleNormal="100" zoomScalePageLayoutView="100" workbookViewId="0">
      <selection pane="topLeft" activeCell="I881" activeCellId="0" sqref="I881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33.29"/>
    <col collapsed="false" customWidth="true" hidden="false" outlineLevel="0" max="3" min="3" style="1" width="13.43"/>
    <col collapsed="false" customWidth="true" hidden="false" outlineLevel="0" max="4" min="4" style="1" width="12.15"/>
    <col collapsed="false" customWidth="true" hidden="false" outlineLevel="0" max="5" min="5" style="1" width="13.86"/>
    <col collapsed="false" customWidth="true" hidden="false" outlineLevel="0" max="16384" min="16335" style="0" width="11.53"/>
  </cols>
  <sheetData>
    <row r="3" customFormat="false" ht="17.35" hidden="false" customHeight="false" outlineLevel="0" collapsed="false">
      <c r="A3" s="3"/>
      <c r="B3" s="3" t="s">
        <v>0</v>
      </c>
    </row>
    <row r="4" customFormat="false" ht="15" hidden="false" customHeight="false" outlineLevel="0" collapsed="false">
      <c r="A4" s="1" t="s">
        <v>158</v>
      </c>
    </row>
    <row r="5" customFormat="false" ht="17.25" hidden="false" customHeight="false" outlineLevel="0" collapsed="false">
      <c r="B5" s="55" t="s">
        <v>159</v>
      </c>
    </row>
    <row r="8" customFormat="false" ht="17.25" hidden="false" customHeight="false" outlineLevel="0" collapsed="false">
      <c r="B8" s="5" t="s">
        <v>160</v>
      </c>
      <c r="D8" s="6" t="s">
        <v>161</v>
      </c>
    </row>
    <row r="10" customFormat="false" ht="15" hidden="false" customHeight="false" outlineLevel="0" collapsed="false">
      <c r="A10" s="7" t="s">
        <v>3</v>
      </c>
      <c r="B10" s="8" t="s">
        <v>4</v>
      </c>
      <c r="C10" s="9" t="s">
        <v>5</v>
      </c>
      <c r="D10" s="10" t="s">
        <v>6</v>
      </c>
      <c r="E10" s="56" t="s">
        <v>7</v>
      </c>
    </row>
    <row r="11" customFormat="false" ht="15" hidden="false" customHeight="false" outlineLevel="0" collapsed="false">
      <c r="A11" s="1" t="n">
        <v>1</v>
      </c>
      <c r="B11" s="39" t="s">
        <v>162</v>
      </c>
      <c r="C11" s="14" t="n">
        <v>416500</v>
      </c>
      <c r="D11" s="37" t="n">
        <f aca="false">100000+316000</f>
        <v>416000</v>
      </c>
      <c r="E11" s="38" t="n">
        <f aca="false">C11-D11</f>
        <v>500</v>
      </c>
    </row>
    <row r="12" customFormat="false" ht="15" hidden="false" customHeight="false" outlineLevel="0" collapsed="false">
      <c r="A12" s="35" t="n">
        <v>2</v>
      </c>
      <c r="B12" s="39" t="s">
        <v>163</v>
      </c>
      <c r="C12" s="14" t="n">
        <v>416500</v>
      </c>
      <c r="D12" s="37" t="n">
        <f aca="false">216500+50000+100000</f>
        <v>366500</v>
      </c>
      <c r="E12" s="38" t="n">
        <f aca="false">C12-D12</f>
        <v>50000</v>
      </c>
    </row>
    <row r="13" customFormat="false" ht="15" hidden="false" customHeight="false" outlineLevel="0" collapsed="false">
      <c r="A13" s="35" t="n">
        <v>3</v>
      </c>
      <c r="B13" s="39" t="s">
        <v>164</v>
      </c>
      <c r="C13" s="14" t="n">
        <v>416500</v>
      </c>
      <c r="D13" s="37" t="n">
        <f aca="false">216500+200000</f>
        <v>416500</v>
      </c>
      <c r="E13" s="38" t="n">
        <f aca="false">C13-D13</f>
        <v>0</v>
      </c>
    </row>
    <row r="14" customFormat="false" ht="15" hidden="false" customHeight="false" outlineLevel="0" collapsed="false">
      <c r="A14" s="35" t="n">
        <v>4</v>
      </c>
      <c r="B14" s="39" t="s">
        <v>165</v>
      </c>
      <c r="C14" s="14" t="n">
        <v>416500</v>
      </c>
      <c r="D14" s="37"/>
      <c r="E14" s="38" t="n">
        <f aca="false">C14-D14</f>
        <v>416500</v>
      </c>
    </row>
    <row r="15" customFormat="false" ht="15" hidden="false" customHeight="false" outlineLevel="0" collapsed="false">
      <c r="A15" s="35" t="n">
        <v>5</v>
      </c>
      <c r="B15" s="57" t="s">
        <v>166</v>
      </c>
      <c r="C15" s="14" t="n">
        <v>416500</v>
      </c>
      <c r="D15" s="37"/>
      <c r="E15" s="38" t="n">
        <f aca="false">C15-D15</f>
        <v>416500</v>
      </c>
    </row>
    <row r="16" customFormat="false" ht="15" hidden="false" customHeight="false" outlineLevel="0" collapsed="false">
      <c r="A16" s="35" t="n">
        <v>6</v>
      </c>
      <c r="B16" s="39" t="s">
        <v>167</v>
      </c>
      <c r="C16" s="14" t="n">
        <v>416500</v>
      </c>
      <c r="D16" s="37"/>
      <c r="E16" s="38" t="n">
        <f aca="false">C16-D16</f>
        <v>416500</v>
      </c>
    </row>
    <row r="17" customFormat="false" ht="15" hidden="false" customHeight="false" outlineLevel="0" collapsed="false">
      <c r="A17" s="35" t="n">
        <v>7</v>
      </c>
      <c r="B17" s="39" t="s">
        <v>168</v>
      </c>
      <c r="C17" s="14" t="n">
        <v>416500</v>
      </c>
      <c r="D17" s="37"/>
      <c r="E17" s="38" t="n">
        <f aca="false">C17-D17</f>
        <v>416500</v>
      </c>
    </row>
    <row r="18" customFormat="false" ht="15" hidden="false" customHeight="false" outlineLevel="0" collapsed="false">
      <c r="A18" s="35" t="n">
        <v>8</v>
      </c>
      <c r="B18" s="39" t="s">
        <v>169</v>
      </c>
      <c r="C18" s="14" t="n">
        <v>416500</v>
      </c>
      <c r="D18" s="37"/>
      <c r="E18" s="38" t="n">
        <f aca="false">C18-D18</f>
        <v>416500</v>
      </c>
    </row>
    <row r="19" customFormat="false" ht="15" hidden="false" customHeight="false" outlineLevel="0" collapsed="false">
      <c r="A19" s="35" t="n">
        <v>9</v>
      </c>
      <c r="B19" s="39" t="s">
        <v>170</v>
      </c>
      <c r="C19" s="14" t="n">
        <v>416500</v>
      </c>
      <c r="D19" s="37" t="n">
        <f aca="false">270000+30000</f>
        <v>300000</v>
      </c>
      <c r="E19" s="38" t="n">
        <f aca="false">C19-D19</f>
        <v>116500</v>
      </c>
    </row>
    <row r="20" customFormat="false" ht="15" hidden="false" customHeight="false" outlineLevel="0" collapsed="false">
      <c r="A20" s="35" t="n">
        <v>10</v>
      </c>
      <c r="B20" s="39" t="s">
        <v>171</v>
      </c>
      <c r="C20" s="14" t="n">
        <v>416500</v>
      </c>
      <c r="D20" s="37"/>
      <c r="E20" s="38" t="n">
        <f aca="false">C20-D20</f>
        <v>416500</v>
      </c>
    </row>
    <row r="21" customFormat="false" ht="15" hidden="false" customHeight="false" outlineLevel="0" collapsed="false">
      <c r="A21" s="35" t="n">
        <v>11</v>
      </c>
      <c r="B21" s="39" t="s">
        <v>172</v>
      </c>
      <c r="C21" s="14" t="n">
        <v>416500</v>
      </c>
      <c r="D21" s="37" t="n">
        <f aca="false">200000+16500+50000+30000+120000</f>
        <v>416500</v>
      </c>
      <c r="E21" s="38" t="n">
        <f aca="false">C21-D21</f>
        <v>0</v>
      </c>
    </row>
    <row r="22" customFormat="false" ht="15" hidden="false" customHeight="false" outlineLevel="0" collapsed="false">
      <c r="A22" s="35" t="n">
        <v>12</v>
      </c>
      <c r="B22" s="39" t="s">
        <v>173</v>
      </c>
      <c r="C22" s="14" t="n">
        <v>416500</v>
      </c>
      <c r="D22" s="37"/>
      <c r="E22" s="38" t="n">
        <f aca="false">C22-D22</f>
        <v>416500</v>
      </c>
    </row>
    <row r="23" customFormat="false" ht="15" hidden="false" customHeight="false" outlineLevel="0" collapsed="false">
      <c r="A23" s="35" t="n">
        <v>13</v>
      </c>
      <c r="B23" s="39" t="s">
        <v>174</v>
      </c>
      <c r="C23" s="14" t="n">
        <v>416500</v>
      </c>
      <c r="D23" s="37" t="n">
        <f aca="false">100000</f>
        <v>100000</v>
      </c>
      <c r="E23" s="38" t="n">
        <f aca="false">C23-D23</f>
        <v>316500</v>
      </c>
    </row>
    <row r="24" customFormat="false" ht="15" hidden="false" customHeight="false" outlineLevel="0" collapsed="false">
      <c r="A24" s="35" t="n">
        <v>14</v>
      </c>
      <c r="B24" s="39" t="s">
        <v>175</v>
      </c>
      <c r="C24" s="14" t="n">
        <v>416500</v>
      </c>
      <c r="D24" s="37" t="n">
        <f aca="false">58500</f>
        <v>58500</v>
      </c>
      <c r="E24" s="38" t="n">
        <f aca="false">C24-D24</f>
        <v>358000</v>
      </c>
    </row>
    <row r="25" customFormat="false" ht="15" hidden="false" customHeight="false" outlineLevel="0" collapsed="false">
      <c r="A25" s="35" t="n">
        <v>15</v>
      </c>
      <c r="B25" s="39" t="s">
        <v>176</v>
      </c>
      <c r="C25" s="14" t="n">
        <v>416500</v>
      </c>
      <c r="D25" s="37"/>
      <c r="E25" s="38" t="n">
        <f aca="false">C25-D25</f>
        <v>416500</v>
      </c>
    </row>
    <row r="26" customFormat="false" ht="15" hidden="false" customHeight="false" outlineLevel="0" collapsed="false">
      <c r="A26" s="35" t="n">
        <v>16</v>
      </c>
      <c r="B26" s="39" t="s">
        <v>177</v>
      </c>
      <c r="C26" s="14" t="n">
        <v>416500</v>
      </c>
      <c r="D26" s="37"/>
      <c r="E26" s="38" t="n">
        <f aca="false">C26-D26</f>
        <v>416500</v>
      </c>
    </row>
    <row r="27" customFormat="false" ht="17.35" hidden="false" customHeight="false" outlineLevel="0" collapsed="false">
      <c r="A27" s="22"/>
      <c r="B27" s="23" t="s">
        <v>21</v>
      </c>
      <c r="C27" s="24" t="n">
        <f aca="false">SUM(C11:C26)</f>
        <v>6664000</v>
      </c>
      <c r="D27" s="25" t="n">
        <f aca="false">SUM(D11:D26)</f>
        <v>2074000</v>
      </c>
      <c r="E27" s="40" t="n">
        <f aca="false">SUM(E11:E26)</f>
        <v>4590000</v>
      </c>
    </row>
    <row r="28" customFormat="false" ht="15" hidden="false" customHeight="false" outlineLevel="0" collapsed="false">
      <c r="D28" s="32"/>
      <c r="E28" s="32"/>
    </row>
    <row r="29" customFormat="false" ht="15" hidden="false" customHeight="false" outlineLevel="0" collapsed="false">
      <c r="D29" s="32"/>
      <c r="E29" s="32"/>
    </row>
    <row r="30" customFormat="false" ht="15" hidden="false" customHeight="false" outlineLevel="0" collapsed="false">
      <c r="D30" s="32"/>
      <c r="E30" s="32"/>
    </row>
    <row r="31" customFormat="false" ht="15" hidden="false" customHeight="false" outlineLevel="0" collapsed="false">
      <c r="D31" s="32"/>
      <c r="E31" s="32"/>
    </row>
    <row r="32" customFormat="false" ht="17.35" hidden="false" customHeight="false" outlineLevel="0" collapsed="false">
      <c r="A32" s="3"/>
      <c r="B32" s="3" t="s">
        <v>0</v>
      </c>
      <c r="D32" s="32"/>
      <c r="E32" s="32"/>
    </row>
    <row r="33" customFormat="false" ht="6" hidden="false" customHeight="true" outlineLevel="0" collapsed="false">
      <c r="D33" s="32"/>
      <c r="E33" s="32"/>
    </row>
    <row r="34" customFormat="false" ht="17.25" hidden="false" customHeight="false" outlineLevel="0" collapsed="false">
      <c r="B34" s="55" t="s">
        <v>159</v>
      </c>
      <c r="D34" s="32"/>
      <c r="E34" s="32"/>
    </row>
    <row r="35" customFormat="false" ht="6" hidden="false" customHeight="true" outlineLevel="0" collapsed="false">
      <c r="D35" s="32"/>
      <c r="E35" s="32"/>
    </row>
    <row r="36" customFormat="false" ht="15" hidden="false" customHeight="false" outlineLevel="0" collapsed="false">
      <c r="D36" s="32"/>
      <c r="E36" s="32"/>
    </row>
    <row r="37" customFormat="false" ht="17.25" hidden="false" customHeight="false" outlineLevel="0" collapsed="false">
      <c r="B37" s="5" t="s">
        <v>160</v>
      </c>
      <c r="D37" s="33" t="s">
        <v>178</v>
      </c>
      <c r="E37" s="32"/>
    </row>
    <row r="38" customFormat="false" ht="15" hidden="false" customHeight="false" outlineLevel="0" collapsed="false">
      <c r="D38" s="32"/>
      <c r="E38" s="32"/>
    </row>
    <row r="39" customFormat="false" ht="15" hidden="false" customHeight="false" outlineLevel="0" collapsed="false">
      <c r="A39" s="58" t="s">
        <v>3</v>
      </c>
      <c r="B39" s="59" t="s">
        <v>4</v>
      </c>
      <c r="C39" s="60" t="s">
        <v>5</v>
      </c>
      <c r="D39" s="61" t="s">
        <v>6</v>
      </c>
      <c r="E39" s="62" t="s">
        <v>7</v>
      </c>
    </row>
    <row r="40" customFormat="false" ht="15" hidden="false" customHeight="false" outlineLevel="0" collapsed="false">
      <c r="A40" s="63" t="n">
        <v>1</v>
      </c>
      <c r="B40" s="17" t="s">
        <v>179</v>
      </c>
      <c r="C40" s="64" t="n">
        <v>416500</v>
      </c>
      <c r="D40" s="65" t="n">
        <f aca="false">83500+133000+100000+50000+50000</f>
        <v>416500</v>
      </c>
      <c r="E40" s="66" t="n">
        <f aca="false">C40-D40</f>
        <v>0</v>
      </c>
    </row>
    <row r="41" customFormat="false" ht="15" hidden="false" customHeight="false" outlineLevel="0" collapsed="false">
      <c r="A41" s="35" t="n">
        <v>2</v>
      </c>
      <c r="B41" s="39" t="s">
        <v>180</v>
      </c>
      <c r="C41" s="14" t="n">
        <v>416500</v>
      </c>
      <c r="D41" s="37" t="n">
        <v>416500</v>
      </c>
      <c r="E41" s="38" t="n">
        <f aca="false">C41-D41</f>
        <v>0</v>
      </c>
    </row>
    <row r="42" customFormat="false" ht="15" hidden="false" customHeight="false" outlineLevel="0" collapsed="false">
      <c r="A42" s="35" t="n">
        <v>3</v>
      </c>
      <c r="B42" s="39" t="s">
        <v>181</v>
      </c>
      <c r="C42" s="14" t="n">
        <v>416500</v>
      </c>
      <c r="D42" s="37"/>
      <c r="E42" s="38" t="n">
        <f aca="false">C42-D42</f>
        <v>416500</v>
      </c>
    </row>
    <row r="43" customFormat="false" ht="15" hidden="false" customHeight="false" outlineLevel="0" collapsed="false">
      <c r="A43" s="35" t="n">
        <v>4</v>
      </c>
      <c r="B43" s="39" t="s">
        <v>182</v>
      </c>
      <c r="C43" s="14" t="n">
        <v>416500</v>
      </c>
      <c r="D43" s="37" t="n">
        <f aca="false">216500+200000</f>
        <v>416500</v>
      </c>
      <c r="E43" s="38" t="n">
        <f aca="false">C43-D43</f>
        <v>0</v>
      </c>
    </row>
    <row r="44" customFormat="false" ht="15" hidden="false" customHeight="false" outlineLevel="0" collapsed="false">
      <c r="A44" s="50" t="n">
        <v>5</v>
      </c>
      <c r="B44" s="39" t="s">
        <v>183</v>
      </c>
      <c r="C44" s="14" t="n">
        <v>416500</v>
      </c>
      <c r="D44" s="37"/>
      <c r="E44" s="38" t="n">
        <f aca="false">C44-D44</f>
        <v>416500</v>
      </c>
    </row>
    <row r="45" customFormat="false" ht="15" hidden="false" customHeight="false" outlineLevel="0" collapsed="false">
      <c r="A45" s="35" t="n">
        <v>6</v>
      </c>
      <c r="B45" s="39" t="s">
        <v>184</v>
      </c>
      <c r="C45" s="14" t="n">
        <v>416500</v>
      </c>
      <c r="D45" s="37"/>
      <c r="E45" s="38" t="n">
        <f aca="false">C45-D45</f>
        <v>416500</v>
      </c>
    </row>
    <row r="46" customFormat="false" ht="15" hidden="false" customHeight="false" outlineLevel="0" collapsed="false">
      <c r="A46" s="35" t="n">
        <v>7</v>
      </c>
      <c r="B46" s="39" t="s">
        <v>185</v>
      </c>
      <c r="C46" s="14" t="n">
        <v>416500</v>
      </c>
      <c r="D46" s="37"/>
      <c r="E46" s="38" t="n">
        <f aca="false">C46-D46</f>
        <v>416500</v>
      </c>
    </row>
    <row r="47" customFormat="false" ht="15" hidden="false" customHeight="false" outlineLevel="0" collapsed="false">
      <c r="A47" s="35" t="n">
        <v>8</v>
      </c>
      <c r="B47" s="39" t="s">
        <v>186</v>
      </c>
      <c r="C47" s="14" t="n">
        <v>416500</v>
      </c>
      <c r="D47" s="37"/>
      <c r="E47" s="38" t="n">
        <f aca="false">C47-D47</f>
        <v>416500</v>
      </c>
    </row>
    <row r="48" customFormat="false" ht="15" hidden="false" customHeight="false" outlineLevel="0" collapsed="false">
      <c r="A48" s="50" t="n">
        <v>9</v>
      </c>
      <c r="B48" s="39" t="s">
        <v>187</v>
      </c>
      <c r="C48" s="14" t="n">
        <v>416500</v>
      </c>
      <c r="D48" s="37"/>
      <c r="E48" s="38" t="n">
        <f aca="false">C48-D48</f>
        <v>416500</v>
      </c>
    </row>
    <row r="49" customFormat="false" ht="15" hidden="false" customHeight="false" outlineLevel="0" collapsed="false">
      <c r="A49" s="35" t="n">
        <v>10</v>
      </c>
      <c r="B49" s="39" t="s">
        <v>188</v>
      </c>
      <c r="C49" s="14" t="n">
        <v>416500</v>
      </c>
      <c r="D49" s="37"/>
      <c r="E49" s="38" t="n">
        <f aca="false">C49-D49</f>
        <v>416500</v>
      </c>
    </row>
    <row r="50" customFormat="false" ht="15" hidden="false" customHeight="false" outlineLevel="0" collapsed="false">
      <c r="A50" s="35" t="n">
        <v>11</v>
      </c>
      <c r="B50" s="39" t="s">
        <v>189</v>
      </c>
      <c r="C50" s="14" t="n">
        <v>416500</v>
      </c>
      <c r="D50" s="37"/>
      <c r="E50" s="38" t="n">
        <f aca="false">C50-D50</f>
        <v>416500</v>
      </c>
    </row>
    <row r="51" customFormat="false" ht="15" hidden="false" customHeight="false" outlineLevel="0" collapsed="false">
      <c r="A51" s="35" t="n">
        <v>12</v>
      </c>
      <c r="B51" s="39" t="s">
        <v>190</v>
      </c>
      <c r="C51" s="14" t="n">
        <v>416500</v>
      </c>
      <c r="D51" s="37" t="n">
        <f aca="false">5500</f>
        <v>5500</v>
      </c>
      <c r="E51" s="38" t="n">
        <f aca="false">C51-D51</f>
        <v>411000</v>
      </c>
    </row>
    <row r="52" customFormat="false" ht="17.35" hidden="false" customHeight="false" outlineLevel="0" collapsed="false">
      <c r="A52" s="22"/>
      <c r="B52" s="23" t="s">
        <v>21</v>
      </c>
      <c r="C52" s="24" t="n">
        <f aca="false">SUM(C40:C51)</f>
        <v>4998000</v>
      </c>
      <c r="D52" s="25" t="n">
        <f aca="false">SUM(D40:D51)</f>
        <v>1255000</v>
      </c>
      <c r="E52" s="40" t="n">
        <f aca="false">SUM(E40:E51)</f>
        <v>3743000</v>
      </c>
    </row>
    <row r="53" customFormat="false" ht="17.35" hidden="false" customHeight="false" outlineLevel="0" collapsed="false">
      <c r="B53" s="28"/>
      <c r="C53" s="29"/>
      <c r="D53" s="30"/>
      <c r="E53" s="67"/>
    </row>
    <row r="54" customFormat="false" ht="17.35" hidden="false" customHeight="false" outlineLevel="0" collapsed="false">
      <c r="B54" s="28"/>
      <c r="C54" s="29"/>
      <c r="D54" s="30"/>
      <c r="E54" s="67"/>
    </row>
    <row r="55" customFormat="false" ht="17.35" hidden="false" customHeight="false" outlineLevel="0" collapsed="false">
      <c r="B55" s="28"/>
      <c r="C55" s="29"/>
      <c r="D55" s="30"/>
      <c r="E55" s="67"/>
    </row>
    <row r="56" customFormat="false" ht="17.35" hidden="false" customHeight="false" outlineLevel="0" collapsed="false">
      <c r="A56" s="2"/>
      <c r="B56" s="3" t="s">
        <v>0</v>
      </c>
      <c r="D56" s="32"/>
      <c r="E56" s="32"/>
    </row>
    <row r="57" customFormat="false" ht="15" hidden="false" customHeight="false" outlineLevel="0" collapsed="false">
      <c r="A57" s="2"/>
      <c r="D57" s="32"/>
      <c r="E57" s="32"/>
    </row>
    <row r="58" customFormat="false" ht="15" hidden="false" customHeight="false" outlineLevel="0" collapsed="false">
      <c r="A58" s="2"/>
      <c r="D58" s="32"/>
      <c r="E58" s="32"/>
    </row>
    <row r="59" customFormat="false" ht="17.25" hidden="false" customHeight="false" outlineLevel="0" collapsed="false">
      <c r="A59" s="2"/>
      <c r="B59" s="5" t="s">
        <v>22</v>
      </c>
      <c r="D59" s="33" t="s">
        <v>191</v>
      </c>
      <c r="E59" s="32"/>
    </row>
    <row r="60" customFormat="false" ht="15" hidden="false" customHeight="false" outlineLevel="0" collapsed="false">
      <c r="A60" s="2"/>
      <c r="D60" s="32"/>
      <c r="E60" s="32"/>
    </row>
    <row r="61" customFormat="false" ht="15" hidden="false" customHeight="false" outlineLevel="0" collapsed="false">
      <c r="A61" s="7" t="s">
        <v>3</v>
      </c>
      <c r="B61" s="8" t="s">
        <v>4</v>
      </c>
      <c r="C61" s="9" t="s">
        <v>5</v>
      </c>
      <c r="D61" s="34" t="s">
        <v>6</v>
      </c>
      <c r="E61" s="68" t="s">
        <v>7</v>
      </c>
    </row>
    <row r="62" customFormat="false" ht="15" hidden="false" customHeight="false" outlineLevel="0" collapsed="false">
      <c r="A62" s="35" t="n">
        <v>1</v>
      </c>
      <c r="B62" s="17" t="s">
        <v>192</v>
      </c>
      <c r="C62" s="14" t="n">
        <v>416500</v>
      </c>
      <c r="D62" s="37"/>
      <c r="E62" s="69" t="n">
        <f aca="false">C62-D62</f>
        <v>416500</v>
      </c>
    </row>
    <row r="63" customFormat="false" ht="15" hidden="false" customHeight="false" outlineLevel="0" collapsed="false">
      <c r="A63" s="35" t="n">
        <v>2</v>
      </c>
      <c r="B63" s="39" t="s">
        <v>193</v>
      </c>
      <c r="C63" s="14" t="n">
        <v>416500</v>
      </c>
      <c r="D63" s="37" t="n">
        <f aca="false">150000+200000</f>
        <v>350000</v>
      </c>
      <c r="E63" s="69" t="n">
        <f aca="false">C63-D63</f>
        <v>66500</v>
      </c>
    </row>
    <row r="64" customFormat="false" ht="15" hidden="false" customHeight="false" outlineLevel="0" collapsed="false">
      <c r="A64" s="35" t="n">
        <v>3</v>
      </c>
      <c r="B64" s="39" t="s">
        <v>194</v>
      </c>
      <c r="C64" s="14" t="n">
        <v>416500</v>
      </c>
      <c r="D64" s="37" t="n">
        <f aca="false">199500+17000+200000</f>
        <v>416500</v>
      </c>
      <c r="E64" s="69" t="n">
        <f aca="false">C64-D64</f>
        <v>0</v>
      </c>
    </row>
    <row r="65" customFormat="false" ht="15" hidden="false" customHeight="false" outlineLevel="0" collapsed="false">
      <c r="A65" s="35" t="n">
        <v>4</v>
      </c>
      <c r="B65" s="39" t="s">
        <v>195</v>
      </c>
      <c r="C65" s="14" t="n">
        <v>416500</v>
      </c>
      <c r="D65" s="37" t="n">
        <f aca="false">100000+116000+200000+500</f>
        <v>416500</v>
      </c>
      <c r="E65" s="69" t="n">
        <f aca="false">C65-D65</f>
        <v>0</v>
      </c>
    </row>
    <row r="66" customFormat="false" ht="15" hidden="false" customHeight="false" outlineLevel="0" collapsed="false">
      <c r="A66" s="35" t="n">
        <v>5</v>
      </c>
      <c r="B66" s="39" t="s">
        <v>196</v>
      </c>
      <c r="C66" s="14" t="n">
        <v>416500</v>
      </c>
      <c r="D66" s="37"/>
      <c r="E66" s="69" t="n">
        <f aca="false">C66-D66</f>
        <v>416500</v>
      </c>
    </row>
    <row r="67" customFormat="false" ht="15" hidden="false" customHeight="false" outlineLevel="0" collapsed="false">
      <c r="A67" s="35" t="n">
        <v>6</v>
      </c>
      <c r="B67" s="39" t="s">
        <v>197</v>
      </c>
      <c r="C67" s="14" t="n">
        <v>416500</v>
      </c>
      <c r="D67" s="37" t="n">
        <f aca="false">200000</f>
        <v>200000</v>
      </c>
      <c r="E67" s="69" t="n">
        <f aca="false">C67-D67</f>
        <v>216500</v>
      </c>
    </row>
    <row r="68" customFormat="false" ht="15" hidden="false" customHeight="false" outlineLevel="0" collapsed="false">
      <c r="A68" s="35" t="n">
        <v>7</v>
      </c>
      <c r="B68" s="39" t="s">
        <v>198</v>
      </c>
      <c r="C68" s="14" t="n">
        <v>416500</v>
      </c>
      <c r="D68" s="37" t="n">
        <f aca="false">100000+116000+120000+80500</f>
        <v>416500</v>
      </c>
      <c r="E68" s="69" t="n">
        <f aca="false">C68-D68</f>
        <v>0</v>
      </c>
    </row>
    <row r="69" customFormat="false" ht="15" hidden="false" customHeight="false" outlineLevel="0" collapsed="false">
      <c r="A69" s="35" t="n">
        <v>8</v>
      </c>
      <c r="B69" s="39" t="s">
        <v>199</v>
      </c>
      <c r="C69" s="14" t="n">
        <v>416500</v>
      </c>
      <c r="D69" s="37" t="n">
        <f aca="false">150000+70000</f>
        <v>220000</v>
      </c>
      <c r="E69" s="69" t="n">
        <f aca="false">C69-D69</f>
        <v>196500</v>
      </c>
    </row>
    <row r="70" customFormat="false" ht="15" hidden="false" customHeight="false" outlineLevel="0" collapsed="false">
      <c r="A70" s="35" t="n">
        <v>9</v>
      </c>
      <c r="B70" s="39" t="s">
        <v>200</v>
      </c>
      <c r="C70" s="14" t="n">
        <v>416500</v>
      </c>
      <c r="D70" s="37"/>
      <c r="E70" s="69" t="n">
        <f aca="false">C70-D70</f>
        <v>416500</v>
      </c>
    </row>
    <row r="71" customFormat="false" ht="15" hidden="false" customHeight="false" outlineLevel="0" collapsed="false">
      <c r="A71" s="35" t="n">
        <v>10</v>
      </c>
      <c r="B71" s="39" t="s">
        <v>201</v>
      </c>
      <c r="C71" s="14" t="n">
        <v>416500</v>
      </c>
      <c r="D71" s="37" t="n">
        <f aca="false">200000+216500</f>
        <v>416500</v>
      </c>
      <c r="E71" s="69" t="n">
        <f aca="false">C71-D71</f>
        <v>0</v>
      </c>
    </row>
    <row r="72" customFormat="false" ht="15" hidden="false" customHeight="false" outlineLevel="0" collapsed="false">
      <c r="A72" s="35" t="n">
        <v>11</v>
      </c>
      <c r="B72" s="39" t="s">
        <v>202</v>
      </c>
      <c r="C72" s="14" t="n">
        <v>416500</v>
      </c>
      <c r="D72" s="37"/>
      <c r="E72" s="69" t="n">
        <f aca="false">C72-D72</f>
        <v>416500</v>
      </c>
    </row>
    <row r="73" customFormat="false" ht="15" hidden="false" customHeight="false" outlineLevel="0" collapsed="false">
      <c r="A73" s="35" t="n">
        <v>12</v>
      </c>
      <c r="B73" s="39" t="s">
        <v>203</v>
      </c>
      <c r="C73" s="14" t="n">
        <v>416500</v>
      </c>
      <c r="D73" s="37" t="n">
        <f aca="false">200000+140000+76500</f>
        <v>416500</v>
      </c>
      <c r="E73" s="69" t="n">
        <f aca="false">C73-D73</f>
        <v>0</v>
      </c>
    </row>
    <row r="74" customFormat="false" ht="15" hidden="false" customHeight="false" outlineLevel="0" collapsed="false">
      <c r="A74" s="35" t="n">
        <v>13</v>
      </c>
      <c r="B74" s="39" t="s">
        <v>204</v>
      </c>
      <c r="C74" s="14" t="n">
        <v>416500</v>
      </c>
      <c r="D74" s="37" t="n">
        <f aca="false">100000+100000+200000+16500</f>
        <v>416500</v>
      </c>
      <c r="E74" s="69" t="n">
        <f aca="false">C74-D74</f>
        <v>0</v>
      </c>
    </row>
    <row r="75" customFormat="false" ht="15" hidden="false" customHeight="false" outlineLevel="0" collapsed="false">
      <c r="A75" s="35" t="n">
        <v>14</v>
      </c>
      <c r="B75" s="39" t="s">
        <v>205</v>
      </c>
      <c r="C75" s="14" t="n">
        <v>416500</v>
      </c>
      <c r="D75" s="37" t="n">
        <f aca="false">199500</f>
        <v>199500</v>
      </c>
      <c r="E75" s="69" t="n">
        <f aca="false">C75-D75</f>
        <v>217000</v>
      </c>
    </row>
    <row r="76" customFormat="false" ht="15" hidden="false" customHeight="false" outlineLevel="0" collapsed="false">
      <c r="A76" s="35" t="n">
        <v>15</v>
      </c>
      <c r="B76" s="39" t="s">
        <v>206</v>
      </c>
      <c r="C76" s="14" t="n">
        <v>416500</v>
      </c>
      <c r="D76" s="37" t="n">
        <f aca="false">50000+50000+100000+50000+30000+136000+500</f>
        <v>416500</v>
      </c>
      <c r="E76" s="69" t="n">
        <f aca="false">C76-D76</f>
        <v>0</v>
      </c>
    </row>
    <row r="77" customFormat="false" ht="15" hidden="false" customHeight="false" outlineLevel="0" collapsed="false">
      <c r="A77" s="35" t="n">
        <v>16</v>
      </c>
      <c r="B77" s="17" t="s">
        <v>207</v>
      </c>
      <c r="C77" s="14" t="n">
        <v>416500</v>
      </c>
      <c r="D77" s="37" t="n">
        <f aca="false">200000+150000+66500</f>
        <v>416500</v>
      </c>
      <c r="E77" s="69" t="n">
        <f aca="false">C77-D77</f>
        <v>0</v>
      </c>
    </row>
    <row r="78" customFormat="false" ht="15" hidden="false" customHeight="false" outlineLevel="0" collapsed="false">
      <c r="A78" s="35" t="n">
        <v>17</v>
      </c>
      <c r="B78" s="39" t="s">
        <v>208</v>
      </c>
      <c r="C78" s="14" t="n">
        <v>416500</v>
      </c>
      <c r="D78" s="37" t="n">
        <f aca="false">150000+66500+200000</f>
        <v>416500</v>
      </c>
      <c r="E78" s="69" t="n">
        <f aca="false">C78-D78</f>
        <v>0</v>
      </c>
    </row>
    <row r="79" customFormat="false" ht="15" hidden="false" customHeight="false" outlineLevel="0" collapsed="false">
      <c r="A79" s="35" t="n">
        <v>18</v>
      </c>
      <c r="B79" s="39" t="s">
        <v>209</v>
      </c>
      <c r="C79" s="14" t="n">
        <v>416500</v>
      </c>
      <c r="D79" s="37" t="n">
        <f aca="false">9500+209000+200000</f>
        <v>418500</v>
      </c>
      <c r="E79" s="69" t="n">
        <f aca="false">C79-D79</f>
        <v>-2000</v>
      </c>
    </row>
    <row r="80" customFormat="false" ht="15" hidden="false" customHeight="false" outlineLevel="0" collapsed="false">
      <c r="A80" s="35" t="n">
        <v>19</v>
      </c>
      <c r="B80" s="20" t="s">
        <v>210</v>
      </c>
      <c r="C80" s="14" t="n">
        <v>416500</v>
      </c>
      <c r="D80" s="21" t="n">
        <f aca="false">216000+200500</f>
        <v>416500</v>
      </c>
      <c r="E80" s="69" t="n">
        <f aca="false">C80-D80</f>
        <v>0</v>
      </c>
    </row>
    <row r="81" customFormat="false" ht="15" hidden="false" customHeight="false" outlineLevel="0" collapsed="false">
      <c r="A81" s="50" t="n">
        <v>20</v>
      </c>
      <c r="B81" s="39" t="s">
        <v>211</v>
      </c>
      <c r="C81" s="37" t="n">
        <v>416500</v>
      </c>
      <c r="D81" s="37" t="n">
        <f aca="false">9500+70500</f>
        <v>80000</v>
      </c>
      <c r="E81" s="69" t="n">
        <f aca="false">C81-D81</f>
        <v>336500</v>
      </c>
    </row>
    <row r="82" customFormat="false" ht="15" hidden="false" customHeight="false" outlineLevel="0" collapsed="false">
      <c r="A82" s="50" t="n">
        <v>21</v>
      </c>
      <c r="B82" s="36" t="s">
        <v>212</v>
      </c>
      <c r="C82" s="14" t="n">
        <v>416500</v>
      </c>
      <c r="D82" s="37" t="n">
        <f aca="false">416500-50000</f>
        <v>366500</v>
      </c>
      <c r="E82" s="69" t="n">
        <f aca="false">C82-D82</f>
        <v>50000</v>
      </c>
    </row>
    <row r="83" customFormat="false" ht="17.35" hidden="false" customHeight="false" outlineLevel="0" collapsed="false">
      <c r="A83" s="35"/>
      <c r="B83" s="23" t="s">
        <v>21</v>
      </c>
      <c r="C83" s="24" t="n">
        <f aca="false">SUM(C62:C82)</f>
        <v>8746500</v>
      </c>
      <c r="D83" s="25" t="n">
        <f aca="false">SUM(D62:D82)</f>
        <v>5999500</v>
      </c>
      <c r="E83" s="70" t="n">
        <f aca="false">C83-D83</f>
        <v>2747000</v>
      </c>
    </row>
    <row r="84" customFormat="false" ht="17.35" hidden="false" customHeight="false" outlineLevel="0" collapsed="false">
      <c r="B84" s="28"/>
      <c r="C84" s="29"/>
      <c r="D84" s="30"/>
      <c r="E84" s="67"/>
    </row>
    <row r="85" customFormat="false" ht="17.35" hidden="false" customHeight="false" outlineLevel="0" collapsed="false">
      <c r="A85" s="71"/>
      <c r="B85" s="28"/>
      <c r="C85" s="29"/>
      <c r="D85" s="72"/>
      <c r="E85" s="67"/>
    </row>
    <row r="86" customFormat="false" ht="17.35" hidden="false" customHeight="false" outlineLevel="0" collapsed="false">
      <c r="A86" s="2"/>
      <c r="B86" s="3" t="s">
        <v>0</v>
      </c>
      <c r="D86" s="32"/>
      <c r="E86" s="32"/>
    </row>
    <row r="87" customFormat="false" ht="15" hidden="false" customHeight="false" outlineLevel="0" collapsed="false">
      <c r="A87" s="2"/>
      <c r="B87" s="2"/>
      <c r="C87" s="2"/>
      <c r="D87" s="73"/>
      <c r="E87" s="73"/>
    </row>
    <row r="88" customFormat="false" ht="15" hidden="false" customHeight="false" outlineLevel="0" collapsed="false">
      <c r="A88" s="2"/>
      <c r="D88" s="32"/>
      <c r="E88" s="32"/>
    </row>
    <row r="89" customFormat="false" ht="17.25" hidden="false" customHeight="false" outlineLevel="0" collapsed="false">
      <c r="A89" s="2"/>
      <c r="B89" s="5" t="s">
        <v>22</v>
      </c>
      <c r="D89" s="33" t="s">
        <v>161</v>
      </c>
      <c r="E89" s="32"/>
    </row>
    <row r="90" customFormat="false" ht="15" hidden="false" customHeight="false" outlineLevel="0" collapsed="false">
      <c r="A90" s="2"/>
      <c r="D90" s="32"/>
      <c r="E90" s="32"/>
    </row>
    <row r="91" customFormat="false" ht="15" hidden="false" customHeight="false" outlineLevel="0" collapsed="false">
      <c r="A91" s="7" t="s">
        <v>3</v>
      </c>
      <c r="B91" s="8" t="s">
        <v>4</v>
      </c>
      <c r="C91" s="9" t="s">
        <v>5</v>
      </c>
      <c r="D91" s="34" t="s">
        <v>6</v>
      </c>
      <c r="E91" s="68" t="s">
        <v>7</v>
      </c>
    </row>
    <row r="92" customFormat="false" ht="15" hidden="false" customHeight="false" outlineLevel="0" collapsed="false">
      <c r="A92" s="12" t="n">
        <v>1</v>
      </c>
      <c r="B92" s="17" t="s">
        <v>213</v>
      </c>
      <c r="C92" s="14" t="n">
        <v>416500</v>
      </c>
      <c r="D92" s="37" t="n">
        <f aca="false">216500</f>
        <v>216500</v>
      </c>
      <c r="E92" s="69" t="n">
        <f aca="false">C92-D92</f>
        <v>200000</v>
      </c>
    </row>
    <row r="93" customFormat="false" ht="15" hidden="false" customHeight="false" outlineLevel="0" collapsed="false">
      <c r="A93" s="35" t="n">
        <v>2</v>
      </c>
      <c r="B93" s="39" t="s">
        <v>214</v>
      </c>
      <c r="C93" s="14" t="n">
        <v>416500</v>
      </c>
      <c r="D93" s="37" t="n">
        <f aca="false">300000+116500</f>
        <v>416500</v>
      </c>
      <c r="E93" s="69" t="n">
        <f aca="false">C93-D93</f>
        <v>0</v>
      </c>
    </row>
    <row r="94" customFormat="false" ht="15" hidden="false" customHeight="false" outlineLevel="0" collapsed="false">
      <c r="A94" s="12" t="n">
        <v>3</v>
      </c>
      <c r="B94" s="39" t="s">
        <v>215</v>
      </c>
      <c r="C94" s="14" t="n">
        <v>416500</v>
      </c>
      <c r="D94" s="37" t="n">
        <f aca="false">216500+200000</f>
        <v>416500</v>
      </c>
      <c r="E94" s="69" t="n">
        <f aca="false">C94-D94</f>
        <v>0</v>
      </c>
    </row>
    <row r="95" customFormat="false" ht="15" hidden="false" customHeight="false" outlineLevel="0" collapsed="false">
      <c r="A95" s="1" t="n">
        <v>4</v>
      </c>
      <c r="B95" s="39" t="s">
        <v>216</v>
      </c>
      <c r="C95" s="14" t="n">
        <v>416500</v>
      </c>
      <c r="D95" s="37" t="n">
        <f aca="false">220000+100000+96500</f>
        <v>416500</v>
      </c>
      <c r="E95" s="69" t="n">
        <f aca="false">C95-D95</f>
        <v>0</v>
      </c>
    </row>
    <row r="96" customFormat="false" ht="15" hidden="false" customHeight="false" outlineLevel="0" collapsed="false">
      <c r="A96" s="12" t="n">
        <v>5</v>
      </c>
      <c r="B96" s="39" t="s">
        <v>217</v>
      </c>
      <c r="C96" s="14" t="n">
        <v>416500</v>
      </c>
      <c r="D96" s="37" t="n">
        <f aca="false">150000+100000+166500</f>
        <v>416500</v>
      </c>
      <c r="E96" s="69" t="n">
        <f aca="false">C96-D96</f>
        <v>0</v>
      </c>
    </row>
    <row r="97" customFormat="false" ht="15" hidden="false" customHeight="false" outlineLevel="0" collapsed="false">
      <c r="A97" s="35" t="n">
        <v>6</v>
      </c>
      <c r="B97" s="39" t="s">
        <v>218</v>
      </c>
      <c r="C97" s="14" t="n">
        <v>416500</v>
      </c>
      <c r="D97" s="37" t="n">
        <f aca="false">100000</f>
        <v>100000</v>
      </c>
      <c r="E97" s="69" t="n">
        <f aca="false">C97-D97</f>
        <v>316500</v>
      </c>
    </row>
    <row r="98" customFormat="false" ht="15" hidden="false" customHeight="false" outlineLevel="0" collapsed="false">
      <c r="A98" s="12" t="n">
        <v>7</v>
      </c>
      <c r="B98" s="39" t="s">
        <v>219</v>
      </c>
      <c r="C98" s="14" t="n">
        <v>416500</v>
      </c>
      <c r="D98" s="37" t="n">
        <f aca="false">200000</f>
        <v>200000</v>
      </c>
      <c r="E98" s="69" t="n">
        <f aca="false">C98-D98</f>
        <v>216500</v>
      </c>
    </row>
    <row r="99" customFormat="false" ht="15" hidden="false" customHeight="false" outlineLevel="0" collapsed="false">
      <c r="A99" s="35" t="n">
        <v>8</v>
      </c>
      <c r="B99" s="39" t="s">
        <v>220</v>
      </c>
      <c r="C99" s="14" t="n">
        <v>416500</v>
      </c>
      <c r="D99" s="37" t="n">
        <f aca="false">150000+50000+200000+16500-15000</f>
        <v>401500</v>
      </c>
      <c r="E99" s="69" t="n">
        <f aca="false">C99-D99</f>
        <v>15000</v>
      </c>
    </row>
    <row r="100" customFormat="false" ht="15" hidden="false" customHeight="false" outlineLevel="0" collapsed="false">
      <c r="A100" s="12" t="n">
        <v>9</v>
      </c>
      <c r="B100" s="39" t="s">
        <v>221</v>
      </c>
      <c r="C100" s="14" t="n">
        <v>416500</v>
      </c>
      <c r="D100" s="37"/>
      <c r="E100" s="69" t="n">
        <f aca="false">C100-D100</f>
        <v>416500</v>
      </c>
    </row>
    <row r="101" customFormat="false" ht="15" hidden="false" customHeight="false" outlineLevel="0" collapsed="false">
      <c r="A101" s="1" t="n">
        <v>10</v>
      </c>
      <c r="B101" s="39" t="s">
        <v>222</v>
      </c>
      <c r="C101" s="14" t="n">
        <v>416500</v>
      </c>
      <c r="D101" s="37" t="n">
        <f aca="false">199500+217000</f>
        <v>416500</v>
      </c>
      <c r="E101" s="69" t="n">
        <f aca="false">C101-D101</f>
        <v>0</v>
      </c>
    </row>
    <row r="102" customFormat="false" ht="15" hidden="false" customHeight="false" outlineLevel="0" collapsed="false">
      <c r="A102" s="12" t="n">
        <v>11</v>
      </c>
      <c r="B102" s="39" t="s">
        <v>223</v>
      </c>
      <c r="C102" s="14" t="n">
        <v>416500</v>
      </c>
      <c r="D102" s="37" t="n">
        <f aca="false">100500</f>
        <v>100500</v>
      </c>
      <c r="E102" s="69" t="n">
        <f aca="false">C102-D102</f>
        <v>316000</v>
      </c>
    </row>
    <row r="103" customFormat="false" ht="15" hidden="false" customHeight="false" outlineLevel="0" collapsed="false">
      <c r="A103" s="35" t="n">
        <v>12</v>
      </c>
      <c r="B103" s="39" t="s">
        <v>224</v>
      </c>
      <c r="C103" s="14" t="n">
        <v>416500</v>
      </c>
      <c r="D103" s="37" t="n">
        <v>416500</v>
      </c>
      <c r="E103" s="69" t="n">
        <f aca="false">C103-D103</f>
        <v>0</v>
      </c>
    </row>
    <row r="104" customFormat="false" ht="15" hidden="false" customHeight="false" outlineLevel="0" collapsed="false">
      <c r="A104" s="12" t="n">
        <v>13</v>
      </c>
      <c r="B104" s="39" t="s">
        <v>225</v>
      </c>
      <c r="C104" s="14" t="n">
        <v>416500</v>
      </c>
      <c r="D104" s="37" t="n">
        <f aca="false">416500</f>
        <v>416500</v>
      </c>
      <c r="E104" s="69" t="n">
        <f aca="false">C104-D104</f>
        <v>0</v>
      </c>
    </row>
    <row r="105" customFormat="false" ht="15" hidden="false" customHeight="false" outlineLevel="0" collapsed="false">
      <c r="A105" s="35" t="n">
        <v>14</v>
      </c>
      <c r="B105" s="39" t="s">
        <v>226</v>
      </c>
      <c r="C105" s="14" t="n">
        <v>416500</v>
      </c>
      <c r="D105" s="37"/>
      <c r="E105" s="69" t="n">
        <f aca="false">C105-D105</f>
        <v>416500</v>
      </c>
    </row>
    <row r="106" customFormat="false" ht="15" hidden="false" customHeight="false" outlineLevel="0" collapsed="false">
      <c r="A106" s="12" t="n">
        <v>15</v>
      </c>
      <c r="B106" s="74" t="s">
        <v>227</v>
      </c>
      <c r="C106" s="14" t="n">
        <v>416500</v>
      </c>
      <c r="D106" s="37"/>
      <c r="E106" s="69" t="n">
        <f aca="false">C106-D106</f>
        <v>416500</v>
      </c>
    </row>
    <row r="107" customFormat="false" ht="15" hidden="false" customHeight="false" outlineLevel="0" collapsed="false">
      <c r="A107" s="1" t="n">
        <v>16</v>
      </c>
      <c r="B107" s="39" t="s">
        <v>228</v>
      </c>
      <c r="C107" s="14" t="n">
        <v>416500</v>
      </c>
      <c r="D107" s="37"/>
      <c r="E107" s="69" t="n">
        <f aca="false">C107-D107</f>
        <v>416500</v>
      </c>
    </row>
    <row r="108" customFormat="false" ht="15" hidden="false" customHeight="false" outlineLevel="0" collapsed="false">
      <c r="A108" s="12" t="n">
        <v>17</v>
      </c>
      <c r="B108" s="39" t="s">
        <v>229</v>
      </c>
      <c r="C108" s="14" t="n">
        <v>416500</v>
      </c>
      <c r="D108" s="37"/>
      <c r="E108" s="69" t="n">
        <f aca="false">C108-D108</f>
        <v>416500</v>
      </c>
    </row>
    <row r="109" customFormat="false" ht="15" hidden="false" customHeight="false" outlineLevel="0" collapsed="false">
      <c r="A109" s="35" t="n">
        <v>18</v>
      </c>
      <c r="B109" s="39" t="s">
        <v>230</v>
      </c>
      <c r="C109" s="14" t="n">
        <v>416500</v>
      </c>
      <c r="D109" s="37" t="n">
        <f aca="false">100000+200000</f>
        <v>300000</v>
      </c>
      <c r="E109" s="69" t="n">
        <f aca="false">C109-D109</f>
        <v>116500</v>
      </c>
    </row>
    <row r="110" customFormat="false" ht="15" hidden="false" customHeight="false" outlineLevel="0" collapsed="false">
      <c r="A110" s="12" t="n">
        <v>19</v>
      </c>
      <c r="B110" s="39" t="s">
        <v>231</v>
      </c>
      <c r="C110" s="14" t="n">
        <v>416500</v>
      </c>
      <c r="D110" s="37" t="n">
        <f aca="false">216500</f>
        <v>216500</v>
      </c>
      <c r="E110" s="69" t="n">
        <f aca="false">C110-D110</f>
        <v>200000</v>
      </c>
    </row>
    <row r="111" customFormat="false" ht="15" hidden="false" customHeight="false" outlineLevel="0" collapsed="false">
      <c r="A111" s="35" t="n">
        <v>20</v>
      </c>
      <c r="B111" s="39" t="s">
        <v>232</v>
      </c>
      <c r="C111" s="14" t="n">
        <v>416500</v>
      </c>
      <c r="D111" s="37"/>
      <c r="E111" s="69" t="n">
        <f aca="false">C111-D111</f>
        <v>416500</v>
      </c>
    </row>
    <row r="112" customFormat="false" ht="15" hidden="false" customHeight="false" outlineLevel="0" collapsed="false">
      <c r="A112" s="12" t="n">
        <v>21</v>
      </c>
      <c r="B112" s="39" t="s">
        <v>233</v>
      </c>
      <c r="C112" s="14" t="n">
        <v>416500</v>
      </c>
      <c r="D112" s="37" t="n">
        <f aca="false">100000</f>
        <v>100000</v>
      </c>
      <c r="E112" s="69" t="n">
        <f aca="false">C112-D112</f>
        <v>316500</v>
      </c>
    </row>
    <row r="113" customFormat="false" ht="15" hidden="false" customHeight="false" outlineLevel="0" collapsed="false">
      <c r="A113" s="1" t="n">
        <v>22</v>
      </c>
      <c r="B113" s="39" t="s">
        <v>234</v>
      </c>
      <c r="C113" s="14" t="n">
        <v>416500</v>
      </c>
      <c r="D113" s="37"/>
      <c r="E113" s="69" t="n">
        <f aca="false">C113-D113</f>
        <v>416500</v>
      </c>
    </row>
    <row r="114" customFormat="false" ht="15" hidden="false" customHeight="false" outlineLevel="0" collapsed="false">
      <c r="A114" s="12" t="n">
        <v>23</v>
      </c>
      <c r="B114" s="39" t="s">
        <v>235</v>
      </c>
      <c r="C114" s="14" t="n">
        <v>416500</v>
      </c>
      <c r="D114" s="37"/>
      <c r="E114" s="69" t="n">
        <f aca="false">C114-D114</f>
        <v>416500</v>
      </c>
    </row>
    <row r="115" customFormat="false" ht="15" hidden="false" customHeight="false" outlineLevel="0" collapsed="false">
      <c r="A115" s="35" t="n">
        <v>24</v>
      </c>
      <c r="B115" s="39" t="s">
        <v>236</v>
      </c>
      <c r="C115" s="14" t="n">
        <v>416500</v>
      </c>
      <c r="D115" s="37"/>
      <c r="E115" s="69" t="n">
        <f aca="false">C115-D115</f>
        <v>416500</v>
      </c>
    </row>
    <row r="116" customFormat="false" ht="15" hidden="false" customHeight="false" outlineLevel="0" collapsed="false">
      <c r="A116" s="12" t="n">
        <v>25</v>
      </c>
      <c r="B116" s="39" t="s">
        <v>237</v>
      </c>
      <c r="C116" s="14" t="n">
        <v>416500</v>
      </c>
      <c r="D116" s="37" t="n">
        <f aca="false">190000+56500+50000+120000</f>
        <v>416500</v>
      </c>
      <c r="E116" s="69" t="n">
        <f aca="false">C116-D116</f>
        <v>0</v>
      </c>
    </row>
    <row r="117" customFormat="false" ht="15" hidden="false" customHeight="false" outlineLevel="0" collapsed="false">
      <c r="A117" s="35" t="n">
        <v>26</v>
      </c>
      <c r="B117" s="39" t="s">
        <v>238</v>
      </c>
      <c r="C117" s="14" t="n">
        <v>416500</v>
      </c>
      <c r="D117" s="37" t="n">
        <f aca="false">200000+85000</f>
        <v>285000</v>
      </c>
      <c r="E117" s="69" t="n">
        <f aca="false">C117-D117</f>
        <v>131500</v>
      </c>
    </row>
    <row r="118" customFormat="false" ht="15" hidden="false" customHeight="false" outlineLevel="0" collapsed="false">
      <c r="A118" s="12" t="n">
        <v>27</v>
      </c>
      <c r="B118" s="39" t="s">
        <v>239</v>
      </c>
      <c r="C118" s="14" t="n">
        <v>416500</v>
      </c>
      <c r="D118" s="37" t="n">
        <f aca="false">200000+216500</f>
        <v>416500</v>
      </c>
      <c r="E118" s="69" t="n">
        <f aca="false">C118-D118</f>
        <v>0</v>
      </c>
    </row>
    <row r="119" customFormat="false" ht="15" hidden="false" customHeight="false" outlineLevel="0" collapsed="false">
      <c r="A119" s="1" t="n">
        <v>28</v>
      </c>
      <c r="B119" s="39" t="s">
        <v>240</v>
      </c>
      <c r="C119" s="14" t="n">
        <v>416500</v>
      </c>
      <c r="D119" s="37"/>
      <c r="E119" s="69" t="n">
        <f aca="false">C119-D119</f>
        <v>416500</v>
      </c>
    </row>
    <row r="120" customFormat="false" ht="15" hidden="false" customHeight="false" outlineLevel="0" collapsed="false">
      <c r="A120" s="12" t="n">
        <v>29</v>
      </c>
      <c r="B120" s="39" t="s">
        <v>241</v>
      </c>
      <c r="C120" s="14" t="n">
        <v>416500</v>
      </c>
      <c r="D120" s="37"/>
      <c r="E120" s="69" t="n">
        <f aca="false">C120-D120</f>
        <v>416500</v>
      </c>
    </row>
    <row r="121" customFormat="false" ht="15" hidden="false" customHeight="false" outlineLevel="0" collapsed="false">
      <c r="A121" s="35" t="n">
        <v>30</v>
      </c>
      <c r="B121" s="39" t="s">
        <v>242</v>
      </c>
      <c r="C121" s="14" t="n">
        <v>416500</v>
      </c>
      <c r="D121" s="37" t="n">
        <f aca="false">202000+214500</f>
        <v>416500</v>
      </c>
      <c r="E121" s="69" t="n">
        <f aca="false">C121-D121</f>
        <v>0</v>
      </c>
    </row>
    <row r="122" customFormat="false" ht="15" hidden="false" customHeight="false" outlineLevel="0" collapsed="false">
      <c r="A122" s="12" t="n">
        <v>31</v>
      </c>
      <c r="B122" s="39" t="s">
        <v>243</v>
      </c>
      <c r="C122" s="14" t="n">
        <v>416500</v>
      </c>
      <c r="D122" s="37" t="n">
        <f aca="false">416500</f>
        <v>416500</v>
      </c>
      <c r="E122" s="69" t="n">
        <f aca="false">C122-D122</f>
        <v>0</v>
      </c>
    </row>
    <row r="123" customFormat="false" ht="15" hidden="false" customHeight="false" outlineLevel="0" collapsed="false">
      <c r="A123" s="35" t="n">
        <v>32</v>
      </c>
      <c r="B123" s="39" t="s">
        <v>244</v>
      </c>
      <c r="C123" s="14" t="n">
        <v>416500</v>
      </c>
      <c r="D123" s="37" t="n">
        <f aca="false">200000+100000+116500</f>
        <v>416500</v>
      </c>
      <c r="E123" s="69" t="n">
        <f aca="false">C123-D123</f>
        <v>0</v>
      </c>
    </row>
    <row r="124" customFormat="false" ht="15" hidden="false" customHeight="false" outlineLevel="0" collapsed="false">
      <c r="A124" s="12" t="n">
        <v>33</v>
      </c>
      <c r="B124" s="39" t="s">
        <v>245</v>
      </c>
      <c r="C124" s="14" t="n">
        <v>416500</v>
      </c>
      <c r="D124" s="37" t="n">
        <f aca="false">108500+100000</f>
        <v>208500</v>
      </c>
      <c r="E124" s="69" t="n">
        <f aca="false">C124-D124</f>
        <v>208000</v>
      </c>
    </row>
    <row r="125" customFormat="false" ht="15" hidden="false" customHeight="false" outlineLevel="0" collapsed="false">
      <c r="A125" s="1" t="n">
        <v>34</v>
      </c>
      <c r="B125" s="39" t="s">
        <v>246</v>
      </c>
      <c r="C125" s="14" t="n">
        <v>416500</v>
      </c>
      <c r="D125" s="37" t="n">
        <f aca="false">216500+200000</f>
        <v>416500</v>
      </c>
      <c r="E125" s="69" t="n">
        <f aca="false">C125-D125</f>
        <v>0</v>
      </c>
    </row>
    <row r="126" customFormat="false" ht="15" hidden="false" customHeight="false" outlineLevel="0" collapsed="false">
      <c r="A126" s="12" t="n">
        <v>35</v>
      </c>
      <c r="B126" s="39" t="s">
        <v>247</v>
      </c>
      <c r="C126" s="14" t="n">
        <v>416500</v>
      </c>
      <c r="D126" s="37"/>
      <c r="E126" s="69" t="n">
        <f aca="false">C126-D126</f>
        <v>416500</v>
      </c>
    </row>
    <row r="127" customFormat="false" ht="15" hidden="false" customHeight="false" outlineLevel="0" collapsed="false">
      <c r="A127" s="35" t="n">
        <v>36</v>
      </c>
      <c r="B127" s="39" t="s">
        <v>248</v>
      </c>
      <c r="C127" s="37" t="n">
        <v>416500</v>
      </c>
      <c r="D127" s="37"/>
      <c r="E127" s="69" t="n">
        <f aca="false">C127-D127</f>
        <v>416500</v>
      </c>
    </row>
    <row r="128" customFormat="false" ht="15" hidden="false" customHeight="false" outlineLevel="0" collapsed="false">
      <c r="A128" s="12" t="n">
        <v>37</v>
      </c>
      <c r="B128" s="39" t="s">
        <v>249</v>
      </c>
      <c r="C128" s="14" t="n">
        <v>416500</v>
      </c>
      <c r="D128" s="37"/>
      <c r="E128" s="69" t="n">
        <f aca="false">C128-D128</f>
        <v>416500</v>
      </c>
    </row>
    <row r="129" customFormat="false" ht="15" hidden="false" customHeight="false" outlineLevel="0" collapsed="false">
      <c r="A129" s="35" t="n">
        <v>38</v>
      </c>
      <c r="B129" s="39" t="s">
        <v>250</v>
      </c>
      <c r="C129" s="14" t="n">
        <v>416500</v>
      </c>
      <c r="D129" s="37"/>
      <c r="E129" s="69" t="n">
        <f aca="false">C129-D129</f>
        <v>416500</v>
      </c>
    </row>
    <row r="130" customFormat="false" ht="15" hidden="false" customHeight="false" outlineLevel="0" collapsed="false">
      <c r="A130" s="12" t="n">
        <v>39</v>
      </c>
      <c r="B130" s="75" t="s">
        <v>251</v>
      </c>
      <c r="C130" s="14" t="n">
        <v>416500</v>
      </c>
      <c r="D130" s="76"/>
      <c r="E130" s="69" t="n">
        <f aca="false">C130-D130</f>
        <v>416500</v>
      </c>
    </row>
    <row r="131" customFormat="false" ht="15" hidden="false" customHeight="false" outlineLevel="0" collapsed="false">
      <c r="A131" s="1" t="n">
        <v>40</v>
      </c>
      <c r="B131" s="39" t="s">
        <v>252</v>
      </c>
      <c r="C131" s="14" t="n">
        <v>416500</v>
      </c>
      <c r="D131" s="37" t="n">
        <f aca="false">216000+201000</f>
        <v>417000</v>
      </c>
      <c r="E131" s="69" t="n">
        <f aca="false">C131-D131</f>
        <v>-500</v>
      </c>
    </row>
    <row r="132" customFormat="false" ht="15" hidden="false" customHeight="false" outlineLevel="0" collapsed="false">
      <c r="A132" s="12" t="n">
        <v>41</v>
      </c>
      <c r="B132" s="39" t="s">
        <v>253</v>
      </c>
      <c r="C132" s="14" t="n">
        <v>416500</v>
      </c>
      <c r="D132" s="37" t="n">
        <f aca="false">228500</f>
        <v>228500</v>
      </c>
      <c r="E132" s="69" t="n">
        <f aca="false">C132-D132</f>
        <v>188000</v>
      </c>
    </row>
    <row r="133" customFormat="false" ht="15" hidden="false" customHeight="false" outlineLevel="0" collapsed="false">
      <c r="A133" s="35" t="n">
        <v>42</v>
      </c>
      <c r="B133" s="39" t="s">
        <v>254</v>
      </c>
      <c r="C133" s="14" t="n">
        <v>416500</v>
      </c>
      <c r="D133" s="37" t="n">
        <f aca="false">216500</f>
        <v>216500</v>
      </c>
      <c r="E133" s="69" t="n">
        <f aca="false">C133-D133</f>
        <v>200000</v>
      </c>
    </row>
    <row r="134" customFormat="false" ht="15" hidden="false" customHeight="false" outlineLevel="0" collapsed="false">
      <c r="A134" s="12" t="n">
        <v>43</v>
      </c>
      <c r="B134" s="39" t="s">
        <v>255</v>
      </c>
      <c r="C134" s="14" t="n">
        <v>416500</v>
      </c>
      <c r="D134" s="37" t="n">
        <f aca="false">120000+296500</f>
        <v>416500</v>
      </c>
      <c r="E134" s="69" t="n">
        <f aca="false">C134-D134</f>
        <v>0</v>
      </c>
    </row>
    <row r="135" customFormat="false" ht="15" hidden="false" customHeight="false" outlineLevel="0" collapsed="false">
      <c r="A135" s="35" t="n">
        <v>44</v>
      </c>
      <c r="B135" s="39" t="s">
        <v>256</v>
      </c>
      <c r="C135" s="14" t="n">
        <v>416500</v>
      </c>
      <c r="D135" s="37" t="n">
        <v>416500</v>
      </c>
      <c r="E135" s="69" t="n">
        <f aca="false">C135-D135</f>
        <v>0</v>
      </c>
    </row>
    <row r="136" customFormat="false" ht="17.35" hidden="false" customHeight="false" outlineLevel="0" collapsed="false">
      <c r="A136" s="35"/>
      <c r="B136" s="23" t="s">
        <v>21</v>
      </c>
      <c r="C136" s="24" t="n">
        <f aca="false">SUM(C92:C135)</f>
        <v>18326000</v>
      </c>
      <c r="D136" s="25" t="n">
        <f aca="false">SUM(D92:D135)</f>
        <v>9238000</v>
      </c>
      <c r="E136" s="70" t="n">
        <f aca="false">C136-D136</f>
        <v>9088000</v>
      </c>
    </row>
    <row r="137" customFormat="false" ht="15" hidden="false" customHeight="false" outlineLevel="0" collapsed="false">
      <c r="A137" s="2"/>
      <c r="D137" s="32"/>
      <c r="E137" s="32"/>
    </row>
    <row r="138" customFormat="false" ht="15" hidden="false" customHeight="false" outlineLevel="0" collapsed="false">
      <c r="A138" s="2"/>
      <c r="D138" s="32"/>
      <c r="E138" s="32"/>
    </row>
    <row r="139" customFormat="false" ht="15" hidden="false" customHeight="false" outlineLevel="0" collapsed="false">
      <c r="A139" s="2"/>
      <c r="D139" s="32"/>
      <c r="E139" s="32"/>
    </row>
    <row r="140" customFormat="false" ht="15" hidden="false" customHeight="false" outlineLevel="0" collapsed="false">
      <c r="A140" s="2"/>
      <c r="D140" s="32"/>
      <c r="E140" s="32"/>
    </row>
    <row r="141" customFormat="false" ht="15" hidden="false" customHeight="false" outlineLevel="0" collapsed="false">
      <c r="A141" s="2"/>
      <c r="D141" s="32"/>
      <c r="E141" s="32"/>
    </row>
    <row r="142" customFormat="false" ht="17.25" hidden="false" customHeight="false" outlineLevel="0" collapsed="false">
      <c r="A142" s="2"/>
      <c r="B142" s="5" t="s">
        <v>22</v>
      </c>
      <c r="D142" s="33" t="s">
        <v>178</v>
      </c>
      <c r="E142" s="32"/>
    </row>
    <row r="143" customFormat="false" ht="15" hidden="false" customHeight="false" outlineLevel="0" collapsed="false">
      <c r="A143" s="2"/>
      <c r="D143" s="32"/>
      <c r="E143" s="32"/>
    </row>
    <row r="144" customFormat="false" ht="15" hidden="false" customHeight="false" outlineLevel="0" collapsed="false">
      <c r="A144" s="7" t="s">
        <v>3</v>
      </c>
      <c r="B144" s="8" t="s">
        <v>4</v>
      </c>
      <c r="C144" s="9" t="s">
        <v>5</v>
      </c>
      <c r="D144" s="34" t="s">
        <v>6</v>
      </c>
      <c r="E144" s="68" t="s">
        <v>7</v>
      </c>
    </row>
    <row r="145" customFormat="false" ht="15" hidden="false" customHeight="false" outlineLevel="0" collapsed="false">
      <c r="A145" s="77" t="n">
        <v>1</v>
      </c>
      <c r="B145" s="17" t="s">
        <v>257</v>
      </c>
      <c r="C145" s="14" t="n">
        <v>416500</v>
      </c>
      <c r="D145" s="37" t="n">
        <v>416500</v>
      </c>
      <c r="E145" s="69" t="n">
        <f aca="false">C145-D145</f>
        <v>0</v>
      </c>
    </row>
    <row r="146" customFormat="false" ht="15" hidden="false" customHeight="false" outlineLevel="0" collapsed="false">
      <c r="A146" s="77" t="n">
        <v>2</v>
      </c>
      <c r="B146" s="39" t="s">
        <v>258</v>
      </c>
      <c r="C146" s="14" t="n">
        <v>416500</v>
      </c>
      <c r="D146" s="37"/>
      <c r="E146" s="69" t="n">
        <f aca="false">C146-D146</f>
        <v>416500</v>
      </c>
    </row>
    <row r="147" customFormat="false" ht="15" hidden="false" customHeight="false" outlineLevel="0" collapsed="false">
      <c r="A147" s="71" t="n">
        <v>3</v>
      </c>
      <c r="B147" s="39" t="s">
        <v>259</v>
      </c>
      <c r="C147" s="14" t="n">
        <v>416500</v>
      </c>
      <c r="D147" s="37" t="n">
        <f aca="false">106500+300000+10000</f>
        <v>416500</v>
      </c>
      <c r="E147" s="69" t="n">
        <f aca="false">C147-D147</f>
        <v>0</v>
      </c>
    </row>
    <row r="148" customFormat="false" ht="15" hidden="false" customHeight="false" outlineLevel="0" collapsed="false">
      <c r="A148" s="77" t="n">
        <v>4</v>
      </c>
      <c r="B148" s="39" t="s">
        <v>260</v>
      </c>
      <c r="C148" s="14" t="n">
        <v>416500</v>
      </c>
      <c r="D148" s="37"/>
      <c r="E148" s="69" t="n">
        <f aca="false">C148-D148</f>
        <v>416500</v>
      </c>
    </row>
    <row r="149" customFormat="false" ht="15" hidden="false" customHeight="false" outlineLevel="0" collapsed="false">
      <c r="A149" s="77" t="n">
        <v>5</v>
      </c>
      <c r="B149" s="39" t="s">
        <v>261</v>
      </c>
      <c r="C149" s="14" t="n">
        <v>416500</v>
      </c>
      <c r="D149" s="37" t="n">
        <v>416500</v>
      </c>
      <c r="E149" s="69" t="n">
        <f aca="false">C149-D149</f>
        <v>0</v>
      </c>
    </row>
    <row r="150" customFormat="false" ht="15" hidden="false" customHeight="false" outlineLevel="0" collapsed="false">
      <c r="A150" s="77" t="n">
        <v>6</v>
      </c>
      <c r="B150" s="39" t="s">
        <v>262</v>
      </c>
      <c r="C150" s="14" t="n">
        <v>416500</v>
      </c>
      <c r="D150" s="37"/>
      <c r="E150" s="69" t="n">
        <f aca="false">C150-D150</f>
        <v>416500</v>
      </c>
    </row>
    <row r="151" customFormat="false" ht="15" hidden="false" customHeight="false" outlineLevel="0" collapsed="false">
      <c r="A151" s="77" t="n">
        <v>7</v>
      </c>
      <c r="B151" s="39" t="s">
        <v>263</v>
      </c>
      <c r="C151" s="14" t="n">
        <v>416500</v>
      </c>
      <c r="D151" s="37" t="n">
        <f aca="false">200000+216500</f>
        <v>416500</v>
      </c>
      <c r="E151" s="69" t="n">
        <f aca="false">C151-D151</f>
        <v>0</v>
      </c>
    </row>
    <row r="152" customFormat="false" ht="15" hidden="false" customHeight="false" outlineLevel="0" collapsed="false">
      <c r="A152" s="71" t="n">
        <v>8</v>
      </c>
      <c r="B152" s="39" t="s">
        <v>264</v>
      </c>
      <c r="C152" s="14" t="n">
        <v>416500</v>
      </c>
      <c r="D152" s="37" t="n">
        <v>416500</v>
      </c>
      <c r="E152" s="69" t="n">
        <f aca="false">C152-D152</f>
        <v>0</v>
      </c>
    </row>
    <row r="153" customFormat="false" ht="15" hidden="false" customHeight="false" outlineLevel="0" collapsed="false">
      <c r="A153" s="77" t="n">
        <v>9</v>
      </c>
      <c r="B153" s="39" t="s">
        <v>265</v>
      </c>
      <c r="C153" s="14" t="n">
        <v>416500</v>
      </c>
      <c r="D153" s="37"/>
      <c r="E153" s="69" t="n">
        <f aca="false">C153-D153</f>
        <v>416500</v>
      </c>
    </row>
    <row r="154" customFormat="false" ht="15" hidden="false" customHeight="false" outlineLevel="0" collapsed="false">
      <c r="A154" s="77" t="n">
        <v>10</v>
      </c>
      <c r="B154" s="39" t="s">
        <v>266</v>
      </c>
      <c r="C154" s="14" t="n">
        <v>416500</v>
      </c>
      <c r="D154" s="37"/>
      <c r="E154" s="69" t="n">
        <f aca="false">C154-D154</f>
        <v>416500</v>
      </c>
    </row>
    <row r="155" customFormat="false" ht="15" hidden="false" customHeight="false" outlineLevel="0" collapsed="false">
      <c r="A155" s="77" t="n">
        <v>11</v>
      </c>
      <c r="B155" s="39" t="s">
        <v>267</v>
      </c>
      <c r="C155" s="14" t="n">
        <v>416500</v>
      </c>
      <c r="D155" s="37" t="n">
        <f aca="false">300000+116500</f>
        <v>416500</v>
      </c>
      <c r="E155" s="69" t="n">
        <f aca="false">C155-D155</f>
        <v>0</v>
      </c>
    </row>
    <row r="156" customFormat="false" ht="15" hidden="false" customHeight="false" outlineLevel="0" collapsed="false">
      <c r="A156" s="77" t="n">
        <v>12</v>
      </c>
      <c r="B156" s="39" t="s">
        <v>268</v>
      </c>
      <c r="C156" s="14" t="n">
        <v>416500</v>
      </c>
      <c r="D156" s="37"/>
      <c r="E156" s="69" t="n">
        <f aca="false">C156-D156</f>
        <v>416500</v>
      </c>
    </row>
    <row r="157" customFormat="false" ht="15" hidden="false" customHeight="false" outlineLevel="0" collapsed="false">
      <c r="A157" s="71" t="n">
        <v>13</v>
      </c>
      <c r="B157" s="39" t="s">
        <v>269</v>
      </c>
      <c r="C157" s="14" t="n">
        <v>416500</v>
      </c>
      <c r="D157" s="37" t="n">
        <f aca="false">337000+79500</f>
        <v>416500</v>
      </c>
      <c r="E157" s="69" t="n">
        <f aca="false">C157-D157</f>
        <v>0</v>
      </c>
    </row>
    <row r="158" customFormat="false" ht="15" hidden="false" customHeight="false" outlineLevel="0" collapsed="false">
      <c r="A158" s="77" t="n">
        <v>14</v>
      </c>
      <c r="B158" s="39" t="s">
        <v>270</v>
      </c>
      <c r="C158" s="14" t="n">
        <v>416500</v>
      </c>
      <c r="D158" s="37"/>
      <c r="E158" s="69" t="n">
        <f aca="false">C158-D158</f>
        <v>416500</v>
      </c>
    </row>
    <row r="159" customFormat="false" ht="15" hidden="false" customHeight="false" outlineLevel="0" collapsed="false">
      <c r="A159" s="77" t="n">
        <v>15</v>
      </c>
      <c r="B159" s="39" t="s">
        <v>271</v>
      </c>
      <c r="C159" s="14" t="n">
        <v>416500</v>
      </c>
      <c r="D159" s="37"/>
      <c r="E159" s="69" t="n">
        <f aca="false">C159-D159</f>
        <v>416500</v>
      </c>
    </row>
    <row r="160" customFormat="false" ht="15" hidden="false" customHeight="false" outlineLevel="0" collapsed="false">
      <c r="A160" s="77" t="n">
        <v>16</v>
      </c>
      <c r="B160" s="39" t="s">
        <v>272</v>
      </c>
      <c r="C160" s="14" t="n">
        <v>416500</v>
      </c>
      <c r="D160" s="37"/>
      <c r="E160" s="69" t="n">
        <f aca="false">C160-D160</f>
        <v>416500</v>
      </c>
    </row>
    <row r="161" customFormat="false" ht="15" hidden="false" customHeight="false" outlineLevel="0" collapsed="false">
      <c r="A161" s="77" t="n">
        <v>17</v>
      </c>
      <c r="B161" s="39" t="s">
        <v>273</v>
      </c>
      <c r="C161" s="14" t="n">
        <v>416500</v>
      </c>
      <c r="D161" s="37"/>
      <c r="E161" s="69" t="n">
        <f aca="false">C161-D161</f>
        <v>416500</v>
      </c>
    </row>
    <row r="162" customFormat="false" ht="15" hidden="false" customHeight="false" outlineLevel="0" collapsed="false">
      <c r="A162" s="71" t="n">
        <v>18</v>
      </c>
      <c r="B162" s="39" t="s">
        <v>274</v>
      </c>
      <c r="C162" s="14" t="n">
        <v>416500</v>
      </c>
      <c r="D162" s="37"/>
      <c r="E162" s="69" t="n">
        <f aca="false">C162-D162</f>
        <v>416500</v>
      </c>
    </row>
    <row r="163" customFormat="false" ht="15" hidden="false" customHeight="false" outlineLevel="0" collapsed="false">
      <c r="A163" s="77" t="n">
        <v>19</v>
      </c>
      <c r="B163" s="78" t="s">
        <v>275</v>
      </c>
      <c r="C163" s="14" t="n">
        <v>416500</v>
      </c>
      <c r="D163" s="37" t="n">
        <v>16500</v>
      </c>
      <c r="E163" s="69" t="n">
        <f aca="false">C163-D163</f>
        <v>400000</v>
      </c>
    </row>
    <row r="164" customFormat="false" ht="15" hidden="false" customHeight="false" outlineLevel="0" collapsed="false">
      <c r="A164" s="77" t="n">
        <v>20</v>
      </c>
      <c r="B164" s="39" t="s">
        <v>276</v>
      </c>
      <c r="C164" s="14" t="n">
        <v>416500</v>
      </c>
      <c r="D164" s="37" t="n">
        <f aca="false">37000</f>
        <v>37000</v>
      </c>
      <c r="E164" s="69" t="n">
        <f aca="false">C164-D164</f>
        <v>379500</v>
      </c>
    </row>
    <row r="165" customFormat="false" ht="17.35" hidden="false" customHeight="false" outlineLevel="0" collapsed="false">
      <c r="A165" s="22"/>
      <c r="B165" s="79" t="s">
        <v>21</v>
      </c>
      <c r="C165" s="24" t="n">
        <f aca="false">SUM(C145:C164)</f>
        <v>8330000</v>
      </c>
      <c r="D165" s="25" t="n">
        <f aca="false">SUM(D145:D164)</f>
        <v>2969000</v>
      </c>
      <c r="E165" s="70" t="n">
        <f aca="false">SUM(E145:E164)</f>
        <v>5361000</v>
      </c>
    </row>
    <row r="166" customFormat="false" ht="17.35" hidden="false" customHeight="false" outlineLevel="0" collapsed="false">
      <c r="A166" s="50"/>
      <c r="B166" s="28"/>
      <c r="C166" s="29"/>
      <c r="D166" s="30"/>
      <c r="E166" s="67"/>
    </row>
    <row r="167" customFormat="false" ht="17.35" hidden="false" customHeight="false" outlineLevel="0" collapsed="false">
      <c r="B167" s="28"/>
      <c r="C167" s="29"/>
      <c r="D167" s="30"/>
      <c r="E167" s="67"/>
    </row>
    <row r="168" customFormat="false" ht="17.35" hidden="false" customHeight="false" outlineLevel="0" collapsed="false">
      <c r="B168" s="28"/>
      <c r="C168" s="29"/>
      <c r="D168" s="30"/>
      <c r="E168" s="67"/>
    </row>
    <row r="169" customFormat="false" ht="17.35" hidden="false" customHeight="false" outlineLevel="0" collapsed="false">
      <c r="B169" s="3" t="s">
        <v>0</v>
      </c>
      <c r="C169" s="3"/>
      <c r="D169" s="32"/>
      <c r="E169" s="32"/>
    </row>
    <row r="170" customFormat="false" ht="15" hidden="false" customHeight="false" outlineLevel="0" collapsed="false">
      <c r="D170" s="32"/>
      <c r="E170" s="32"/>
    </row>
    <row r="171" customFormat="false" ht="15" hidden="false" customHeight="false" outlineLevel="0" collapsed="false">
      <c r="A171" s="2"/>
      <c r="D171" s="32"/>
      <c r="E171" s="32"/>
    </row>
    <row r="172" customFormat="false" ht="17.25" hidden="false" customHeight="false" outlineLevel="0" collapsed="false">
      <c r="A172" s="2"/>
      <c r="B172" s="5" t="s">
        <v>37</v>
      </c>
      <c r="D172" s="33" t="s">
        <v>191</v>
      </c>
      <c r="E172" s="32"/>
    </row>
    <row r="173" customFormat="false" ht="15" hidden="false" customHeight="false" outlineLevel="0" collapsed="false">
      <c r="A173" s="2"/>
      <c r="D173" s="32"/>
      <c r="E173" s="32"/>
    </row>
    <row r="174" customFormat="false" ht="15" hidden="false" customHeight="false" outlineLevel="0" collapsed="false">
      <c r="A174" s="7" t="s">
        <v>3</v>
      </c>
      <c r="B174" s="8" t="s">
        <v>4</v>
      </c>
      <c r="C174" s="9" t="s">
        <v>5</v>
      </c>
      <c r="D174" s="34" t="s">
        <v>6</v>
      </c>
      <c r="E174" s="68" t="s">
        <v>7</v>
      </c>
    </row>
    <row r="175" customFormat="false" ht="15" hidden="false" customHeight="false" outlineLevel="0" collapsed="false">
      <c r="A175" s="12" t="n">
        <v>1</v>
      </c>
      <c r="B175" s="20" t="s">
        <v>277</v>
      </c>
      <c r="C175" s="14" t="n">
        <v>416500</v>
      </c>
      <c r="D175" s="21"/>
      <c r="E175" s="69" t="n">
        <f aca="false">C175-D175</f>
        <v>416500</v>
      </c>
    </row>
    <row r="176" customFormat="false" ht="15" hidden="false" customHeight="false" outlineLevel="0" collapsed="false">
      <c r="A176" s="12" t="n">
        <v>2</v>
      </c>
      <c r="B176" s="20" t="s">
        <v>278</v>
      </c>
      <c r="C176" s="14" t="n">
        <v>416500</v>
      </c>
      <c r="D176" s="21" t="n">
        <f aca="false">249500+60000</f>
        <v>309500</v>
      </c>
      <c r="E176" s="69" t="n">
        <f aca="false">C176-D176</f>
        <v>107000</v>
      </c>
    </row>
    <row r="177" customFormat="false" ht="15" hidden="false" customHeight="false" outlineLevel="0" collapsed="false">
      <c r="A177" s="35" t="n">
        <v>3</v>
      </c>
      <c r="B177" s="20" t="s">
        <v>279</v>
      </c>
      <c r="C177" s="14" t="n">
        <v>416500</v>
      </c>
      <c r="D177" s="21" t="n">
        <f aca="false">100000+100000+216000+500</f>
        <v>416500</v>
      </c>
      <c r="E177" s="69" t="n">
        <f aca="false">C177-D177</f>
        <v>0</v>
      </c>
    </row>
    <row r="178" customFormat="false" ht="15" hidden="false" customHeight="false" outlineLevel="0" collapsed="false">
      <c r="A178" s="35" t="n">
        <v>4</v>
      </c>
      <c r="B178" s="20" t="s">
        <v>280</v>
      </c>
      <c r="C178" s="14" t="n">
        <v>416500</v>
      </c>
      <c r="D178" s="21" t="n">
        <f aca="false">200000+100000+100000+16500</f>
        <v>416500</v>
      </c>
      <c r="E178" s="69" t="n">
        <f aca="false">C178-D178</f>
        <v>0</v>
      </c>
    </row>
    <row r="179" customFormat="false" ht="15" hidden="false" customHeight="false" outlineLevel="0" collapsed="false">
      <c r="A179" s="35" t="n">
        <v>5</v>
      </c>
      <c r="B179" s="20" t="s">
        <v>281</v>
      </c>
      <c r="C179" s="14" t="n">
        <v>416500</v>
      </c>
      <c r="D179" s="21"/>
      <c r="E179" s="69" t="n">
        <f aca="false">C179-D179</f>
        <v>416500</v>
      </c>
    </row>
    <row r="180" customFormat="false" ht="15" hidden="false" customHeight="false" outlineLevel="0" collapsed="false">
      <c r="A180" s="35" t="n">
        <v>6</v>
      </c>
      <c r="B180" s="20" t="s">
        <v>282</v>
      </c>
      <c r="C180" s="14" t="n">
        <v>416500</v>
      </c>
      <c r="D180" s="21" t="n">
        <f aca="false">50000+50000+100000+50000</f>
        <v>250000</v>
      </c>
      <c r="E180" s="69" t="n">
        <f aca="false">C180-D180</f>
        <v>166500</v>
      </c>
    </row>
    <row r="181" customFormat="false" ht="15" hidden="false" customHeight="false" outlineLevel="0" collapsed="false">
      <c r="A181" s="12" t="n">
        <v>7</v>
      </c>
      <c r="B181" s="20" t="s">
        <v>283</v>
      </c>
      <c r="C181" s="14" t="n">
        <v>416500</v>
      </c>
      <c r="D181" s="21" t="n">
        <f aca="false">216500+200500</f>
        <v>417000</v>
      </c>
      <c r="E181" s="69" t="n">
        <f aca="false">C181-D181</f>
        <v>-500</v>
      </c>
    </row>
    <row r="182" customFormat="false" ht="15" hidden="false" customHeight="false" outlineLevel="0" collapsed="false">
      <c r="A182" s="12" t="n">
        <v>8</v>
      </c>
      <c r="B182" s="20" t="s">
        <v>284</v>
      </c>
      <c r="C182" s="14" t="n">
        <v>416500</v>
      </c>
      <c r="D182" s="21" t="n">
        <f aca="false">216000+100000</f>
        <v>316000</v>
      </c>
      <c r="E182" s="69" t="n">
        <f aca="false">C182-D182</f>
        <v>100500</v>
      </c>
    </row>
    <row r="183" customFormat="false" ht="15" hidden="false" customHeight="false" outlineLevel="0" collapsed="false">
      <c r="A183" s="35" t="n">
        <v>9</v>
      </c>
      <c r="B183" s="20" t="s">
        <v>285</v>
      </c>
      <c r="C183" s="14" t="n">
        <v>416500</v>
      </c>
      <c r="D183" s="21" t="n">
        <f aca="false">260000+156500</f>
        <v>416500</v>
      </c>
      <c r="E183" s="69" t="n">
        <f aca="false">C183-D183</f>
        <v>0</v>
      </c>
    </row>
    <row r="184" customFormat="false" ht="15" hidden="false" customHeight="false" outlineLevel="0" collapsed="false">
      <c r="A184" s="35" t="n">
        <v>10</v>
      </c>
      <c r="B184" s="20" t="s">
        <v>286</v>
      </c>
      <c r="C184" s="14" t="n">
        <v>416500</v>
      </c>
      <c r="D184" s="21" t="n">
        <f aca="false">216000+200500</f>
        <v>416500</v>
      </c>
      <c r="E184" s="69" t="n">
        <f aca="false">C184-D184</f>
        <v>0</v>
      </c>
    </row>
    <row r="185" customFormat="false" ht="15" hidden="false" customHeight="false" outlineLevel="0" collapsed="false">
      <c r="A185" s="35" t="n">
        <v>11</v>
      </c>
      <c r="B185" s="20" t="s">
        <v>287</v>
      </c>
      <c r="C185" s="14" t="n">
        <v>416500</v>
      </c>
      <c r="D185" s="21" t="n">
        <f aca="false">216500+200000</f>
        <v>416500</v>
      </c>
      <c r="E185" s="69" t="n">
        <f aca="false">C185-D185</f>
        <v>0</v>
      </c>
    </row>
    <row r="186" customFormat="false" ht="15" hidden="false" customHeight="false" outlineLevel="0" collapsed="false">
      <c r="A186" s="35" t="n">
        <v>12</v>
      </c>
      <c r="B186" s="20" t="s">
        <v>288</v>
      </c>
      <c r="C186" s="14" t="n">
        <v>416500</v>
      </c>
      <c r="D186" s="21" t="n">
        <f aca="false">216500+200000</f>
        <v>416500</v>
      </c>
      <c r="E186" s="69" t="n">
        <f aca="false">C186-D186</f>
        <v>0</v>
      </c>
    </row>
    <row r="187" customFormat="false" ht="15" hidden="false" customHeight="false" outlineLevel="0" collapsed="false">
      <c r="A187" s="12" t="n">
        <v>13</v>
      </c>
      <c r="B187" s="20" t="s">
        <v>289</v>
      </c>
      <c r="C187" s="14" t="n">
        <v>416500</v>
      </c>
      <c r="D187" s="21" t="n">
        <f aca="false">216500+150000+50000</f>
        <v>416500</v>
      </c>
      <c r="E187" s="69" t="n">
        <f aca="false">C187-D187</f>
        <v>0</v>
      </c>
    </row>
    <row r="188" customFormat="false" ht="15" hidden="false" customHeight="false" outlineLevel="0" collapsed="false">
      <c r="A188" s="12" t="n">
        <v>14</v>
      </c>
      <c r="B188" s="20" t="s">
        <v>290</v>
      </c>
      <c r="C188" s="14" t="n">
        <v>416500</v>
      </c>
      <c r="D188" s="21" t="n">
        <f aca="false">116500+200000</f>
        <v>316500</v>
      </c>
      <c r="E188" s="69" t="n">
        <f aca="false">C188-D188</f>
        <v>100000</v>
      </c>
    </row>
    <row r="189" customFormat="false" ht="15" hidden="false" customHeight="false" outlineLevel="0" collapsed="false">
      <c r="A189" s="35" t="n">
        <v>15</v>
      </c>
      <c r="B189" s="20" t="s">
        <v>291</v>
      </c>
      <c r="C189" s="14" t="n">
        <v>416500</v>
      </c>
      <c r="D189" s="21" t="n">
        <v>416500</v>
      </c>
      <c r="E189" s="69" t="n">
        <f aca="false">C189-D189</f>
        <v>0</v>
      </c>
    </row>
    <row r="190" customFormat="false" ht="15" hidden="false" customHeight="false" outlineLevel="0" collapsed="false">
      <c r="A190" s="35" t="n">
        <v>16</v>
      </c>
      <c r="B190" s="20" t="s">
        <v>292</v>
      </c>
      <c r="C190" s="14" t="n">
        <v>416500</v>
      </c>
      <c r="D190" s="21" t="n">
        <f aca="false">186500+200000</f>
        <v>386500</v>
      </c>
      <c r="E190" s="69" t="n">
        <f aca="false">C190-D190</f>
        <v>30000</v>
      </c>
    </row>
    <row r="191" customFormat="false" ht="15" hidden="false" customHeight="false" outlineLevel="0" collapsed="false">
      <c r="A191" s="35" t="n">
        <v>17</v>
      </c>
      <c r="B191" s="20" t="s">
        <v>293</v>
      </c>
      <c r="C191" s="37" t="n">
        <v>225000</v>
      </c>
      <c r="D191" s="21" t="n">
        <f aca="false">50000+65000+50000+50000</f>
        <v>215000</v>
      </c>
      <c r="E191" s="69" t="n">
        <f aca="false">C191-D191</f>
        <v>10000</v>
      </c>
    </row>
    <row r="192" customFormat="false" ht="15" hidden="false" customHeight="false" outlineLevel="0" collapsed="false">
      <c r="A192" s="35" t="n">
        <v>18</v>
      </c>
      <c r="B192" s="20" t="s">
        <v>294</v>
      </c>
      <c r="C192" s="14" t="n">
        <v>416500</v>
      </c>
      <c r="D192" s="21" t="n">
        <f aca="false">300000</f>
        <v>300000</v>
      </c>
      <c r="E192" s="69" t="n">
        <f aca="false">C192-D192</f>
        <v>116500</v>
      </c>
    </row>
    <row r="193" customFormat="false" ht="15" hidden="false" customHeight="false" outlineLevel="0" collapsed="false">
      <c r="A193" s="12" t="n">
        <v>19</v>
      </c>
      <c r="B193" s="20" t="s">
        <v>295</v>
      </c>
      <c r="C193" s="14" t="n">
        <v>416500</v>
      </c>
      <c r="D193" s="21" t="n">
        <v>416500</v>
      </c>
      <c r="E193" s="69" t="n">
        <f aca="false">C193-D193</f>
        <v>0</v>
      </c>
    </row>
    <row r="194" customFormat="false" ht="15" hidden="false" customHeight="false" outlineLevel="0" collapsed="false">
      <c r="A194" s="12" t="n">
        <v>20</v>
      </c>
      <c r="B194" s="20" t="s">
        <v>296</v>
      </c>
      <c r="C194" s="14" t="n">
        <v>416500</v>
      </c>
      <c r="D194" s="21" t="n">
        <f aca="false">200000+100000+116500</f>
        <v>416500</v>
      </c>
      <c r="E194" s="69" t="n">
        <f aca="false">C194-D194</f>
        <v>0</v>
      </c>
    </row>
    <row r="195" customFormat="false" ht="15" hidden="false" customHeight="false" outlineLevel="0" collapsed="false">
      <c r="A195" s="35" t="n">
        <v>21</v>
      </c>
      <c r="B195" s="20" t="s">
        <v>297</v>
      </c>
      <c r="C195" s="14" t="n">
        <v>416500</v>
      </c>
      <c r="D195" s="21" t="n">
        <f aca="false">216500+200000</f>
        <v>416500</v>
      </c>
      <c r="E195" s="69" t="n">
        <f aca="false">C195-D195</f>
        <v>0</v>
      </c>
    </row>
    <row r="196" customFormat="false" ht="15" hidden="false" customHeight="false" outlineLevel="0" collapsed="false">
      <c r="A196" s="35" t="n">
        <v>22</v>
      </c>
      <c r="B196" s="20" t="s">
        <v>298</v>
      </c>
      <c r="C196" s="14" t="n">
        <v>416500</v>
      </c>
      <c r="D196" s="21"/>
      <c r="E196" s="69" t="n">
        <f aca="false">C196-D196</f>
        <v>416500</v>
      </c>
    </row>
    <row r="197" customFormat="false" ht="15" hidden="false" customHeight="false" outlineLevel="0" collapsed="false">
      <c r="A197" s="35" t="n">
        <v>23</v>
      </c>
      <c r="B197" s="20" t="s">
        <v>299</v>
      </c>
      <c r="C197" s="14" t="n">
        <v>416500</v>
      </c>
      <c r="D197" s="21" t="n">
        <f aca="false">150000+61500+100000+100000+5000</f>
        <v>416500</v>
      </c>
      <c r="E197" s="69" t="n">
        <f aca="false">C197-D197</f>
        <v>0</v>
      </c>
    </row>
    <row r="198" customFormat="false" ht="15" hidden="false" customHeight="false" outlineLevel="0" collapsed="false">
      <c r="A198" s="35" t="n">
        <v>24</v>
      </c>
      <c r="B198" s="20" t="s">
        <v>300</v>
      </c>
      <c r="C198" s="14" t="n">
        <v>416500</v>
      </c>
      <c r="D198" s="21" t="n">
        <f aca="false">143500+70000+203000</f>
        <v>416500</v>
      </c>
      <c r="E198" s="69" t="n">
        <f aca="false">C198-D198</f>
        <v>0</v>
      </c>
    </row>
    <row r="199" customFormat="false" ht="15" hidden="false" customHeight="false" outlineLevel="0" collapsed="false">
      <c r="A199" s="12" t="n">
        <v>25</v>
      </c>
      <c r="B199" s="20" t="s">
        <v>301</v>
      </c>
      <c r="C199" s="14" t="n">
        <v>416500</v>
      </c>
      <c r="D199" s="21" t="n">
        <f aca="false">150000</f>
        <v>150000</v>
      </c>
      <c r="E199" s="69" t="n">
        <f aca="false">C199-D199</f>
        <v>266500</v>
      </c>
    </row>
    <row r="200" customFormat="false" ht="15" hidden="false" customHeight="false" outlineLevel="0" collapsed="false">
      <c r="A200" s="12" t="n">
        <v>26</v>
      </c>
      <c r="B200" s="20" t="s">
        <v>302</v>
      </c>
      <c r="C200" s="14" t="n">
        <v>416500</v>
      </c>
      <c r="D200" s="21"/>
      <c r="E200" s="69" t="n">
        <f aca="false">C200-D200</f>
        <v>416500</v>
      </c>
    </row>
    <row r="201" customFormat="false" ht="15" hidden="false" customHeight="false" outlineLevel="0" collapsed="false">
      <c r="A201" s="35" t="n">
        <v>27</v>
      </c>
      <c r="B201" s="20" t="s">
        <v>303</v>
      </c>
      <c r="C201" s="14" t="n">
        <v>416500</v>
      </c>
      <c r="D201" s="21" t="n">
        <f aca="false">200000+100000</f>
        <v>300000</v>
      </c>
      <c r="E201" s="69" t="n">
        <f aca="false">C201-D201</f>
        <v>116500</v>
      </c>
    </row>
    <row r="202" customFormat="false" ht="15" hidden="false" customHeight="false" outlineLevel="0" collapsed="false">
      <c r="A202" s="35" t="n">
        <v>28</v>
      </c>
      <c r="B202" s="20" t="s">
        <v>304</v>
      </c>
      <c r="C202" s="14" t="n">
        <v>416500</v>
      </c>
      <c r="D202" s="21" t="n">
        <f aca="false">151500+100000+165000</f>
        <v>416500</v>
      </c>
      <c r="E202" s="69" t="n">
        <f aca="false">C202-D202</f>
        <v>0</v>
      </c>
    </row>
    <row r="203" customFormat="false" ht="15" hidden="false" customHeight="false" outlineLevel="0" collapsed="false">
      <c r="A203" s="35" t="n">
        <v>29</v>
      </c>
      <c r="B203" s="20" t="s">
        <v>305</v>
      </c>
      <c r="C203" s="14" t="n">
        <v>416500</v>
      </c>
      <c r="D203" s="21" t="n">
        <f aca="false">90000+326500</f>
        <v>416500</v>
      </c>
      <c r="E203" s="69" t="n">
        <f aca="false">C203-D203</f>
        <v>0</v>
      </c>
    </row>
    <row r="204" customFormat="false" ht="15" hidden="false" customHeight="false" outlineLevel="0" collapsed="false">
      <c r="A204" s="35" t="n">
        <v>30</v>
      </c>
      <c r="B204" s="20" t="s">
        <v>306</v>
      </c>
      <c r="C204" s="14" t="n">
        <v>416500</v>
      </c>
      <c r="D204" s="21"/>
      <c r="E204" s="69" t="n">
        <f aca="false">C204-D204</f>
        <v>416500</v>
      </c>
    </row>
    <row r="205" customFormat="false" ht="15" hidden="false" customHeight="false" outlineLevel="0" collapsed="false">
      <c r="A205" s="12" t="n">
        <v>31</v>
      </c>
      <c r="B205" s="20" t="s">
        <v>307</v>
      </c>
      <c r="C205" s="14" t="n">
        <v>416500</v>
      </c>
      <c r="D205" s="21"/>
      <c r="E205" s="69" t="n">
        <f aca="false">C205-D205</f>
        <v>416500</v>
      </c>
    </row>
    <row r="206" customFormat="false" ht="15" hidden="false" customHeight="false" outlineLevel="0" collapsed="false">
      <c r="A206" s="12" t="n">
        <v>32</v>
      </c>
      <c r="B206" s="80" t="s">
        <v>308</v>
      </c>
      <c r="C206" s="14" t="n">
        <v>416500</v>
      </c>
      <c r="D206" s="21" t="n">
        <f aca="false">100000+50000+266500</f>
        <v>416500</v>
      </c>
      <c r="E206" s="69" t="n">
        <f aca="false">C206-D206</f>
        <v>0</v>
      </c>
    </row>
    <row r="207" customFormat="false" ht="15" hidden="false" customHeight="false" outlineLevel="0" collapsed="false">
      <c r="A207" s="35" t="n">
        <v>33</v>
      </c>
      <c r="B207" s="20" t="s">
        <v>309</v>
      </c>
      <c r="C207" s="14" t="n">
        <v>416500</v>
      </c>
      <c r="D207" s="21"/>
      <c r="E207" s="69" t="n">
        <f aca="false">C207-D207</f>
        <v>416500</v>
      </c>
    </row>
    <row r="208" customFormat="false" ht="15" hidden="false" customHeight="false" outlineLevel="0" collapsed="false">
      <c r="A208" s="35" t="n">
        <v>34</v>
      </c>
      <c r="B208" s="20" t="s">
        <v>310</v>
      </c>
      <c r="C208" s="14" t="n">
        <v>416500</v>
      </c>
      <c r="D208" s="21"/>
      <c r="E208" s="69" t="n">
        <f aca="false">C208-D208</f>
        <v>416500</v>
      </c>
    </row>
    <row r="209" customFormat="false" ht="15" hidden="false" customHeight="false" outlineLevel="0" collapsed="false">
      <c r="A209" s="35" t="n">
        <v>35</v>
      </c>
      <c r="B209" s="20" t="s">
        <v>311</v>
      </c>
      <c r="C209" s="14" t="n">
        <v>416500</v>
      </c>
      <c r="D209" s="21"/>
      <c r="E209" s="69" t="n">
        <f aca="false">C209-D209</f>
        <v>416500</v>
      </c>
    </row>
    <row r="210" customFormat="false" ht="15" hidden="false" customHeight="false" outlineLevel="0" collapsed="false">
      <c r="A210" s="35" t="n">
        <v>36</v>
      </c>
      <c r="B210" s="20" t="s">
        <v>312</v>
      </c>
      <c r="C210" s="14" t="n">
        <v>416500</v>
      </c>
      <c r="D210" s="21" t="n">
        <f aca="false">200000+100000</f>
        <v>300000</v>
      </c>
      <c r="E210" s="69" t="n">
        <f aca="false">C210-D210</f>
        <v>116500</v>
      </c>
    </row>
    <row r="211" customFormat="false" ht="15" hidden="false" customHeight="false" outlineLevel="0" collapsed="false">
      <c r="A211" s="12" t="n">
        <v>37</v>
      </c>
      <c r="B211" s="20" t="s">
        <v>313</v>
      </c>
      <c r="C211" s="14" t="n">
        <v>616500</v>
      </c>
      <c r="D211" s="21" t="n">
        <v>616500</v>
      </c>
      <c r="E211" s="69" t="n">
        <f aca="false">C211-D211</f>
        <v>0</v>
      </c>
    </row>
    <row r="212" customFormat="false" ht="15" hidden="false" customHeight="false" outlineLevel="0" collapsed="false">
      <c r="A212" s="12" t="n">
        <v>38</v>
      </c>
      <c r="B212" s="20" t="s">
        <v>314</v>
      </c>
      <c r="C212" s="14" t="n">
        <v>416500</v>
      </c>
      <c r="D212" s="21"/>
      <c r="E212" s="69" t="n">
        <f aca="false">C212-D212</f>
        <v>416500</v>
      </c>
    </row>
    <row r="213" customFormat="false" ht="15" hidden="false" customHeight="false" outlineLevel="0" collapsed="false">
      <c r="A213" s="35" t="n">
        <v>39</v>
      </c>
      <c r="B213" s="20" t="s">
        <v>315</v>
      </c>
      <c r="C213" s="14" t="n">
        <v>416500</v>
      </c>
      <c r="D213" s="21"/>
      <c r="E213" s="69" t="n">
        <f aca="false">C213-D213</f>
        <v>416500</v>
      </c>
    </row>
    <row r="214" customFormat="false" ht="15" hidden="false" customHeight="false" outlineLevel="0" collapsed="false">
      <c r="A214" s="35" t="n">
        <v>40</v>
      </c>
      <c r="B214" s="20" t="s">
        <v>316</v>
      </c>
      <c r="C214" s="14" t="n">
        <v>416500</v>
      </c>
      <c r="D214" s="21" t="n">
        <f aca="false">133500+80000+100000</f>
        <v>313500</v>
      </c>
      <c r="E214" s="69" t="n">
        <f aca="false">C214-D214</f>
        <v>103000</v>
      </c>
    </row>
    <row r="215" customFormat="false" ht="17.35" hidden="false" customHeight="false" outlineLevel="0" collapsed="false">
      <c r="A215" s="35"/>
      <c r="B215" s="23" t="s">
        <v>21</v>
      </c>
      <c r="C215" s="24" t="n">
        <f aca="false">SUM(C175:C214)</f>
        <v>16668500</v>
      </c>
      <c r="D215" s="25" t="n">
        <f aca="false">SUM(D175:D214)</f>
        <v>10854500</v>
      </c>
      <c r="E215" s="70" t="n">
        <f aca="false">SUM(E175:E214)</f>
        <v>5814000</v>
      </c>
    </row>
    <row r="216" customFormat="false" ht="17.35" hidden="false" customHeight="false" outlineLevel="0" collapsed="false">
      <c r="B216" s="28"/>
      <c r="C216" s="29"/>
      <c r="D216" s="30"/>
      <c r="E216" s="67"/>
    </row>
    <row r="217" customFormat="false" ht="17.35" hidden="false" customHeight="false" outlineLevel="0" collapsed="false">
      <c r="B217" s="28"/>
      <c r="C217" s="29"/>
      <c r="D217" s="30"/>
      <c r="E217" s="67"/>
    </row>
    <row r="218" customFormat="false" ht="19.7" hidden="false" customHeight="false" outlineLevel="0" collapsed="false">
      <c r="A218" s="71"/>
      <c r="B218" s="81"/>
      <c r="C218" s="82"/>
      <c r="D218" s="83"/>
      <c r="E218" s="84"/>
    </row>
    <row r="219" customFormat="false" ht="17.35" hidden="false" customHeight="false" outlineLevel="0" collapsed="false">
      <c r="B219" s="3" t="s">
        <v>0</v>
      </c>
      <c r="C219" s="3"/>
      <c r="D219" s="32"/>
      <c r="E219" s="32"/>
    </row>
    <row r="220" customFormat="false" ht="15" hidden="false" customHeight="false" outlineLevel="0" collapsed="false">
      <c r="D220" s="32"/>
      <c r="E220" s="32"/>
    </row>
    <row r="221" customFormat="false" ht="15" hidden="false" customHeight="false" outlineLevel="0" collapsed="false">
      <c r="A221" s="2"/>
      <c r="D221" s="32"/>
      <c r="E221" s="32"/>
    </row>
    <row r="222" customFormat="false" ht="17.25" hidden="false" customHeight="false" outlineLevel="0" collapsed="false">
      <c r="A222" s="2"/>
      <c r="B222" s="5" t="s">
        <v>37</v>
      </c>
      <c r="D222" s="33" t="s">
        <v>161</v>
      </c>
      <c r="E222" s="32"/>
    </row>
    <row r="223" customFormat="false" ht="15" hidden="false" customHeight="false" outlineLevel="0" collapsed="false">
      <c r="A223" s="2"/>
      <c r="D223" s="32"/>
      <c r="E223" s="32"/>
    </row>
    <row r="224" customFormat="false" ht="15" hidden="false" customHeight="false" outlineLevel="0" collapsed="false">
      <c r="A224" s="7" t="s">
        <v>3</v>
      </c>
      <c r="B224" s="8" t="s">
        <v>4</v>
      </c>
      <c r="C224" s="9" t="s">
        <v>5</v>
      </c>
      <c r="D224" s="34" t="s">
        <v>6</v>
      </c>
      <c r="E224" s="68" t="s">
        <v>7</v>
      </c>
    </row>
    <row r="225" customFormat="false" ht="15" hidden="false" customHeight="false" outlineLevel="0" collapsed="false">
      <c r="A225" s="35" t="n">
        <v>1</v>
      </c>
      <c r="B225" s="20" t="s">
        <v>317</v>
      </c>
      <c r="C225" s="14" t="n">
        <v>416500</v>
      </c>
      <c r="D225" s="21" t="n">
        <f aca="false">216500</f>
        <v>216500</v>
      </c>
      <c r="E225" s="69" t="n">
        <f aca="false">C225-D225</f>
        <v>200000</v>
      </c>
    </row>
    <row r="226" customFormat="false" ht="15" hidden="false" customHeight="false" outlineLevel="0" collapsed="false">
      <c r="A226" s="35" t="n">
        <v>2</v>
      </c>
      <c r="B226" s="20" t="s">
        <v>318</v>
      </c>
      <c r="C226" s="14" t="s">
        <v>11</v>
      </c>
      <c r="D226" s="21" t="s">
        <v>11</v>
      </c>
      <c r="E226" s="69" t="s">
        <v>11</v>
      </c>
    </row>
    <row r="227" customFormat="false" ht="15" hidden="false" customHeight="false" outlineLevel="0" collapsed="false">
      <c r="A227" s="35" t="n">
        <v>3</v>
      </c>
      <c r="B227" s="20" t="s">
        <v>319</v>
      </c>
      <c r="C227" s="14" t="n">
        <v>416500</v>
      </c>
      <c r="D227" s="21" t="n">
        <f aca="false">80000+80000</f>
        <v>160000</v>
      </c>
      <c r="E227" s="69" t="n">
        <f aca="false">C227-D227</f>
        <v>256500</v>
      </c>
    </row>
    <row r="228" customFormat="false" ht="15" hidden="false" customHeight="false" outlineLevel="0" collapsed="false">
      <c r="A228" s="35" t="n">
        <v>4</v>
      </c>
      <c r="B228" s="20" t="s">
        <v>320</v>
      </c>
      <c r="C228" s="37" t="n">
        <v>416500</v>
      </c>
      <c r="D228" s="21"/>
      <c r="E228" s="69" t="n">
        <f aca="false">C228-D228</f>
        <v>416500</v>
      </c>
    </row>
    <row r="229" customFormat="false" ht="15" hidden="false" customHeight="false" outlineLevel="0" collapsed="false">
      <c r="A229" s="35" t="n">
        <v>5</v>
      </c>
      <c r="B229" s="20" t="s">
        <v>321</v>
      </c>
      <c r="C229" s="14" t="n">
        <v>416500</v>
      </c>
      <c r="D229" s="21"/>
      <c r="E229" s="69" t="n">
        <f aca="false">C229-D229</f>
        <v>416500</v>
      </c>
    </row>
    <row r="230" customFormat="false" ht="15" hidden="false" customHeight="false" outlineLevel="0" collapsed="false">
      <c r="A230" s="35" t="n">
        <v>6</v>
      </c>
      <c r="B230" s="20" t="s">
        <v>322</v>
      </c>
      <c r="C230" s="14" t="n">
        <v>416500</v>
      </c>
      <c r="D230" s="21"/>
      <c r="E230" s="69" t="n">
        <f aca="false">C230-D230</f>
        <v>416500</v>
      </c>
    </row>
    <row r="231" customFormat="false" ht="15" hidden="false" customHeight="false" outlineLevel="0" collapsed="false">
      <c r="A231" s="35" t="n">
        <v>7</v>
      </c>
      <c r="B231" s="20" t="s">
        <v>323</v>
      </c>
      <c r="C231" s="14" t="n">
        <v>416500</v>
      </c>
      <c r="D231" s="21"/>
      <c r="E231" s="69" t="n">
        <f aca="false">C231-D231</f>
        <v>416500</v>
      </c>
    </row>
    <row r="232" customFormat="false" ht="15" hidden="false" customHeight="false" outlineLevel="0" collapsed="false">
      <c r="A232" s="35" t="n">
        <v>8</v>
      </c>
      <c r="B232" s="20" t="s">
        <v>324</v>
      </c>
      <c r="C232" s="14" t="n">
        <v>416500</v>
      </c>
      <c r="D232" s="21" t="n">
        <f aca="false">150000</f>
        <v>150000</v>
      </c>
      <c r="E232" s="69" t="n">
        <f aca="false">C232-D232</f>
        <v>266500</v>
      </c>
    </row>
    <row r="233" customFormat="false" ht="15" hidden="false" customHeight="false" outlineLevel="0" collapsed="false">
      <c r="A233" s="35" t="n">
        <v>9</v>
      </c>
      <c r="B233" s="20" t="s">
        <v>325</v>
      </c>
      <c r="C233" s="14" t="n">
        <v>416500</v>
      </c>
      <c r="D233" s="21" t="n">
        <f aca="false">150000+150000+116500</f>
        <v>416500</v>
      </c>
      <c r="E233" s="69" t="n">
        <f aca="false">C233-D233</f>
        <v>0</v>
      </c>
    </row>
    <row r="234" customFormat="false" ht="15" hidden="false" customHeight="false" outlineLevel="0" collapsed="false">
      <c r="A234" s="35" t="n">
        <v>10</v>
      </c>
      <c r="B234" s="20" t="s">
        <v>326</v>
      </c>
      <c r="C234" s="14" t="s">
        <v>11</v>
      </c>
      <c r="D234" s="21" t="s">
        <v>11</v>
      </c>
      <c r="E234" s="69" t="s">
        <v>11</v>
      </c>
    </row>
    <row r="235" customFormat="false" ht="15" hidden="false" customHeight="false" outlineLevel="0" collapsed="false">
      <c r="A235" s="35" t="n">
        <v>11</v>
      </c>
      <c r="B235" s="20" t="s">
        <v>327</v>
      </c>
      <c r="C235" s="14" t="n">
        <v>416500</v>
      </c>
      <c r="D235" s="21"/>
      <c r="E235" s="69" t="n">
        <f aca="false">C235-D235</f>
        <v>416500</v>
      </c>
    </row>
    <row r="236" customFormat="false" ht="15" hidden="false" customHeight="false" outlineLevel="0" collapsed="false">
      <c r="A236" s="35" t="n">
        <v>12</v>
      </c>
      <c r="B236" s="20" t="s">
        <v>328</v>
      </c>
      <c r="C236" s="14" t="n">
        <v>416500</v>
      </c>
      <c r="D236" s="21" t="n">
        <f aca="false">150000</f>
        <v>150000</v>
      </c>
      <c r="E236" s="69" t="n">
        <f aca="false">C236-D236</f>
        <v>266500</v>
      </c>
    </row>
    <row r="237" customFormat="false" ht="15" hidden="false" customHeight="false" outlineLevel="0" collapsed="false">
      <c r="A237" s="35" t="n">
        <v>13</v>
      </c>
      <c r="B237" s="20" t="s">
        <v>329</v>
      </c>
      <c r="C237" s="14" t="n">
        <v>416500</v>
      </c>
      <c r="D237" s="21" t="n">
        <v>416500</v>
      </c>
      <c r="E237" s="69" t="n">
        <f aca="false">C237-D237</f>
        <v>0</v>
      </c>
    </row>
    <row r="238" customFormat="false" ht="15" hidden="false" customHeight="false" outlineLevel="0" collapsed="false">
      <c r="A238" s="35" t="n">
        <v>14</v>
      </c>
      <c r="B238" s="20" t="s">
        <v>330</v>
      </c>
      <c r="C238" s="14" t="n">
        <v>416500</v>
      </c>
      <c r="D238" s="21" t="n">
        <f aca="false">216500+100000+100000</f>
        <v>416500</v>
      </c>
      <c r="E238" s="69" t="n">
        <f aca="false">C238-D238</f>
        <v>0</v>
      </c>
    </row>
    <row r="239" customFormat="false" ht="15" hidden="false" customHeight="false" outlineLevel="0" collapsed="false">
      <c r="A239" s="35" t="n">
        <v>15</v>
      </c>
      <c r="B239" s="20" t="s">
        <v>331</v>
      </c>
      <c r="C239" s="14" t="n">
        <v>416500</v>
      </c>
      <c r="D239" s="21" t="n">
        <v>416500</v>
      </c>
      <c r="E239" s="69" t="n">
        <f aca="false">C239-D239</f>
        <v>0</v>
      </c>
    </row>
    <row r="240" customFormat="false" ht="15" hidden="false" customHeight="false" outlineLevel="0" collapsed="false">
      <c r="A240" s="35" t="n">
        <v>16</v>
      </c>
      <c r="B240" s="20" t="s">
        <v>332</v>
      </c>
      <c r="C240" s="14" t="n">
        <v>416500</v>
      </c>
      <c r="D240" s="21" t="n">
        <f aca="false">200000+150000+66500</f>
        <v>416500</v>
      </c>
      <c r="E240" s="69" t="n">
        <f aca="false">C240-D240</f>
        <v>0</v>
      </c>
    </row>
    <row r="241" customFormat="false" ht="15" hidden="false" customHeight="false" outlineLevel="0" collapsed="false">
      <c r="A241" s="35" t="n">
        <v>17</v>
      </c>
      <c r="B241" s="20" t="s">
        <v>333</v>
      </c>
      <c r="C241" s="14" t="n">
        <v>416500</v>
      </c>
      <c r="D241" s="21" t="n">
        <f aca="false">216500+200000</f>
        <v>416500</v>
      </c>
      <c r="E241" s="69" t="n">
        <f aca="false">C241-D241</f>
        <v>0</v>
      </c>
    </row>
    <row r="242" customFormat="false" ht="15" hidden="false" customHeight="false" outlineLevel="0" collapsed="false">
      <c r="A242" s="35" t="n">
        <v>18</v>
      </c>
      <c r="B242" s="20" t="s">
        <v>334</v>
      </c>
      <c r="C242" s="14" t="n">
        <v>416500</v>
      </c>
      <c r="D242" s="21" t="n">
        <f aca="false">216500</f>
        <v>216500</v>
      </c>
      <c r="E242" s="69" t="n">
        <f aca="false">C242-D242</f>
        <v>200000</v>
      </c>
    </row>
    <row r="243" customFormat="false" ht="15" hidden="false" customHeight="false" outlineLevel="0" collapsed="false">
      <c r="A243" s="35" t="n">
        <v>19</v>
      </c>
      <c r="B243" s="20" t="s">
        <v>335</v>
      </c>
      <c r="C243" s="14" t="n">
        <v>416500</v>
      </c>
      <c r="D243" s="21"/>
      <c r="E243" s="69" t="n">
        <f aca="false">C243-D243</f>
        <v>416500</v>
      </c>
    </row>
    <row r="244" customFormat="false" ht="15" hidden="false" customHeight="false" outlineLevel="0" collapsed="false">
      <c r="A244" s="35" t="n">
        <v>20</v>
      </c>
      <c r="B244" s="20" t="s">
        <v>336</v>
      </c>
      <c r="C244" s="14" t="s">
        <v>11</v>
      </c>
      <c r="D244" s="21" t="s">
        <v>11</v>
      </c>
      <c r="E244" s="69" t="s">
        <v>11</v>
      </c>
    </row>
    <row r="245" customFormat="false" ht="15" hidden="false" customHeight="false" outlineLevel="0" collapsed="false">
      <c r="A245" s="35" t="n">
        <v>21</v>
      </c>
      <c r="B245" s="20" t="s">
        <v>337</v>
      </c>
      <c r="C245" s="14" t="n">
        <v>416500</v>
      </c>
      <c r="D245" s="21" t="n">
        <f aca="false">300000-43000</f>
        <v>257000</v>
      </c>
      <c r="E245" s="69" t="n">
        <f aca="false">C245-D245</f>
        <v>159500</v>
      </c>
    </row>
    <row r="246" customFormat="false" ht="15" hidden="false" customHeight="false" outlineLevel="0" collapsed="false">
      <c r="A246" s="35" t="n">
        <v>22</v>
      </c>
      <c r="B246" s="20" t="s">
        <v>338</v>
      </c>
      <c r="C246" s="14" t="n">
        <v>416500</v>
      </c>
      <c r="D246" s="21"/>
      <c r="E246" s="69" t="n">
        <f aca="false">C246-D246</f>
        <v>416500</v>
      </c>
    </row>
    <row r="247" customFormat="false" ht="15" hidden="false" customHeight="false" outlineLevel="0" collapsed="false">
      <c r="A247" s="35" t="n">
        <v>23</v>
      </c>
      <c r="B247" s="20" t="s">
        <v>339</v>
      </c>
      <c r="C247" s="14" t="n">
        <v>416500</v>
      </c>
      <c r="D247" s="21" t="n">
        <f aca="false">250000</f>
        <v>250000</v>
      </c>
      <c r="E247" s="69" t="n">
        <f aca="false">C247-D247</f>
        <v>166500</v>
      </c>
    </row>
    <row r="248" customFormat="false" ht="15" hidden="false" customHeight="false" outlineLevel="0" collapsed="false">
      <c r="A248" s="35" t="n">
        <v>24</v>
      </c>
      <c r="B248" s="20" t="s">
        <v>340</v>
      </c>
      <c r="C248" s="14" t="n">
        <v>416500</v>
      </c>
      <c r="D248" s="21"/>
      <c r="E248" s="69" t="n">
        <f aca="false">C248-D248</f>
        <v>416500</v>
      </c>
    </row>
    <row r="249" customFormat="false" ht="15" hidden="false" customHeight="false" outlineLevel="0" collapsed="false">
      <c r="A249" s="35" t="n">
        <v>25</v>
      </c>
      <c r="B249" s="20" t="s">
        <v>341</v>
      </c>
      <c r="C249" s="37" t="n">
        <v>416500</v>
      </c>
      <c r="D249" s="21" t="n">
        <f aca="false">160000+100000+60000+50000</f>
        <v>370000</v>
      </c>
      <c r="E249" s="69" t="n">
        <f aca="false">C249-D249</f>
        <v>46500</v>
      </c>
    </row>
    <row r="250" customFormat="false" ht="17.35" hidden="false" customHeight="false" outlineLevel="0" collapsed="false">
      <c r="A250" s="35"/>
      <c r="B250" s="23" t="s">
        <v>21</v>
      </c>
      <c r="C250" s="24" t="n">
        <f aca="false">SUM(C225:C249)</f>
        <v>9163000</v>
      </c>
      <c r="D250" s="25" t="n">
        <f aca="false">SUM(D225:D249)</f>
        <v>4269000</v>
      </c>
      <c r="E250" s="70" t="n">
        <f aca="false">SUM(E225:E249)</f>
        <v>4894000</v>
      </c>
    </row>
    <row r="251" customFormat="false" ht="19.7" hidden="false" customHeight="false" outlineLevel="0" collapsed="false">
      <c r="A251" s="71"/>
      <c r="B251" s="81"/>
      <c r="C251" s="82"/>
      <c r="D251" s="83"/>
      <c r="E251" s="84"/>
    </row>
    <row r="252" customFormat="false" ht="15" hidden="false" customHeight="false" outlineLevel="0" collapsed="false">
      <c r="D252" s="32"/>
      <c r="E252" s="32"/>
    </row>
    <row r="253" customFormat="false" ht="15" hidden="false" customHeight="false" outlineLevel="0" collapsed="false">
      <c r="D253" s="32"/>
      <c r="E253" s="32"/>
    </row>
    <row r="254" customFormat="false" ht="17.35" hidden="false" customHeight="false" outlineLevel="0" collapsed="false">
      <c r="B254" s="3" t="s">
        <v>0</v>
      </c>
      <c r="C254" s="3"/>
      <c r="D254" s="32"/>
      <c r="E254" s="32"/>
    </row>
    <row r="255" customFormat="false" ht="15" hidden="false" customHeight="false" outlineLevel="0" collapsed="false">
      <c r="D255" s="32"/>
      <c r="E255" s="32"/>
    </row>
    <row r="256" customFormat="false" ht="15" hidden="false" customHeight="false" outlineLevel="0" collapsed="false">
      <c r="A256" s="2"/>
      <c r="D256" s="32"/>
      <c r="E256" s="32"/>
    </row>
    <row r="257" customFormat="false" ht="17.25" hidden="false" customHeight="false" outlineLevel="0" collapsed="false">
      <c r="A257" s="2"/>
      <c r="B257" s="5" t="s">
        <v>37</v>
      </c>
      <c r="D257" s="33" t="s">
        <v>178</v>
      </c>
      <c r="E257" s="32"/>
    </row>
    <row r="258" customFormat="false" ht="15" hidden="false" customHeight="false" outlineLevel="0" collapsed="false">
      <c r="A258" s="2"/>
      <c r="D258" s="32"/>
      <c r="E258" s="32"/>
    </row>
    <row r="259" customFormat="false" ht="15" hidden="false" customHeight="false" outlineLevel="0" collapsed="false">
      <c r="A259" s="7" t="s">
        <v>3</v>
      </c>
      <c r="B259" s="8" t="s">
        <v>4</v>
      </c>
      <c r="C259" s="9" t="s">
        <v>5</v>
      </c>
      <c r="D259" s="34" t="s">
        <v>6</v>
      </c>
      <c r="E259" s="68" t="s">
        <v>7</v>
      </c>
    </row>
    <row r="260" customFormat="false" ht="15" hidden="false" customHeight="false" outlineLevel="0" collapsed="false">
      <c r="A260" s="12" t="n">
        <v>1</v>
      </c>
      <c r="B260" s="20" t="s">
        <v>342</v>
      </c>
      <c r="C260" s="14" t="n">
        <v>416500</v>
      </c>
      <c r="D260" s="21" t="n">
        <f aca="false">100000+200000+116500</f>
        <v>416500</v>
      </c>
      <c r="E260" s="69" t="n">
        <f aca="false">C260-D260</f>
        <v>0</v>
      </c>
    </row>
    <row r="261" customFormat="false" ht="15" hidden="false" customHeight="false" outlineLevel="0" collapsed="false">
      <c r="A261" s="12" t="n">
        <v>2</v>
      </c>
      <c r="B261" s="20" t="s">
        <v>343</v>
      </c>
      <c r="C261" s="14" t="n">
        <v>416500</v>
      </c>
      <c r="D261" s="21" t="n">
        <f aca="false">200000</f>
        <v>200000</v>
      </c>
      <c r="E261" s="69" t="n">
        <f aca="false">C261-D261</f>
        <v>216500</v>
      </c>
    </row>
    <row r="262" customFormat="false" ht="15" hidden="false" customHeight="false" outlineLevel="0" collapsed="false">
      <c r="A262" s="35" t="n">
        <v>3</v>
      </c>
      <c r="B262" s="20" t="s">
        <v>344</v>
      </c>
      <c r="C262" s="14" t="n">
        <v>416500</v>
      </c>
      <c r="D262" s="21"/>
      <c r="E262" s="69" t="n">
        <f aca="false">C262-D262</f>
        <v>416500</v>
      </c>
    </row>
    <row r="263" customFormat="false" ht="15" hidden="false" customHeight="false" outlineLevel="0" collapsed="false">
      <c r="A263" s="35" t="n">
        <v>4</v>
      </c>
      <c r="B263" s="20" t="s">
        <v>345</v>
      </c>
      <c r="C263" s="14" t="n">
        <v>416500</v>
      </c>
      <c r="D263" s="21"/>
      <c r="E263" s="69" t="n">
        <f aca="false">C263-D263</f>
        <v>416500</v>
      </c>
    </row>
    <row r="264" customFormat="false" ht="15" hidden="false" customHeight="false" outlineLevel="0" collapsed="false">
      <c r="A264" s="35" t="n">
        <v>5</v>
      </c>
      <c r="B264" s="20" t="s">
        <v>346</v>
      </c>
      <c r="C264" s="14" t="n">
        <v>416500</v>
      </c>
      <c r="D264" s="21" t="n">
        <f aca="false">80000+120000+75000+51000+500+90000</f>
        <v>416500</v>
      </c>
      <c r="E264" s="69" t="n">
        <f aca="false">C264-D264</f>
        <v>0</v>
      </c>
    </row>
    <row r="265" customFormat="false" ht="15" hidden="false" customHeight="false" outlineLevel="0" collapsed="false">
      <c r="A265" s="12" t="n">
        <v>6</v>
      </c>
      <c r="B265" s="20" t="s">
        <v>347</v>
      </c>
      <c r="C265" s="14" t="n">
        <v>416500</v>
      </c>
      <c r="D265" s="21" t="n">
        <f aca="false">216500</f>
        <v>216500</v>
      </c>
      <c r="E265" s="69" t="n">
        <f aca="false">C265-D265</f>
        <v>200000</v>
      </c>
    </row>
    <row r="266" customFormat="false" ht="15" hidden="false" customHeight="false" outlineLevel="0" collapsed="false">
      <c r="A266" s="12" t="n">
        <v>7</v>
      </c>
      <c r="B266" s="20" t="s">
        <v>348</v>
      </c>
      <c r="C266" s="14" t="n">
        <v>416500</v>
      </c>
      <c r="D266" s="21" t="n">
        <v>416500</v>
      </c>
      <c r="E266" s="69" t="n">
        <f aca="false">C266-D266</f>
        <v>0</v>
      </c>
    </row>
    <row r="267" customFormat="false" ht="15" hidden="false" customHeight="false" outlineLevel="0" collapsed="false">
      <c r="A267" s="35" t="n">
        <v>8</v>
      </c>
      <c r="B267" s="20" t="s">
        <v>349</v>
      </c>
      <c r="C267" s="14" t="n">
        <v>416500</v>
      </c>
      <c r="D267" s="21"/>
      <c r="E267" s="69" t="n">
        <f aca="false">C267-D267</f>
        <v>416500</v>
      </c>
    </row>
    <row r="268" customFormat="false" ht="15" hidden="false" customHeight="false" outlineLevel="0" collapsed="false">
      <c r="A268" s="35" t="n">
        <v>9</v>
      </c>
      <c r="B268" s="20" t="s">
        <v>350</v>
      </c>
      <c r="C268" s="14" t="n">
        <v>416500</v>
      </c>
      <c r="D268" s="21" t="n">
        <f aca="false">60000+170000+170000+16500</f>
        <v>416500</v>
      </c>
      <c r="E268" s="69" t="n">
        <f aca="false">C268-D268</f>
        <v>0</v>
      </c>
    </row>
    <row r="269" customFormat="false" ht="15" hidden="false" customHeight="false" outlineLevel="0" collapsed="false">
      <c r="A269" s="35" t="n">
        <v>10</v>
      </c>
      <c r="B269" s="20" t="s">
        <v>351</v>
      </c>
      <c r="C269" s="14" t="n">
        <v>416500</v>
      </c>
      <c r="D269" s="21" t="n">
        <f aca="false">271500+145000</f>
        <v>416500</v>
      </c>
      <c r="E269" s="69" t="n">
        <f aca="false">C269-D269</f>
        <v>0</v>
      </c>
    </row>
    <row r="270" customFormat="false" ht="15" hidden="false" customHeight="false" outlineLevel="0" collapsed="false">
      <c r="A270" s="12" t="n">
        <v>11</v>
      </c>
      <c r="B270" s="20" t="s">
        <v>352</v>
      </c>
      <c r="C270" s="14" t="n">
        <v>416500</v>
      </c>
      <c r="D270" s="21" t="n">
        <f aca="false">217000</f>
        <v>217000</v>
      </c>
      <c r="E270" s="69" t="n">
        <f aca="false">C270-D270</f>
        <v>199500</v>
      </c>
    </row>
    <row r="271" customFormat="false" ht="15" hidden="false" customHeight="false" outlineLevel="0" collapsed="false">
      <c r="A271" s="12" t="n">
        <v>12</v>
      </c>
      <c r="B271" s="20" t="s">
        <v>353</v>
      </c>
      <c r="C271" s="14" t="n">
        <v>416500</v>
      </c>
      <c r="D271" s="21" t="n">
        <f aca="false">216500+100000+100000</f>
        <v>416500</v>
      </c>
      <c r="E271" s="69" t="n">
        <f aca="false">C271-D271</f>
        <v>0</v>
      </c>
    </row>
    <row r="272" customFormat="false" ht="15" hidden="false" customHeight="false" outlineLevel="0" collapsed="false">
      <c r="A272" s="35" t="n">
        <v>13</v>
      </c>
      <c r="B272" s="20" t="s">
        <v>354</v>
      </c>
      <c r="C272" s="14" t="n">
        <v>416500</v>
      </c>
      <c r="D272" s="21"/>
      <c r="E272" s="69" t="n">
        <f aca="false">C272-D272</f>
        <v>416500</v>
      </c>
    </row>
    <row r="273" customFormat="false" ht="15" hidden="false" customHeight="false" outlineLevel="0" collapsed="false">
      <c r="A273" s="35" t="n">
        <v>14</v>
      </c>
      <c r="B273" s="20" t="s">
        <v>355</v>
      </c>
      <c r="C273" s="14" t="n">
        <v>416500</v>
      </c>
      <c r="D273" s="21"/>
      <c r="E273" s="69" t="n">
        <f aca="false">C273-D273</f>
        <v>416500</v>
      </c>
    </row>
    <row r="274" customFormat="false" ht="15" hidden="false" customHeight="false" outlineLevel="0" collapsed="false">
      <c r="A274" s="35" t="n">
        <v>15</v>
      </c>
      <c r="B274" s="20" t="s">
        <v>356</v>
      </c>
      <c r="C274" s="14" t="n">
        <v>416500</v>
      </c>
      <c r="D274" s="21" t="n">
        <f aca="false">23500</f>
        <v>23500</v>
      </c>
      <c r="E274" s="69" t="n">
        <f aca="false">C274-D274</f>
        <v>393000</v>
      </c>
    </row>
    <row r="275" customFormat="false" ht="15" hidden="false" customHeight="false" outlineLevel="0" collapsed="false">
      <c r="A275" s="12" t="n">
        <v>16</v>
      </c>
      <c r="B275" s="20" t="s">
        <v>357</v>
      </c>
      <c r="C275" s="14" t="n">
        <v>416500</v>
      </c>
      <c r="D275" s="21" t="n">
        <f aca="false">216500+200000</f>
        <v>416500</v>
      </c>
      <c r="E275" s="69" t="n">
        <f aca="false">C275-D275</f>
        <v>0</v>
      </c>
    </row>
    <row r="276" customFormat="false" ht="15" hidden="false" customHeight="false" outlineLevel="0" collapsed="false">
      <c r="A276" s="12" t="n">
        <v>17</v>
      </c>
      <c r="B276" s="20" t="s">
        <v>358</v>
      </c>
      <c r="C276" s="37" t="n">
        <v>416500</v>
      </c>
      <c r="D276" s="21" t="n">
        <f aca="false">200000</f>
        <v>200000</v>
      </c>
      <c r="E276" s="69" t="n">
        <f aca="false">C276-D276</f>
        <v>216500</v>
      </c>
    </row>
    <row r="277" customFormat="false" ht="15" hidden="false" customHeight="false" outlineLevel="0" collapsed="false">
      <c r="A277" s="35" t="n">
        <v>18</v>
      </c>
      <c r="B277" s="20" t="s">
        <v>359</v>
      </c>
      <c r="C277" s="14" t="n">
        <v>416500</v>
      </c>
      <c r="D277" s="21"/>
      <c r="E277" s="69" t="n">
        <f aca="false">C277-D277</f>
        <v>416500</v>
      </c>
    </row>
    <row r="278" customFormat="false" ht="15" hidden="false" customHeight="false" outlineLevel="0" collapsed="false">
      <c r="A278" s="35" t="n">
        <v>19</v>
      </c>
      <c r="B278" s="20" t="s">
        <v>360</v>
      </c>
      <c r="C278" s="37" t="n">
        <v>416500</v>
      </c>
      <c r="D278" s="21" t="n">
        <f aca="false">200000</f>
        <v>200000</v>
      </c>
      <c r="E278" s="69" t="n">
        <f aca="false">C278-D278</f>
        <v>216500</v>
      </c>
    </row>
    <row r="279" customFormat="false" ht="15" hidden="false" customHeight="false" outlineLevel="0" collapsed="false">
      <c r="A279" s="35" t="n">
        <v>20</v>
      </c>
      <c r="B279" s="20" t="s">
        <v>361</v>
      </c>
      <c r="C279" s="37" t="n">
        <v>416500</v>
      </c>
      <c r="D279" s="21" t="n">
        <f aca="false">200000+216000+500</f>
        <v>416500</v>
      </c>
      <c r="E279" s="69" t="n">
        <f aca="false">C279-D279</f>
        <v>0</v>
      </c>
    </row>
    <row r="280" customFormat="false" ht="15" hidden="false" customHeight="false" outlineLevel="0" collapsed="false">
      <c r="A280" s="12" t="n">
        <v>21</v>
      </c>
      <c r="B280" s="20" t="s">
        <v>362</v>
      </c>
      <c r="C280" s="14" t="n">
        <v>416500</v>
      </c>
      <c r="D280" s="21" t="n">
        <f aca="false">216500+200000</f>
        <v>416500</v>
      </c>
      <c r="E280" s="69" t="n">
        <f aca="false">C280-D280</f>
        <v>0</v>
      </c>
    </row>
    <row r="281" customFormat="false" ht="17.35" hidden="false" customHeight="false" outlineLevel="0" collapsed="false">
      <c r="A281" s="22"/>
      <c r="B281" s="23" t="s">
        <v>21</v>
      </c>
      <c r="C281" s="24" t="n">
        <f aca="false">SUM(C260:C280)</f>
        <v>8746500</v>
      </c>
      <c r="D281" s="25" t="n">
        <f aca="false">SUM(D260:D280)</f>
        <v>4805500</v>
      </c>
      <c r="E281" s="70" t="n">
        <f aca="false">SUM(E260:E280)</f>
        <v>3941000</v>
      </c>
    </row>
    <row r="282" customFormat="false" ht="17.35" hidden="false" customHeight="false" outlineLevel="0" collapsed="false">
      <c r="B282" s="28"/>
      <c r="C282" s="29"/>
      <c r="D282" s="30"/>
      <c r="E282" s="67"/>
    </row>
    <row r="283" customFormat="false" ht="17.35" hidden="false" customHeight="false" outlineLevel="0" collapsed="false">
      <c r="B283" s="28"/>
      <c r="C283" s="29"/>
      <c r="D283" s="30"/>
      <c r="E283" s="67"/>
    </row>
    <row r="284" customFormat="false" ht="17.35" hidden="false" customHeight="false" outlineLevel="0" collapsed="false">
      <c r="B284" s="28"/>
      <c r="C284" s="29"/>
      <c r="D284" s="30"/>
      <c r="E284" s="67"/>
    </row>
    <row r="285" customFormat="false" ht="17.35" hidden="false" customHeight="false" outlineLevel="0" collapsed="false">
      <c r="A285" s="2"/>
      <c r="B285" s="3" t="s">
        <v>0</v>
      </c>
      <c r="D285" s="32"/>
      <c r="E285" s="32"/>
    </row>
    <row r="286" customFormat="false" ht="17.35" hidden="false" customHeight="false" outlineLevel="0" collapsed="false">
      <c r="A286" s="4"/>
      <c r="D286" s="32"/>
      <c r="E286" s="32"/>
    </row>
    <row r="287" customFormat="false" ht="15" hidden="false" customHeight="false" outlineLevel="0" collapsed="false">
      <c r="A287" s="2"/>
      <c r="D287" s="32"/>
      <c r="E287" s="32"/>
    </row>
    <row r="288" customFormat="false" ht="17.25" hidden="false" customHeight="false" outlineLevel="0" collapsed="false">
      <c r="A288" s="2"/>
      <c r="B288" s="5" t="s">
        <v>75</v>
      </c>
      <c r="D288" s="32"/>
      <c r="E288" s="32"/>
    </row>
    <row r="289" customFormat="false" ht="15" hidden="false" customHeight="false" outlineLevel="0" collapsed="false">
      <c r="A289" s="2"/>
      <c r="D289" s="33" t="s">
        <v>191</v>
      </c>
      <c r="E289" s="32"/>
    </row>
    <row r="290" customFormat="false" ht="15" hidden="false" customHeight="false" outlineLevel="0" collapsed="false">
      <c r="A290" s="2"/>
      <c r="D290" s="32"/>
      <c r="E290" s="32"/>
    </row>
    <row r="291" customFormat="false" ht="15" hidden="false" customHeight="false" outlineLevel="0" collapsed="false">
      <c r="A291" s="7" t="s">
        <v>3</v>
      </c>
      <c r="B291" s="8" t="s">
        <v>4</v>
      </c>
      <c r="C291" s="9" t="s">
        <v>5</v>
      </c>
      <c r="D291" s="34" t="s">
        <v>6</v>
      </c>
      <c r="E291" s="68" t="s">
        <v>7</v>
      </c>
    </row>
    <row r="292" customFormat="false" ht="15" hidden="false" customHeight="false" outlineLevel="0" collapsed="false">
      <c r="A292" s="35" t="n">
        <v>1</v>
      </c>
      <c r="B292" s="39" t="s">
        <v>363</v>
      </c>
      <c r="C292" s="14" t="n">
        <v>416500</v>
      </c>
      <c r="D292" s="37" t="n">
        <f aca="false">200000+100000</f>
        <v>300000</v>
      </c>
      <c r="E292" s="69" t="n">
        <f aca="false">C292-D292</f>
        <v>116500</v>
      </c>
    </row>
    <row r="293" customFormat="false" ht="15" hidden="false" customHeight="false" outlineLevel="0" collapsed="false">
      <c r="A293" s="53" t="n">
        <v>2</v>
      </c>
      <c r="B293" s="39" t="s">
        <v>364</v>
      </c>
      <c r="C293" s="14" t="n">
        <v>416500</v>
      </c>
      <c r="D293" s="37" t="n">
        <f aca="false">220000</f>
        <v>220000</v>
      </c>
      <c r="E293" s="69" t="n">
        <f aca="false">C293-D293</f>
        <v>196500</v>
      </c>
    </row>
    <row r="294" customFormat="false" ht="15" hidden="false" customHeight="false" outlineLevel="0" collapsed="false">
      <c r="A294" s="35" t="n">
        <v>3</v>
      </c>
      <c r="B294" s="39" t="s">
        <v>365</v>
      </c>
      <c r="C294" s="14" t="n">
        <v>416500</v>
      </c>
      <c r="D294" s="37" t="n">
        <v>416500</v>
      </c>
      <c r="E294" s="69" t="n">
        <f aca="false">C294-D294</f>
        <v>0</v>
      </c>
    </row>
    <row r="295" customFormat="false" ht="15" hidden="false" customHeight="false" outlineLevel="0" collapsed="false">
      <c r="A295" s="12" t="n">
        <v>4</v>
      </c>
      <c r="B295" s="20" t="s">
        <v>366</v>
      </c>
      <c r="C295" s="14" t="n">
        <v>416500</v>
      </c>
      <c r="D295" s="21" t="n">
        <f aca="false">300000</f>
        <v>300000</v>
      </c>
      <c r="E295" s="69" t="n">
        <f aca="false">C295-D295</f>
        <v>116500</v>
      </c>
    </row>
    <row r="296" customFormat="false" ht="15" hidden="false" customHeight="false" outlineLevel="0" collapsed="false">
      <c r="A296" s="35" t="n">
        <v>5</v>
      </c>
      <c r="B296" s="39" t="s">
        <v>367</v>
      </c>
      <c r="C296" s="14" t="n">
        <v>416500</v>
      </c>
      <c r="D296" s="37" t="n">
        <f aca="false">216000</f>
        <v>216000</v>
      </c>
      <c r="E296" s="69" t="n">
        <f aca="false">C296-D296</f>
        <v>200500</v>
      </c>
    </row>
    <row r="297" customFormat="false" ht="15" hidden="false" customHeight="false" outlineLevel="0" collapsed="false">
      <c r="A297" s="35" t="n">
        <v>6</v>
      </c>
      <c r="B297" s="43" t="s">
        <v>368</v>
      </c>
      <c r="C297" s="14" t="n">
        <v>416500</v>
      </c>
      <c r="D297" s="37" t="n">
        <f aca="false">100000+116500+50000+150000</f>
        <v>416500</v>
      </c>
      <c r="E297" s="69" t="n">
        <f aca="false">C297-D297</f>
        <v>0</v>
      </c>
    </row>
    <row r="298" customFormat="false" ht="15" hidden="false" customHeight="false" outlineLevel="0" collapsed="false">
      <c r="A298" s="53" t="n">
        <v>7</v>
      </c>
      <c r="B298" s="43" t="s">
        <v>369</v>
      </c>
      <c r="C298" s="14" t="n">
        <v>416500</v>
      </c>
      <c r="D298" s="37" t="n">
        <f aca="false">215500</f>
        <v>215500</v>
      </c>
      <c r="E298" s="69" t="n">
        <f aca="false">C298-D298</f>
        <v>201000</v>
      </c>
    </row>
    <row r="299" customFormat="false" ht="15" hidden="false" customHeight="false" outlineLevel="0" collapsed="false">
      <c r="A299" s="35" t="n">
        <v>8</v>
      </c>
      <c r="B299" s="39" t="s">
        <v>370</v>
      </c>
      <c r="C299" s="14" t="n">
        <v>416500</v>
      </c>
      <c r="D299" s="37" t="n">
        <v>416500</v>
      </c>
      <c r="E299" s="69" t="n">
        <f aca="false">C299-D299</f>
        <v>0</v>
      </c>
    </row>
    <row r="300" customFormat="false" ht="15" hidden="false" customHeight="false" outlineLevel="0" collapsed="false">
      <c r="A300" s="12" t="n">
        <v>9</v>
      </c>
      <c r="B300" s="39" t="s">
        <v>371</v>
      </c>
      <c r="C300" s="14" t="n">
        <v>416500</v>
      </c>
      <c r="D300" s="37" t="n">
        <f aca="false">150000</f>
        <v>150000</v>
      </c>
      <c r="E300" s="69" t="n">
        <f aca="false">C300-D300</f>
        <v>266500</v>
      </c>
    </row>
    <row r="301" customFormat="false" ht="15" hidden="false" customHeight="false" outlineLevel="0" collapsed="false">
      <c r="A301" s="35" t="n">
        <v>10</v>
      </c>
      <c r="B301" s="39" t="s">
        <v>372</v>
      </c>
      <c r="C301" s="14" t="n">
        <v>416500</v>
      </c>
      <c r="D301" s="37" t="n">
        <v>416500</v>
      </c>
      <c r="E301" s="69" t="n">
        <f aca="false">C301-D301</f>
        <v>0</v>
      </c>
    </row>
    <row r="302" customFormat="false" ht="15" hidden="false" customHeight="false" outlineLevel="0" collapsed="false">
      <c r="A302" s="35" t="n">
        <v>11</v>
      </c>
      <c r="B302" s="39" t="s">
        <v>373</v>
      </c>
      <c r="C302" s="14" t="n">
        <v>416500</v>
      </c>
      <c r="D302" s="37"/>
      <c r="E302" s="69" t="n">
        <f aca="false">C302-D302</f>
        <v>416500</v>
      </c>
    </row>
    <row r="303" customFormat="false" ht="15" hidden="false" customHeight="false" outlineLevel="0" collapsed="false">
      <c r="A303" s="53" t="n">
        <v>12</v>
      </c>
      <c r="B303" s="39" t="s">
        <v>374</v>
      </c>
      <c r="C303" s="14" t="n">
        <v>416500</v>
      </c>
      <c r="D303" s="37" t="n">
        <f aca="false">216000+150500-36500</f>
        <v>330000</v>
      </c>
      <c r="E303" s="69" t="n">
        <f aca="false">C303-D303</f>
        <v>86500</v>
      </c>
    </row>
    <row r="304" customFormat="false" ht="15" hidden="false" customHeight="false" outlineLevel="0" collapsed="false">
      <c r="A304" s="35" t="n">
        <v>13</v>
      </c>
      <c r="B304" s="39" t="s">
        <v>375</v>
      </c>
      <c r="C304" s="14" t="n">
        <v>416500</v>
      </c>
      <c r="D304" s="37" t="n">
        <f aca="false">100000</f>
        <v>100000</v>
      </c>
      <c r="E304" s="69" t="n">
        <f aca="false">C304-D304</f>
        <v>316500</v>
      </c>
    </row>
    <row r="305" customFormat="false" ht="15" hidden="false" customHeight="false" outlineLevel="0" collapsed="false">
      <c r="A305" s="12" t="n">
        <v>14</v>
      </c>
      <c r="B305" s="39" t="s">
        <v>376</v>
      </c>
      <c r="C305" s="14" t="n">
        <v>416500</v>
      </c>
      <c r="D305" s="37" t="n">
        <f aca="false">200000</f>
        <v>200000</v>
      </c>
      <c r="E305" s="69" t="n">
        <f aca="false">C305-D305</f>
        <v>216500</v>
      </c>
    </row>
    <row r="306" customFormat="false" ht="15" hidden="false" customHeight="false" outlineLevel="0" collapsed="false">
      <c r="A306" s="35" t="n">
        <v>15</v>
      </c>
      <c r="B306" s="39" t="s">
        <v>377</v>
      </c>
      <c r="C306" s="14" t="n">
        <v>416500</v>
      </c>
      <c r="D306" s="37" t="n">
        <f aca="false">286000+130000</f>
        <v>416000</v>
      </c>
      <c r="E306" s="69" t="n">
        <f aca="false">C306-D306</f>
        <v>500</v>
      </c>
    </row>
    <row r="307" customFormat="false" ht="15" hidden="false" customHeight="false" outlineLevel="0" collapsed="false">
      <c r="A307" s="35" t="n">
        <v>16</v>
      </c>
      <c r="B307" s="39" t="s">
        <v>378</v>
      </c>
      <c r="C307" s="14" t="n">
        <v>416500</v>
      </c>
      <c r="D307" s="37" t="n">
        <f aca="false">100000</f>
        <v>100000</v>
      </c>
      <c r="E307" s="69" t="n">
        <f aca="false">C307-D307</f>
        <v>316500</v>
      </c>
    </row>
    <row r="308" customFormat="false" ht="15" hidden="false" customHeight="false" outlineLevel="0" collapsed="false">
      <c r="A308" s="53" t="n">
        <v>17</v>
      </c>
      <c r="B308" s="39" t="s">
        <v>379</v>
      </c>
      <c r="C308" s="14" t="n">
        <v>416500</v>
      </c>
      <c r="D308" s="37"/>
      <c r="E308" s="69" t="n">
        <f aca="false">C308-D308</f>
        <v>416500</v>
      </c>
    </row>
    <row r="309" customFormat="false" ht="15" hidden="false" customHeight="false" outlineLevel="0" collapsed="false">
      <c r="A309" s="35" t="n">
        <v>18</v>
      </c>
      <c r="B309" s="39" t="s">
        <v>380</v>
      </c>
      <c r="C309" s="14" t="n">
        <v>416500</v>
      </c>
      <c r="D309" s="37" t="n">
        <f aca="false">100000+100000</f>
        <v>200000</v>
      </c>
      <c r="E309" s="69" t="n">
        <f aca="false">C309-D309</f>
        <v>216500</v>
      </c>
    </row>
    <row r="310" customFormat="false" ht="15" hidden="false" customHeight="false" outlineLevel="0" collapsed="false">
      <c r="A310" s="12" t="n">
        <v>19</v>
      </c>
      <c r="B310" s="39" t="s">
        <v>381</v>
      </c>
      <c r="C310" s="14" t="n">
        <v>416500</v>
      </c>
      <c r="D310" s="37" t="s">
        <v>11</v>
      </c>
      <c r="E310" s="69" t="s">
        <v>11</v>
      </c>
    </row>
    <row r="311" customFormat="false" ht="15" hidden="false" customHeight="false" outlineLevel="0" collapsed="false">
      <c r="A311" s="35" t="n">
        <v>20</v>
      </c>
      <c r="B311" s="39" t="s">
        <v>382</v>
      </c>
      <c r="C311" s="14" t="n">
        <v>416500</v>
      </c>
      <c r="D311" s="37" t="s">
        <v>11</v>
      </c>
      <c r="E311" s="69" t="s">
        <v>11</v>
      </c>
    </row>
    <row r="312" customFormat="false" ht="15" hidden="false" customHeight="false" outlineLevel="0" collapsed="false">
      <c r="A312" s="35" t="n">
        <v>21</v>
      </c>
      <c r="B312" s="43" t="s">
        <v>383</v>
      </c>
      <c r="C312" s="14" t="n">
        <v>416500</v>
      </c>
      <c r="D312" s="37" t="s">
        <v>11</v>
      </c>
      <c r="E312" s="69" t="s">
        <v>11</v>
      </c>
    </row>
    <row r="313" customFormat="false" ht="15" hidden="false" customHeight="false" outlineLevel="0" collapsed="false">
      <c r="A313" s="53" t="n">
        <v>22</v>
      </c>
      <c r="B313" s="39" t="s">
        <v>384</v>
      </c>
      <c r="C313" s="14" t="n">
        <v>416500</v>
      </c>
      <c r="D313" s="37" t="s">
        <v>11</v>
      </c>
      <c r="E313" s="69" t="s">
        <v>11</v>
      </c>
    </row>
    <row r="314" customFormat="false" ht="15" hidden="false" customHeight="false" outlineLevel="0" collapsed="false">
      <c r="A314" s="35" t="n">
        <v>23</v>
      </c>
      <c r="B314" s="39" t="s">
        <v>385</v>
      </c>
      <c r="C314" s="14" t="n">
        <v>416500</v>
      </c>
      <c r="D314" s="37" t="n">
        <f aca="false">100000+90000+226500</f>
        <v>416500</v>
      </c>
      <c r="E314" s="69" t="n">
        <f aca="false">C314-D314</f>
        <v>0</v>
      </c>
    </row>
    <row r="315" customFormat="false" ht="15" hidden="false" customHeight="false" outlineLevel="0" collapsed="false">
      <c r="A315" s="12" t="n">
        <v>24</v>
      </c>
      <c r="B315" s="39" t="s">
        <v>386</v>
      </c>
      <c r="C315" s="14" t="n">
        <v>416500</v>
      </c>
      <c r="D315" s="37" t="n">
        <f aca="false">170000</f>
        <v>170000</v>
      </c>
      <c r="E315" s="69" t="n">
        <f aca="false">C315-D315</f>
        <v>246500</v>
      </c>
    </row>
    <row r="316" customFormat="false" ht="15" hidden="false" customHeight="false" outlineLevel="0" collapsed="false">
      <c r="A316" s="35" t="n">
        <v>25</v>
      </c>
      <c r="B316" s="20" t="s">
        <v>387</v>
      </c>
      <c r="C316" s="14" t="n">
        <v>416500</v>
      </c>
      <c r="D316" s="37"/>
      <c r="E316" s="69" t="n">
        <f aca="false">C316-D316</f>
        <v>416500</v>
      </c>
    </row>
    <row r="317" customFormat="false" ht="15" hidden="false" customHeight="false" outlineLevel="0" collapsed="false">
      <c r="A317" s="35" t="n">
        <v>26</v>
      </c>
      <c r="B317" s="20" t="s">
        <v>388</v>
      </c>
      <c r="C317" s="14" t="n">
        <v>416500</v>
      </c>
      <c r="D317" s="37" t="n">
        <f aca="false">200000</f>
        <v>200000</v>
      </c>
      <c r="E317" s="69" t="s">
        <v>11</v>
      </c>
    </row>
    <row r="318" customFormat="false" ht="15" hidden="false" customHeight="false" outlineLevel="0" collapsed="false">
      <c r="A318" s="53" t="n">
        <v>27</v>
      </c>
      <c r="B318" s="39" t="s">
        <v>389</v>
      </c>
      <c r="C318" s="14" t="n">
        <v>416500</v>
      </c>
      <c r="D318" s="37" t="s">
        <v>390</v>
      </c>
      <c r="E318" s="69" t="e">
        <f aca="false">C318-D318</f>
        <v>#VALUE!</v>
      </c>
    </row>
    <row r="319" customFormat="false" ht="17.35" hidden="false" customHeight="false" outlineLevel="0" collapsed="false">
      <c r="A319" s="22"/>
      <c r="B319" s="23" t="s">
        <v>21</v>
      </c>
      <c r="C319" s="24" t="n">
        <f aca="false">SUM(C292:C318)</f>
        <v>11245500</v>
      </c>
      <c r="D319" s="25" t="n">
        <f aca="false">SUM(D292:D318)</f>
        <v>5200000</v>
      </c>
      <c r="E319" s="70" t="e">
        <f aca="false">SUM(E292:E318)</f>
        <v>#VALUE!</v>
      </c>
    </row>
    <row r="320" customFormat="false" ht="17.35" hidden="false" customHeight="false" outlineLevel="0" collapsed="false">
      <c r="B320" s="28"/>
      <c r="C320" s="29"/>
      <c r="D320" s="30"/>
      <c r="E320" s="67"/>
    </row>
    <row r="321" customFormat="false" ht="17.35" hidden="false" customHeight="false" outlineLevel="0" collapsed="false">
      <c r="B321" s="85"/>
      <c r="C321" s="82"/>
      <c r="D321" s="83"/>
      <c r="E321" s="84"/>
    </row>
    <row r="322" customFormat="false" ht="17.35" hidden="false" customHeight="false" outlineLevel="0" collapsed="false">
      <c r="A322" s="2"/>
      <c r="B322" s="3" t="s">
        <v>0</v>
      </c>
      <c r="D322" s="32"/>
      <c r="E322" s="32"/>
    </row>
    <row r="323" customFormat="false" ht="17.35" hidden="false" customHeight="false" outlineLevel="0" collapsed="false">
      <c r="A323" s="4"/>
      <c r="D323" s="32"/>
      <c r="E323" s="32"/>
    </row>
    <row r="324" customFormat="false" ht="15" hidden="false" customHeight="false" outlineLevel="0" collapsed="false">
      <c r="A324" s="2"/>
      <c r="D324" s="32"/>
      <c r="E324" s="32"/>
    </row>
    <row r="325" customFormat="false" ht="17.25" hidden="false" customHeight="false" outlineLevel="0" collapsed="false">
      <c r="A325" s="2"/>
      <c r="B325" s="5" t="s">
        <v>75</v>
      </c>
      <c r="D325" s="32"/>
      <c r="E325" s="32"/>
    </row>
    <row r="326" customFormat="false" ht="15" hidden="false" customHeight="false" outlineLevel="0" collapsed="false">
      <c r="A326" s="2"/>
      <c r="D326" s="33" t="s">
        <v>161</v>
      </c>
      <c r="E326" s="32"/>
    </row>
    <row r="327" customFormat="false" ht="15" hidden="false" customHeight="false" outlineLevel="0" collapsed="false">
      <c r="A327" s="2"/>
      <c r="D327" s="32"/>
      <c r="E327" s="32"/>
    </row>
    <row r="328" customFormat="false" ht="15" hidden="false" customHeight="false" outlineLevel="0" collapsed="false">
      <c r="A328" s="7" t="s">
        <v>3</v>
      </c>
      <c r="B328" s="8" t="s">
        <v>4</v>
      </c>
      <c r="C328" s="9" t="s">
        <v>5</v>
      </c>
      <c r="D328" s="34" t="s">
        <v>6</v>
      </c>
      <c r="E328" s="68" t="s">
        <v>7</v>
      </c>
    </row>
    <row r="329" customFormat="false" ht="15" hidden="false" customHeight="false" outlineLevel="0" collapsed="false">
      <c r="A329" s="86" t="n">
        <v>1</v>
      </c>
      <c r="B329" s="20" t="s">
        <v>391</v>
      </c>
      <c r="C329" s="37" t="n">
        <v>416500</v>
      </c>
      <c r="D329" s="37" t="n">
        <f aca="false">220000+100000+90000+6500</f>
        <v>416500</v>
      </c>
      <c r="E329" s="69" t="n">
        <f aca="false">C329-D329</f>
        <v>0</v>
      </c>
    </row>
    <row r="330" customFormat="false" ht="15" hidden="false" customHeight="false" outlineLevel="0" collapsed="false">
      <c r="A330" s="35" t="n">
        <v>2</v>
      </c>
      <c r="B330" s="39" t="s">
        <v>392</v>
      </c>
      <c r="C330" s="14" t="n">
        <v>416500</v>
      </c>
      <c r="D330" s="37" t="n">
        <f aca="false">60000+150000+120000</f>
        <v>330000</v>
      </c>
      <c r="E330" s="69" t="n">
        <f aca="false">C330-D330</f>
        <v>86500</v>
      </c>
    </row>
    <row r="331" customFormat="false" ht="15" hidden="false" customHeight="false" outlineLevel="0" collapsed="false">
      <c r="A331" s="12" t="n">
        <v>3</v>
      </c>
      <c r="B331" s="39" t="s">
        <v>393</v>
      </c>
      <c r="C331" s="14" t="n">
        <v>416500</v>
      </c>
      <c r="D331" s="37" t="n">
        <f aca="false">150000+50000+16500+110000+35000+55000-25000</f>
        <v>391500</v>
      </c>
      <c r="E331" s="69" t="n">
        <f aca="false">C331-D331</f>
        <v>25000</v>
      </c>
    </row>
    <row r="332" customFormat="false" ht="15" hidden="false" customHeight="false" outlineLevel="0" collapsed="false">
      <c r="A332" s="35" t="n">
        <v>4</v>
      </c>
      <c r="B332" s="20" t="s">
        <v>394</v>
      </c>
      <c r="C332" s="37" t="n">
        <v>416500</v>
      </c>
      <c r="D332" s="37" t="n">
        <f aca="false">216500+200000</f>
        <v>416500</v>
      </c>
      <c r="E332" s="69" t="n">
        <f aca="false">C332-D332</f>
        <v>0</v>
      </c>
    </row>
    <row r="333" customFormat="false" ht="15" hidden="false" customHeight="false" outlineLevel="0" collapsed="false">
      <c r="A333" s="50" t="n">
        <v>5</v>
      </c>
      <c r="B333" s="43" t="s">
        <v>395</v>
      </c>
      <c r="C333" s="14" t="n">
        <v>416500</v>
      </c>
      <c r="D333" s="37" t="n">
        <f aca="false">200000+16500+50000+40000+20000+90000</f>
        <v>416500</v>
      </c>
      <c r="E333" s="69" t="n">
        <f aca="false">C333-D333</f>
        <v>0</v>
      </c>
    </row>
    <row r="334" customFormat="false" ht="15" hidden="false" customHeight="false" outlineLevel="0" collapsed="false">
      <c r="A334" s="35" t="n">
        <v>6</v>
      </c>
      <c r="B334" s="43" t="s">
        <v>396</v>
      </c>
      <c r="C334" s="14" t="n">
        <v>416500</v>
      </c>
      <c r="D334" s="37" t="n">
        <f aca="false">200000+216500</f>
        <v>416500</v>
      </c>
      <c r="E334" s="69" t="n">
        <f aca="false">C334-D334</f>
        <v>0</v>
      </c>
    </row>
    <row r="335" customFormat="false" ht="15" hidden="false" customHeight="false" outlineLevel="0" collapsed="false">
      <c r="A335" s="12" t="n">
        <v>7</v>
      </c>
      <c r="B335" s="39" t="s">
        <v>397</v>
      </c>
      <c r="C335" s="14" t="n">
        <v>416500</v>
      </c>
      <c r="D335" s="37"/>
      <c r="E335" s="69" t="n">
        <f aca="false">C335-D335</f>
        <v>416500</v>
      </c>
    </row>
    <row r="336" customFormat="false" ht="15" hidden="false" customHeight="false" outlineLevel="0" collapsed="false">
      <c r="A336" s="35" t="n">
        <v>8</v>
      </c>
      <c r="B336" s="39" t="s">
        <v>398</v>
      </c>
      <c r="C336" s="14" t="n">
        <v>416500</v>
      </c>
      <c r="D336" s="37"/>
      <c r="E336" s="69" t="n">
        <f aca="false">C336-D336</f>
        <v>416500</v>
      </c>
    </row>
    <row r="337" customFormat="false" ht="15" hidden="false" customHeight="false" outlineLevel="0" collapsed="false">
      <c r="A337" s="50" t="n">
        <v>9</v>
      </c>
      <c r="B337" s="39" t="s">
        <v>399</v>
      </c>
      <c r="C337" s="14" t="n">
        <v>416500</v>
      </c>
      <c r="D337" s="37" t="n">
        <f aca="false">216500+200000</f>
        <v>416500</v>
      </c>
      <c r="E337" s="69" t="n">
        <f aca="false">C337-D337</f>
        <v>0</v>
      </c>
    </row>
    <row r="338" customFormat="false" ht="15" hidden="false" customHeight="false" outlineLevel="0" collapsed="false">
      <c r="A338" s="35" t="n">
        <v>10</v>
      </c>
      <c r="B338" s="39" t="s">
        <v>400</v>
      </c>
      <c r="C338" s="14" t="n">
        <v>416500</v>
      </c>
      <c r="D338" s="37"/>
      <c r="E338" s="69" t="n">
        <f aca="false">C338-D338</f>
        <v>416500</v>
      </c>
    </row>
    <row r="339" customFormat="false" ht="15" hidden="false" customHeight="false" outlineLevel="0" collapsed="false">
      <c r="A339" s="12" t="n">
        <v>11</v>
      </c>
      <c r="B339" s="39" t="s">
        <v>401</v>
      </c>
      <c r="C339" s="14" t="n">
        <v>416500</v>
      </c>
      <c r="D339" s="37"/>
      <c r="E339" s="69" t="n">
        <f aca="false">C339-D339</f>
        <v>416500</v>
      </c>
    </row>
    <row r="340" customFormat="false" ht="15" hidden="false" customHeight="false" outlineLevel="0" collapsed="false">
      <c r="A340" s="35" t="n">
        <v>12</v>
      </c>
      <c r="B340" s="39" t="s">
        <v>402</v>
      </c>
      <c r="C340" s="14" t="n">
        <v>416500</v>
      </c>
      <c r="D340" s="37" t="n">
        <f aca="false">99500+90000</f>
        <v>189500</v>
      </c>
      <c r="E340" s="69" t="n">
        <f aca="false">C340-D340</f>
        <v>227000</v>
      </c>
    </row>
    <row r="341" customFormat="false" ht="15" hidden="false" customHeight="false" outlineLevel="0" collapsed="false">
      <c r="A341" s="50" t="n">
        <v>13</v>
      </c>
      <c r="B341" s="39" t="s">
        <v>403</v>
      </c>
      <c r="C341" s="14" t="n">
        <v>416500</v>
      </c>
      <c r="D341" s="37" t="n">
        <f aca="false">72000</f>
        <v>72000</v>
      </c>
      <c r="E341" s="69" t="n">
        <f aca="false">C341-D341</f>
        <v>344500</v>
      </c>
    </row>
    <row r="342" customFormat="false" ht="15" hidden="false" customHeight="false" outlineLevel="0" collapsed="false">
      <c r="A342" s="35" t="n">
        <v>14</v>
      </c>
      <c r="B342" s="39" t="s">
        <v>404</v>
      </c>
      <c r="C342" s="14" t="n">
        <v>416500</v>
      </c>
      <c r="D342" s="37" t="n">
        <f aca="false">189000+27500+200000</f>
        <v>416500</v>
      </c>
      <c r="E342" s="69" t="n">
        <f aca="false">C342-D342</f>
        <v>0</v>
      </c>
    </row>
    <row r="343" customFormat="false" ht="15" hidden="false" customHeight="false" outlineLevel="0" collapsed="false">
      <c r="A343" s="12" t="n">
        <v>15</v>
      </c>
      <c r="B343" s="43" t="s">
        <v>405</v>
      </c>
      <c r="C343" s="14" t="n">
        <v>416500</v>
      </c>
      <c r="D343" s="37" t="n">
        <f aca="false">130000+20000+30000+36000+20000+30000+34000+500+50000</f>
        <v>350500</v>
      </c>
      <c r="E343" s="69" t="n">
        <f aca="false">C343-D343</f>
        <v>66000</v>
      </c>
    </row>
    <row r="344" customFormat="false" ht="15" hidden="false" customHeight="false" outlineLevel="0" collapsed="false">
      <c r="A344" s="35" t="n">
        <v>16</v>
      </c>
      <c r="B344" s="39" t="s">
        <v>406</v>
      </c>
      <c r="C344" s="14" t="n">
        <v>416500</v>
      </c>
      <c r="D344" s="37" t="n">
        <v>416500</v>
      </c>
      <c r="E344" s="69" t="n">
        <f aca="false">C344-D344</f>
        <v>0</v>
      </c>
    </row>
    <row r="345" customFormat="false" ht="15" hidden="false" customHeight="false" outlineLevel="0" collapsed="false">
      <c r="A345" s="50" t="n">
        <v>17</v>
      </c>
      <c r="B345" s="20" t="s">
        <v>407</v>
      </c>
      <c r="C345" s="37" t="n">
        <v>416500</v>
      </c>
      <c r="D345" s="37" t="n">
        <f aca="false">100000+100000+216500</f>
        <v>416500</v>
      </c>
      <c r="E345" s="69" t="n">
        <f aca="false">C345-D345</f>
        <v>0</v>
      </c>
    </row>
    <row r="346" customFormat="false" ht="15" hidden="false" customHeight="false" outlineLevel="0" collapsed="false">
      <c r="A346" s="35" t="n">
        <v>18</v>
      </c>
      <c r="B346" s="20" t="s">
        <v>408</v>
      </c>
      <c r="C346" s="37" t="n">
        <v>416500</v>
      </c>
      <c r="D346" s="37" t="n">
        <f aca="false">100000+117000+150000</f>
        <v>367000</v>
      </c>
      <c r="E346" s="69" t="n">
        <f aca="false">C346-D346</f>
        <v>49500</v>
      </c>
    </row>
    <row r="347" customFormat="false" ht="15" hidden="false" customHeight="false" outlineLevel="0" collapsed="false">
      <c r="A347" s="12" t="n">
        <v>19</v>
      </c>
      <c r="B347" s="43" t="s">
        <v>409</v>
      </c>
      <c r="C347" s="14" t="n">
        <v>416500</v>
      </c>
      <c r="D347" s="37"/>
      <c r="E347" s="69" t="n">
        <f aca="false">C347-D347</f>
        <v>416500</v>
      </c>
    </row>
    <row r="348" customFormat="false" ht="15" hidden="false" customHeight="false" outlineLevel="0" collapsed="false">
      <c r="A348" s="35" t="n">
        <v>20</v>
      </c>
      <c r="B348" s="43" t="s">
        <v>410</v>
      </c>
      <c r="C348" s="14" t="n">
        <v>416500</v>
      </c>
      <c r="D348" s="37" t="n">
        <f aca="false">216500</f>
        <v>216500</v>
      </c>
      <c r="E348" s="69" t="n">
        <f aca="false">C348-D348</f>
        <v>200000</v>
      </c>
    </row>
    <row r="349" customFormat="false" ht="15" hidden="false" customHeight="false" outlineLevel="0" collapsed="false">
      <c r="A349" s="50" t="n">
        <v>21</v>
      </c>
      <c r="B349" s="39" t="s">
        <v>411</v>
      </c>
      <c r="C349" s="14" t="n">
        <v>416500</v>
      </c>
      <c r="D349" s="37"/>
      <c r="E349" s="69" t="n">
        <f aca="false">C349-D349</f>
        <v>416500</v>
      </c>
    </row>
    <row r="350" customFormat="false" ht="17.35" hidden="false" customHeight="false" outlineLevel="0" collapsed="false">
      <c r="A350" s="22"/>
      <c r="B350" s="23" t="s">
        <v>21</v>
      </c>
      <c r="C350" s="24" t="n">
        <f aca="false">SUM(C329:C349)</f>
        <v>8746500</v>
      </c>
      <c r="D350" s="25" t="n">
        <f aca="false">SUM(D329:D349)</f>
        <v>5249000</v>
      </c>
      <c r="E350" s="70" t="n">
        <f aca="false">SUM(E329:E349)</f>
        <v>3497500</v>
      </c>
    </row>
    <row r="351" customFormat="false" ht="17.35" hidden="false" customHeight="false" outlineLevel="0" collapsed="false">
      <c r="B351" s="85"/>
      <c r="C351" s="82"/>
      <c r="D351" s="83"/>
      <c r="E351" s="84"/>
    </row>
    <row r="352" customFormat="false" ht="15" hidden="false" customHeight="false" outlineLevel="0" collapsed="false">
      <c r="D352" s="32"/>
      <c r="E352" s="32"/>
    </row>
    <row r="353" customFormat="false" ht="15" hidden="false" customHeight="false" outlineLevel="0" collapsed="false">
      <c r="D353" s="32"/>
      <c r="E353" s="32"/>
    </row>
    <row r="354" customFormat="false" ht="17.35" hidden="false" customHeight="false" outlineLevel="0" collapsed="false">
      <c r="A354" s="2"/>
      <c r="B354" s="3" t="s">
        <v>0</v>
      </c>
      <c r="D354" s="32"/>
      <c r="E354" s="32"/>
    </row>
    <row r="355" customFormat="false" ht="17.35" hidden="false" customHeight="false" outlineLevel="0" collapsed="false">
      <c r="A355" s="4"/>
      <c r="D355" s="32"/>
      <c r="E355" s="32"/>
    </row>
    <row r="356" customFormat="false" ht="15" hidden="false" customHeight="false" outlineLevel="0" collapsed="false">
      <c r="A356" s="2"/>
      <c r="D356" s="32"/>
      <c r="E356" s="32"/>
    </row>
    <row r="357" customFormat="false" ht="17.25" hidden="false" customHeight="false" outlineLevel="0" collapsed="false">
      <c r="A357" s="2"/>
      <c r="B357" s="5" t="s">
        <v>75</v>
      </c>
      <c r="D357" s="32"/>
      <c r="E357" s="32"/>
    </row>
    <row r="358" customFormat="false" ht="15" hidden="false" customHeight="false" outlineLevel="0" collapsed="false">
      <c r="A358" s="2"/>
      <c r="D358" s="33" t="s">
        <v>178</v>
      </c>
      <c r="E358" s="32"/>
    </row>
    <row r="359" customFormat="false" ht="15" hidden="false" customHeight="false" outlineLevel="0" collapsed="false">
      <c r="A359" s="2"/>
      <c r="D359" s="32"/>
      <c r="E359" s="32"/>
    </row>
    <row r="360" customFormat="false" ht="15" hidden="false" customHeight="false" outlineLevel="0" collapsed="false">
      <c r="A360" s="7" t="s">
        <v>3</v>
      </c>
      <c r="B360" s="8" t="s">
        <v>4</v>
      </c>
      <c r="C360" s="9" t="s">
        <v>5</v>
      </c>
      <c r="D360" s="34" t="s">
        <v>6</v>
      </c>
      <c r="E360" s="68" t="s">
        <v>7</v>
      </c>
    </row>
    <row r="361" customFormat="false" ht="15" hidden="false" customHeight="false" outlineLevel="0" collapsed="false">
      <c r="A361" s="35" t="n">
        <v>1</v>
      </c>
      <c r="B361" s="39" t="s">
        <v>412</v>
      </c>
      <c r="C361" s="14" t="n">
        <v>416500</v>
      </c>
      <c r="D361" s="37" t="n">
        <f aca="false">50000+25500+90000+180000+71000</f>
        <v>416500</v>
      </c>
      <c r="E361" s="69" t="n">
        <f aca="false">C361-D361</f>
        <v>0</v>
      </c>
    </row>
    <row r="362" customFormat="false" ht="15" hidden="false" customHeight="false" outlineLevel="0" collapsed="false">
      <c r="A362" s="12" t="n">
        <v>2</v>
      </c>
      <c r="B362" s="39" t="s">
        <v>413</v>
      </c>
      <c r="C362" s="14" t="n">
        <v>416500</v>
      </c>
      <c r="D362" s="37" t="n">
        <v>416500</v>
      </c>
      <c r="E362" s="69" t="n">
        <f aca="false">C362-D362</f>
        <v>0</v>
      </c>
    </row>
    <row r="363" customFormat="false" ht="15" hidden="false" customHeight="false" outlineLevel="0" collapsed="false">
      <c r="A363" s="35" t="n">
        <v>3</v>
      </c>
      <c r="B363" s="20" t="s">
        <v>414</v>
      </c>
      <c r="C363" s="87" t="n">
        <v>416500</v>
      </c>
      <c r="D363" s="88"/>
      <c r="E363" s="89" t="n">
        <f aca="false">C363-D363</f>
        <v>416500</v>
      </c>
    </row>
    <row r="364" customFormat="false" ht="15" hidden="false" customHeight="false" outlineLevel="0" collapsed="false">
      <c r="A364" s="35" t="n">
        <v>4</v>
      </c>
      <c r="B364" s="39" t="s">
        <v>415</v>
      </c>
      <c r="C364" s="14" t="n">
        <v>416500</v>
      </c>
      <c r="D364" s="37"/>
      <c r="E364" s="69" t="n">
        <f aca="false">C364-D364</f>
        <v>416500</v>
      </c>
    </row>
    <row r="365" customFormat="false" ht="15" hidden="false" customHeight="false" outlineLevel="0" collapsed="false">
      <c r="A365" s="35" t="n">
        <v>5</v>
      </c>
      <c r="B365" s="39" t="s">
        <v>416</v>
      </c>
      <c r="C365" s="14" t="n">
        <v>416500</v>
      </c>
      <c r="D365" s="37" t="n">
        <v>416500</v>
      </c>
      <c r="E365" s="69" t="n">
        <f aca="false">C365-D365</f>
        <v>0</v>
      </c>
    </row>
    <row r="366" customFormat="false" ht="15" hidden="false" customHeight="false" outlineLevel="0" collapsed="false">
      <c r="A366" s="12" t="n">
        <v>6</v>
      </c>
      <c r="B366" s="39" t="s">
        <v>417</v>
      </c>
      <c r="C366" s="14" t="n">
        <v>416500</v>
      </c>
      <c r="D366" s="37"/>
      <c r="E366" s="69" t="n">
        <f aca="false">C366-D366</f>
        <v>416500</v>
      </c>
    </row>
    <row r="367" customFormat="false" ht="15" hidden="false" customHeight="false" outlineLevel="0" collapsed="false">
      <c r="A367" s="35" t="n">
        <v>7</v>
      </c>
      <c r="B367" s="39" t="s">
        <v>418</v>
      </c>
      <c r="C367" s="14" t="n">
        <v>416500</v>
      </c>
      <c r="D367" s="37" t="n">
        <f aca="false">316500</f>
        <v>316500</v>
      </c>
      <c r="E367" s="69" t="n">
        <f aca="false">C367-D367</f>
        <v>100000</v>
      </c>
    </row>
    <row r="368" customFormat="false" ht="15" hidden="false" customHeight="false" outlineLevel="0" collapsed="false">
      <c r="A368" s="35" t="n">
        <v>8</v>
      </c>
      <c r="B368" s="39" t="s">
        <v>419</v>
      </c>
      <c r="C368" s="14" t="n">
        <v>416500</v>
      </c>
      <c r="D368" s="37"/>
      <c r="E368" s="69" t="n">
        <f aca="false">C368-D368</f>
        <v>416500</v>
      </c>
    </row>
    <row r="369" customFormat="false" ht="15" hidden="false" customHeight="false" outlineLevel="0" collapsed="false">
      <c r="A369" s="35" t="n">
        <v>9</v>
      </c>
      <c r="B369" s="39" t="s">
        <v>420</v>
      </c>
      <c r="C369" s="14" t="n">
        <v>416500</v>
      </c>
      <c r="D369" s="37" t="n">
        <f aca="false">266000+50000+100500</f>
        <v>416500</v>
      </c>
      <c r="E369" s="69" t="n">
        <f aca="false">C369-D369</f>
        <v>0</v>
      </c>
    </row>
    <row r="370" customFormat="false" ht="15" hidden="false" customHeight="false" outlineLevel="0" collapsed="false">
      <c r="A370" s="12" t="n">
        <v>10</v>
      </c>
      <c r="B370" s="39" t="s">
        <v>421</v>
      </c>
      <c r="C370" s="14" t="n">
        <v>416500</v>
      </c>
      <c r="D370" s="37" t="n">
        <f aca="false">216500+50000+150000</f>
        <v>416500</v>
      </c>
      <c r="E370" s="69" t="n">
        <f aca="false">C370-D370</f>
        <v>0</v>
      </c>
    </row>
    <row r="371" customFormat="false" ht="15" hidden="false" customHeight="false" outlineLevel="0" collapsed="false">
      <c r="A371" s="35" t="n">
        <v>11</v>
      </c>
      <c r="B371" s="39" t="s">
        <v>422</v>
      </c>
      <c r="C371" s="14" t="n">
        <v>416500</v>
      </c>
      <c r="D371" s="37" t="n">
        <f aca="false">216500+200000</f>
        <v>416500</v>
      </c>
      <c r="E371" s="69" t="n">
        <f aca="false">C371-D371</f>
        <v>0</v>
      </c>
    </row>
    <row r="372" customFormat="false" ht="15" hidden="false" customHeight="false" outlineLevel="0" collapsed="false">
      <c r="A372" s="35" t="n">
        <v>12</v>
      </c>
      <c r="B372" s="39" t="s">
        <v>423</v>
      </c>
      <c r="C372" s="14" t="n">
        <v>416500</v>
      </c>
      <c r="D372" s="37" t="n">
        <v>416500</v>
      </c>
      <c r="E372" s="69" t="n">
        <f aca="false">C372-D372</f>
        <v>0</v>
      </c>
    </row>
    <row r="373" customFormat="false" ht="15" hidden="false" customHeight="false" outlineLevel="0" collapsed="false">
      <c r="A373" s="35" t="n">
        <v>13</v>
      </c>
      <c r="B373" s="39" t="s">
        <v>424</v>
      </c>
      <c r="C373" s="14" t="n">
        <v>416500</v>
      </c>
      <c r="D373" s="37"/>
      <c r="E373" s="69" t="n">
        <f aca="false">C373-D373</f>
        <v>416500</v>
      </c>
    </row>
    <row r="374" customFormat="false" ht="17.35" hidden="false" customHeight="false" outlineLevel="0" collapsed="false">
      <c r="A374" s="22"/>
      <c r="B374" s="23" t="s">
        <v>21</v>
      </c>
      <c r="C374" s="24" t="n">
        <f aca="false">SUM(C361:C373)</f>
        <v>5414500</v>
      </c>
      <c r="D374" s="25" t="n">
        <f aca="false">SUM(D361:D373)</f>
        <v>3232000</v>
      </c>
      <c r="E374" s="70" t="n">
        <f aca="false">SUM(E361:E373)</f>
        <v>2182500</v>
      </c>
    </row>
    <row r="375" customFormat="false" ht="17.35" hidden="false" customHeight="false" outlineLevel="0" collapsed="false">
      <c r="B375" s="28"/>
      <c r="C375" s="29"/>
      <c r="D375" s="30"/>
      <c r="E375" s="67"/>
    </row>
    <row r="376" customFormat="false" ht="17.35" hidden="false" customHeight="false" outlineLevel="0" collapsed="false">
      <c r="B376" s="28"/>
      <c r="C376" s="29"/>
      <c r="D376" s="30"/>
      <c r="E376" s="67"/>
    </row>
    <row r="377" customFormat="false" ht="17.35" hidden="false" customHeight="false" outlineLevel="0" collapsed="false">
      <c r="B377" s="28"/>
      <c r="C377" s="29"/>
      <c r="D377" s="30"/>
      <c r="E377" s="67"/>
    </row>
    <row r="378" customFormat="false" ht="17.35" hidden="false" customHeight="false" outlineLevel="0" collapsed="false">
      <c r="B378" s="3" t="s">
        <v>0</v>
      </c>
      <c r="D378" s="32"/>
      <c r="E378" s="32"/>
    </row>
    <row r="379" customFormat="false" ht="15" hidden="false" customHeight="false" outlineLevel="0" collapsed="false">
      <c r="A379" s="2"/>
      <c r="D379" s="32"/>
      <c r="E379" s="32"/>
    </row>
    <row r="380" customFormat="false" ht="15" hidden="false" customHeight="false" outlineLevel="0" collapsed="false">
      <c r="A380" s="2"/>
      <c r="D380" s="32"/>
      <c r="E380" s="32"/>
    </row>
    <row r="381" customFormat="false" ht="15" hidden="false" customHeight="false" outlineLevel="0" collapsed="false">
      <c r="A381" s="2"/>
      <c r="B381" s="5" t="s">
        <v>425</v>
      </c>
      <c r="D381" s="32"/>
      <c r="E381" s="32"/>
    </row>
    <row r="382" customFormat="false" ht="15" hidden="false" customHeight="false" outlineLevel="0" collapsed="false">
      <c r="A382" s="2"/>
      <c r="D382" s="32"/>
      <c r="E382" s="33" t="s">
        <v>191</v>
      </c>
    </row>
    <row r="383" customFormat="false" ht="15" hidden="false" customHeight="false" outlineLevel="0" collapsed="false">
      <c r="A383" s="2"/>
      <c r="D383" s="32"/>
      <c r="E383" s="32"/>
    </row>
    <row r="384" customFormat="false" ht="15" hidden="false" customHeight="false" outlineLevel="0" collapsed="false">
      <c r="A384" s="7" t="s">
        <v>3</v>
      </c>
      <c r="B384" s="8" t="s">
        <v>4</v>
      </c>
      <c r="C384" s="9" t="s">
        <v>5</v>
      </c>
      <c r="D384" s="34" t="s">
        <v>6</v>
      </c>
      <c r="E384" s="68" t="s">
        <v>7</v>
      </c>
    </row>
    <row r="385" customFormat="false" ht="15" hidden="false" customHeight="false" outlineLevel="0" collapsed="false">
      <c r="A385" s="35" t="n">
        <v>1</v>
      </c>
      <c r="B385" s="36" t="s">
        <v>426</v>
      </c>
      <c r="C385" s="14" t="n">
        <v>416500</v>
      </c>
      <c r="D385" s="37" t="n">
        <f aca="false">216500+200000</f>
        <v>416500</v>
      </c>
      <c r="E385" s="69" t="n">
        <f aca="false">C385-D385</f>
        <v>0</v>
      </c>
    </row>
    <row r="386" customFormat="false" ht="15" hidden="false" customHeight="false" outlineLevel="0" collapsed="false">
      <c r="A386" s="35" t="n">
        <v>2</v>
      </c>
      <c r="B386" s="39" t="s">
        <v>427</v>
      </c>
      <c r="C386" s="14" t="n">
        <v>416500</v>
      </c>
      <c r="D386" s="37" t="n">
        <f aca="false">216500+100000</f>
        <v>316500</v>
      </c>
      <c r="E386" s="69" t="n">
        <f aca="false">C386-D386</f>
        <v>100000</v>
      </c>
    </row>
    <row r="387" customFormat="false" ht="15" hidden="false" customHeight="false" outlineLevel="0" collapsed="false">
      <c r="A387" s="50" t="n">
        <v>3</v>
      </c>
      <c r="B387" s="39" t="s">
        <v>428</v>
      </c>
      <c r="C387" s="14" t="n">
        <v>416500</v>
      </c>
      <c r="D387" s="37" t="n">
        <f aca="false">200000+16500+100000+100000</f>
        <v>416500</v>
      </c>
      <c r="E387" s="69" t="n">
        <f aca="false">C387-D387</f>
        <v>0</v>
      </c>
    </row>
    <row r="388" customFormat="false" ht="15" hidden="false" customHeight="false" outlineLevel="0" collapsed="false">
      <c r="A388" s="35" t="n">
        <v>4</v>
      </c>
      <c r="B388" s="39" t="s">
        <v>429</v>
      </c>
      <c r="C388" s="14" t="n">
        <v>416500</v>
      </c>
      <c r="D388" s="37" t="n">
        <f aca="false">216500+200000</f>
        <v>416500</v>
      </c>
      <c r="E388" s="69" t="n">
        <f aca="false">C388-D388</f>
        <v>0</v>
      </c>
    </row>
    <row r="389" customFormat="false" ht="15" hidden="false" customHeight="false" outlineLevel="0" collapsed="false">
      <c r="A389" s="35" t="n">
        <v>5</v>
      </c>
      <c r="B389" s="39" t="s">
        <v>430</v>
      </c>
      <c r="C389" s="14" t="n">
        <v>416500</v>
      </c>
      <c r="D389" s="37" t="n">
        <f aca="false">216500+200000</f>
        <v>416500</v>
      </c>
      <c r="E389" s="69" t="n">
        <f aca="false">C389-D389</f>
        <v>0</v>
      </c>
    </row>
    <row r="390" customFormat="false" ht="15" hidden="false" customHeight="false" outlineLevel="0" collapsed="false">
      <c r="A390" s="35" t="n">
        <v>6</v>
      </c>
      <c r="B390" s="39" t="s">
        <v>431</v>
      </c>
      <c r="C390" s="14" t="n">
        <v>416500</v>
      </c>
      <c r="D390" s="37" t="n">
        <f aca="false">250000+165500</f>
        <v>415500</v>
      </c>
      <c r="E390" s="69" t="n">
        <f aca="false">C390-D390</f>
        <v>1000</v>
      </c>
    </row>
    <row r="391" customFormat="false" ht="15" hidden="false" customHeight="false" outlineLevel="0" collapsed="false">
      <c r="A391" s="50" t="n">
        <v>7</v>
      </c>
      <c r="B391" s="39" t="s">
        <v>432</v>
      </c>
      <c r="C391" s="14" t="n">
        <v>416500</v>
      </c>
      <c r="D391" s="37" t="n">
        <f aca="false">100000+100000+216500</f>
        <v>416500</v>
      </c>
      <c r="E391" s="69" t="n">
        <f aca="false">C391-D391</f>
        <v>0</v>
      </c>
    </row>
    <row r="392" customFormat="false" ht="15" hidden="false" customHeight="false" outlineLevel="0" collapsed="false">
      <c r="A392" s="35" t="n">
        <v>8</v>
      </c>
      <c r="B392" s="39" t="s">
        <v>433</v>
      </c>
      <c r="C392" s="14" t="n">
        <v>416500</v>
      </c>
      <c r="D392" s="37" t="n">
        <f aca="false">200000+16500+200000</f>
        <v>416500</v>
      </c>
      <c r="E392" s="69" t="n">
        <f aca="false">C392-D392</f>
        <v>0</v>
      </c>
    </row>
    <row r="393" customFormat="false" ht="15" hidden="false" customHeight="false" outlineLevel="0" collapsed="false">
      <c r="A393" s="35" t="n">
        <v>9</v>
      </c>
      <c r="B393" s="75" t="s">
        <v>434</v>
      </c>
      <c r="C393" s="14" t="n">
        <v>416500</v>
      </c>
      <c r="D393" s="76" t="n">
        <f aca="false">216500+200000</f>
        <v>416500</v>
      </c>
      <c r="E393" s="69" t="n">
        <f aca="false">C393-D393</f>
        <v>0</v>
      </c>
    </row>
    <row r="394" customFormat="false" ht="15" hidden="false" customHeight="false" outlineLevel="0" collapsed="false">
      <c r="A394" s="35" t="n">
        <v>10</v>
      </c>
      <c r="B394" s="39" t="s">
        <v>435</v>
      </c>
      <c r="C394" s="14" t="n">
        <v>416500</v>
      </c>
      <c r="D394" s="37" t="n">
        <f aca="false">100000+50000+100000</f>
        <v>250000</v>
      </c>
      <c r="E394" s="69" t="n">
        <f aca="false">C394-D394</f>
        <v>166500</v>
      </c>
    </row>
    <row r="395" customFormat="false" ht="15" hidden="false" customHeight="false" outlineLevel="0" collapsed="false">
      <c r="A395" s="50" t="n">
        <v>11</v>
      </c>
      <c r="B395" s="75" t="s">
        <v>436</v>
      </c>
      <c r="C395" s="14" t="n">
        <v>416500</v>
      </c>
      <c r="D395" s="76" t="n">
        <f aca="false">216500+20000</f>
        <v>236500</v>
      </c>
      <c r="E395" s="69" t="n">
        <f aca="false">C395-D395</f>
        <v>180000</v>
      </c>
    </row>
    <row r="396" customFormat="false" ht="15" hidden="false" customHeight="false" outlineLevel="0" collapsed="false">
      <c r="A396" s="35" t="n">
        <v>12</v>
      </c>
      <c r="B396" s="90" t="s">
        <v>437</v>
      </c>
      <c r="C396" s="14" t="s">
        <v>11</v>
      </c>
      <c r="D396" s="76" t="s">
        <v>11</v>
      </c>
      <c r="E396" s="69" t="s">
        <v>11</v>
      </c>
    </row>
    <row r="397" customFormat="false" ht="15" hidden="false" customHeight="false" outlineLevel="0" collapsed="false">
      <c r="A397" s="35" t="n">
        <v>13</v>
      </c>
      <c r="B397" s="75" t="s">
        <v>438</v>
      </c>
      <c r="C397" s="14" t="n">
        <v>416500</v>
      </c>
      <c r="D397" s="76" t="n">
        <f aca="false">150000+150000+116500</f>
        <v>416500</v>
      </c>
      <c r="E397" s="69" t="n">
        <f aca="false">C397-D397</f>
        <v>0</v>
      </c>
    </row>
    <row r="398" customFormat="false" ht="15" hidden="false" customHeight="false" outlineLevel="0" collapsed="false">
      <c r="A398" s="35" t="n">
        <v>14</v>
      </c>
      <c r="B398" s="75" t="s">
        <v>439</v>
      </c>
      <c r="C398" s="14" t="n">
        <v>416500</v>
      </c>
      <c r="D398" s="76" t="n">
        <f aca="false">100000+100000</f>
        <v>200000</v>
      </c>
      <c r="E398" s="69" t="n">
        <f aca="false">C398-D398</f>
        <v>216500</v>
      </c>
    </row>
    <row r="399" customFormat="false" ht="15" hidden="false" customHeight="false" outlineLevel="0" collapsed="false">
      <c r="A399" s="50" t="n">
        <v>15</v>
      </c>
      <c r="B399" s="75" t="s">
        <v>440</v>
      </c>
      <c r="C399" s="14" t="n">
        <v>416500</v>
      </c>
      <c r="D399" s="76" t="n">
        <f aca="false">216500+200000</f>
        <v>416500</v>
      </c>
      <c r="E399" s="69" t="n">
        <f aca="false">C399-D399</f>
        <v>0</v>
      </c>
    </row>
    <row r="400" customFormat="false" ht="15" hidden="false" customHeight="false" outlineLevel="0" collapsed="false">
      <c r="A400" s="35" t="n">
        <v>16</v>
      </c>
      <c r="B400" s="39" t="s">
        <v>441</v>
      </c>
      <c r="C400" s="14" t="n">
        <v>416500</v>
      </c>
      <c r="D400" s="76" t="n">
        <f aca="false">216500+85000+90000</f>
        <v>391500</v>
      </c>
      <c r="E400" s="69" t="n">
        <f aca="false">C400-D400</f>
        <v>25000</v>
      </c>
    </row>
    <row r="401" customFormat="false" ht="15" hidden="false" customHeight="false" outlineLevel="0" collapsed="false">
      <c r="A401" s="35" t="n">
        <v>17</v>
      </c>
      <c r="B401" s="39" t="s">
        <v>442</v>
      </c>
      <c r="C401" s="14" t="n">
        <v>416500</v>
      </c>
      <c r="D401" s="37" t="n">
        <f aca="false">200000+100000+116500</f>
        <v>416500</v>
      </c>
      <c r="E401" s="69" t="n">
        <f aca="false">C401-D401</f>
        <v>0</v>
      </c>
    </row>
    <row r="402" customFormat="false" ht="15" hidden="false" customHeight="false" outlineLevel="0" collapsed="false">
      <c r="A402" s="35" t="n">
        <v>18</v>
      </c>
      <c r="B402" s="75" t="s">
        <v>443</v>
      </c>
      <c r="C402" s="14" t="n">
        <v>416500</v>
      </c>
      <c r="D402" s="76" t="n">
        <f aca="false">216500+200000</f>
        <v>416500</v>
      </c>
      <c r="E402" s="69" t="n">
        <f aca="false">C402-D402</f>
        <v>0</v>
      </c>
    </row>
    <row r="403" customFormat="false" ht="15" hidden="false" customHeight="false" outlineLevel="0" collapsed="false">
      <c r="A403" s="50" t="n">
        <v>19</v>
      </c>
      <c r="B403" s="91" t="s">
        <v>444</v>
      </c>
      <c r="C403" s="14" t="n">
        <v>416500</v>
      </c>
      <c r="D403" s="76" t="n">
        <f aca="false">100000</f>
        <v>100000</v>
      </c>
      <c r="E403" s="69" t="n">
        <f aca="false">C403-D403</f>
        <v>316500</v>
      </c>
    </row>
    <row r="404" customFormat="false" ht="17.35" hidden="false" customHeight="false" outlineLevel="0" collapsed="false">
      <c r="A404" s="35"/>
      <c r="B404" s="23" t="s">
        <v>21</v>
      </c>
      <c r="C404" s="24" t="n">
        <f aca="false">SUM(C385:C403)</f>
        <v>7497000</v>
      </c>
      <c r="D404" s="25" t="n">
        <f aca="false">SUM(D385:D403)</f>
        <v>6491500</v>
      </c>
      <c r="E404" s="70" t="n">
        <f aca="false">SUM(E385:E403)</f>
        <v>1005500</v>
      </c>
    </row>
    <row r="405" customFormat="false" ht="17.35" hidden="false" customHeight="false" outlineLevel="0" collapsed="false">
      <c r="B405" s="28"/>
      <c r="C405" s="29"/>
      <c r="D405" s="30"/>
      <c r="E405" s="67"/>
    </row>
    <row r="406" customFormat="false" ht="17.35" hidden="false" customHeight="false" outlineLevel="0" collapsed="false">
      <c r="B406" s="28"/>
      <c r="C406" s="29"/>
      <c r="D406" s="30"/>
      <c r="E406" s="67"/>
    </row>
    <row r="407" customFormat="false" ht="17.35" hidden="false" customHeight="false" outlineLevel="0" collapsed="false">
      <c r="B407" s="28"/>
      <c r="C407" s="29"/>
      <c r="D407" s="30"/>
      <c r="E407" s="67"/>
    </row>
    <row r="408" customFormat="false" ht="17.35" hidden="false" customHeight="false" outlineLevel="0" collapsed="false">
      <c r="B408" s="3" t="s">
        <v>0</v>
      </c>
      <c r="D408" s="32"/>
      <c r="E408" s="32"/>
    </row>
    <row r="409" customFormat="false" ht="15" hidden="false" customHeight="false" outlineLevel="0" collapsed="false">
      <c r="A409" s="2"/>
      <c r="D409" s="32"/>
      <c r="E409" s="32"/>
    </row>
    <row r="410" customFormat="false" ht="15" hidden="false" customHeight="false" outlineLevel="0" collapsed="false">
      <c r="A410" s="2"/>
      <c r="D410" s="32"/>
      <c r="E410" s="32"/>
    </row>
    <row r="411" customFormat="false" ht="15" hidden="false" customHeight="false" outlineLevel="0" collapsed="false">
      <c r="A411" s="2"/>
      <c r="B411" s="5" t="s">
        <v>425</v>
      </c>
      <c r="D411" s="32"/>
      <c r="E411" s="32"/>
    </row>
    <row r="412" customFormat="false" ht="15" hidden="false" customHeight="false" outlineLevel="0" collapsed="false">
      <c r="A412" s="2"/>
      <c r="D412" s="32"/>
      <c r="E412" s="33" t="s">
        <v>161</v>
      </c>
    </row>
    <row r="413" customFormat="false" ht="15" hidden="false" customHeight="false" outlineLevel="0" collapsed="false">
      <c r="A413" s="2"/>
      <c r="D413" s="32"/>
      <c r="E413" s="32"/>
    </row>
    <row r="414" customFormat="false" ht="15" hidden="false" customHeight="false" outlineLevel="0" collapsed="false">
      <c r="A414" s="7" t="s">
        <v>3</v>
      </c>
      <c r="B414" s="8" t="s">
        <v>4</v>
      </c>
      <c r="C414" s="9" t="s">
        <v>5</v>
      </c>
      <c r="D414" s="34" t="s">
        <v>6</v>
      </c>
      <c r="E414" s="68" t="s">
        <v>7</v>
      </c>
    </row>
    <row r="415" customFormat="false" ht="15" hidden="false" customHeight="false" outlineLevel="0" collapsed="false">
      <c r="A415" s="35" t="n">
        <v>1</v>
      </c>
      <c r="B415" s="39" t="s">
        <v>445</v>
      </c>
      <c r="C415" s="14" t="n">
        <v>416500</v>
      </c>
      <c r="D415" s="37" t="n">
        <f aca="false">216500</f>
        <v>216500</v>
      </c>
      <c r="E415" s="69" t="n">
        <f aca="false">C415-D415</f>
        <v>200000</v>
      </c>
    </row>
    <row r="416" customFormat="false" ht="15" hidden="false" customHeight="false" outlineLevel="0" collapsed="false">
      <c r="A416" s="35" t="n">
        <v>2</v>
      </c>
      <c r="B416" s="39" t="s">
        <v>446</v>
      </c>
      <c r="C416" s="14" t="s">
        <v>11</v>
      </c>
      <c r="D416" s="37" t="s">
        <v>11</v>
      </c>
      <c r="E416" s="69" t="s">
        <v>11</v>
      </c>
    </row>
    <row r="417" customFormat="false" ht="15" hidden="false" customHeight="false" outlineLevel="0" collapsed="false">
      <c r="A417" s="35" t="n">
        <v>3</v>
      </c>
      <c r="B417" s="39" t="s">
        <v>447</v>
      </c>
      <c r="C417" s="14" t="n">
        <v>416500</v>
      </c>
      <c r="D417" s="37" t="n">
        <f aca="false">216500+200000</f>
        <v>416500</v>
      </c>
      <c r="E417" s="69" t="n">
        <f aca="false">C417-D417</f>
        <v>0</v>
      </c>
    </row>
    <row r="418" customFormat="false" ht="15" hidden="false" customHeight="false" outlineLevel="0" collapsed="false">
      <c r="A418" s="35" t="n">
        <v>4</v>
      </c>
      <c r="B418" s="39" t="s">
        <v>448</v>
      </c>
      <c r="C418" s="14" t="n">
        <v>416500</v>
      </c>
      <c r="D418" s="37" t="n">
        <v>215000</v>
      </c>
      <c r="E418" s="69" t="n">
        <f aca="false">C418-D418</f>
        <v>201500</v>
      </c>
    </row>
    <row r="419" customFormat="false" ht="15" hidden="false" customHeight="false" outlineLevel="0" collapsed="false">
      <c r="A419" s="35" t="n">
        <v>5</v>
      </c>
      <c r="B419" s="39" t="s">
        <v>449</v>
      </c>
      <c r="C419" s="37" t="n">
        <v>416500</v>
      </c>
      <c r="D419" s="37"/>
      <c r="E419" s="69" t="n">
        <f aca="false">C419-D419</f>
        <v>416500</v>
      </c>
    </row>
    <row r="420" customFormat="false" ht="15" hidden="false" customHeight="false" outlineLevel="0" collapsed="false">
      <c r="A420" s="35" t="n">
        <v>6</v>
      </c>
      <c r="B420" s="39" t="s">
        <v>450</v>
      </c>
      <c r="C420" s="14" t="n">
        <v>416500</v>
      </c>
      <c r="D420" s="37" t="n">
        <f aca="false">200000+116500+100000</f>
        <v>416500</v>
      </c>
      <c r="E420" s="69" t="n">
        <f aca="false">C420-D420</f>
        <v>0</v>
      </c>
    </row>
    <row r="421" customFormat="false" ht="15" hidden="false" customHeight="false" outlineLevel="0" collapsed="false">
      <c r="A421" s="35" t="n">
        <v>7</v>
      </c>
      <c r="B421" s="39" t="s">
        <v>451</v>
      </c>
      <c r="C421" s="14" t="n">
        <v>416500</v>
      </c>
      <c r="D421" s="37"/>
      <c r="E421" s="69" t="n">
        <f aca="false">C421-D421</f>
        <v>416500</v>
      </c>
    </row>
    <row r="422" customFormat="false" ht="15" hidden="false" customHeight="false" outlineLevel="0" collapsed="false">
      <c r="A422" s="35" t="n">
        <v>8</v>
      </c>
      <c r="B422" s="39" t="s">
        <v>452</v>
      </c>
      <c r="C422" s="14" t="n">
        <v>416500</v>
      </c>
      <c r="D422" s="37" t="n">
        <f aca="false">200000+417000</f>
        <v>617000</v>
      </c>
      <c r="E422" s="69" t="n">
        <f aca="false">C422-D422</f>
        <v>-200500</v>
      </c>
    </row>
    <row r="423" customFormat="false" ht="15" hidden="false" customHeight="false" outlineLevel="0" collapsed="false">
      <c r="A423" s="35" t="n">
        <v>9</v>
      </c>
      <c r="B423" s="39" t="s">
        <v>453</v>
      </c>
      <c r="C423" s="14" t="n">
        <v>416500</v>
      </c>
      <c r="D423" s="37" t="n">
        <f aca="false">100000</f>
        <v>100000</v>
      </c>
      <c r="E423" s="69" t="n">
        <f aca="false">C423-D423</f>
        <v>316500</v>
      </c>
    </row>
    <row r="424" customFormat="false" ht="15" hidden="false" customHeight="false" outlineLevel="0" collapsed="false">
      <c r="A424" s="35" t="n">
        <v>10</v>
      </c>
      <c r="B424" s="91" t="s">
        <v>454</v>
      </c>
      <c r="C424" s="14" t="n">
        <v>416500</v>
      </c>
      <c r="D424" s="76" t="n">
        <f aca="false">216000+200500</f>
        <v>416500</v>
      </c>
      <c r="E424" s="69" t="n">
        <f aca="false">C424-D424</f>
        <v>0</v>
      </c>
    </row>
    <row r="425" customFormat="false" ht="15" hidden="false" customHeight="false" outlineLevel="0" collapsed="false">
      <c r="A425" s="35" t="n">
        <v>11</v>
      </c>
      <c r="B425" s="75" t="s">
        <v>455</v>
      </c>
      <c r="C425" s="14" t="n">
        <v>416500</v>
      </c>
      <c r="D425" s="76" t="n">
        <f aca="false">150000</f>
        <v>150000</v>
      </c>
      <c r="E425" s="69" t="n">
        <f aca="false">C425-D425</f>
        <v>266500</v>
      </c>
    </row>
    <row r="426" customFormat="false" ht="15" hidden="false" customHeight="false" outlineLevel="0" collapsed="false">
      <c r="A426" s="35" t="n">
        <v>12</v>
      </c>
      <c r="B426" s="75" t="s">
        <v>456</v>
      </c>
      <c r="C426" s="14" t="n">
        <v>416500</v>
      </c>
      <c r="D426" s="76" t="n">
        <f aca="false">66500+50000+100000+200000</f>
        <v>416500</v>
      </c>
      <c r="E426" s="69" t="n">
        <f aca="false">C426-D426</f>
        <v>0</v>
      </c>
    </row>
    <row r="427" customFormat="false" ht="15" hidden="false" customHeight="false" outlineLevel="0" collapsed="false">
      <c r="A427" s="35" t="n">
        <v>13</v>
      </c>
      <c r="B427" s="90" t="s">
        <v>457</v>
      </c>
      <c r="C427" s="14" t="n">
        <v>416500</v>
      </c>
      <c r="D427" s="76"/>
      <c r="E427" s="69" t="n">
        <f aca="false">C427-D427</f>
        <v>416500</v>
      </c>
    </row>
    <row r="428" customFormat="false" ht="15" hidden="false" customHeight="false" outlineLevel="0" collapsed="false">
      <c r="A428" s="35" t="n">
        <v>14</v>
      </c>
      <c r="B428" s="75" t="s">
        <v>458</v>
      </c>
      <c r="C428" s="14" t="n">
        <v>416500</v>
      </c>
      <c r="D428" s="76" t="n">
        <f aca="false">216500+200000</f>
        <v>416500</v>
      </c>
      <c r="E428" s="69" t="n">
        <f aca="false">C428-D428</f>
        <v>0</v>
      </c>
    </row>
    <row r="429" customFormat="false" ht="15" hidden="false" customHeight="false" outlineLevel="0" collapsed="false">
      <c r="A429" s="35" t="n">
        <v>15</v>
      </c>
      <c r="B429" s="39" t="s">
        <v>459</v>
      </c>
      <c r="C429" s="14" t="n">
        <v>416500</v>
      </c>
      <c r="D429" s="76" t="n">
        <f aca="false">250000+120000+46500</f>
        <v>416500</v>
      </c>
      <c r="E429" s="69" t="n">
        <f aca="false">C429-D429</f>
        <v>0</v>
      </c>
    </row>
    <row r="430" customFormat="false" ht="15" hidden="false" customHeight="false" outlineLevel="0" collapsed="false">
      <c r="A430" s="35" t="n">
        <v>16</v>
      </c>
      <c r="B430" s="75" t="s">
        <v>460</v>
      </c>
      <c r="C430" s="14" t="n">
        <v>416500</v>
      </c>
      <c r="D430" s="76" t="n">
        <f aca="false">233000+183500-216500</f>
        <v>200000</v>
      </c>
      <c r="E430" s="69" t="n">
        <f aca="false">C430-D430</f>
        <v>216500</v>
      </c>
    </row>
    <row r="431" customFormat="false" ht="15" hidden="false" customHeight="false" outlineLevel="0" collapsed="false">
      <c r="A431" s="35" t="n">
        <v>17</v>
      </c>
      <c r="B431" s="75" t="s">
        <v>461</v>
      </c>
      <c r="C431" s="14" t="n">
        <v>416500</v>
      </c>
      <c r="D431" s="76" t="n">
        <f aca="false">216500+200000</f>
        <v>416500</v>
      </c>
      <c r="E431" s="69" t="n">
        <f aca="false">C431-D431</f>
        <v>0</v>
      </c>
    </row>
    <row r="432" customFormat="false" ht="17.35" hidden="false" customHeight="false" outlineLevel="0" collapsed="false">
      <c r="A432" s="35"/>
      <c r="B432" s="23" t="s">
        <v>21</v>
      </c>
      <c r="C432" s="24" t="n">
        <f aca="false">SUM(C415:C431)</f>
        <v>6664000</v>
      </c>
      <c r="D432" s="25" t="n">
        <f aca="false">SUM(D415:D431)</f>
        <v>4414000</v>
      </c>
      <c r="E432" s="70" t="n">
        <f aca="false">SUM(E415:E431)</f>
        <v>2250000</v>
      </c>
    </row>
    <row r="433" customFormat="false" ht="17.35" hidden="false" customHeight="false" outlineLevel="0" collapsed="false">
      <c r="B433" s="28"/>
      <c r="C433" s="29"/>
      <c r="D433" s="30"/>
      <c r="E433" s="67"/>
    </row>
    <row r="434" customFormat="false" ht="15" hidden="false" customHeight="false" outlineLevel="0" collapsed="false">
      <c r="D434" s="32"/>
      <c r="E434" s="32"/>
    </row>
    <row r="435" customFormat="false" ht="17.35" hidden="false" customHeight="false" outlineLevel="0" collapsed="false">
      <c r="B435" s="3" t="s">
        <v>0</v>
      </c>
      <c r="D435" s="32"/>
      <c r="E435" s="32"/>
    </row>
    <row r="436" customFormat="false" ht="15" hidden="false" customHeight="false" outlineLevel="0" collapsed="false">
      <c r="A436" s="2"/>
      <c r="D436" s="32"/>
      <c r="E436" s="32"/>
    </row>
    <row r="437" customFormat="false" ht="15" hidden="false" customHeight="false" outlineLevel="0" collapsed="false">
      <c r="A437" s="2"/>
      <c r="B437" s="6" t="s">
        <v>178</v>
      </c>
      <c r="D437" s="32"/>
      <c r="E437" s="32"/>
    </row>
    <row r="438" customFormat="false" ht="15" hidden="false" customHeight="false" outlineLevel="0" collapsed="false">
      <c r="A438" s="2"/>
      <c r="B438" s="5" t="s">
        <v>425</v>
      </c>
      <c r="D438" s="32"/>
      <c r="E438" s="32"/>
    </row>
    <row r="439" customFormat="false" ht="15" hidden="false" customHeight="false" outlineLevel="0" collapsed="false">
      <c r="A439" s="2"/>
      <c r="D439" s="32"/>
      <c r="E439" s="32"/>
    </row>
    <row r="440" customFormat="false" ht="15" hidden="false" customHeight="false" outlineLevel="0" collapsed="false">
      <c r="A440" s="2"/>
      <c r="D440" s="32"/>
      <c r="E440" s="32"/>
    </row>
    <row r="441" customFormat="false" ht="15" hidden="false" customHeight="false" outlineLevel="0" collapsed="false">
      <c r="A441" s="7" t="s">
        <v>3</v>
      </c>
      <c r="B441" s="8" t="s">
        <v>4</v>
      </c>
      <c r="C441" s="9" t="s">
        <v>5</v>
      </c>
      <c r="D441" s="34" t="s">
        <v>6</v>
      </c>
      <c r="E441" s="68" t="s">
        <v>7</v>
      </c>
    </row>
    <row r="442" customFormat="false" ht="15" hidden="false" customHeight="false" outlineLevel="0" collapsed="false">
      <c r="A442" s="35" t="n">
        <v>1</v>
      </c>
      <c r="B442" s="39" t="s">
        <v>462</v>
      </c>
      <c r="C442" s="14" t="n">
        <v>416500</v>
      </c>
      <c r="D442" s="37"/>
      <c r="E442" s="69" t="n">
        <f aca="false">C442-D442</f>
        <v>416500</v>
      </c>
    </row>
    <row r="443" customFormat="false" ht="15" hidden="false" customHeight="false" outlineLevel="0" collapsed="false">
      <c r="A443" s="35" t="n">
        <v>2</v>
      </c>
      <c r="B443" s="39" t="s">
        <v>463</v>
      </c>
      <c r="C443" s="14" t="n">
        <v>416500</v>
      </c>
      <c r="D443" s="37" t="n">
        <v>416500</v>
      </c>
      <c r="E443" s="69" t="n">
        <f aca="false">C443-D443</f>
        <v>0</v>
      </c>
    </row>
    <row r="444" customFormat="false" ht="15" hidden="false" customHeight="false" outlineLevel="0" collapsed="false">
      <c r="A444" s="35" t="n">
        <v>3</v>
      </c>
      <c r="B444" s="39" t="s">
        <v>464</v>
      </c>
      <c r="C444" s="14" t="n">
        <v>416500</v>
      </c>
      <c r="D444" s="37" t="n">
        <f aca="false">414500+2000</f>
        <v>416500</v>
      </c>
      <c r="E444" s="69" t="n">
        <f aca="false">C444-D444</f>
        <v>0</v>
      </c>
    </row>
    <row r="445" customFormat="false" ht="15" hidden="false" customHeight="false" outlineLevel="0" collapsed="false">
      <c r="A445" s="35" t="n">
        <v>4</v>
      </c>
      <c r="B445" s="39" t="s">
        <v>465</v>
      </c>
      <c r="C445" s="14" t="n">
        <v>416500</v>
      </c>
      <c r="D445" s="37" t="n">
        <v>416500</v>
      </c>
      <c r="E445" s="69" t="n">
        <f aca="false">C445-D445</f>
        <v>0</v>
      </c>
    </row>
    <row r="446" customFormat="false" ht="15" hidden="false" customHeight="false" outlineLevel="0" collapsed="false">
      <c r="A446" s="35" t="n">
        <v>5</v>
      </c>
      <c r="B446" s="39" t="s">
        <v>466</v>
      </c>
      <c r="C446" s="14" t="n">
        <v>416500</v>
      </c>
      <c r="D446" s="37"/>
      <c r="E446" s="69" t="n">
        <f aca="false">C446-D446</f>
        <v>416500</v>
      </c>
    </row>
    <row r="447" customFormat="false" ht="15" hidden="false" customHeight="false" outlineLevel="0" collapsed="false">
      <c r="A447" s="35" t="n">
        <v>6</v>
      </c>
      <c r="B447" s="39" t="s">
        <v>467</v>
      </c>
      <c r="C447" s="14" t="n">
        <v>416500</v>
      </c>
      <c r="D447" s="37" t="n">
        <f aca="false">100000+116500+200000</f>
        <v>416500</v>
      </c>
      <c r="E447" s="69" t="n">
        <f aca="false">C447-D447</f>
        <v>0</v>
      </c>
    </row>
    <row r="448" customFormat="false" ht="15" hidden="false" customHeight="false" outlineLevel="0" collapsed="false">
      <c r="A448" s="35" t="n">
        <v>7</v>
      </c>
      <c r="B448" s="39" t="s">
        <v>468</v>
      </c>
      <c r="C448" s="14" t="n">
        <v>416500</v>
      </c>
      <c r="D448" s="37" t="n">
        <v>416500</v>
      </c>
      <c r="E448" s="69" t="n">
        <f aca="false">C448-D448</f>
        <v>0</v>
      </c>
    </row>
    <row r="449" customFormat="false" ht="15" hidden="false" customHeight="false" outlineLevel="0" collapsed="false">
      <c r="A449" s="35" t="n">
        <v>8</v>
      </c>
      <c r="B449" s="39" t="s">
        <v>469</v>
      </c>
      <c r="C449" s="14" t="n">
        <v>416500</v>
      </c>
      <c r="D449" s="37"/>
      <c r="E449" s="69" t="n">
        <f aca="false">C449-D449</f>
        <v>416500</v>
      </c>
    </row>
    <row r="450" customFormat="false" ht="15" hidden="false" customHeight="false" outlineLevel="0" collapsed="false">
      <c r="A450" s="35" t="n">
        <v>9</v>
      </c>
      <c r="B450" s="43" t="s">
        <v>470</v>
      </c>
      <c r="C450" s="14" t="n">
        <v>416500</v>
      </c>
      <c r="D450" s="37" t="n">
        <f aca="false">215500+201000</f>
        <v>416500</v>
      </c>
      <c r="E450" s="69" t="n">
        <f aca="false">C450-D450</f>
        <v>0</v>
      </c>
    </row>
    <row r="451" customFormat="false" ht="15" hidden="false" customHeight="false" outlineLevel="0" collapsed="false">
      <c r="A451" s="35" t="n">
        <v>10</v>
      </c>
      <c r="B451" s="20" t="s">
        <v>471</v>
      </c>
      <c r="C451" s="14" t="n">
        <v>416500</v>
      </c>
      <c r="D451" s="37" t="n">
        <v>416500</v>
      </c>
      <c r="E451" s="69" t="n">
        <f aca="false">C451-D451</f>
        <v>0</v>
      </c>
    </row>
    <row r="452" customFormat="false" ht="15" hidden="false" customHeight="false" outlineLevel="0" collapsed="false">
      <c r="A452" s="35" t="n">
        <v>11</v>
      </c>
      <c r="B452" s="39" t="s">
        <v>472</v>
      </c>
      <c r="C452" s="14" t="n">
        <v>416500</v>
      </c>
      <c r="D452" s="37" t="n">
        <f aca="false">100000+316500</f>
        <v>416500</v>
      </c>
      <c r="E452" s="69" t="n">
        <f aca="false">C452-D452</f>
        <v>0</v>
      </c>
    </row>
    <row r="453" customFormat="false" ht="15" hidden="false" customHeight="false" outlineLevel="0" collapsed="false">
      <c r="A453" s="35" t="n">
        <v>12</v>
      </c>
      <c r="B453" s="39" t="s">
        <v>473</v>
      </c>
      <c r="C453" s="14" t="n">
        <v>416500</v>
      </c>
      <c r="D453" s="37" t="n">
        <f aca="false">200000+216500</f>
        <v>416500</v>
      </c>
      <c r="E453" s="69" t="n">
        <f aca="false">C453-D453</f>
        <v>0</v>
      </c>
    </row>
    <row r="454" customFormat="false" ht="15" hidden="false" customHeight="false" outlineLevel="0" collapsed="false">
      <c r="A454" s="35" t="n">
        <v>13</v>
      </c>
      <c r="B454" s="39" t="s">
        <v>474</v>
      </c>
      <c r="C454" s="14" t="n">
        <v>416500</v>
      </c>
      <c r="D454" s="37" t="n">
        <f aca="false">116500+300000</f>
        <v>416500</v>
      </c>
      <c r="E454" s="69" t="n">
        <f aca="false">C454-D454</f>
        <v>0</v>
      </c>
    </row>
    <row r="455" customFormat="false" ht="15" hidden="false" customHeight="false" outlineLevel="0" collapsed="false">
      <c r="A455" s="35" t="n">
        <v>14</v>
      </c>
      <c r="B455" s="39" t="s">
        <v>475</v>
      </c>
      <c r="C455" s="14" t="n">
        <v>416500</v>
      </c>
      <c r="D455" s="37" t="n">
        <f aca="false">150000+66500+50000+85000+65000</f>
        <v>416500</v>
      </c>
      <c r="E455" s="69" t="n">
        <f aca="false">C455-D455</f>
        <v>0</v>
      </c>
    </row>
    <row r="456" customFormat="false" ht="15" hidden="false" customHeight="false" outlineLevel="0" collapsed="false">
      <c r="A456" s="35" t="n">
        <v>15</v>
      </c>
      <c r="B456" s="39" t="s">
        <v>476</v>
      </c>
      <c r="C456" s="14" t="n">
        <v>416500</v>
      </c>
      <c r="D456" s="37" t="n">
        <f aca="false">300000+50000+66500</f>
        <v>416500</v>
      </c>
      <c r="E456" s="69" t="n">
        <f aca="false">C456-D456</f>
        <v>0</v>
      </c>
    </row>
    <row r="457" customFormat="false" ht="15" hidden="false" customHeight="false" outlineLevel="0" collapsed="false">
      <c r="A457" s="35" t="n">
        <v>16</v>
      </c>
      <c r="B457" s="75" t="s">
        <v>477</v>
      </c>
      <c r="C457" s="14" t="n">
        <v>416500</v>
      </c>
      <c r="D457" s="76" t="n">
        <f aca="false">216500+200000</f>
        <v>416500</v>
      </c>
      <c r="E457" s="69" t="n">
        <f aca="false">C457-D457</f>
        <v>0</v>
      </c>
    </row>
    <row r="458" customFormat="false" ht="15" hidden="false" customHeight="false" outlineLevel="0" collapsed="false">
      <c r="A458" s="35" t="n">
        <v>17</v>
      </c>
      <c r="B458" s="75" t="s">
        <v>478</v>
      </c>
      <c r="C458" s="14" t="n">
        <v>416500</v>
      </c>
      <c r="D458" s="76"/>
      <c r="E458" s="69" t="n">
        <f aca="false">C458-D458</f>
        <v>416500</v>
      </c>
    </row>
    <row r="459" customFormat="false" ht="15" hidden="false" customHeight="false" outlineLevel="0" collapsed="false">
      <c r="A459" s="35" t="n">
        <v>18</v>
      </c>
      <c r="B459" s="75" t="s">
        <v>479</v>
      </c>
      <c r="C459" s="14" t="n">
        <v>416500</v>
      </c>
      <c r="D459" s="76" t="n">
        <f aca="false">100000+100000+50000+66500+100000</f>
        <v>416500</v>
      </c>
      <c r="E459" s="69" t="n">
        <f aca="false">C459-D459</f>
        <v>0</v>
      </c>
    </row>
    <row r="460" customFormat="false" ht="15" hidden="false" customHeight="false" outlineLevel="0" collapsed="false">
      <c r="A460" s="35" t="n">
        <v>19</v>
      </c>
      <c r="B460" s="75" t="s">
        <v>480</v>
      </c>
      <c r="C460" s="14" t="n">
        <v>416500</v>
      </c>
      <c r="D460" s="76" t="n">
        <f aca="false">200000+216500</f>
        <v>416500</v>
      </c>
      <c r="E460" s="69" t="n">
        <f aca="false">C460-D460</f>
        <v>0</v>
      </c>
    </row>
    <row r="461" customFormat="false" ht="15" hidden="false" customHeight="false" outlineLevel="0" collapsed="false">
      <c r="A461" s="35" t="n">
        <v>20</v>
      </c>
      <c r="B461" s="75" t="s">
        <v>481</v>
      </c>
      <c r="C461" s="14" t="n">
        <v>416500</v>
      </c>
      <c r="D461" s="76" t="n">
        <f aca="false">250000+166500</f>
        <v>416500</v>
      </c>
      <c r="E461" s="69" t="n">
        <f aca="false">C461-D461</f>
        <v>0</v>
      </c>
    </row>
    <row r="462" customFormat="false" ht="15" hidden="false" customHeight="false" outlineLevel="0" collapsed="false">
      <c r="A462" s="35" t="n">
        <v>21</v>
      </c>
      <c r="B462" s="36" t="s">
        <v>482</v>
      </c>
      <c r="C462" s="14" t="n">
        <v>416500</v>
      </c>
      <c r="D462" s="37" t="n">
        <f aca="false">36500+300000+80000</f>
        <v>416500</v>
      </c>
      <c r="E462" s="69" t="n">
        <f aca="false">C462-D462</f>
        <v>0</v>
      </c>
    </row>
    <row r="463" customFormat="false" ht="15" hidden="false" customHeight="false" outlineLevel="0" collapsed="false">
      <c r="A463" s="50" t="n">
        <v>22</v>
      </c>
      <c r="B463" s="75" t="s">
        <v>483</v>
      </c>
      <c r="C463" s="14" t="n">
        <v>416500</v>
      </c>
      <c r="D463" s="76" t="n">
        <f aca="false">216500</f>
        <v>216500</v>
      </c>
      <c r="E463" s="69" t="n">
        <f aca="false">C463-D463</f>
        <v>200000</v>
      </c>
    </row>
    <row r="464" customFormat="false" ht="15" hidden="false" customHeight="false" outlineLevel="0" collapsed="false">
      <c r="A464" s="50" t="n">
        <v>23</v>
      </c>
      <c r="B464" s="75" t="s">
        <v>484</v>
      </c>
      <c r="C464" s="14" t="n">
        <v>416500</v>
      </c>
      <c r="D464" s="76" t="n">
        <f aca="false">216000+200000</f>
        <v>416000</v>
      </c>
      <c r="E464" s="69" t="n">
        <f aca="false">C464-D464</f>
        <v>500</v>
      </c>
    </row>
    <row r="465" customFormat="false" ht="17.35" hidden="false" customHeight="false" outlineLevel="0" collapsed="false">
      <c r="A465" s="50"/>
      <c r="B465" s="23" t="s">
        <v>21</v>
      </c>
      <c r="C465" s="24" t="n">
        <f aca="false">SUM(C442:C464)</f>
        <v>9579500</v>
      </c>
      <c r="D465" s="25" t="n">
        <f aca="false">SUM(D442:D464)</f>
        <v>7713000</v>
      </c>
      <c r="E465" s="70" t="n">
        <f aca="false">SUM(E442:E464)</f>
        <v>1866500</v>
      </c>
    </row>
    <row r="466" customFormat="false" ht="15" hidden="false" customHeight="false" outlineLevel="0" collapsed="false">
      <c r="D466" s="32"/>
      <c r="E466" s="32"/>
    </row>
    <row r="467" customFormat="false" ht="15" hidden="false" customHeight="false" outlineLevel="0" collapsed="false">
      <c r="D467" s="32"/>
      <c r="E467" s="32"/>
    </row>
    <row r="468" customFormat="false" ht="15" hidden="false" customHeight="false" outlineLevel="0" collapsed="false">
      <c r="D468" s="32"/>
      <c r="E468" s="32"/>
    </row>
    <row r="469" customFormat="false" ht="17.35" hidden="false" customHeight="false" outlineLevel="0" collapsed="false">
      <c r="A469" s="2"/>
      <c r="B469" s="3" t="s">
        <v>0</v>
      </c>
      <c r="D469" s="32"/>
      <c r="E469" s="32"/>
    </row>
    <row r="470" customFormat="false" ht="17.35" hidden="false" customHeight="false" outlineLevel="0" collapsed="false">
      <c r="A470" s="4"/>
      <c r="D470" s="32"/>
      <c r="E470" s="32"/>
    </row>
    <row r="471" customFormat="false" ht="15" hidden="false" customHeight="false" outlineLevel="0" collapsed="false">
      <c r="A471" s="2"/>
      <c r="D471" s="32"/>
      <c r="E471" s="32"/>
    </row>
    <row r="472" customFormat="false" ht="17.25" hidden="false" customHeight="false" outlineLevel="0" collapsed="false">
      <c r="A472" s="2"/>
      <c r="B472" s="5" t="s">
        <v>485</v>
      </c>
      <c r="D472" s="32"/>
      <c r="E472" s="32"/>
    </row>
    <row r="473" customFormat="false" ht="15" hidden="false" customHeight="false" outlineLevel="0" collapsed="false">
      <c r="A473" s="2"/>
      <c r="D473" s="33" t="s">
        <v>191</v>
      </c>
      <c r="E473" s="32"/>
    </row>
    <row r="474" customFormat="false" ht="15" hidden="false" customHeight="false" outlineLevel="0" collapsed="false">
      <c r="A474" s="2"/>
      <c r="D474" s="32"/>
      <c r="E474" s="32"/>
    </row>
    <row r="475" customFormat="false" ht="15" hidden="false" customHeight="false" outlineLevel="0" collapsed="false">
      <c r="A475" s="7" t="s">
        <v>3</v>
      </c>
      <c r="B475" s="8" t="s">
        <v>4</v>
      </c>
      <c r="C475" s="9" t="s">
        <v>5</v>
      </c>
      <c r="D475" s="34" t="s">
        <v>6</v>
      </c>
      <c r="E475" s="68" t="s">
        <v>7</v>
      </c>
    </row>
    <row r="476" customFormat="false" ht="15" hidden="false" customHeight="false" outlineLevel="0" collapsed="false">
      <c r="A476" s="51" t="n">
        <v>1</v>
      </c>
      <c r="B476" s="39" t="s">
        <v>486</v>
      </c>
      <c r="C476" s="14" t="n">
        <v>215000</v>
      </c>
      <c r="D476" s="37"/>
      <c r="E476" s="69" t="n">
        <f aca="false">C476-D476</f>
        <v>215000</v>
      </c>
    </row>
    <row r="477" customFormat="false" ht="15" hidden="false" customHeight="false" outlineLevel="0" collapsed="false">
      <c r="A477" s="35" t="n">
        <v>2</v>
      </c>
      <c r="B477" s="39" t="s">
        <v>487</v>
      </c>
      <c r="C477" s="14" t="n">
        <v>416500</v>
      </c>
      <c r="D477" s="37" t="n">
        <f aca="false">216000+200500</f>
        <v>416500</v>
      </c>
      <c r="E477" s="69" t="n">
        <f aca="false">C477-D477</f>
        <v>0</v>
      </c>
    </row>
    <row r="478" customFormat="false" ht="15" hidden="false" customHeight="false" outlineLevel="0" collapsed="false">
      <c r="A478" s="35" t="n">
        <v>3</v>
      </c>
      <c r="B478" s="39" t="s">
        <v>488</v>
      </c>
      <c r="C478" s="14" t="n">
        <v>416500</v>
      </c>
      <c r="D478" s="37" t="n">
        <f aca="false">200000+216500</f>
        <v>416500</v>
      </c>
      <c r="E478" s="69" t="n">
        <f aca="false">C478-D478</f>
        <v>0</v>
      </c>
    </row>
    <row r="479" customFormat="false" ht="15" hidden="false" customHeight="false" outlineLevel="0" collapsed="false">
      <c r="A479" s="51" t="n">
        <v>4</v>
      </c>
      <c r="B479" s="39" t="s">
        <v>489</v>
      </c>
      <c r="C479" s="14" t="n">
        <v>416500</v>
      </c>
      <c r="D479" s="37" t="n">
        <f aca="false">200000+216500</f>
        <v>416500</v>
      </c>
      <c r="E479" s="69" t="n">
        <f aca="false">C479-D479</f>
        <v>0</v>
      </c>
    </row>
    <row r="480" customFormat="false" ht="15" hidden="false" customHeight="false" outlineLevel="0" collapsed="false">
      <c r="A480" s="35" t="n">
        <v>5</v>
      </c>
      <c r="B480" s="39" t="s">
        <v>490</v>
      </c>
      <c r="C480" s="14" t="n">
        <v>416500</v>
      </c>
      <c r="D480" s="37"/>
      <c r="E480" s="69" t="n">
        <f aca="false">C480-D480</f>
        <v>416500</v>
      </c>
    </row>
    <row r="481" customFormat="false" ht="15" hidden="false" customHeight="false" outlineLevel="0" collapsed="false">
      <c r="A481" s="35" t="n">
        <v>6</v>
      </c>
      <c r="B481" s="39" t="s">
        <v>491</v>
      </c>
      <c r="C481" s="14" t="n">
        <v>416500</v>
      </c>
      <c r="D481" s="37" t="n">
        <f aca="false">216500+200000</f>
        <v>416500</v>
      </c>
      <c r="E481" s="69" t="n">
        <f aca="false">C481-D481</f>
        <v>0</v>
      </c>
    </row>
    <row r="482" customFormat="false" ht="15" hidden="false" customHeight="false" outlineLevel="0" collapsed="false">
      <c r="A482" s="51" t="n">
        <v>7</v>
      </c>
      <c r="B482" s="39" t="s">
        <v>492</v>
      </c>
      <c r="C482" s="14" t="n">
        <v>416500</v>
      </c>
      <c r="D482" s="37" t="n">
        <f aca="false">200000</f>
        <v>200000</v>
      </c>
      <c r="E482" s="69" t="n">
        <f aca="false">C482-D482</f>
        <v>216500</v>
      </c>
    </row>
    <row r="483" customFormat="false" ht="15" hidden="false" customHeight="false" outlineLevel="0" collapsed="false">
      <c r="A483" s="35" t="n">
        <v>8</v>
      </c>
      <c r="B483" s="39" t="s">
        <v>493</v>
      </c>
      <c r="C483" s="14" t="n">
        <v>416500</v>
      </c>
      <c r="D483" s="37" t="n">
        <f aca="false">216500+200000</f>
        <v>416500</v>
      </c>
      <c r="E483" s="69" t="n">
        <f aca="false">C483-D483</f>
        <v>0</v>
      </c>
    </row>
    <row r="484" customFormat="false" ht="15" hidden="false" customHeight="false" outlineLevel="0" collapsed="false">
      <c r="A484" s="35" t="n">
        <v>9</v>
      </c>
      <c r="B484" s="39" t="s">
        <v>494</v>
      </c>
      <c r="C484" s="14" t="n">
        <v>416500</v>
      </c>
      <c r="D484" s="37" t="n">
        <f aca="false">200000</f>
        <v>200000</v>
      </c>
      <c r="E484" s="69" t="n">
        <f aca="false">C484-D484</f>
        <v>216500</v>
      </c>
    </row>
    <row r="485" customFormat="false" ht="15" hidden="false" customHeight="false" outlineLevel="0" collapsed="false">
      <c r="A485" s="51" t="n">
        <v>10</v>
      </c>
      <c r="B485" s="39" t="s">
        <v>495</v>
      </c>
      <c r="C485" s="14" t="n">
        <v>416500</v>
      </c>
      <c r="D485" s="37" t="n">
        <f aca="false">220000+100000</f>
        <v>320000</v>
      </c>
      <c r="E485" s="69" t="n">
        <f aca="false">C485-D485</f>
        <v>96500</v>
      </c>
    </row>
    <row r="486" customFormat="false" ht="15" hidden="false" customHeight="false" outlineLevel="0" collapsed="false">
      <c r="A486" s="35" t="n">
        <v>11</v>
      </c>
      <c r="B486" s="39" t="s">
        <v>496</v>
      </c>
      <c r="C486" s="14" t="n">
        <v>416500</v>
      </c>
      <c r="D486" s="37" t="n">
        <f aca="false">416500</f>
        <v>416500</v>
      </c>
      <c r="E486" s="69" t="n">
        <f aca="false">C486-D486</f>
        <v>0</v>
      </c>
    </row>
    <row r="487" customFormat="false" ht="15" hidden="false" customHeight="false" outlineLevel="0" collapsed="false">
      <c r="A487" s="35" t="n">
        <v>12</v>
      </c>
      <c r="B487" s="39" t="s">
        <v>497</v>
      </c>
      <c r="C487" s="14" t="n">
        <v>416500</v>
      </c>
      <c r="D487" s="37" t="n">
        <f aca="false">216500+125000+75000</f>
        <v>416500</v>
      </c>
      <c r="E487" s="69" t="n">
        <f aca="false">C487-D487</f>
        <v>0</v>
      </c>
    </row>
    <row r="488" customFormat="false" ht="15" hidden="false" customHeight="false" outlineLevel="0" collapsed="false">
      <c r="A488" s="51" t="n">
        <v>13</v>
      </c>
      <c r="B488" s="39" t="s">
        <v>498</v>
      </c>
      <c r="C488" s="14" t="n">
        <v>416500</v>
      </c>
      <c r="D488" s="37" t="n">
        <f aca="false">316500+50000</f>
        <v>366500</v>
      </c>
      <c r="E488" s="69" t="n">
        <f aca="false">C488-D488</f>
        <v>50000</v>
      </c>
    </row>
    <row r="489" customFormat="false" ht="15" hidden="false" customHeight="false" outlineLevel="0" collapsed="false">
      <c r="A489" s="35" t="n">
        <v>14</v>
      </c>
      <c r="B489" s="39" t="s">
        <v>499</v>
      </c>
      <c r="C489" s="14" t="n">
        <v>416500</v>
      </c>
      <c r="D489" s="37" t="n">
        <f aca="false">216500+200000</f>
        <v>416500</v>
      </c>
      <c r="E489" s="69" t="n">
        <f aca="false">C489-D489</f>
        <v>0</v>
      </c>
    </row>
    <row r="490" customFormat="false" ht="17.35" hidden="false" customHeight="false" outlineLevel="0" collapsed="false">
      <c r="A490" s="22"/>
      <c r="B490" s="23" t="s">
        <v>21</v>
      </c>
      <c r="C490" s="24" t="n">
        <f aca="false">SUM(C477:C489)</f>
        <v>5414500</v>
      </c>
      <c r="D490" s="25" t="n">
        <f aca="false">SUM(D476:D489)</f>
        <v>4418500</v>
      </c>
      <c r="E490" s="70" t="n">
        <f aca="false">SUM(E477:E489)</f>
        <v>996000</v>
      </c>
    </row>
    <row r="491" customFormat="false" ht="15" hidden="false" customHeight="false" outlineLevel="0" collapsed="false">
      <c r="D491" s="32"/>
      <c r="E491" s="32"/>
    </row>
    <row r="492" customFormat="false" ht="15" hidden="false" customHeight="false" outlineLevel="0" collapsed="false">
      <c r="D492" s="32"/>
      <c r="E492" s="32"/>
    </row>
    <row r="493" customFormat="false" ht="15" hidden="false" customHeight="false" outlineLevel="0" collapsed="false">
      <c r="A493" s="71"/>
      <c r="D493" s="32"/>
      <c r="E493" s="32"/>
    </row>
    <row r="494" customFormat="false" ht="15" hidden="false" customHeight="false" outlineLevel="0" collapsed="false">
      <c r="A494" s="71"/>
      <c r="D494" s="32"/>
      <c r="E494" s="32"/>
    </row>
    <row r="495" customFormat="false" ht="17.35" hidden="false" customHeight="false" outlineLevel="0" collapsed="false">
      <c r="A495" s="2"/>
      <c r="B495" s="3" t="s">
        <v>0</v>
      </c>
      <c r="D495" s="32"/>
      <c r="E495" s="32"/>
    </row>
    <row r="496" customFormat="false" ht="17.35" hidden="false" customHeight="false" outlineLevel="0" collapsed="false">
      <c r="A496" s="4"/>
      <c r="D496" s="32"/>
      <c r="E496" s="32"/>
    </row>
    <row r="497" customFormat="false" ht="15" hidden="false" customHeight="false" outlineLevel="0" collapsed="false">
      <c r="A497" s="2"/>
      <c r="D497" s="32"/>
      <c r="E497" s="32"/>
    </row>
    <row r="498" customFormat="false" ht="17.25" hidden="false" customHeight="false" outlineLevel="0" collapsed="false">
      <c r="A498" s="2"/>
      <c r="B498" s="5" t="s">
        <v>485</v>
      </c>
      <c r="D498" s="32"/>
      <c r="E498" s="32"/>
    </row>
    <row r="499" customFormat="false" ht="15" hidden="false" customHeight="false" outlineLevel="0" collapsed="false">
      <c r="A499" s="2"/>
      <c r="D499" s="33" t="s">
        <v>161</v>
      </c>
      <c r="E499" s="32"/>
    </row>
    <row r="500" customFormat="false" ht="15" hidden="false" customHeight="false" outlineLevel="0" collapsed="false">
      <c r="A500" s="2"/>
      <c r="D500" s="32"/>
      <c r="E500" s="32"/>
    </row>
    <row r="501" customFormat="false" ht="15" hidden="false" customHeight="false" outlineLevel="0" collapsed="false">
      <c r="A501" s="7" t="s">
        <v>3</v>
      </c>
      <c r="B501" s="8" t="s">
        <v>4</v>
      </c>
      <c r="C501" s="9" t="s">
        <v>5</v>
      </c>
      <c r="D501" s="34" t="s">
        <v>6</v>
      </c>
      <c r="E501" s="68" t="s">
        <v>7</v>
      </c>
    </row>
    <row r="502" customFormat="false" ht="15" hidden="false" customHeight="false" outlineLevel="0" collapsed="false">
      <c r="A502" s="12" t="n">
        <v>1</v>
      </c>
      <c r="B502" s="39" t="s">
        <v>500</v>
      </c>
      <c r="C502" s="14" t="n">
        <v>416500</v>
      </c>
      <c r="D502" s="37" t="n">
        <f aca="false">200000+16500+100000</f>
        <v>316500</v>
      </c>
      <c r="E502" s="69" t="n">
        <f aca="false">C502-D502</f>
        <v>100000</v>
      </c>
    </row>
    <row r="503" customFormat="false" ht="15" hidden="false" customHeight="false" outlineLevel="0" collapsed="false">
      <c r="A503" s="35" t="n">
        <v>2</v>
      </c>
      <c r="B503" s="36" t="s">
        <v>501</v>
      </c>
      <c r="C503" s="14" t="n">
        <v>416500</v>
      </c>
      <c r="D503" s="37" t="n">
        <f aca="false">216500+200000</f>
        <v>416500</v>
      </c>
      <c r="E503" s="69" t="n">
        <f aca="false">C503-D503</f>
        <v>0</v>
      </c>
    </row>
    <row r="504" customFormat="false" ht="15" hidden="false" customHeight="false" outlineLevel="0" collapsed="false">
      <c r="A504" s="35" t="n">
        <v>3</v>
      </c>
      <c r="B504" s="39" t="s">
        <v>502</v>
      </c>
      <c r="C504" s="14" t="n">
        <v>416500</v>
      </c>
      <c r="D504" s="37" t="n">
        <f aca="false">100000+316500</f>
        <v>416500</v>
      </c>
      <c r="E504" s="69" t="n">
        <f aca="false">C504-D504</f>
        <v>0</v>
      </c>
    </row>
    <row r="505" customFormat="false" ht="15" hidden="false" customHeight="false" outlineLevel="0" collapsed="false">
      <c r="A505" s="12" t="n">
        <v>4</v>
      </c>
      <c r="B505" s="39" t="s">
        <v>503</v>
      </c>
      <c r="C505" s="14" t="n">
        <v>416500</v>
      </c>
      <c r="D505" s="37" t="n">
        <f aca="false">216500+200000</f>
        <v>416500</v>
      </c>
      <c r="E505" s="69" t="n">
        <f aca="false">C505-D505</f>
        <v>0</v>
      </c>
    </row>
    <row r="506" customFormat="false" ht="15" hidden="false" customHeight="false" outlineLevel="0" collapsed="false">
      <c r="A506" s="35" t="n">
        <v>5</v>
      </c>
      <c r="B506" s="39" t="s">
        <v>504</v>
      </c>
      <c r="C506" s="14" t="n">
        <v>416500</v>
      </c>
      <c r="D506" s="37" t="n">
        <f aca="false">200000+16500</f>
        <v>216500</v>
      </c>
      <c r="E506" s="69" t="n">
        <f aca="false">C506-D506</f>
        <v>200000</v>
      </c>
    </row>
    <row r="507" customFormat="false" ht="15" hidden="false" customHeight="false" outlineLevel="0" collapsed="false">
      <c r="A507" s="12" t="n">
        <v>6</v>
      </c>
      <c r="B507" s="39" t="s">
        <v>505</v>
      </c>
      <c r="C507" s="14" t="n">
        <v>416500</v>
      </c>
      <c r="D507" s="37" t="n">
        <f aca="false">216500+200000</f>
        <v>416500</v>
      </c>
      <c r="E507" s="69" t="n">
        <f aca="false">C507-D507</f>
        <v>0</v>
      </c>
    </row>
    <row r="508" customFormat="false" ht="15" hidden="false" customHeight="false" outlineLevel="0" collapsed="false">
      <c r="A508" s="50" t="n">
        <v>7</v>
      </c>
      <c r="B508" s="39" t="s">
        <v>506</v>
      </c>
      <c r="C508" s="14" t="n">
        <v>416500</v>
      </c>
      <c r="D508" s="37" t="n">
        <f aca="false">250000</f>
        <v>250000</v>
      </c>
      <c r="E508" s="69" t="n">
        <f aca="false">C508-D508</f>
        <v>166500</v>
      </c>
    </row>
    <row r="509" customFormat="false" ht="15" hidden="false" customHeight="false" outlineLevel="0" collapsed="false">
      <c r="A509" s="53" t="n">
        <v>8</v>
      </c>
      <c r="B509" s="39" t="s">
        <v>507</v>
      </c>
      <c r="C509" s="14" t="n">
        <v>416500</v>
      </c>
      <c r="D509" s="37" t="n">
        <f aca="false">216500+200000</f>
        <v>416500</v>
      </c>
      <c r="E509" s="69" t="n">
        <f aca="false">C509-D509</f>
        <v>0</v>
      </c>
    </row>
    <row r="510" customFormat="false" ht="15" hidden="false" customHeight="false" outlineLevel="0" collapsed="false">
      <c r="A510" s="12" t="n">
        <v>9</v>
      </c>
      <c r="B510" s="39" t="s">
        <v>508</v>
      </c>
      <c r="C510" s="14" t="n">
        <v>416500</v>
      </c>
      <c r="D510" s="37" t="n">
        <f aca="false">226500</f>
        <v>226500</v>
      </c>
      <c r="E510" s="69" t="n">
        <f aca="false">C510-D510</f>
        <v>190000</v>
      </c>
    </row>
    <row r="511" customFormat="false" ht="15" hidden="false" customHeight="false" outlineLevel="0" collapsed="false">
      <c r="A511" s="12" t="n">
        <v>10</v>
      </c>
      <c r="B511" s="36" t="s">
        <v>509</v>
      </c>
      <c r="C511" s="14" t="n">
        <v>416500</v>
      </c>
      <c r="D511" s="37" t="n">
        <f aca="false">416500</f>
        <v>416500</v>
      </c>
      <c r="E511" s="69" t="n">
        <f aca="false">C511-D511</f>
        <v>0</v>
      </c>
    </row>
    <row r="512" customFormat="false" ht="15" hidden="false" customHeight="false" outlineLevel="0" collapsed="false">
      <c r="A512" s="12" t="n">
        <v>11</v>
      </c>
      <c r="B512" s="39" t="s">
        <v>510</v>
      </c>
      <c r="C512" s="14" t="n">
        <v>416500</v>
      </c>
      <c r="D512" s="37" t="n">
        <f aca="false">216500+200000</f>
        <v>416500</v>
      </c>
      <c r="E512" s="69" t="n">
        <f aca="false">C512-D512</f>
        <v>0</v>
      </c>
    </row>
    <row r="513" customFormat="false" ht="15" hidden="false" customHeight="false" outlineLevel="0" collapsed="false">
      <c r="A513" s="35" t="n">
        <v>12</v>
      </c>
      <c r="B513" s="39" t="s">
        <v>511</v>
      </c>
      <c r="C513" s="14" t="n">
        <v>225000</v>
      </c>
      <c r="D513" s="37" t="n">
        <f aca="false">99500+125000</f>
        <v>224500</v>
      </c>
      <c r="E513" s="69" t="n">
        <f aca="false">C513-D513</f>
        <v>500</v>
      </c>
    </row>
    <row r="514" customFormat="false" ht="15" hidden="false" customHeight="false" outlineLevel="0" collapsed="false">
      <c r="A514" s="35" t="n">
        <v>13</v>
      </c>
      <c r="B514" s="39" t="s">
        <v>512</v>
      </c>
      <c r="C514" s="14" t="n">
        <v>416500</v>
      </c>
      <c r="D514" s="37" t="n">
        <f aca="false">220000+196500</f>
        <v>416500</v>
      </c>
      <c r="E514" s="69" t="n">
        <f aca="false">C514-D514</f>
        <v>0</v>
      </c>
    </row>
    <row r="515" customFormat="false" ht="15" hidden="false" customHeight="false" outlineLevel="0" collapsed="false">
      <c r="A515" s="53" t="n">
        <v>14</v>
      </c>
      <c r="B515" s="39" t="s">
        <v>513</v>
      </c>
      <c r="C515" s="14" t="n">
        <v>416500</v>
      </c>
      <c r="D515" s="37" t="n">
        <f aca="false">216500+200000</f>
        <v>416500</v>
      </c>
      <c r="E515" s="69" t="n">
        <f aca="false">C515-D515</f>
        <v>0</v>
      </c>
    </row>
    <row r="516" customFormat="false" ht="15" hidden="false" customHeight="false" outlineLevel="0" collapsed="false">
      <c r="A516" s="53" t="n">
        <v>15</v>
      </c>
      <c r="B516" s="39" t="s">
        <v>514</v>
      </c>
      <c r="C516" s="14" t="n">
        <v>416500</v>
      </c>
      <c r="D516" s="37" t="n">
        <f aca="false">216500+150000+50000</f>
        <v>416500</v>
      </c>
      <c r="E516" s="69" t="n">
        <f aca="false">C516-D516</f>
        <v>0</v>
      </c>
    </row>
    <row r="517" customFormat="false" ht="15" hidden="false" customHeight="false" outlineLevel="0" collapsed="false">
      <c r="A517" s="53" t="n">
        <v>16</v>
      </c>
      <c r="B517" s="39" t="s">
        <v>515</v>
      </c>
      <c r="C517" s="14" t="n">
        <v>416500</v>
      </c>
      <c r="D517" s="37" t="n">
        <f aca="false">116500+100000+100000+100000</f>
        <v>416500</v>
      </c>
      <c r="E517" s="69" t="n">
        <f aca="false">C517-D517</f>
        <v>0</v>
      </c>
    </row>
    <row r="518" customFormat="false" ht="15" hidden="false" customHeight="false" outlineLevel="0" collapsed="false">
      <c r="A518" s="53" t="n">
        <v>17</v>
      </c>
      <c r="B518" s="39" t="s">
        <v>516</v>
      </c>
      <c r="C518" s="14" t="n">
        <v>416500</v>
      </c>
      <c r="D518" s="37" t="n">
        <f aca="false">216500+100000+100000</f>
        <v>416500</v>
      </c>
      <c r="E518" s="69" t="n">
        <f aca="false">C518-D518</f>
        <v>0</v>
      </c>
    </row>
    <row r="519" customFormat="false" ht="15" hidden="false" customHeight="false" outlineLevel="0" collapsed="false">
      <c r="A519" s="53" t="n">
        <v>18</v>
      </c>
      <c r="B519" s="36" t="s">
        <v>517</v>
      </c>
      <c r="C519" s="14" t="n">
        <v>416500</v>
      </c>
      <c r="D519" s="37" t="n">
        <f aca="false">220000+196500</f>
        <v>416500</v>
      </c>
      <c r="E519" s="69" t="n">
        <f aca="false">C519-D519</f>
        <v>0</v>
      </c>
    </row>
    <row r="520" customFormat="false" ht="15" hidden="false" customHeight="false" outlineLevel="0" collapsed="false">
      <c r="A520" s="53" t="n">
        <v>19</v>
      </c>
      <c r="B520" s="39" t="s">
        <v>518</v>
      </c>
      <c r="C520" s="14" t="n">
        <v>416500</v>
      </c>
      <c r="D520" s="37" t="n">
        <f aca="false">16500+200000+200000</f>
        <v>416500</v>
      </c>
      <c r="E520" s="69" t="n">
        <f aca="false">C520-D520</f>
        <v>0</v>
      </c>
    </row>
    <row r="521" customFormat="false" ht="15" hidden="false" customHeight="false" outlineLevel="0" collapsed="false">
      <c r="A521" s="53" t="n">
        <v>20</v>
      </c>
      <c r="B521" s="39" t="s">
        <v>519</v>
      </c>
      <c r="C521" s="14" t="n">
        <v>416500</v>
      </c>
      <c r="D521" s="37" t="n">
        <f aca="false">216500+150000+50000</f>
        <v>416500</v>
      </c>
      <c r="E521" s="69" t="n">
        <f aca="false">C521-D521</f>
        <v>0</v>
      </c>
    </row>
    <row r="522" customFormat="false" ht="15" hidden="false" customHeight="false" outlineLevel="0" collapsed="false">
      <c r="A522" s="53" t="n">
        <v>21</v>
      </c>
      <c r="B522" s="39" t="s">
        <v>520</v>
      </c>
      <c r="C522" s="14" t="n">
        <v>416500</v>
      </c>
      <c r="D522" s="37" t="n">
        <f aca="false">216500+200000</f>
        <v>416500</v>
      </c>
      <c r="E522" s="69" t="n">
        <f aca="false">C522-D522</f>
        <v>0</v>
      </c>
    </row>
    <row r="523" customFormat="false" ht="15" hidden="false" customHeight="false" outlineLevel="0" collapsed="false">
      <c r="A523" s="53" t="n">
        <v>22</v>
      </c>
      <c r="B523" s="39" t="s">
        <v>521</v>
      </c>
      <c r="C523" s="14" t="n">
        <v>416500</v>
      </c>
      <c r="D523" s="37" t="n">
        <f aca="false">416500</f>
        <v>416500</v>
      </c>
      <c r="E523" s="69" t="n">
        <f aca="false">C523-D523</f>
        <v>0</v>
      </c>
    </row>
    <row r="524" customFormat="false" ht="15" hidden="false" customHeight="false" outlineLevel="0" collapsed="false">
      <c r="A524" s="53" t="n">
        <v>23</v>
      </c>
      <c r="B524" s="36" t="s">
        <v>522</v>
      </c>
      <c r="C524" s="14" t="n">
        <v>416500</v>
      </c>
      <c r="D524" s="37" t="n">
        <f aca="false">220500</f>
        <v>220500</v>
      </c>
      <c r="E524" s="69" t="n">
        <f aca="false">C524-D524</f>
        <v>196000</v>
      </c>
    </row>
    <row r="525" customFormat="false" ht="15" hidden="false" customHeight="false" outlineLevel="0" collapsed="false">
      <c r="A525" s="53" t="n">
        <v>24</v>
      </c>
      <c r="B525" s="39" t="s">
        <v>523</v>
      </c>
      <c r="C525" s="14" t="n">
        <v>416500</v>
      </c>
      <c r="D525" s="37" t="n">
        <f aca="false">216500+150000+50000</f>
        <v>416500</v>
      </c>
      <c r="E525" s="69" t="n">
        <f aca="false">C525-D525</f>
        <v>0</v>
      </c>
    </row>
    <row r="526" customFormat="false" ht="15" hidden="false" customHeight="false" outlineLevel="0" collapsed="false">
      <c r="A526" s="35" t="n">
        <v>25</v>
      </c>
      <c r="B526" s="39" t="s">
        <v>524</v>
      </c>
      <c r="C526" s="14" t="n">
        <v>416500</v>
      </c>
      <c r="D526" s="37" t="n">
        <f aca="false">200000+16500+200000</f>
        <v>416500</v>
      </c>
      <c r="E526" s="69" t="n">
        <f aca="false">C526-D526</f>
        <v>0</v>
      </c>
    </row>
    <row r="527" customFormat="false" ht="15" hidden="false" customHeight="false" outlineLevel="0" collapsed="false">
      <c r="A527" s="35" t="n">
        <v>26</v>
      </c>
      <c r="B527" s="39" t="s">
        <v>525</v>
      </c>
      <c r="C527" s="37" t="n">
        <v>416500</v>
      </c>
      <c r="D527" s="37" t="n">
        <v>416500</v>
      </c>
      <c r="E527" s="69" t="n">
        <f aca="false">C527-D527</f>
        <v>0</v>
      </c>
    </row>
    <row r="528" customFormat="false" ht="15" hidden="false" customHeight="false" outlineLevel="0" collapsed="false">
      <c r="A528" s="35" t="n">
        <v>27</v>
      </c>
      <c r="B528" s="39" t="s">
        <v>526</v>
      </c>
      <c r="C528" s="14" t="n">
        <v>416500</v>
      </c>
      <c r="D528" s="37" t="n">
        <f aca="false">216500+200000</f>
        <v>416500</v>
      </c>
      <c r="E528" s="69" t="n">
        <f aca="false">C528-D528</f>
        <v>0</v>
      </c>
    </row>
    <row r="529" customFormat="false" ht="15" hidden="false" customHeight="false" outlineLevel="0" collapsed="false">
      <c r="A529" s="35" t="n">
        <v>28</v>
      </c>
      <c r="B529" s="39" t="s">
        <v>527</v>
      </c>
      <c r="C529" s="14" t="n">
        <v>416500</v>
      </c>
      <c r="D529" s="37" t="n">
        <f aca="false">216500+200000</f>
        <v>416500</v>
      </c>
      <c r="E529" s="69" t="n">
        <f aca="false">C529-D529</f>
        <v>0</v>
      </c>
    </row>
    <row r="530" customFormat="false" ht="15" hidden="false" customHeight="false" outlineLevel="0" collapsed="false">
      <c r="A530" s="35" t="n">
        <v>29</v>
      </c>
      <c r="B530" s="39" t="s">
        <v>528</v>
      </c>
      <c r="C530" s="14" t="n">
        <v>416500</v>
      </c>
      <c r="D530" s="37" t="n">
        <f aca="false">60500+100000+256000</f>
        <v>416500</v>
      </c>
      <c r="E530" s="69" t="n">
        <f aca="false">C530-D530</f>
        <v>0</v>
      </c>
    </row>
    <row r="531" customFormat="false" ht="15" hidden="false" customHeight="false" outlineLevel="0" collapsed="false">
      <c r="A531" s="35" t="n">
        <v>30</v>
      </c>
      <c r="B531" s="39" t="s">
        <v>529</v>
      </c>
      <c r="C531" s="14" t="n">
        <v>416500</v>
      </c>
      <c r="D531" s="37" t="n">
        <f aca="false">217500+200000</f>
        <v>417500</v>
      </c>
      <c r="E531" s="69" t="n">
        <f aca="false">C531-D531</f>
        <v>-1000</v>
      </c>
    </row>
    <row r="532" customFormat="false" ht="15" hidden="false" customHeight="false" outlineLevel="0" collapsed="false">
      <c r="A532" s="35" t="n">
        <v>31</v>
      </c>
      <c r="B532" s="39" t="s">
        <v>530</v>
      </c>
      <c r="C532" s="14" t="n">
        <v>416500</v>
      </c>
      <c r="D532" s="37" t="n">
        <f aca="false">216500+200000</f>
        <v>416500</v>
      </c>
      <c r="E532" s="69" t="n">
        <f aca="false">C532-D532</f>
        <v>0</v>
      </c>
    </row>
    <row r="533" customFormat="false" ht="15" hidden="false" customHeight="false" outlineLevel="0" collapsed="false">
      <c r="A533" s="35" t="n">
        <v>32</v>
      </c>
      <c r="B533" s="39" t="s">
        <v>531</v>
      </c>
      <c r="C533" s="14" t="n">
        <v>416500</v>
      </c>
      <c r="D533" s="37" t="n">
        <v>416500</v>
      </c>
      <c r="E533" s="69" t="n">
        <f aca="false">C533-D533</f>
        <v>0</v>
      </c>
    </row>
    <row r="534" customFormat="false" ht="15" hidden="false" customHeight="false" outlineLevel="0" collapsed="false">
      <c r="A534" s="35" t="n">
        <v>33</v>
      </c>
      <c r="B534" s="43" t="s">
        <v>532</v>
      </c>
      <c r="C534" s="14" t="n">
        <v>416500</v>
      </c>
      <c r="D534" s="37" t="n">
        <f aca="false">216500+200000</f>
        <v>416500</v>
      </c>
      <c r="E534" s="69" t="n">
        <f aca="false">C534-D534</f>
        <v>0</v>
      </c>
    </row>
    <row r="535" customFormat="false" ht="17.35" hidden="false" customHeight="false" outlineLevel="0" collapsed="false">
      <c r="A535" s="35"/>
      <c r="B535" s="23" t="s">
        <v>21</v>
      </c>
      <c r="C535" s="24" t="n">
        <f aca="false">SUM(C502:C534)</f>
        <v>13553000</v>
      </c>
      <c r="D535" s="25" t="n">
        <f aca="false">SUM(D502:D534)</f>
        <v>12701000</v>
      </c>
      <c r="E535" s="70" t="n">
        <f aca="false">SUM(E502:E534)</f>
        <v>852000</v>
      </c>
    </row>
    <row r="536" customFormat="false" ht="15" hidden="false" customHeight="false" outlineLevel="0" collapsed="false">
      <c r="A536" s="71"/>
      <c r="D536" s="32"/>
      <c r="E536" s="32"/>
    </row>
    <row r="537" customFormat="false" ht="15" hidden="false" customHeight="false" outlineLevel="0" collapsed="false">
      <c r="A537" s="71"/>
      <c r="D537" s="32"/>
      <c r="E537" s="32"/>
    </row>
    <row r="538" customFormat="false" ht="17.35" hidden="false" customHeight="false" outlineLevel="0" collapsed="false">
      <c r="A538" s="2"/>
      <c r="B538" s="3" t="s">
        <v>0</v>
      </c>
      <c r="D538" s="32"/>
      <c r="E538" s="32"/>
    </row>
    <row r="539" customFormat="false" ht="17.35" hidden="false" customHeight="false" outlineLevel="0" collapsed="false">
      <c r="A539" s="4"/>
      <c r="D539" s="32"/>
      <c r="E539" s="32"/>
    </row>
    <row r="540" customFormat="false" ht="15" hidden="false" customHeight="false" outlineLevel="0" collapsed="false">
      <c r="A540" s="2"/>
      <c r="D540" s="32"/>
      <c r="E540" s="32"/>
    </row>
    <row r="541" customFormat="false" ht="17.25" hidden="false" customHeight="false" outlineLevel="0" collapsed="false">
      <c r="A541" s="2"/>
      <c r="B541" s="5" t="s">
        <v>113</v>
      </c>
      <c r="D541" s="32"/>
      <c r="E541" s="32"/>
    </row>
    <row r="542" customFormat="false" ht="15" hidden="false" customHeight="false" outlineLevel="0" collapsed="false">
      <c r="A542" s="2"/>
      <c r="D542" s="33" t="s">
        <v>191</v>
      </c>
      <c r="E542" s="32"/>
    </row>
    <row r="543" customFormat="false" ht="15" hidden="false" customHeight="false" outlineLevel="0" collapsed="false">
      <c r="A543" s="2"/>
      <c r="D543" s="32"/>
      <c r="E543" s="32"/>
    </row>
    <row r="544" customFormat="false" ht="15" hidden="false" customHeight="false" outlineLevel="0" collapsed="false">
      <c r="A544" s="7" t="s">
        <v>3</v>
      </c>
      <c r="B544" s="8" t="s">
        <v>4</v>
      </c>
      <c r="C544" s="9" t="s">
        <v>5</v>
      </c>
      <c r="D544" s="34" t="s">
        <v>6</v>
      </c>
      <c r="E544" s="68" t="s">
        <v>7</v>
      </c>
    </row>
    <row r="545" customFormat="false" ht="15" hidden="false" customHeight="false" outlineLevel="0" collapsed="false">
      <c r="A545" s="35" t="n">
        <v>1</v>
      </c>
      <c r="B545" s="39" t="s">
        <v>533</v>
      </c>
      <c r="C545" s="14" t="n">
        <v>416500</v>
      </c>
      <c r="D545" s="37" t="n">
        <f aca="false">216500+200000</f>
        <v>416500</v>
      </c>
      <c r="E545" s="69" t="n">
        <f aca="false">C545-D545</f>
        <v>0</v>
      </c>
    </row>
    <row r="546" customFormat="false" ht="15" hidden="false" customHeight="false" outlineLevel="0" collapsed="false">
      <c r="A546" s="12" t="n">
        <v>2</v>
      </c>
      <c r="B546" s="39" t="s">
        <v>534</v>
      </c>
      <c r="C546" s="14" t="n">
        <v>416500</v>
      </c>
      <c r="D546" s="37" t="n">
        <f aca="false">200000+16500+100000+100000</f>
        <v>416500</v>
      </c>
      <c r="E546" s="69" t="n">
        <f aca="false">C546-D546</f>
        <v>0</v>
      </c>
    </row>
    <row r="547" customFormat="false" ht="15" hidden="false" customHeight="false" outlineLevel="0" collapsed="false">
      <c r="A547" s="12" t="n">
        <v>3</v>
      </c>
      <c r="B547" s="39" t="s">
        <v>535</v>
      </c>
      <c r="C547" s="14" t="n">
        <v>416500</v>
      </c>
      <c r="D547" s="37" t="n">
        <f aca="false">215000+201500</f>
        <v>416500</v>
      </c>
      <c r="E547" s="69" t="n">
        <f aca="false">C547-D547</f>
        <v>0</v>
      </c>
    </row>
    <row r="548" customFormat="false" ht="15" hidden="false" customHeight="false" outlineLevel="0" collapsed="false">
      <c r="A548" s="35" t="n">
        <v>4</v>
      </c>
      <c r="B548" s="39" t="s">
        <v>536</v>
      </c>
      <c r="C548" s="14" t="n">
        <v>416500</v>
      </c>
      <c r="D548" s="37" t="n">
        <f aca="false">216500+100000+100000</f>
        <v>416500</v>
      </c>
      <c r="E548" s="69" t="n">
        <f aca="false">C548-D548</f>
        <v>0</v>
      </c>
    </row>
    <row r="549" customFormat="false" ht="15" hidden="false" customHeight="false" outlineLevel="0" collapsed="false">
      <c r="A549" s="12" t="n">
        <v>5</v>
      </c>
      <c r="B549" s="39" t="s">
        <v>537</v>
      </c>
      <c r="C549" s="14" t="n">
        <v>416500</v>
      </c>
      <c r="D549" s="37"/>
      <c r="E549" s="69" t="n">
        <f aca="false">C549-D549</f>
        <v>416500</v>
      </c>
    </row>
    <row r="550" customFormat="false" ht="15" hidden="false" customHeight="false" outlineLevel="0" collapsed="false">
      <c r="A550" s="12" t="n">
        <v>6</v>
      </c>
      <c r="B550" s="39" t="s">
        <v>538</v>
      </c>
      <c r="C550" s="14" t="n">
        <v>416500</v>
      </c>
      <c r="D550" s="37" t="n">
        <f aca="false">217000+199500</f>
        <v>416500</v>
      </c>
      <c r="E550" s="69" t="n">
        <f aca="false">C550-D550</f>
        <v>0</v>
      </c>
    </row>
    <row r="551" customFormat="false" ht="15" hidden="false" customHeight="false" outlineLevel="0" collapsed="false">
      <c r="A551" s="35" t="n">
        <v>7</v>
      </c>
      <c r="B551" s="39" t="s">
        <v>539</v>
      </c>
      <c r="C551" s="14" t="n">
        <v>416500</v>
      </c>
      <c r="D551" s="37" t="n">
        <f aca="false">215500+200500</f>
        <v>416000</v>
      </c>
      <c r="E551" s="69" t="n">
        <f aca="false">C551-D551</f>
        <v>500</v>
      </c>
    </row>
    <row r="552" customFormat="false" ht="15" hidden="false" customHeight="false" outlineLevel="0" collapsed="false">
      <c r="A552" s="12" t="n">
        <v>8</v>
      </c>
      <c r="B552" s="39" t="s">
        <v>540</v>
      </c>
      <c r="C552" s="14" t="n">
        <v>416500</v>
      </c>
      <c r="D552" s="37" t="n">
        <f aca="false">216500+200000</f>
        <v>416500</v>
      </c>
      <c r="E552" s="69" t="n">
        <f aca="false">C552-D552</f>
        <v>0</v>
      </c>
    </row>
    <row r="553" customFormat="false" ht="15" hidden="false" customHeight="false" outlineLevel="0" collapsed="false">
      <c r="A553" s="12" t="n">
        <v>9</v>
      </c>
      <c r="B553" s="39" t="s">
        <v>541</v>
      </c>
      <c r="C553" s="14" t="n">
        <v>416500</v>
      </c>
      <c r="D553" s="37" t="n">
        <f aca="false">316500</f>
        <v>316500</v>
      </c>
      <c r="E553" s="69" t="n">
        <f aca="false">C553-D553</f>
        <v>100000</v>
      </c>
    </row>
    <row r="554" customFormat="false" ht="15" hidden="false" customHeight="false" outlineLevel="0" collapsed="false">
      <c r="A554" s="35" t="n">
        <v>10</v>
      </c>
      <c r="B554" s="39" t="s">
        <v>542</v>
      </c>
      <c r="C554" s="14" t="n">
        <v>416500</v>
      </c>
      <c r="D554" s="37" t="n">
        <v>416500</v>
      </c>
      <c r="E554" s="69" t="n">
        <f aca="false">C554-D554</f>
        <v>0</v>
      </c>
    </row>
    <row r="555" customFormat="false" ht="15" hidden="false" customHeight="false" outlineLevel="0" collapsed="false">
      <c r="A555" s="12" t="n">
        <v>11</v>
      </c>
      <c r="B555" s="39" t="s">
        <v>543</v>
      </c>
      <c r="C555" s="14" t="n">
        <v>416500</v>
      </c>
      <c r="D555" s="37" t="n">
        <f aca="false">220000+196500</f>
        <v>416500</v>
      </c>
      <c r="E555" s="69" t="n">
        <f aca="false">C555-D555</f>
        <v>0</v>
      </c>
    </row>
    <row r="556" customFormat="false" ht="15" hidden="false" customHeight="false" outlineLevel="0" collapsed="false">
      <c r="A556" s="12" t="n">
        <v>12</v>
      </c>
      <c r="B556" s="39" t="s">
        <v>544</v>
      </c>
      <c r="C556" s="14" t="n">
        <v>416500</v>
      </c>
      <c r="D556" s="37" t="n">
        <f aca="false">216500</f>
        <v>216500</v>
      </c>
      <c r="E556" s="69" t="n">
        <f aca="false">C556-D556</f>
        <v>200000</v>
      </c>
    </row>
    <row r="557" customFormat="false" ht="15" hidden="false" customHeight="false" outlineLevel="0" collapsed="false">
      <c r="A557" s="35" t="n">
        <v>13</v>
      </c>
      <c r="B557" s="39" t="s">
        <v>545</v>
      </c>
      <c r="C557" s="14" t="n">
        <v>416500</v>
      </c>
      <c r="D557" s="37" t="n">
        <f aca="false">217000</f>
        <v>217000</v>
      </c>
      <c r="E557" s="69" t="n">
        <f aca="false">C557-D557</f>
        <v>199500</v>
      </c>
    </row>
    <row r="558" customFormat="false" ht="15" hidden="false" customHeight="false" outlineLevel="0" collapsed="false">
      <c r="A558" s="12" t="n">
        <v>14</v>
      </c>
      <c r="B558" s="39" t="s">
        <v>546</v>
      </c>
      <c r="C558" s="14" t="n">
        <v>416500</v>
      </c>
      <c r="D558" s="37" t="n">
        <f aca="false">216000</f>
        <v>216000</v>
      </c>
      <c r="E558" s="69" t="n">
        <f aca="false">C558-D558</f>
        <v>200500</v>
      </c>
    </row>
    <row r="559" customFormat="false" ht="15" hidden="false" customHeight="false" outlineLevel="0" collapsed="false">
      <c r="A559" s="12" t="n">
        <v>15</v>
      </c>
      <c r="B559" s="39" t="s">
        <v>547</v>
      </c>
      <c r="C559" s="14" t="n">
        <v>416500</v>
      </c>
      <c r="D559" s="37" t="n">
        <f aca="false">250000+166500</f>
        <v>416500</v>
      </c>
      <c r="E559" s="69" t="n">
        <f aca="false">C559-D559</f>
        <v>0</v>
      </c>
    </row>
    <row r="560" customFormat="false" ht="15" hidden="false" customHeight="false" outlineLevel="0" collapsed="false">
      <c r="A560" s="35" t="n">
        <v>16</v>
      </c>
      <c r="B560" s="39" t="s">
        <v>548</v>
      </c>
      <c r="C560" s="14" t="n">
        <v>416500</v>
      </c>
      <c r="D560" s="37" t="n">
        <f aca="false">200000+100000+116500</f>
        <v>416500</v>
      </c>
      <c r="E560" s="69" t="n">
        <f aca="false">C560-D560</f>
        <v>0</v>
      </c>
    </row>
    <row r="561" customFormat="false" ht="15" hidden="false" customHeight="false" outlineLevel="0" collapsed="false">
      <c r="A561" s="12" t="n">
        <v>17</v>
      </c>
      <c r="B561" s="39" t="s">
        <v>549</v>
      </c>
      <c r="C561" s="14" t="n">
        <v>416500</v>
      </c>
      <c r="D561" s="37" t="n">
        <v>416500</v>
      </c>
      <c r="E561" s="69" t="n">
        <f aca="false">C561-D561</f>
        <v>0</v>
      </c>
    </row>
    <row r="562" customFormat="false" ht="15" hidden="false" customHeight="false" outlineLevel="0" collapsed="false">
      <c r="A562" s="12" t="n">
        <v>18</v>
      </c>
      <c r="B562" s="39" t="s">
        <v>550</v>
      </c>
      <c r="C562" s="14" t="n">
        <v>416500</v>
      </c>
      <c r="D562" s="37" t="n">
        <f aca="false">206500+60000+150000</f>
        <v>416500</v>
      </c>
      <c r="E562" s="69" t="n">
        <f aca="false">C562-D562</f>
        <v>0</v>
      </c>
    </row>
    <row r="563" customFormat="false" ht="15" hidden="false" customHeight="false" outlineLevel="0" collapsed="false">
      <c r="A563" s="35" t="n">
        <v>19</v>
      </c>
      <c r="B563" s="39" t="s">
        <v>551</v>
      </c>
      <c r="C563" s="14" t="n">
        <v>416500</v>
      </c>
      <c r="D563" s="37" t="n">
        <f aca="false">216500+200000</f>
        <v>416500</v>
      </c>
      <c r="E563" s="69" t="n">
        <f aca="false">C563-D563</f>
        <v>0</v>
      </c>
    </row>
    <row r="564" customFormat="false" ht="15" hidden="false" customHeight="false" outlineLevel="0" collapsed="false">
      <c r="A564" s="12" t="n">
        <v>20</v>
      </c>
      <c r="B564" s="39" t="s">
        <v>552</v>
      </c>
      <c r="C564" s="14" t="n">
        <v>416500</v>
      </c>
      <c r="D564" s="37" t="n">
        <f aca="false">100000+50000+217000</f>
        <v>367000</v>
      </c>
      <c r="E564" s="69" t="n">
        <f aca="false">C564-D564</f>
        <v>49500</v>
      </c>
    </row>
    <row r="565" customFormat="false" ht="15" hidden="false" customHeight="false" outlineLevel="0" collapsed="false">
      <c r="A565" s="12" t="n">
        <v>21</v>
      </c>
      <c r="B565" s="39" t="s">
        <v>553</v>
      </c>
      <c r="C565" s="14" t="n">
        <v>416500</v>
      </c>
      <c r="D565" s="37" t="n">
        <f aca="false">300000</f>
        <v>300000</v>
      </c>
      <c r="E565" s="69" t="n">
        <f aca="false">C565-D565</f>
        <v>116500</v>
      </c>
    </row>
    <row r="566" customFormat="false" ht="15" hidden="false" customHeight="false" outlineLevel="0" collapsed="false">
      <c r="A566" s="35" t="n">
        <v>22</v>
      </c>
      <c r="B566" s="39" t="s">
        <v>554</v>
      </c>
      <c r="C566" s="14" t="n">
        <v>416500</v>
      </c>
      <c r="D566" s="37" t="n">
        <f aca="false">217000+199500</f>
        <v>416500</v>
      </c>
      <c r="E566" s="69" t="n">
        <f aca="false">C566-D566</f>
        <v>0</v>
      </c>
    </row>
    <row r="567" customFormat="false" ht="15" hidden="false" customHeight="false" outlineLevel="0" collapsed="false">
      <c r="A567" s="12" t="n">
        <v>23</v>
      </c>
      <c r="B567" s="39" t="s">
        <v>555</v>
      </c>
      <c r="C567" s="14" t="s">
        <v>11</v>
      </c>
      <c r="D567" s="37" t="s">
        <v>11</v>
      </c>
      <c r="E567" s="69" t="s">
        <v>11</v>
      </c>
    </row>
    <row r="568" customFormat="false" ht="15" hidden="false" customHeight="false" outlineLevel="0" collapsed="false">
      <c r="A568" s="12" t="n">
        <v>24</v>
      </c>
      <c r="B568" s="39" t="s">
        <v>556</v>
      </c>
      <c r="C568" s="14" t="n">
        <v>416500</v>
      </c>
      <c r="D568" s="37" t="n">
        <f aca="false">216500+200000</f>
        <v>416500</v>
      </c>
      <c r="E568" s="69" t="n">
        <f aca="false">C568-D568</f>
        <v>0</v>
      </c>
    </row>
    <row r="569" customFormat="false" ht="15" hidden="false" customHeight="false" outlineLevel="0" collapsed="false">
      <c r="A569" s="35" t="n">
        <v>25</v>
      </c>
      <c r="B569" s="39" t="s">
        <v>557</v>
      </c>
      <c r="C569" s="14" t="n">
        <v>416500</v>
      </c>
      <c r="D569" s="37" t="n">
        <f aca="false">100000+115000+100000+101500</f>
        <v>416500</v>
      </c>
      <c r="E569" s="69" t="n">
        <f aca="false">C569-D569</f>
        <v>0</v>
      </c>
    </row>
    <row r="570" customFormat="false" ht="15" hidden="false" customHeight="false" outlineLevel="0" collapsed="false">
      <c r="A570" s="12" t="n">
        <v>26</v>
      </c>
      <c r="B570" s="39" t="s">
        <v>558</v>
      </c>
      <c r="C570" s="14" t="n">
        <v>416500</v>
      </c>
      <c r="D570" s="37" t="n">
        <f aca="false">216500+200000</f>
        <v>416500</v>
      </c>
      <c r="E570" s="69" t="n">
        <f aca="false">C570-D570</f>
        <v>0</v>
      </c>
    </row>
    <row r="571" customFormat="false" ht="15" hidden="false" customHeight="false" outlineLevel="0" collapsed="false">
      <c r="A571" s="12" t="n">
        <v>27</v>
      </c>
      <c r="B571" s="39" t="s">
        <v>559</v>
      </c>
      <c r="C571" s="14" t="n">
        <v>416500</v>
      </c>
      <c r="D571" s="37" t="n">
        <f aca="false">216500+200000</f>
        <v>416500</v>
      </c>
      <c r="E571" s="69" t="n">
        <f aca="false">C571-D571</f>
        <v>0</v>
      </c>
    </row>
    <row r="572" customFormat="false" ht="15" hidden="false" customHeight="false" outlineLevel="0" collapsed="false">
      <c r="A572" s="35" t="n">
        <v>28</v>
      </c>
      <c r="B572" s="39" t="s">
        <v>560</v>
      </c>
      <c r="C572" s="14" t="n">
        <v>416500</v>
      </c>
      <c r="D572" s="37" t="n">
        <f aca="false">216000+200000</f>
        <v>416000</v>
      </c>
      <c r="E572" s="69" t="n">
        <f aca="false">C572-D572</f>
        <v>500</v>
      </c>
    </row>
    <row r="573" customFormat="false" ht="15" hidden="false" customHeight="false" outlineLevel="0" collapsed="false">
      <c r="A573" s="12" t="n">
        <v>29</v>
      </c>
      <c r="B573" s="39" t="s">
        <v>561</v>
      </c>
      <c r="C573" s="14" t="n">
        <v>416500</v>
      </c>
      <c r="D573" s="37" t="n">
        <f aca="false">200000+16500+100000+100000</f>
        <v>416500</v>
      </c>
      <c r="E573" s="69" t="n">
        <f aca="false">C573-D573</f>
        <v>0</v>
      </c>
    </row>
    <row r="574" customFormat="false" ht="15" hidden="false" customHeight="false" outlineLevel="0" collapsed="false">
      <c r="A574" s="12" t="n">
        <v>30</v>
      </c>
      <c r="B574" s="39" t="s">
        <v>562</v>
      </c>
      <c r="C574" s="14" t="n">
        <v>416500</v>
      </c>
      <c r="D574" s="37" t="n">
        <f aca="false">217000+200000</f>
        <v>417000</v>
      </c>
      <c r="E574" s="69" t="n">
        <f aca="false">C574-D574</f>
        <v>-500</v>
      </c>
    </row>
    <row r="575" customFormat="false" ht="15" hidden="false" customHeight="false" outlineLevel="0" collapsed="false">
      <c r="A575" s="35" t="n">
        <v>31</v>
      </c>
      <c r="B575" s="39" t="s">
        <v>563</v>
      </c>
      <c r="C575" s="14" t="n">
        <v>416500</v>
      </c>
      <c r="D575" s="37" t="n">
        <f aca="false">216500+200000</f>
        <v>416500</v>
      </c>
      <c r="E575" s="69" t="n">
        <f aca="false">C575-D575</f>
        <v>0</v>
      </c>
    </row>
    <row r="576" customFormat="false" ht="15" hidden="false" customHeight="false" outlineLevel="0" collapsed="false">
      <c r="A576" s="12" t="n">
        <v>32</v>
      </c>
      <c r="B576" s="39" t="s">
        <v>564</v>
      </c>
      <c r="C576" s="14" t="n">
        <v>416500</v>
      </c>
      <c r="D576" s="37" t="n">
        <f aca="false">106500+100000+50000</f>
        <v>256500</v>
      </c>
      <c r="E576" s="69" t="n">
        <f aca="false">C576-D576</f>
        <v>160000</v>
      </c>
    </row>
    <row r="577" customFormat="false" ht="15" hidden="false" customHeight="false" outlineLevel="0" collapsed="false">
      <c r="A577" s="12" t="n">
        <v>33</v>
      </c>
      <c r="B577" s="39" t="s">
        <v>565</v>
      </c>
      <c r="C577" s="14" t="n">
        <v>416500</v>
      </c>
      <c r="D577" s="37" t="n">
        <f aca="false">216500+100000+100000</f>
        <v>416500</v>
      </c>
      <c r="E577" s="69" t="n">
        <f aca="false">C577-D577</f>
        <v>0</v>
      </c>
    </row>
    <row r="578" customFormat="false" ht="15" hidden="false" customHeight="false" outlineLevel="0" collapsed="false">
      <c r="A578" s="35" t="n">
        <v>34</v>
      </c>
      <c r="B578" s="39" t="s">
        <v>566</v>
      </c>
      <c r="C578" s="14" t="n">
        <v>416500</v>
      </c>
      <c r="D578" s="37" t="n">
        <f aca="false">16500+200000+200000</f>
        <v>416500</v>
      </c>
      <c r="E578" s="69" t="n">
        <f aca="false">C578-D578</f>
        <v>0</v>
      </c>
    </row>
    <row r="579" customFormat="false" ht="15" hidden="false" customHeight="false" outlineLevel="0" collapsed="false">
      <c r="A579" s="12" t="n">
        <v>35</v>
      </c>
      <c r="B579" s="39" t="s">
        <v>567</v>
      </c>
      <c r="C579" s="14" t="n">
        <v>416500</v>
      </c>
      <c r="D579" s="37" t="n">
        <f aca="false">200000+216000</f>
        <v>416000</v>
      </c>
      <c r="E579" s="69" t="n">
        <f aca="false">C579-D579</f>
        <v>500</v>
      </c>
    </row>
    <row r="580" customFormat="false" ht="15" hidden="false" customHeight="false" outlineLevel="0" collapsed="false">
      <c r="A580" s="12" t="n">
        <v>36</v>
      </c>
      <c r="B580" s="39" t="s">
        <v>568</v>
      </c>
      <c r="C580" s="14" t="n">
        <v>416500</v>
      </c>
      <c r="D580" s="37" t="n">
        <f aca="false">216500+200000</f>
        <v>416500</v>
      </c>
      <c r="E580" s="69" t="n">
        <f aca="false">C580-D580</f>
        <v>0</v>
      </c>
    </row>
    <row r="581" customFormat="false" ht="15" hidden="false" customHeight="false" outlineLevel="0" collapsed="false">
      <c r="A581" s="35" t="n">
        <v>37</v>
      </c>
      <c r="B581" s="39" t="s">
        <v>569</v>
      </c>
      <c r="C581" s="14" t="n">
        <v>416500</v>
      </c>
      <c r="D581" s="37" t="n">
        <f aca="false">217000+100000+100000</f>
        <v>417000</v>
      </c>
      <c r="E581" s="69" t="n">
        <f aca="false">C581-D581</f>
        <v>-500</v>
      </c>
    </row>
    <row r="582" customFormat="false" ht="15" hidden="false" customHeight="false" outlineLevel="0" collapsed="false">
      <c r="A582" s="12" t="n">
        <v>38</v>
      </c>
      <c r="B582" s="39" t="s">
        <v>570</v>
      </c>
      <c r="C582" s="14" t="n">
        <v>416500</v>
      </c>
      <c r="D582" s="37" t="n">
        <f aca="false">216500+200000</f>
        <v>416500</v>
      </c>
      <c r="E582" s="69" t="n">
        <f aca="false">C582-D582</f>
        <v>0</v>
      </c>
    </row>
    <row r="583" customFormat="false" ht="15" hidden="false" customHeight="false" outlineLevel="0" collapsed="false">
      <c r="A583" s="12" t="n">
        <v>39</v>
      </c>
      <c r="B583" s="39" t="s">
        <v>571</v>
      </c>
      <c r="C583" s="14" t="n">
        <v>416500</v>
      </c>
      <c r="D583" s="37" t="n">
        <f aca="false">216500+200000</f>
        <v>416500</v>
      </c>
      <c r="E583" s="69" t="n">
        <f aca="false">C583-D583</f>
        <v>0</v>
      </c>
    </row>
    <row r="584" customFormat="false" ht="15" hidden="false" customHeight="false" outlineLevel="0" collapsed="false">
      <c r="A584" s="35" t="n">
        <v>40</v>
      </c>
      <c r="B584" s="39" t="s">
        <v>572</v>
      </c>
      <c r="C584" s="14" t="n">
        <v>416500</v>
      </c>
      <c r="D584" s="37" t="n">
        <f aca="false">216500+200000</f>
        <v>416500</v>
      </c>
      <c r="E584" s="69" t="n">
        <f aca="false">C584-D584</f>
        <v>0</v>
      </c>
    </row>
    <row r="585" customFormat="false" ht="15" hidden="false" customHeight="false" outlineLevel="0" collapsed="false">
      <c r="A585" s="12" t="n">
        <v>41</v>
      </c>
      <c r="B585" s="39" t="s">
        <v>573</v>
      </c>
      <c r="C585" s="14" t="n">
        <v>416500</v>
      </c>
      <c r="D585" s="37" t="n">
        <f aca="false">215500+200000</f>
        <v>415500</v>
      </c>
      <c r="E585" s="69" t="n">
        <f aca="false">C585-D585</f>
        <v>1000</v>
      </c>
    </row>
    <row r="586" customFormat="false" ht="15" hidden="false" customHeight="false" outlineLevel="0" collapsed="false">
      <c r="A586" s="12" t="n">
        <v>42</v>
      </c>
      <c r="B586" s="39" t="s">
        <v>574</v>
      </c>
      <c r="C586" s="14" t="n">
        <v>416500</v>
      </c>
      <c r="D586" s="37" t="n">
        <f aca="false">65000+85000+150000+110000+6500</f>
        <v>416500</v>
      </c>
      <c r="E586" s="69" t="n">
        <f aca="false">C586-D586</f>
        <v>0</v>
      </c>
    </row>
    <row r="587" customFormat="false" ht="15" hidden="false" customHeight="false" outlineLevel="0" collapsed="false">
      <c r="A587" s="35" t="n">
        <v>43</v>
      </c>
      <c r="B587" s="39" t="s">
        <v>575</v>
      </c>
      <c r="C587" s="14" t="n">
        <v>416500</v>
      </c>
      <c r="D587" s="37" t="n">
        <f aca="false">116500+300000</f>
        <v>416500</v>
      </c>
      <c r="E587" s="69" t="n">
        <f aca="false">C587-D587</f>
        <v>0</v>
      </c>
    </row>
    <row r="588" customFormat="false" ht="15" hidden="false" customHeight="false" outlineLevel="0" collapsed="false">
      <c r="A588" s="12" t="n">
        <v>44</v>
      </c>
      <c r="B588" s="39" t="s">
        <v>576</v>
      </c>
      <c r="C588" s="14" t="n">
        <v>416500</v>
      </c>
      <c r="D588" s="37" t="n">
        <f aca="false">216500+100000+100000</f>
        <v>416500</v>
      </c>
      <c r="E588" s="69" t="n">
        <f aca="false">C588-D588</f>
        <v>0</v>
      </c>
    </row>
    <row r="589" customFormat="false" ht="15" hidden="false" customHeight="false" outlineLevel="0" collapsed="false">
      <c r="A589" s="12" t="n">
        <v>45</v>
      </c>
      <c r="B589" s="39" t="s">
        <v>577</v>
      </c>
      <c r="C589" s="14" t="n">
        <v>416500</v>
      </c>
      <c r="D589" s="37" t="n">
        <f aca="false">90000+126500+95000</f>
        <v>311500</v>
      </c>
      <c r="E589" s="69" t="n">
        <f aca="false">C589-D589</f>
        <v>105000</v>
      </c>
    </row>
    <row r="590" customFormat="false" ht="15" hidden="false" customHeight="false" outlineLevel="0" collapsed="false">
      <c r="A590" s="35" t="n">
        <v>46</v>
      </c>
      <c r="B590" s="39" t="s">
        <v>578</v>
      </c>
      <c r="C590" s="14" t="n">
        <v>416500</v>
      </c>
      <c r="D590" s="37" t="n">
        <f aca="false">216500+110000</f>
        <v>326500</v>
      </c>
      <c r="E590" s="69" t="n">
        <f aca="false">C590-D590</f>
        <v>90000</v>
      </c>
    </row>
    <row r="591" customFormat="false" ht="15" hidden="false" customHeight="false" outlineLevel="0" collapsed="false">
      <c r="A591" s="12" t="n">
        <v>47</v>
      </c>
      <c r="B591" s="39" t="s">
        <v>579</v>
      </c>
      <c r="C591" s="14" t="n">
        <v>416500</v>
      </c>
      <c r="D591" s="37" t="n">
        <f aca="false">216500+200000</f>
        <v>416500</v>
      </c>
      <c r="E591" s="69" t="n">
        <f aca="false">C591-D591</f>
        <v>0</v>
      </c>
    </row>
    <row r="592" customFormat="false" ht="15" hidden="false" customHeight="false" outlineLevel="0" collapsed="false">
      <c r="A592" s="12" t="n">
        <v>48</v>
      </c>
      <c r="B592" s="39" t="s">
        <v>580</v>
      </c>
      <c r="C592" s="14" t="n">
        <v>416500</v>
      </c>
      <c r="D592" s="37" t="n">
        <f aca="false">216500+100000+100000</f>
        <v>416500</v>
      </c>
      <c r="E592" s="69" t="n">
        <f aca="false">C592-D592</f>
        <v>0</v>
      </c>
    </row>
    <row r="593" customFormat="false" ht="15" hidden="false" customHeight="false" outlineLevel="0" collapsed="false">
      <c r="A593" s="35" t="n">
        <v>49</v>
      </c>
      <c r="B593" s="39" t="s">
        <v>581</v>
      </c>
      <c r="C593" s="14" t="n">
        <v>416500</v>
      </c>
      <c r="D593" s="37" t="n">
        <f aca="false">220000+196500</f>
        <v>416500</v>
      </c>
      <c r="E593" s="69" t="n">
        <f aca="false">C593-D593</f>
        <v>0</v>
      </c>
    </row>
    <row r="594" customFormat="false" ht="15" hidden="false" customHeight="false" outlineLevel="0" collapsed="false">
      <c r="A594" s="12" t="n">
        <v>50</v>
      </c>
      <c r="B594" s="39" t="s">
        <v>582</v>
      </c>
      <c r="C594" s="14" t="n">
        <v>416500</v>
      </c>
      <c r="D594" s="37" t="n">
        <f aca="false">216500+200000</f>
        <v>416500</v>
      </c>
      <c r="E594" s="69" t="n">
        <f aca="false">C594-D594</f>
        <v>0</v>
      </c>
    </row>
    <row r="595" customFormat="false" ht="15" hidden="false" customHeight="false" outlineLevel="0" collapsed="false">
      <c r="A595" s="12" t="n">
        <v>51</v>
      </c>
      <c r="B595" s="39" t="s">
        <v>583</v>
      </c>
      <c r="C595" s="14" t="n">
        <v>416500</v>
      </c>
      <c r="D595" s="37" t="n">
        <f aca="false">216000+150000+50500</f>
        <v>416500</v>
      </c>
      <c r="E595" s="69" t="n">
        <f aca="false">C595-D595</f>
        <v>0</v>
      </c>
    </row>
    <row r="596" customFormat="false" ht="15" hidden="false" customHeight="false" outlineLevel="0" collapsed="false">
      <c r="A596" s="35" t="n">
        <v>52</v>
      </c>
      <c r="B596" s="39" t="s">
        <v>584</v>
      </c>
      <c r="C596" s="14" t="n">
        <v>416500</v>
      </c>
      <c r="D596" s="37" t="n">
        <f aca="false">100000+200000</f>
        <v>300000</v>
      </c>
      <c r="E596" s="69" t="n">
        <f aca="false">C596-D596</f>
        <v>116500</v>
      </c>
    </row>
    <row r="597" customFormat="false" ht="15" hidden="false" customHeight="false" outlineLevel="0" collapsed="false">
      <c r="A597" s="12" t="n">
        <v>53</v>
      </c>
      <c r="B597" s="39" t="s">
        <v>585</v>
      </c>
      <c r="C597" s="14" t="n">
        <v>416500</v>
      </c>
      <c r="D597" s="37" t="n">
        <f aca="false">216500+200000</f>
        <v>416500</v>
      </c>
      <c r="E597" s="69" t="n">
        <f aca="false">C597-D597</f>
        <v>0</v>
      </c>
    </row>
    <row r="598" customFormat="false" ht="15" hidden="false" customHeight="false" outlineLevel="0" collapsed="false">
      <c r="A598" s="12" t="n">
        <v>54</v>
      </c>
      <c r="B598" s="39" t="s">
        <v>586</v>
      </c>
      <c r="C598" s="14" t="n">
        <v>416500</v>
      </c>
      <c r="D598" s="37" t="n">
        <f aca="false">220000+196500</f>
        <v>416500</v>
      </c>
      <c r="E598" s="69" t="n">
        <f aca="false">C598-D598</f>
        <v>0</v>
      </c>
    </row>
    <row r="599" customFormat="false" ht="15" hidden="false" customHeight="false" outlineLevel="0" collapsed="false">
      <c r="A599" s="35" t="n">
        <v>55</v>
      </c>
      <c r="B599" s="39" t="s">
        <v>587</v>
      </c>
      <c r="C599" s="14" t="n">
        <v>416500</v>
      </c>
      <c r="D599" s="37" t="n">
        <f aca="false">216500+105000</f>
        <v>321500</v>
      </c>
      <c r="E599" s="69" t="n">
        <f aca="false">C599-D599</f>
        <v>95000</v>
      </c>
    </row>
    <row r="600" customFormat="false" ht="15" hidden="false" customHeight="false" outlineLevel="0" collapsed="false">
      <c r="A600" s="12" t="n">
        <v>56</v>
      </c>
      <c r="B600" s="39" t="s">
        <v>588</v>
      </c>
      <c r="C600" s="14" t="n">
        <v>416500</v>
      </c>
      <c r="D600" s="37" t="n">
        <f aca="false">216000+200500</f>
        <v>416500</v>
      </c>
      <c r="E600" s="69" t="n">
        <f aca="false">C600-D600</f>
        <v>0</v>
      </c>
    </row>
    <row r="601" customFormat="false" ht="15" hidden="false" customHeight="false" outlineLevel="0" collapsed="false">
      <c r="A601" s="12" t="n">
        <v>57</v>
      </c>
      <c r="B601" s="39" t="s">
        <v>589</v>
      </c>
      <c r="C601" s="14" t="n">
        <v>416500</v>
      </c>
      <c r="D601" s="37" t="n">
        <v>416500</v>
      </c>
      <c r="E601" s="69" t="n">
        <f aca="false">C601-D601</f>
        <v>0</v>
      </c>
    </row>
    <row r="602" customFormat="false" ht="15" hidden="false" customHeight="false" outlineLevel="0" collapsed="false">
      <c r="A602" s="35" t="n">
        <v>58</v>
      </c>
      <c r="B602" s="75" t="s">
        <v>590</v>
      </c>
      <c r="C602" s="14" t="n">
        <v>416500</v>
      </c>
      <c r="D602" s="76" t="n">
        <f aca="false">220000+200000</f>
        <v>420000</v>
      </c>
      <c r="E602" s="69" t="n">
        <f aca="false">C602-D602</f>
        <v>-3500</v>
      </c>
    </row>
    <row r="603" customFormat="false" ht="15" hidden="false" customHeight="false" outlineLevel="0" collapsed="false">
      <c r="A603" s="12" t="n">
        <v>59</v>
      </c>
      <c r="B603" s="75" t="s">
        <v>591</v>
      </c>
      <c r="C603" s="14" t="n">
        <v>416500</v>
      </c>
      <c r="D603" s="76" t="n">
        <f aca="false">217000+100000</f>
        <v>317000</v>
      </c>
      <c r="E603" s="69" t="n">
        <f aca="false">C603-D603</f>
        <v>99500</v>
      </c>
    </row>
    <row r="604" customFormat="false" ht="15" hidden="false" customHeight="false" outlineLevel="0" collapsed="false">
      <c r="A604" s="12" t="n">
        <v>60</v>
      </c>
      <c r="B604" s="75" t="s">
        <v>592</v>
      </c>
      <c r="C604" s="14" t="n">
        <v>416500</v>
      </c>
      <c r="D604" s="76"/>
      <c r="E604" s="69" t="n">
        <f aca="false">C604-D604</f>
        <v>416500</v>
      </c>
    </row>
    <row r="605" customFormat="false" ht="15" hidden="false" customHeight="false" outlineLevel="0" collapsed="false">
      <c r="A605" s="35" t="n">
        <v>61</v>
      </c>
      <c r="B605" s="39" t="s">
        <v>593</v>
      </c>
      <c r="C605" s="14" t="n">
        <v>416500</v>
      </c>
      <c r="D605" s="76" t="n">
        <f aca="false">300000+116500</f>
        <v>416500</v>
      </c>
      <c r="E605" s="69" t="n">
        <f aca="false">C605-D605</f>
        <v>0</v>
      </c>
    </row>
    <row r="606" customFormat="false" ht="15" hidden="false" customHeight="false" outlineLevel="0" collapsed="false">
      <c r="A606" s="12" t="n">
        <v>62</v>
      </c>
      <c r="B606" s="39" t="s">
        <v>594</v>
      </c>
      <c r="C606" s="14" t="s">
        <v>11</v>
      </c>
      <c r="D606" s="37" t="s">
        <v>11</v>
      </c>
      <c r="E606" s="69" t="s">
        <v>11</v>
      </c>
    </row>
    <row r="607" customFormat="false" ht="17.35" hidden="false" customHeight="false" outlineLevel="0" collapsed="false">
      <c r="A607" s="53"/>
      <c r="B607" s="23" t="s">
        <v>21</v>
      </c>
      <c r="C607" s="24" t="n">
        <f aca="false">SUM(C545:C606)</f>
        <v>24990000</v>
      </c>
      <c r="D607" s="25" t="n">
        <f aca="false">SUM(D545:D606)</f>
        <v>22627000</v>
      </c>
      <c r="E607" s="70" t="n">
        <f aca="false">SUM(E545:E606)</f>
        <v>2363000</v>
      </c>
    </row>
    <row r="608" customFormat="false" ht="15" hidden="false" customHeight="false" outlineLevel="0" collapsed="false">
      <c r="A608" s="71"/>
      <c r="D608" s="32"/>
      <c r="E608" s="32"/>
    </row>
    <row r="609" customFormat="false" ht="15" hidden="false" customHeight="false" outlineLevel="0" collapsed="false">
      <c r="A609" s="71"/>
      <c r="D609" s="32"/>
      <c r="E609" s="32"/>
    </row>
    <row r="610" customFormat="false" ht="15" hidden="false" customHeight="false" outlineLevel="0" collapsed="false">
      <c r="A610" s="71"/>
      <c r="D610" s="32"/>
      <c r="E610" s="32"/>
    </row>
    <row r="611" customFormat="false" ht="17.35" hidden="false" customHeight="false" outlineLevel="0" collapsed="false">
      <c r="A611" s="2"/>
      <c r="B611" s="3" t="s">
        <v>0</v>
      </c>
      <c r="D611" s="32"/>
      <c r="E611" s="32"/>
    </row>
    <row r="612" customFormat="false" ht="17.35" hidden="false" customHeight="false" outlineLevel="0" collapsed="false">
      <c r="A612" s="4"/>
      <c r="D612" s="32"/>
      <c r="E612" s="32"/>
    </row>
    <row r="613" customFormat="false" ht="15" hidden="false" customHeight="false" outlineLevel="0" collapsed="false">
      <c r="A613" s="2"/>
      <c r="D613" s="32"/>
      <c r="E613" s="32"/>
    </row>
    <row r="614" customFormat="false" ht="17.25" hidden="false" customHeight="false" outlineLevel="0" collapsed="false">
      <c r="A614" s="2"/>
      <c r="B614" s="5" t="s">
        <v>113</v>
      </c>
      <c r="D614" s="32"/>
      <c r="E614" s="32"/>
    </row>
    <row r="615" customFormat="false" ht="15" hidden="false" customHeight="false" outlineLevel="0" collapsed="false">
      <c r="A615" s="2"/>
      <c r="D615" s="33" t="s">
        <v>161</v>
      </c>
      <c r="E615" s="32"/>
    </row>
    <row r="616" customFormat="false" ht="15" hidden="false" customHeight="false" outlineLevel="0" collapsed="false">
      <c r="A616" s="2"/>
      <c r="D616" s="32"/>
      <c r="E616" s="32"/>
    </row>
    <row r="617" customFormat="false" ht="15" hidden="false" customHeight="false" outlineLevel="0" collapsed="false">
      <c r="A617" s="7" t="s">
        <v>3</v>
      </c>
      <c r="B617" s="8" t="s">
        <v>4</v>
      </c>
      <c r="C617" s="9" t="s">
        <v>5</v>
      </c>
      <c r="D617" s="34" t="s">
        <v>6</v>
      </c>
      <c r="E617" s="68" t="s">
        <v>7</v>
      </c>
    </row>
    <row r="618" customFormat="false" ht="15" hidden="false" customHeight="false" outlineLevel="0" collapsed="false">
      <c r="A618" s="35" t="n">
        <v>1</v>
      </c>
      <c r="B618" s="39" t="s">
        <v>595</v>
      </c>
      <c r="C618" s="14" t="n">
        <v>416500</v>
      </c>
      <c r="D618" s="37" t="n">
        <f aca="false">220000+196500</f>
        <v>416500</v>
      </c>
      <c r="E618" s="69" t="n">
        <f aca="false">C618-D618</f>
        <v>0</v>
      </c>
    </row>
    <row r="619" customFormat="false" ht="15" hidden="false" customHeight="false" outlineLevel="0" collapsed="false">
      <c r="A619" s="12" t="n">
        <v>2</v>
      </c>
      <c r="B619" s="39" t="s">
        <v>596</v>
      </c>
      <c r="C619" s="14" t="n">
        <v>416500</v>
      </c>
      <c r="D619" s="37" t="n">
        <f aca="false">310000+80000+26500</f>
        <v>416500</v>
      </c>
      <c r="E619" s="69" t="n">
        <f aca="false">C619-D619</f>
        <v>0</v>
      </c>
    </row>
    <row r="620" customFormat="false" ht="15" hidden="false" customHeight="false" outlineLevel="0" collapsed="false">
      <c r="A620" s="35" t="n">
        <v>3</v>
      </c>
      <c r="B620" s="39" t="s">
        <v>597</v>
      </c>
      <c r="C620" s="14" t="n">
        <v>416500</v>
      </c>
      <c r="D620" s="37" t="n">
        <f aca="false">200500+200000+16500</f>
        <v>417000</v>
      </c>
      <c r="E620" s="69" t="n">
        <f aca="false">C620-D620</f>
        <v>-500</v>
      </c>
    </row>
    <row r="621" customFormat="false" ht="15" hidden="false" customHeight="false" outlineLevel="0" collapsed="false">
      <c r="A621" s="12" t="n">
        <v>4</v>
      </c>
      <c r="B621" s="39" t="s">
        <v>598</v>
      </c>
      <c r="C621" s="14" t="n">
        <v>416500</v>
      </c>
      <c r="D621" s="37" t="n">
        <f aca="false">216500+100000+100000</f>
        <v>416500</v>
      </c>
      <c r="E621" s="69" t="n">
        <f aca="false">C621-D621</f>
        <v>0</v>
      </c>
    </row>
    <row r="622" customFormat="false" ht="15" hidden="false" customHeight="false" outlineLevel="0" collapsed="false">
      <c r="A622" s="35" t="n">
        <v>5</v>
      </c>
      <c r="B622" s="39" t="s">
        <v>599</v>
      </c>
      <c r="C622" s="14" t="n">
        <v>416500</v>
      </c>
      <c r="D622" s="37" t="n">
        <f aca="false">216500+200000</f>
        <v>416500</v>
      </c>
      <c r="E622" s="69" t="n">
        <f aca="false">C622-D622</f>
        <v>0</v>
      </c>
    </row>
    <row r="623" customFormat="false" ht="15" hidden="false" customHeight="false" outlineLevel="0" collapsed="false">
      <c r="A623" s="12" t="n">
        <v>6</v>
      </c>
      <c r="B623" s="39" t="s">
        <v>600</v>
      </c>
      <c r="C623" s="14" t="n">
        <v>416500</v>
      </c>
      <c r="D623" s="37" t="n">
        <f aca="false">216500+200000</f>
        <v>416500</v>
      </c>
      <c r="E623" s="69" t="n">
        <f aca="false">C623-D623</f>
        <v>0</v>
      </c>
    </row>
    <row r="624" customFormat="false" ht="15" hidden="false" customHeight="false" outlineLevel="0" collapsed="false">
      <c r="A624" s="35" t="n">
        <v>7</v>
      </c>
      <c r="B624" s="39" t="s">
        <v>601</v>
      </c>
      <c r="C624" s="14" t="n">
        <v>416500</v>
      </c>
      <c r="D624" s="37" t="n">
        <f aca="false">216500+200000-75000</f>
        <v>341500</v>
      </c>
      <c r="E624" s="69" t="n">
        <f aca="false">C624-D624</f>
        <v>75000</v>
      </c>
    </row>
    <row r="625" customFormat="false" ht="15" hidden="false" customHeight="false" outlineLevel="0" collapsed="false">
      <c r="A625" s="12" t="n">
        <v>8</v>
      </c>
      <c r="B625" s="39" t="s">
        <v>602</v>
      </c>
      <c r="C625" s="14" t="n">
        <v>416500</v>
      </c>
      <c r="D625" s="37" t="n">
        <f aca="false">216500+100000+100000</f>
        <v>416500</v>
      </c>
      <c r="E625" s="69" t="n">
        <f aca="false">C625-D625</f>
        <v>0</v>
      </c>
    </row>
    <row r="626" customFormat="false" ht="15" hidden="false" customHeight="false" outlineLevel="0" collapsed="false">
      <c r="A626" s="35" t="n">
        <v>9</v>
      </c>
      <c r="B626" s="39" t="s">
        <v>603</v>
      </c>
      <c r="C626" s="37" t="n">
        <v>416500</v>
      </c>
      <c r="D626" s="37" t="n">
        <f aca="false">216500+100000+100000</f>
        <v>416500</v>
      </c>
      <c r="E626" s="69" t="n">
        <f aca="false">C626-D626</f>
        <v>0</v>
      </c>
    </row>
    <row r="627" customFormat="false" ht="15" hidden="false" customHeight="false" outlineLevel="0" collapsed="false">
      <c r="A627" s="12" t="n">
        <v>10</v>
      </c>
      <c r="B627" s="39" t="s">
        <v>604</v>
      </c>
      <c r="C627" s="14" t="n">
        <v>416500</v>
      </c>
      <c r="D627" s="37" t="n">
        <v>416500</v>
      </c>
      <c r="E627" s="69" t="n">
        <f aca="false">C627-D627</f>
        <v>0</v>
      </c>
    </row>
    <row r="628" customFormat="false" ht="15" hidden="false" customHeight="false" outlineLevel="0" collapsed="false">
      <c r="A628" s="35" t="n">
        <v>11</v>
      </c>
      <c r="B628" s="39" t="s">
        <v>605</v>
      </c>
      <c r="C628" s="14" t="n">
        <v>416500</v>
      </c>
      <c r="D628" s="37" t="n">
        <f aca="false">66500+100000+50000+200000</f>
        <v>416500</v>
      </c>
      <c r="E628" s="69" t="n">
        <f aca="false">C628-D628</f>
        <v>0</v>
      </c>
    </row>
    <row r="629" customFormat="false" ht="15" hidden="false" customHeight="false" outlineLevel="0" collapsed="false">
      <c r="A629" s="53" t="n">
        <v>12</v>
      </c>
      <c r="B629" s="39" t="s">
        <v>606</v>
      </c>
      <c r="C629" s="14" t="n">
        <v>416500</v>
      </c>
      <c r="D629" s="37" t="n">
        <v>416500</v>
      </c>
      <c r="E629" s="69" t="n">
        <f aca="false">C629-D629</f>
        <v>0</v>
      </c>
    </row>
    <row r="630" customFormat="false" ht="15" hidden="false" customHeight="false" outlineLevel="0" collapsed="false">
      <c r="A630" s="12" t="n">
        <v>13</v>
      </c>
      <c r="B630" s="39" t="s">
        <v>607</v>
      </c>
      <c r="C630" s="14" t="n">
        <v>416500</v>
      </c>
      <c r="D630" s="37" t="n">
        <f aca="false">216500+100000+100000</f>
        <v>416500</v>
      </c>
      <c r="E630" s="69" t="n">
        <f aca="false">C630-D630</f>
        <v>0</v>
      </c>
    </row>
    <row r="631" customFormat="false" ht="15" hidden="false" customHeight="false" outlineLevel="0" collapsed="false">
      <c r="A631" s="35" t="n">
        <v>14</v>
      </c>
      <c r="B631" s="39" t="s">
        <v>608</v>
      </c>
      <c r="C631" s="14" t="n">
        <v>416500</v>
      </c>
      <c r="D631" s="37" t="n">
        <f aca="false">16500+200000+100000+100000</f>
        <v>416500</v>
      </c>
      <c r="E631" s="69" t="n">
        <f aca="false">C631-D631</f>
        <v>0</v>
      </c>
    </row>
    <row r="632" customFormat="false" ht="15" hidden="false" customHeight="false" outlineLevel="0" collapsed="false">
      <c r="A632" s="53" t="n">
        <v>15</v>
      </c>
      <c r="B632" s="39" t="s">
        <v>609</v>
      </c>
      <c r="C632" s="14" t="n">
        <v>416500</v>
      </c>
      <c r="D632" s="37" t="n">
        <f aca="false">216500+200000</f>
        <v>416500</v>
      </c>
      <c r="E632" s="69" t="n">
        <f aca="false">C632-D632</f>
        <v>0</v>
      </c>
    </row>
    <row r="633" customFormat="false" ht="15" hidden="false" customHeight="false" outlineLevel="0" collapsed="false">
      <c r="A633" s="53" t="n">
        <v>16</v>
      </c>
      <c r="B633" s="39" t="s">
        <v>610</v>
      </c>
      <c r="C633" s="14" t="n">
        <v>416500</v>
      </c>
      <c r="D633" s="37" t="n">
        <f aca="false">220000</f>
        <v>220000</v>
      </c>
      <c r="E633" s="69" t="n">
        <f aca="false">C633-D633</f>
        <v>196500</v>
      </c>
    </row>
    <row r="634" customFormat="false" ht="15" hidden="false" customHeight="false" outlineLevel="0" collapsed="false">
      <c r="A634" s="53" t="n">
        <v>17</v>
      </c>
      <c r="B634" s="39" t="s">
        <v>611</v>
      </c>
      <c r="C634" s="14" t="n">
        <v>416500</v>
      </c>
      <c r="D634" s="37" t="n">
        <f aca="false">200000+200000+16500</f>
        <v>416500</v>
      </c>
      <c r="E634" s="69" t="n">
        <f aca="false">C634-D634</f>
        <v>0</v>
      </c>
    </row>
    <row r="635" customFormat="false" ht="15" hidden="false" customHeight="false" outlineLevel="0" collapsed="false">
      <c r="A635" s="53" t="n">
        <v>18</v>
      </c>
      <c r="B635" s="39" t="s">
        <v>612</v>
      </c>
      <c r="C635" s="14" t="n">
        <v>416500</v>
      </c>
      <c r="D635" s="37" t="n">
        <f aca="false">220000+150000</f>
        <v>370000</v>
      </c>
      <c r="E635" s="69" t="n">
        <f aca="false">C635-D635</f>
        <v>46500</v>
      </c>
    </row>
    <row r="636" customFormat="false" ht="15" hidden="false" customHeight="false" outlineLevel="0" collapsed="false">
      <c r="A636" s="53" t="n">
        <v>19</v>
      </c>
      <c r="B636" s="39" t="s">
        <v>613</v>
      </c>
      <c r="C636" s="14" t="n">
        <v>416500</v>
      </c>
      <c r="D636" s="37" t="n">
        <f aca="false">216500+200000</f>
        <v>416500</v>
      </c>
      <c r="E636" s="69" t="n">
        <f aca="false">C636-D636</f>
        <v>0</v>
      </c>
    </row>
    <row r="637" customFormat="false" ht="15" hidden="false" customHeight="false" outlineLevel="0" collapsed="false">
      <c r="A637" s="53" t="n">
        <v>20</v>
      </c>
      <c r="B637" s="39" t="s">
        <v>614</v>
      </c>
      <c r="C637" s="14" t="n">
        <v>416500</v>
      </c>
      <c r="D637" s="37" t="n">
        <f aca="false">220000+196500</f>
        <v>416500</v>
      </c>
      <c r="E637" s="69" t="n">
        <f aca="false">C637-D637</f>
        <v>0</v>
      </c>
    </row>
    <row r="638" customFormat="false" ht="15" hidden="false" customHeight="false" outlineLevel="0" collapsed="false">
      <c r="A638" s="53" t="n">
        <v>21</v>
      </c>
      <c r="B638" s="39" t="s">
        <v>615</v>
      </c>
      <c r="C638" s="14" t="n">
        <v>416500</v>
      </c>
      <c r="D638" s="37" t="n">
        <f aca="false">216500+200000</f>
        <v>416500</v>
      </c>
      <c r="E638" s="69" t="n">
        <f aca="false">C638-D638</f>
        <v>0</v>
      </c>
    </row>
    <row r="639" customFormat="false" ht="15" hidden="false" customHeight="false" outlineLevel="0" collapsed="false">
      <c r="A639" s="53" t="n">
        <v>22</v>
      </c>
      <c r="B639" s="39" t="s">
        <v>616</v>
      </c>
      <c r="C639" s="14" t="n">
        <v>416500</v>
      </c>
      <c r="D639" s="37" t="n">
        <f aca="false">216500+200000</f>
        <v>416500</v>
      </c>
      <c r="E639" s="69" t="n">
        <f aca="false">C639-D639</f>
        <v>0</v>
      </c>
    </row>
    <row r="640" customFormat="false" ht="15" hidden="false" customHeight="false" outlineLevel="0" collapsed="false">
      <c r="A640" s="53" t="n">
        <v>23</v>
      </c>
      <c r="B640" s="39" t="s">
        <v>617</v>
      </c>
      <c r="C640" s="14" t="n">
        <v>416500</v>
      </c>
      <c r="D640" s="37" t="n">
        <f aca="false">135000+70000</f>
        <v>205000</v>
      </c>
      <c r="E640" s="69" t="n">
        <f aca="false">C640-D640</f>
        <v>211500</v>
      </c>
    </row>
    <row r="641" customFormat="false" ht="15" hidden="false" customHeight="false" outlineLevel="0" collapsed="false">
      <c r="A641" s="53" t="n">
        <v>24</v>
      </c>
      <c r="B641" s="39" t="s">
        <v>618</v>
      </c>
      <c r="C641" s="14" t="n">
        <v>416500</v>
      </c>
      <c r="D641" s="37" t="n">
        <f aca="false">300000+100000</f>
        <v>400000</v>
      </c>
      <c r="E641" s="69" t="n">
        <f aca="false">C641-D641</f>
        <v>16500</v>
      </c>
    </row>
    <row r="642" customFormat="false" ht="15" hidden="false" customHeight="false" outlineLevel="0" collapsed="false">
      <c r="A642" s="53" t="n">
        <v>25</v>
      </c>
      <c r="B642" s="39" t="s">
        <v>619</v>
      </c>
      <c r="C642" s="14" t="n">
        <v>416500</v>
      </c>
      <c r="D642" s="37" t="n">
        <f aca="false">216500+200000</f>
        <v>416500</v>
      </c>
      <c r="E642" s="69" t="n">
        <f aca="false">C642-D642</f>
        <v>0</v>
      </c>
    </row>
    <row r="643" customFormat="false" ht="15" hidden="false" customHeight="false" outlineLevel="0" collapsed="false">
      <c r="A643" s="53" t="n">
        <v>26</v>
      </c>
      <c r="B643" s="39" t="s">
        <v>620</v>
      </c>
      <c r="C643" s="14" t="n">
        <v>416500</v>
      </c>
      <c r="D643" s="37" t="n">
        <f aca="false">216500+200000</f>
        <v>416500</v>
      </c>
      <c r="E643" s="69" t="n">
        <f aca="false">C643-D643</f>
        <v>0</v>
      </c>
    </row>
    <row r="644" customFormat="false" ht="17.35" hidden="false" customHeight="false" outlineLevel="0" collapsed="false">
      <c r="A644" s="22"/>
      <c r="B644" s="23" t="s">
        <v>21</v>
      </c>
      <c r="C644" s="24" t="n">
        <f aca="false">SUM(C618:C643)</f>
        <v>10829000</v>
      </c>
      <c r="D644" s="25" t="n">
        <f aca="false">SUM(D618:D643)</f>
        <v>10283500</v>
      </c>
      <c r="E644" s="70" t="n">
        <f aca="false">SUM(E618:E643)</f>
        <v>545500</v>
      </c>
    </row>
    <row r="645" customFormat="false" ht="15" hidden="false" customHeight="false" outlineLevel="0" collapsed="false">
      <c r="A645" s="71"/>
      <c r="D645" s="32"/>
      <c r="E645" s="32"/>
    </row>
    <row r="646" customFormat="false" ht="15" hidden="false" customHeight="false" outlineLevel="0" collapsed="false">
      <c r="D646" s="32"/>
      <c r="E646" s="32"/>
    </row>
    <row r="647" customFormat="false" ht="17.35" hidden="false" customHeight="false" outlineLevel="0" collapsed="false">
      <c r="B647" s="3" t="s">
        <v>0</v>
      </c>
      <c r="D647" s="32"/>
      <c r="E647" s="32"/>
    </row>
    <row r="648" customFormat="false" ht="15" hidden="false" customHeight="false" outlineLevel="0" collapsed="false">
      <c r="A648" s="2"/>
      <c r="D648" s="32"/>
      <c r="E648" s="32"/>
    </row>
    <row r="649" customFormat="false" ht="15" hidden="false" customHeight="false" outlineLevel="0" collapsed="false">
      <c r="A649" s="2"/>
      <c r="D649" s="32"/>
      <c r="E649" s="32"/>
    </row>
    <row r="650" customFormat="false" ht="17.25" hidden="false" customHeight="false" outlineLevel="0" collapsed="false">
      <c r="A650" s="2"/>
      <c r="B650" s="5" t="s">
        <v>621</v>
      </c>
      <c r="D650" s="32"/>
      <c r="E650" s="32"/>
    </row>
    <row r="651" customFormat="false" ht="15" hidden="false" customHeight="false" outlineLevel="0" collapsed="false">
      <c r="A651" s="2"/>
      <c r="D651" s="33" t="s">
        <v>178</v>
      </c>
      <c r="E651" s="32"/>
    </row>
    <row r="652" customFormat="false" ht="15" hidden="false" customHeight="false" outlineLevel="0" collapsed="false">
      <c r="A652" s="2"/>
      <c r="D652" s="32"/>
      <c r="E652" s="32"/>
    </row>
    <row r="653" customFormat="false" ht="15" hidden="false" customHeight="false" outlineLevel="0" collapsed="false">
      <c r="A653" s="7" t="s">
        <v>3</v>
      </c>
      <c r="B653" s="8" t="s">
        <v>4</v>
      </c>
      <c r="C653" s="9" t="s">
        <v>5</v>
      </c>
      <c r="D653" s="34" t="s">
        <v>6</v>
      </c>
      <c r="E653" s="68" t="s">
        <v>7</v>
      </c>
    </row>
    <row r="654" customFormat="false" ht="15" hidden="false" customHeight="false" outlineLevel="0" collapsed="false">
      <c r="A654" s="12" t="n">
        <v>1</v>
      </c>
      <c r="B654" s="13" t="s">
        <v>622</v>
      </c>
      <c r="C654" s="14" t="n">
        <v>416500</v>
      </c>
      <c r="D654" s="37" t="n">
        <f aca="false">216500+200000</f>
        <v>416500</v>
      </c>
      <c r="E654" s="69" t="n">
        <f aca="false">C654-D654</f>
        <v>0</v>
      </c>
    </row>
    <row r="655" customFormat="false" ht="15" hidden="false" customHeight="false" outlineLevel="0" collapsed="false">
      <c r="A655" s="35" t="n">
        <v>2</v>
      </c>
      <c r="B655" s="36" t="s">
        <v>623</v>
      </c>
      <c r="C655" s="14" t="n">
        <v>416500</v>
      </c>
      <c r="D655" s="37" t="n">
        <f aca="false">216500+100000</f>
        <v>316500</v>
      </c>
      <c r="E655" s="69" t="n">
        <f aca="false">C655-D655</f>
        <v>100000</v>
      </c>
    </row>
    <row r="656" customFormat="false" ht="15" hidden="false" customHeight="false" outlineLevel="0" collapsed="false">
      <c r="A656" s="12" t="n">
        <v>3</v>
      </c>
      <c r="B656" s="36" t="s">
        <v>624</v>
      </c>
      <c r="C656" s="14" t="n">
        <v>416500</v>
      </c>
      <c r="D656" s="37" t="n">
        <f aca="false">220000+196500</f>
        <v>416500</v>
      </c>
      <c r="E656" s="69" t="n">
        <f aca="false">C656-D656</f>
        <v>0</v>
      </c>
    </row>
    <row r="657" customFormat="false" ht="15" hidden="false" customHeight="false" outlineLevel="0" collapsed="false">
      <c r="A657" s="35" t="n">
        <v>4</v>
      </c>
      <c r="B657" s="36" t="s">
        <v>625</v>
      </c>
      <c r="C657" s="14" t="n">
        <v>416500</v>
      </c>
      <c r="D657" s="37" t="n">
        <f aca="false">116500+215000</f>
        <v>331500</v>
      </c>
      <c r="E657" s="69" t="n">
        <f aca="false">C657-D657</f>
        <v>85000</v>
      </c>
    </row>
    <row r="658" customFormat="false" ht="15" hidden="false" customHeight="false" outlineLevel="0" collapsed="false">
      <c r="A658" s="12" t="n">
        <v>5</v>
      </c>
      <c r="B658" s="36" t="s">
        <v>626</v>
      </c>
      <c r="C658" s="14" t="n">
        <v>416500</v>
      </c>
      <c r="D658" s="37" t="n">
        <f aca="false">4000+412500</f>
        <v>416500</v>
      </c>
      <c r="E658" s="69" t="n">
        <f aca="false">C658-D658</f>
        <v>0</v>
      </c>
    </row>
    <row r="659" customFormat="false" ht="15" hidden="false" customHeight="false" outlineLevel="0" collapsed="false">
      <c r="A659" s="12" t="n">
        <v>6</v>
      </c>
      <c r="B659" s="36" t="s">
        <v>627</v>
      </c>
      <c r="C659" s="14" t="n">
        <v>416500</v>
      </c>
      <c r="D659" s="37" t="n">
        <f aca="false">416000</f>
        <v>416000</v>
      </c>
      <c r="E659" s="69" t="n">
        <f aca="false">C659-D659</f>
        <v>500</v>
      </c>
    </row>
    <row r="660" customFormat="false" ht="15" hidden="false" customHeight="false" outlineLevel="0" collapsed="false">
      <c r="A660" s="35" t="n">
        <v>7</v>
      </c>
      <c r="B660" s="36" t="s">
        <v>628</v>
      </c>
      <c r="C660" s="14" t="n">
        <v>416500</v>
      </c>
      <c r="D660" s="37" t="n">
        <f aca="false">16500+200000</f>
        <v>216500</v>
      </c>
      <c r="E660" s="69" t="n">
        <f aca="false">C660-D660</f>
        <v>200000</v>
      </c>
    </row>
    <row r="661" customFormat="false" ht="15" hidden="false" customHeight="false" outlineLevel="0" collapsed="false">
      <c r="A661" s="12" t="n">
        <v>8</v>
      </c>
      <c r="B661" s="36" t="s">
        <v>629</v>
      </c>
      <c r="C661" s="14" t="n">
        <v>416500</v>
      </c>
      <c r="D661" s="37" t="n">
        <f aca="false">100000+100000+216500</f>
        <v>416500</v>
      </c>
      <c r="E661" s="69" t="n">
        <f aca="false">C661-D661</f>
        <v>0</v>
      </c>
    </row>
    <row r="662" customFormat="false" ht="15" hidden="false" customHeight="false" outlineLevel="0" collapsed="false">
      <c r="A662" s="35" t="n">
        <v>9</v>
      </c>
      <c r="B662" s="36" t="s">
        <v>630</v>
      </c>
      <c r="C662" s="14" t="n">
        <v>416500</v>
      </c>
      <c r="D662" s="37" t="n">
        <f aca="false">127000+180000</f>
        <v>307000</v>
      </c>
      <c r="E662" s="69" t="n">
        <f aca="false">C662-D662</f>
        <v>109500</v>
      </c>
    </row>
    <row r="663" customFormat="false" ht="15" hidden="false" customHeight="false" outlineLevel="0" collapsed="false">
      <c r="A663" s="12" t="n">
        <v>10</v>
      </c>
      <c r="B663" s="36" t="s">
        <v>631</v>
      </c>
      <c r="C663" s="14" t="n">
        <v>416500</v>
      </c>
      <c r="D663" s="37" t="n">
        <f aca="false">216500+200000</f>
        <v>416500</v>
      </c>
      <c r="E663" s="69" t="n">
        <f aca="false">C663-D663</f>
        <v>0</v>
      </c>
    </row>
    <row r="664" customFormat="false" ht="15" hidden="false" customHeight="false" outlineLevel="0" collapsed="false">
      <c r="A664" s="12" t="n">
        <v>11</v>
      </c>
      <c r="B664" s="36" t="s">
        <v>632</v>
      </c>
      <c r="C664" s="14" t="n">
        <v>416500</v>
      </c>
      <c r="D664" s="37" t="n">
        <f aca="false">216500+200000</f>
        <v>416500</v>
      </c>
      <c r="E664" s="69" t="n">
        <f aca="false">C664-D664</f>
        <v>0</v>
      </c>
    </row>
    <row r="665" customFormat="false" ht="15" hidden="false" customHeight="false" outlineLevel="0" collapsed="false">
      <c r="A665" s="35" t="n">
        <v>12</v>
      </c>
      <c r="B665" s="36" t="s">
        <v>633</v>
      </c>
      <c r="C665" s="14" t="n">
        <v>416500</v>
      </c>
      <c r="D665" s="37" t="n">
        <f aca="false">350000+66500</f>
        <v>416500</v>
      </c>
      <c r="E665" s="69" t="n">
        <f aca="false">C665-D665</f>
        <v>0</v>
      </c>
    </row>
    <row r="666" customFormat="false" ht="15" hidden="false" customHeight="false" outlineLevel="0" collapsed="false">
      <c r="A666" s="12" t="n">
        <v>13</v>
      </c>
      <c r="B666" s="36" t="s">
        <v>634</v>
      </c>
      <c r="C666" s="14" t="n">
        <v>416500</v>
      </c>
      <c r="D666" s="37" t="n">
        <f aca="false">200000+16500+100000+100000</f>
        <v>416500</v>
      </c>
      <c r="E666" s="69" t="n">
        <f aca="false">C666-D666</f>
        <v>0</v>
      </c>
    </row>
    <row r="667" customFormat="false" ht="15" hidden="false" customHeight="false" outlineLevel="0" collapsed="false">
      <c r="A667" s="35" t="n">
        <v>14</v>
      </c>
      <c r="B667" s="36" t="s">
        <v>635</v>
      </c>
      <c r="C667" s="14" t="n">
        <v>416500</v>
      </c>
      <c r="D667" s="37" t="n">
        <f aca="false">216500+100000</f>
        <v>316500</v>
      </c>
      <c r="E667" s="69" t="n">
        <f aca="false">C667-D667</f>
        <v>100000</v>
      </c>
    </row>
    <row r="668" customFormat="false" ht="15" hidden="false" customHeight="false" outlineLevel="0" collapsed="false">
      <c r="A668" s="12" t="n">
        <v>15</v>
      </c>
      <c r="B668" s="36" t="s">
        <v>636</v>
      </c>
      <c r="C668" s="14" t="n">
        <v>416500</v>
      </c>
      <c r="D668" s="37" t="n">
        <f aca="false">416500</f>
        <v>416500</v>
      </c>
      <c r="E668" s="69" t="n">
        <f aca="false">C668-D668</f>
        <v>0</v>
      </c>
    </row>
    <row r="669" customFormat="false" ht="15" hidden="false" customHeight="false" outlineLevel="0" collapsed="false">
      <c r="A669" s="12" t="n">
        <v>16</v>
      </c>
      <c r="B669" s="36" t="s">
        <v>637</v>
      </c>
      <c r="C669" s="14" t="n">
        <v>416500</v>
      </c>
      <c r="D669" s="37" t="n">
        <f aca="false">216000+200000+500</f>
        <v>416500</v>
      </c>
      <c r="E669" s="69" t="n">
        <f aca="false">C669-D669</f>
        <v>0</v>
      </c>
    </row>
    <row r="670" customFormat="false" ht="15" hidden="false" customHeight="false" outlineLevel="0" collapsed="false">
      <c r="A670" s="35" t="n">
        <v>17</v>
      </c>
      <c r="B670" s="36" t="s">
        <v>638</v>
      </c>
      <c r="C670" s="14" t="n">
        <v>416500</v>
      </c>
      <c r="D670" s="37" t="n">
        <v>416500</v>
      </c>
      <c r="E670" s="69" t="n">
        <f aca="false">C670-D670</f>
        <v>0</v>
      </c>
    </row>
    <row r="671" customFormat="false" ht="15" hidden="false" customHeight="false" outlineLevel="0" collapsed="false">
      <c r="A671" s="12" t="n">
        <v>18</v>
      </c>
      <c r="B671" s="36" t="s">
        <v>639</v>
      </c>
      <c r="C671" s="14" t="n">
        <v>416500</v>
      </c>
      <c r="D671" s="37" t="n">
        <f aca="false">216000+200000</f>
        <v>416000</v>
      </c>
      <c r="E671" s="69" t="n">
        <f aca="false">C671-D671</f>
        <v>500</v>
      </c>
    </row>
    <row r="672" customFormat="false" ht="15" hidden="false" customHeight="false" outlineLevel="0" collapsed="false">
      <c r="A672" s="35" t="n">
        <v>19</v>
      </c>
      <c r="B672" s="36" t="s">
        <v>640</v>
      </c>
      <c r="C672" s="14" t="n">
        <v>416500</v>
      </c>
      <c r="D672" s="37" t="n">
        <f aca="false">100000+116500+200000</f>
        <v>416500</v>
      </c>
      <c r="E672" s="69" t="n">
        <f aca="false">C672-D672</f>
        <v>0</v>
      </c>
    </row>
    <row r="673" customFormat="false" ht="15" hidden="false" customHeight="false" outlineLevel="0" collapsed="false">
      <c r="A673" s="12" t="n">
        <v>20</v>
      </c>
      <c r="B673" s="36" t="s">
        <v>641</v>
      </c>
      <c r="C673" s="14" t="n">
        <v>416500</v>
      </c>
      <c r="D673" s="37" t="n">
        <f aca="false">216500</f>
        <v>216500</v>
      </c>
      <c r="E673" s="69" t="n">
        <f aca="false">C673-D673</f>
        <v>200000</v>
      </c>
    </row>
    <row r="674" customFormat="false" ht="15" hidden="false" customHeight="false" outlineLevel="0" collapsed="false">
      <c r="A674" s="12" t="n">
        <v>21</v>
      </c>
      <c r="B674" s="36" t="s">
        <v>642</v>
      </c>
      <c r="C674" s="14" t="n">
        <v>416500</v>
      </c>
      <c r="D674" s="37" t="n">
        <f aca="false">216500+200500</f>
        <v>417000</v>
      </c>
      <c r="E674" s="69" t="n">
        <f aca="false">C674-D674</f>
        <v>-500</v>
      </c>
    </row>
    <row r="675" customFormat="false" ht="15" hidden="false" customHeight="false" outlineLevel="0" collapsed="false">
      <c r="A675" s="35" t="n">
        <v>22</v>
      </c>
      <c r="B675" s="36" t="s">
        <v>643</v>
      </c>
      <c r="C675" s="14" t="n">
        <v>416500</v>
      </c>
      <c r="D675" s="37" t="n">
        <v>416500</v>
      </c>
      <c r="E675" s="69" t="n">
        <f aca="false">C675-D675</f>
        <v>0</v>
      </c>
    </row>
    <row r="676" customFormat="false" ht="15" hidden="false" customHeight="false" outlineLevel="0" collapsed="false">
      <c r="A676" s="12" t="n">
        <v>23</v>
      </c>
      <c r="B676" s="36" t="s">
        <v>644</v>
      </c>
      <c r="C676" s="14" t="n">
        <v>416500</v>
      </c>
      <c r="D676" s="37" t="n">
        <f aca="false">200000</f>
        <v>200000</v>
      </c>
      <c r="E676" s="69" t="n">
        <f aca="false">C676-D676</f>
        <v>216500</v>
      </c>
    </row>
    <row r="677" customFormat="false" ht="15" hidden="false" customHeight="false" outlineLevel="0" collapsed="false">
      <c r="A677" s="35" t="n">
        <v>24</v>
      </c>
      <c r="B677" s="36" t="s">
        <v>645</v>
      </c>
      <c r="C677" s="14" t="n">
        <v>416500</v>
      </c>
      <c r="D677" s="37" t="n">
        <f aca="false">300000+116500</f>
        <v>416500</v>
      </c>
      <c r="E677" s="69" t="n">
        <f aca="false">C677-D677</f>
        <v>0</v>
      </c>
    </row>
    <row r="678" customFormat="false" ht="15" hidden="false" customHeight="false" outlineLevel="0" collapsed="false">
      <c r="A678" s="12" t="n">
        <v>25</v>
      </c>
      <c r="B678" s="36" t="s">
        <v>646</v>
      </c>
      <c r="C678" s="14" t="n">
        <v>416500</v>
      </c>
      <c r="D678" s="37" t="n">
        <f aca="false">300000+116500</f>
        <v>416500</v>
      </c>
      <c r="E678" s="69" t="n">
        <f aca="false">C678-D678</f>
        <v>0</v>
      </c>
    </row>
    <row r="679" customFormat="false" ht="15" hidden="false" customHeight="false" outlineLevel="0" collapsed="false">
      <c r="A679" s="12" t="n">
        <v>26</v>
      </c>
      <c r="B679" s="36" t="s">
        <v>647</v>
      </c>
      <c r="C679" s="14" t="n">
        <v>416500</v>
      </c>
      <c r="D679" s="37" t="n">
        <f aca="false">215500+200000</f>
        <v>415500</v>
      </c>
      <c r="E679" s="69" t="n">
        <f aca="false">C679-D679</f>
        <v>1000</v>
      </c>
    </row>
    <row r="680" customFormat="false" ht="15" hidden="false" customHeight="false" outlineLevel="0" collapsed="false">
      <c r="A680" s="35" t="n">
        <v>27</v>
      </c>
      <c r="B680" s="36" t="s">
        <v>648</v>
      </c>
      <c r="C680" s="14" t="n">
        <v>416500</v>
      </c>
      <c r="D680" s="37" t="n">
        <f aca="false">190000+26500+180000+20000</f>
        <v>416500</v>
      </c>
      <c r="E680" s="69" t="n">
        <f aca="false">C680-D680</f>
        <v>0</v>
      </c>
    </row>
    <row r="681" customFormat="false" ht="15" hidden="false" customHeight="false" outlineLevel="0" collapsed="false">
      <c r="A681" s="12" t="n">
        <v>28</v>
      </c>
      <c r="B681" s="36" t="s">
        <v>649</v>
      </c>
      <c r="C681" s="14" t="n">
        <v>416500</v>
      </c>
      <c r="D681" s="37" t="n">
        <f aca="false">216500+200000</f>
        <v>416500</v>
      </c>
      <c r="E681" s="69" t="n">
        <f aca="false">C681-D681</f>
        <v>0</v>
      </c>
    </row>
    <row r="682" customFormat="false" ht="15" hidden="false" customHeight="false" outlineLevel="0" collapsed="false">
      <c r="A682" s="35" t="n">
        <v>29</v>
      </c>
      <c r="B682" s="36" t="s">
        <v>650</v>
      </c>
      <c r="C682" s="14" t="n">
        <v>416500</v>
      </c>
      <c r="D682" s="37" t="n">
        <f aca="false">116500</f>
        <v>116500</v>
      </c>
      <c r="E682" s="69" t="n">
        <f aca="false">C682-D682</f>
        <v>300000</v>
      </c>
    </row>
    <row r="683" customFormat="false" ht="15" hidden="false" customHeight="false" outlineLevel="0" collapsed="false">
      <c r="A683" s="12" t="n">
        <v>30</v>
      </c>
      <c r="B683" s="36" t="s">
        <v>651</v>
      </c>
      <c r="C683" s="14" t="n">
        <v>416500</v>
      </c>
      <c r="D683" s="37" t="n">
        <f aca="false">216500+200000</f>
        <v>416500</v>
      </c>
      <c r="E683" s="69" t="n">
        <f aca="false">C683-D683</f>
        <v>0</v>
      </c>
    </row>
    <row r="684" customFormat="false" ht="15" hidden="false" customHeight="false" outlineLevel="0" collapsed="false">
      <c r="A684" s="12" t="n">
        <v>31</v>
      </c>
      <c r="B684" s="36" t="s">
        <v>652</v>
      </c>
      <c r="C684" s="14" t="n">
        <v>416500</v>
      </c>
      <c r="D684" s="37" t="n">
        <f aca="false">216500+200000</f>
        <v>416500</v>
      </c>
      <c r="E684" s="69" t="n">
        <f aca="false">C684-D684</f>
        <v>0</v>
      </c>
    </row>
    <row r="685" customFormat="false" ht="15" hidden="false" customHeight="false" outlineLevel="0" collapsed="false">
      <c r="A685" s="35" t="n">
        <v>32</v>
      </c>
      <c r="B685" s="36" t="s">
        <v>653</v>
      </c>
      <c r="C685" s="14" t="n">
        <v>416500</v>
      </c>
      <c r="D685" s="37" t="n">
        <f aca="false">216500+200000</f>
        <v>416500</v>
      </c>
      <c r="E685" s="69" t="n">
        <f aca="false">C685-D685</f>
        <v>0</v>
      </c>
    </row>
    <row r="686" customFormat="false" ht="15" hidden="false" customHeight="false" outlineLevel="0" collapsed="false">
      <c r="A686" s="12" t="n">
        <v>33</v>
      </c>
      <c r="B686" s="36" t="s">
        <v>654</v>
      </c>
      <c r="C686" s="14" t="n">
        <v>416500</v>
      </c>
      <c r="D686" s="37" t="n">
        <f aca="false">400000+16500-10000</f>
        <v>406500</v>
      </c>
      <c r="E686" s="69" t="n">
        <f aca="false">C686-D686</f>
        <v>10000</v>
      </c>
    </row>
    <row r="687" customFormat="false" ht="15" hidden="false" customHeight="false" outlineLevel="0" collapsed="false">
      <c r="A687" s="35" t="n">
        <v>34</v>
      </c>
      <c r="B687" s="36" t="s">
        <v>655</v>
      </c>
      <c r="C687" s="14" t="n">
        <v>416500</v>
      </c>
      <c r="D687" s="37" t="n">
        <f aca="false">200000+20000+196500</f>
        <v>416500</v>
      </c>
      <c r="E687" s="69" t="n">
        <f aca="false">C687-D687</f>
        <v>0</v>
      </c>
    </row>
    <row r="688" customFormat="false" ht="15" hidden="false" customHeight="false" outlineLevel="0" collapsed="false">
      <c r="A688" s="12" t="n">
        <v>35</v>
      </c>
      <c r="B688" s="36" t="s">
        <v>656</v>
      </c>
      <c r="C688" s="14" t="n">
        <v>416500</v>
      </c>
      <c r="D688" s="37" t="n">
        <f aca="false">300000+116500</f>
        <v>416500</v>
      </c>
      <c r="E688" s="69" t="n">
        <f aca="false">C688-D688</f>
        <v>0</v>
      </c>
    </row>
    <row r="689" customFormat="false" ht="15" hidden="false" customHeight="false" outlineLevel="0" collapsed="false">
      <c r="A689" s="12" t="n">
        <v>36</v>
      </c>
      <c r="B689" s="36" t="s">
        <v>657</v>
      </c>
      <c r="C689" s="14" t="n">
        <v>416500</v>
      </c>
      <c r="D689" s="37"/>
      <c r="E689" s="69" t="n">
        <f aca="false">C689-D689</f>
        <v>416500</v>
      </c>
    </row>
    <row r="690" customFormat="false" ht="15" hidden="false" customHeight="false" outlineLevel="0" collapsed="false">
      <c r="A690" s="35" t="n">
        <v>37</v>
      </c>
      <c r="B690" s="36" t="s">
        <v>658</v>
      </c>
      <c r="C690" s="14" t="n">
        <v>416500</v>
      </c>
      <c r="D690" s="37" t="n">
        <v>416500</v>
      </c>
      <c r="E690" s="69" t="n">
        <f aca="false">C690-D690</f>
        <v>0</v>
      </c>
    </row>
    <row r="691" customFormat="false" ht="15" hidden="false" customHeight="false" outlineLevel="0" collapsed="false">
      <c r="A691" s="12" t="n">
        <v>38</v>
      </c>
      <c r="B691" s="39" t="s">
        <v>659</v>
      </c>
      <c r="C691" s="37" t="n">
        <v>416500</v>
      </c>
      <c r="D691" s="37" t="n">
        <f aca="false">15500+216500+180000+4500</f>
        <v>416500</v>
      </c>
      <c r="E691" s="69" t="n">
        <f aca="false">C691-D691</f>
        <v>0</v>
      </c>
    </row>
    <row r="692" customFormat="false" ht="15" hidden="false" customHeight="false" outlineLevel="0" collapsed="false">
      <c r="A692" s="35" t="n">
        <v>39</v>
      </c>
      <c r="B692" s="36" t="s">
        <v>660</v>
      </c>
      <c r="C692" s="14" t="n">
        <v>416500</v>
      </c>
      <c r="D692" s="37" t="n">
        <f aca="false">116500</f>
        <v>116500</v>
      </c>
      <c r="E692" s="69" t="n">
        <f aca="false">C692-D692</f>
        <v>300000</v>
      </c>
    </row>
    <row r="693" customFormat="false" ht="15" hidden="false" customHeight="false" outlineLevel="0" collapsed="false">
      <c r="A693" s="12" t="n">
        <v>40</v>
      </c>
      <c r="B693" s="36" t="s">
        <v>661</v>
      </c>
      <c r="C693" s="14" t="n">
        <v>416500</v>
      </c>
      <c r="D693" s="37" t="n">
        <f aca="false">100000</f>
        <v>100000</v>
      </c>
      <c r="E693" s="69" t="n">
        <f aca="false">C693-D693</f>
        <v>316500</v>
      </c>
    </row>
    <row r="694" customFormat="false" ht="15" hidden="false" customHeight="false" outlineLevel="0" collapsed="false">
      <c r="A694" s="12" t="n">
        <v>41</v>
      </c>
      <c r="B694" s="36" t="s">
        <v>662</v>
      </c>
      <c r="C694" s="14" t="n">
        <v>416500</v>
      </c>
      <c r="D694" s="37" t="n">
        <f aca="false">300000+116500</f>
        <v>416500</v>
      </c>
      <c r="E694" s="69" t="n">
        <f aca="false">C694-D694</f>
        <v>0</v>
      </c>
    </row>
    <row r="695" customFormat="false" ht="15" hidden="false" customHeight="false" outlineLevel="0" collapsed="false">
      <c r="A695" s="35" t="n">
        <v>42</v>
      </c>
      <c r="B695" s="36" t="s">
        <v>663</v>
      </c>
      <c r="C695" s="14" t="n">
        <v>416500</v>
      </c>
      <c r="D695" s="37" t="n">
        <f aca="false">116500+100000+200000</f>
        <v>416500</v>
      </c>
      <c r="E695" s="69" t="n">
        <f aca="false">C695-D695</f>
        <v>0</v>
      </c>
    </row>
    <row r="696" customFormat="false" ht="15" hidden="false" customHeight="false" outlineLevel="0" collapsed="false">
      <c r="A696" s="12" t="n">
        <v>43</v>
      </c>
      <c r="B696" s="36" t="s">
        <v>664</v>
      </c>
      <c r="C696" s="14" t="n">
        <v>416500</v>
      </c>
      <c r="D696" s="37" t="n">
        <f aca="false">270000+5000</f>
        <v>275000</v>
      </c>
      <c r="E696" s="69" t="n">
        <f aca="false">C696-D696</f>
        <v>141500</v>
      </c>
    </row>
    <row r="697" customFormat="false" ht="15" hidden="false" customHeight="false" outlineLevel="0" collapsed="false">
      <c r="A697" s="35" t="n">
        <v>44</v>
      </c>
      <c r="B697" s="36" t="s">
        <v>665</v>
      </c>
      <c r="C697" s="14" t="n">
        <v>416500</v>
      </c>
      <c r="D697" s="37" t="n">
        <f aca="false">215500+200000+1000</f>
        <v>416500</v>
      </c>
      <c r="E697" s="69" t="n">
        <f aca="false">C697-D697</f>
        <v>0</v>
      </c>
    </row>
    <row r="698" customFormat="false" ht="15" hidden="false" customHeight="false" outlineLevel="0" collapsed="false">
      <c r="A698" s="12" t="n">
        <v>45</v>
      </c>
      <c r="B698" s="36" t="s">
        <v>666</v>
      </c>
      <c r="C698" s="14" t="n">
        <v>416500</v>
      </c>
      <c r="D698" s="37" t="n">
        <f aca="false">416500</f>
        <v>416500</v>
      </c>
      <c r="E698" s="69" t="n">
        <f aca="false">C698-D698</f>
        <v>0</v>
      </c>
    </row>
    <row r="699" customFormat="false" ht="15" hidden="false" customHeight="false" outlineLevel="0" collapsed="false">
      <c r="A699" s="12" t="n">
        <v>46</v>
      </c>
      <c r="B699" s="36" t="s">
        <v>667</v>
      </c>
      <c r="C699" s="14" t="n">
        <v>416500</v>
      </c>
      <c r="D699" s="37" t="n">
        <f aca="false">316000+100500</f>
        <v>416500</v>
      </c>
      <c r="E699" s="69" t="n">
        <f aca="false">C699-D699</f>
        <v>0</v>
      </c>
    </row>
    <row r="700" customFormat="false" ht="15" hidden="false" customHeight="false" outlineLevel="0" collapsed="false">
      <c r="A700" s="35" t="n">
        <v>47</v>
      </c>
      <c r="B700" s="36" t="s">
        <v>668</v>
      </c>
      <c r="C700" s="14" t="n">
        <v>416500</v>
      </c>
      <c r="D700" s="37" t="n">
        <f aca="false">216500+200000</f>
        <v>416500</v>
      </c>
      <c r="E700" s="69" t="n">
        <f aca="false">C700-D700</f>
        <v>0</v>
      </c>
    </row>
    <row r="701" customFormat="false" ht="15" hidden="false" customHeight="false" outlineLevel="0" collapsed="false">
      <c r="A701" s="12" t="n">
        <v>48</v>
      </c>
      <c r="B701" s="90" t="s">
        <v>669</v>
      </c>
      <c r="C701" s="92" t="n">
        <v>416500</v>
      </c>
      <c r="D701" s="76" t="n">
        <v>416500</v>
      </c>
      <c r="E701" s="69" t="n">
        <f aca="false">C701-D701</f>
        <v>0</v>
      </c>
    </row>
    <row r="702" customFormat="false" ht="15" hidden="false" customHeight="false" outlineLevel="0" collapsed="false">
      <c r="A702" s="35" t="n">
        <v>49</v>
      </c>
      <c r="B702" s="36" t="s">
        <v>670</v>
      </c>
      <c r="C702" s="14" t="n">
        <v>416500</v>
      </c>
      <c r="D702" s="37" t="n">
        <v>416500</v>
      </c>
      <c r="E702" s="69" t="n">
        <f aca="false">C702-D702</f>
        <v>0</v>
      </c>
    </row>
    <row r="703" customFormat="false" ht="15" hidden="false" customHeight="false" outlineLevel="0" collapsed="false">
      <c r="A703" s="12" t="n">
        <v>50</v>
      </c>
      <c r="B703" s="36" t="s">
        <v>671</v>
      </c>
      <c r="C703" s="14" t="n">
        <v>416500</v>
      </c>
      <c r="D703" s="37" t="n">
        <f aca="false">216500</f>
        <v>216500</v>
      </c>
      <c r="E703" s="69" t="n">
        <f aca="false">C703-D703</f>
        <v>200000</v>
      </c>
    </row>
    <row r="704" customFormat="false" ht="15" hidden="false" customHeight="false" outlineLevel="0" collapsed="false">
      <c r="A704" s="12" t="n">
        <v>51</v>
      </c>
      <c r="B704" s="36" t="s">
        <v>672</v>
      </c>
      <c r="C704" s="14" t="n">
        <v>416500</v>
      </c>
      <c r="D704" s="37" t="n">
        <f aca="false">216500+200000</f>
        <v>416500</v>
      </c>
      <c r="E704" s="69" t="n">
        <f aca="false">C704-D704</f>
        <v>0</v>
      </c>
    </row>
    <row r="705" customFormat="false" ht="15" hidden="false" customHeight="false" outlineLevel="0" collapsed="false">
      <c r="A705" s="35" t="n">
        <v>52</v>
      </c>
      <c r="B705" s="36" t="s">
        <v>673</v>
      </c>
      <c r="C705" s="14" t="n">
        <v>416500</v>
      </c>
      <c r="D705" s="37" t="n">
        <f aca="false">416500</f>
        <v>416500</v>
      </c>
      <c r="E705" s="69" t="n">
        <f aca="false">C705-D705</f>
        <v>0</v>
      </c>
    </row>
    <row r="706" customFormat="false" ht="15" hidden="false" customHeight="false" outlineLevel="0" collapsed="false">
      <c r="A706" s="12" t="n">
        <v>53</v>
      </c>
      <c r="B706" s="36" t="s">
        <v>674</v>
      </c>
      <c r="C706" s="14" t="n">
        <v>416500</v>
      </c>
      <c r="D706" s="37" t="n">
        <f aca="false">216500+200000</f>
        <v>416500</v>
      </c>
      <c r="E706" s="69" t="n">
        <f aca="false">C706-D706</f>
        <v>0</v>
      </c>
    </row>
    <row r="707" customFormat="false" ht="15" hidden="false" customHeight="false" outlineLevel="0" collapsed="false">
      <c r="A707" s="35" t="n">
        <v>54</v>
      </c>
      <c r="B707" s="36" t="s">
        <v>675</v>
      </c>
      <c r="C707" s="14" t="n">
        <v>416500</v>
      </c>
      <c r="D707" s="37" t="n">
        <f aca="false">216500+200000</f>
        <v>416500</v>
      </c>
      <c r="E707" s="69" t="n">
        <f aca="false">C707-D707</f>
        <v>0</v>
      </c>
    </row>
    <row r="708" customFormat="false" ht="15" hidden="false" customHeight="false" outlineLevel="0" collapsed="false">
      <c r="A708" s="12" t="n">
        <v>55</v>
      </c>
      <c r="B708" s="36" t="s">
        <v>676</v>
      </c>
      <c r="C708" s="14" t="n">
        <v>416500</v>
      </c>
      <c r="D708" s="37" t="n">
        <f aca="false">100000+116500</f>
        <v>216500</v>
      </c>
      <c r="E708" s="69" t="n">
        <f aca="false">C708-D708</f>
        <v>200000</v>
      </c>
    </row>
    <row r="709" customFormat="false" ht="15" hidden="false" customHeight="false" outlineLevel="0" collapsed="false">
      <c r="A709" s="12" t="n">
        <v>56</v>
      </c>
      <c r="B709" s="36" t="s">
        <v>677</v>
      </c>
      <c r="C709" s="14" t="n">
        <v>416500</v>
      </c>
      <c r="D709" s="37" t="n">
        <f aca="false">316000+100500</f>
        <v>416500</v>
      </c>
      <c r="E709" s="69" t="n">
        <f aca="false">C709-D709</f>
        <v>0</v>
      </c>
    </row>
    <row r="710" customFormat="false" ht="15" hidden="false" customHeight="false" outlineLevel="0" collapsed="false">
      <c r="A710" s="35" t="n">
        <v>57</v>
      </c>
      <c r="B710" s="36" t="s">
        <v>678</v>
      </c>
      <c r="C710" s="14" t="n">
        <v>416500</v>
      </c>
      <c r="D710" s="37" t="n">
        <f aca="false">216500+200000</f>
        <v>416500</v>
      </c>
      <c r="E710" s="69" t="n">
        <f aca="false">C710-D710</f>
        <v>0</v>
      </c>
    </row>
    <row r="711" customFormat="false" ht="15" hidden="false" customHeight="false" outlineLevel="0" collapsed="false">
      <c r="A711" s="12" t="n">
        <v>58</v>
      </c>
      <c r="B711" s="36" t="s">
        <v>679</v>
      </c>
      <c r="C711" s="14" t="n">
        <v>416500</v>
      </c>
      <c r="D711" s="37" t="n">
        <f aca="false">200000+16500</f>
        <v>216500</v>
      </c>
      <c r="E711" s="69" t="n">
        <f aca="false">C711-D711</f>
        <v>200000</v>
      </c>
    </row>
    <row r="712" customFormat="false" ht="15" hidden="false" customHeight="false" outlineLevel="0" collapsed="false">
      <c r="A712" s="35" t="n">
        <v>59</v>
      </c>
      <c r="B712" s="36" t="s">
        <v>680</v>
      </c>
      <c r="C712" s="14" t="n">
        <v>416500</v>
      </c>
      <c r="D712" s="37" t="n">
        <f aca="false">50000+20000+150000+10000+146500+40000</f>
        <v>416500</v>
      </c>
      <c r="E712" s="69" t="n">
        <f aca="false">C712-D712</f>
        <v>0</v>
      </c>
    </row>
    <row r="713" customFormat="false" ht="15" hidden="false" customHeight="false" outlineLevel="0" collapsed="false">
      <c r="A713" s="12" t="n">
        <v>60</v>
      </c>
      <c r="B713" s="36" t="s">
        <v>681</v>
      </c>
      <c r="C713" s="14" t="n">
        <v>416500</v>
      </c>
      <c r="D713" s="37" t="n">
        <v>416500</v>
      </c>
      <c r="E713" s="69" t="n">
        <f aca="false">C713-D713</f>
        <v>0</v>
      </c>
    </row>
    <row r="714" customFormat="false" ht="15" hidden="false" customHeight="false" outlineLevel="0" collapsed="false">
      <c r="A714" s="12" t="n">
        <v>61</v>
      </c>
      <c r="B714" s="36" t="s">
        <v>682</v>
      </c>
      <c r="C714" s="14" t="n">
        <v>416500</v>
      </c>
      <c r="D714" s="37" t="n">
        <f aca="false">120000+100000+196500</f>
        <v>416500</v>
      </c>
      <c r="E714" s="69" t="n">
        <f aca="false">C714-D714</f>
        <v>0</v>
      </c>
    </row>
    <row r="715" customFormat="false" ht="15" hidden="false" customHeight="false" outlineLevel="0" collapsed="false">
      <c r="A715" s="35" t="n">
        <v>62</v>
      </c>
      <c r="B715" s="36" t="s">
        <v>683</v>
      </c>
      <c r="C715" s="14" t="n">
        <v>416500</v>
      </c>
      <c r="D715" s="37" t="n">
        <v>416500</v>
      </c>
      <c r="E715" s="69" t="n">
        <f aca="false">C715-D715</f>
        <v>0</v>
      </c>
    </row>
    <row r="716" customFormat="false" ht="15" hidden="false" customHeight="false" outlineLevel="0" collapsed="false">
      <c r="A716" s="12" t="n">
        <v>63</v>
      </c>
      <c r="B716" s="36" t="s">
        <v>684</v>
      </c>
      <c r="C716" s="14" t="n">
        <v>416500</v>
      </c>
      <c r="D716" s="37" t="n">
        <f aca="false">300000+116500</f>
        <v>416500</v>
      </c>
      <c r="E716" s="69" t="n">
        <f aca="false">C716-D716</f>
        <v>0</v>
      </c>
    </row>
    <row r="717" customFormat="false" ht="15" hidden="false" customHeight="false" outlineLevel="0" collapsed="false">
      <c r="A717" s="35" t="n">
        <v>64</v>
      </c>
      <c r="B717" s="36" t="s">
        <v>685</v>
      </c>
      <c r="C717" s="14" t="n">
        <v>416500</v>
      </c>
      <c r="D717" s="37" t="n">
        <f aca="false">216500+200000</f>
        <v>416500</v>
      </c>
      <c r="E717" s="69" t="n">
        <f aca="false">C717-D717</f>
        <v>0</v>
      </c>
    </row>
    <row r="718" customFormat="false" ht="15" hidden="false" customHeight="false" outlineLevel="0" collapsed="false">
      <c r="A718" s="12" t="n">
        <v>65</v>
      </c>
      <c r="B718" s="36" t="s">
        <v>686</v>
      </c>
      <c r="C718" s="14" t="n">
        <v>416500</v>
      </c>
      <c r="D718" s="37" t="n">
        <v>416500</v>
      </c>
      <c r="E718" s="69" t="n">
        <f aca="false">C718-D718</f>
        <v>0</v>
      </c>
    </row>
    <row r="719" customFormat="false" ht="15" hidden="false" customHeight="false" outlineLevel="0" collapsed="false">
      <c r="A719" s="12" t="n">
        <v>66</v>
      </c>
      <c r="B719" s="36" t="s">
        <v>687</v>
      </c>
      <c r="C719" s="14" t="n">
        <v>416500</v>
      </c>
      <c r="D719" s="37" t="n">
        <f aca="false">216500</f>
        <v>216500</v>
      </c>
      <c r="E719" s="69" t="n">
        <f aca="false">C719-D719</f>
        <v>200000</v>
      </c>
    </row>
    <row r="720" customFormat="false" ht="15" hidden="false" customHeight="false" outlineLevel="0" collapsed="false">
      <c r="A720" s="35" t="n">
        <v>67</v>
      </c>
      <c r="B720" s="36" t="s">
        <v>688</v>
      </c>
      <c r="C720" s="14" t="n">
        <v>416500</v>
      </c>
      <c r="D720" s="37" t="n">
        <v>416500</v>
      </c>
      <c r="E720" s="69" t="n">
        <f aca="false">C720-D720</f>
        <v>0</v>
      </c>
    </row>
    <row r="721" customFormat="false" ht="15" hidden="false" customHeight="false" outlineLevel="0" collapsed="false">
      <c r="A721" s="12" t="n">
        <v>68</v>
      </c>
      <c r="B721" s="36" t="s">
        <v>689</v>
      </c>
      <c r="C721" s="14" t="n">
        <v>416500</v>
      </c>
      <c r="D721" s="37" t="n">
        <f aca="false">216500+100000+100000</f>
        <v>416500</v>
      </c>
      <c r="E721" s="69" t="n">
        <f aca="false">C721-D721</f>
        <v>0</v>
      </c>
    </row>
    <row r="722" customFormat="false" ht="15" hidden="false" customHeight="false" outlineLevel="0" collapsed="false">
      <c r="A722" s="35" t="n">
        <v>69</v>
      </c>
      <c r="B722" s="36" t="s">
        <v>690</v>
      </c>
      <c r="C722" s="14" t="n">
        <v>416500</v>
      </c>
      <c r="D722" s="37" t="n">
        <f aca="false">216500+200000</f>
        <v>416500</v>
      </c>
      <c r="E722" s="69" t="n">
        <f aca="false">C722-D722</f>
        <v>0</v>
      </c>
    </row>
    <row r="723" customFormat="false" ht="15" hidden="false" customHeight="false" outlineLevel="0" collapsed="false">
      <c r="A723" s="12" t="n">
        <v>70</v>
      </c>
      <c r="B723" s="36" t="s">
        <v>691</v>
      </c>
      <c r="C723" s="14" t="n">
        <v>416500</v>
      </c>
      <c r="D723" s="37" t="n">
        <f aca="false">401000+15500</f>
        <v>416500</v>
      </c>
      <c r="E723" s="69" t="n">
        <f aca="false">C723-D723</f>
        <v>0</v>
      </c>
    </row>
    <row r="724" customFormat="false" ht="15" hidden="false" customHeight="false" outlineLevel="0" collapsed="false">
      <c r="A724" s="12" t="n">
        <v>71</v>
      </c>
      <c r="B724" s="36" t="s">
        <v>692</v>
      </c>
      <c r="C724" s="14" t="n">
        <v>416500</v>
      </c>
      <c r="D724" s="37" t="n">
        <f aca="false">216500+200000</f>
        <v>416500</v>
      </c>
      <c r="E724" s="69" t="n">
        <f aca="false">C724-D724</f>
        <v>0</v>
      </c>
    </row>
    <row r="725" customFormat="false" ht="15" hidden="false" customHeight="false" outlineLevel="0" collapsed="false">
      <c r="A725" s="35" t="n">
        <v>72</v>
      </c>
      <c r="B725" s="36" t="s">
        <v>693</v>
      </c>
      <c r="C725" s="14" t="n">
        <v>416500</v>
      </c>
      <c r="D725" s="37" t="n">
        <f aca="false">316500+100000</f>
        <v>416500</v>
      </c>
      <c r="E725" s="69" t="n">
        <f aca="false">C725-D725</f>
        <v>0</v>
      </c>
    </row>
    <row r="726" customFormat="false" ht="15" hidden="false" customHeight="false" outlineLevel="0" collapsed="false">
      <c r="A726" s="12" t="n">
        <v>73</v>
      </c>
      <c r="B726" s="36" t="s">
        <v>694</v>
      </c>
      <c r="C726" s="14" t="n">
        <v>416500</v>
      </c>
      <c r="D726" s="37" t="n">
        <f aca="false">216500+100000+100000</f>
        <v>416500</v>
      </c>
      <c r="E726" s="69" t="n">
        <f aca="false">C726-D726</f>
        <v>0</v>
      </c>
    </row>
    <row r="727" customFormat="false" ht="15" hidden="false" customHeight="false" outlineLevel="0" collapsed="false">
      <c r="A727" s="35" t="n">
        <v>74</v>
      </c>
      <c r="B727" s="36" t="s">
        <v>695</v>
      </c>
      <c r="C727" s="14" t="n">
        <v>416500</v>
      </c>
      <c r="D727" s="37" t="n">
        <f aca="false">216500+200000</f>
        <v>416500</v>
      </c>
      <c r="E727" s="69" t="n">
        <f aca="false">C727-D727</f>
        <v>0</v>
      </c>
    </row>
    <row r="728" customFormat="false" ht="15" hidden="false" customHeight="false" outlineLevel="0" collapsed="false">
      <c r="A728" s="12" t="n">
        <v>75</v>
      </c>
      <c r="B728" s="36" t="s">
        <v>696</v>
      </c>
      <c r="C728" s="14" t="n">
        <v>416500</v>
      </c>
      <c r="D728" s="37" t="n">
        <f aca="false">216500+200000</f>
        <v>416500</v>
      </c>
      <c r="E728" s="69" t="n">
        <f aca="false">C728-D728</f>
        <v>0</v>
      </c>
    </row>
    <row r="729" customFormat="false" ht="15" hidden="false" customHeight="false" outlineLevel="0" collapsed="false">
      <c r="A729" s="12" t="n">
        <v>76</v>
      </c>
      <c r="B729" s="36" t="s">
        <v>697</v>
      </c>
      <c r="C729" s="14" t="n">
        <v>416500</v>
      </c>
      <c r="D729" s="37" t="n">
        <f aca="false">216500+200000</f>
        <v>416500</v>
      </c>
      <c r="E729" s="69" t="n">
        <f aca="false">C729-D729</f>
        <v>0</v>
      </c>
    </row>
    <row r="730" customFormat="false" ht="15" hidden="false" customHeight="false" outlineLevel="0" collapsed="false">
      <c r="A730" s="35" t="n">
        <v>77</v>
      </c>
      <c r="B730" s="36" t="s">
        <v>698</v>
      </c>
      <c r="C730" s="14" t="n">
        <v>416500</v>
      </c>
      <c r="D730" s="37" t="n">
        <f aca="false">150000</f>
        <v>150000</v>
      </c>
      <c r="E730" s="69" t="n">
        <f aca="false">C730-D730</f>
        <v>266500</v>
      </c>
    </row>
    <row r="731" customFormat="false" ht="15" hidden="false" customHeight="false" outlineLevel="0" collapsed="false">
      <c r="A731" s="12" t="n">
        <v>78</v>
      </c>
      <c r="B731" s="36" t="s">
        <v>699</v>
      </c>
      <c r="C731" s="14" t="n">
        <v>416500</v>
      </c>
      <c r="D731" s="37" t="n">
        <f aca="false">216500+200000</f>
        <v>416500</v>
      </c>
      <c r="E731" s="69" t="n">
        <f aca="false">C731-D731</f>
        <v>0</v>
      </c>
    </row>
    <row r="732" customFormat="false" ht="15" hidden="false" customHeight="false" outlineLevel="0" collapsed="false">
      <c r="A732" s="35" t="n">
        <v>79</v>
      </c>
      <c r="B732" s="36" t="s">
        <v>700</v>
      </c>
      <c r="C732" s="14" t="n">
        <v>416500</v>
      </c>
      <c r="D732" s="37" t="n">
        <f aca="false">216500+200000</f>
        <v>416500</v>
      </c>
      <c r="E732" s="69" t="n">
        <f aca="false">C732-D732</f>
        <v>0</v>
      </c>
    </row>
    <row r="733" customFormat="false" ht="15" hidden="false" customHeight="false" outlineLevel="0" collapsed="false">
      <c r="A733" s="12" t="n">
        <v>80</v>
      </c>
      <c r="B733" s="36" t="s">
        <v>701</v>
      </c>
      <c r="C733" s="14" t="n">
        <v>416500</v>
      </c>
      <c r="D733" s="37" t="n">
        <f aca="false">416500</f>
        <v>416500</v>
      </c>
      <c r="E733" s="69" t="n">
        <f aca="false">C733-D733</f>
        <v>0</v>
      </c>
    </row>
    <row r="734" customFormat="false" ht="15" hidden="false" customHeight="false" outlineLevel="0" collapsed="false">
      <c r="A734" s="12" t="n">
        <v>81</v>
      </c>
      <c r="B734" s="36" t="s">
        <v>702</v>
      </c>
      <c r="C734" s="14" t="n">
        <v>416500</v>
      </c>
      <c r="D734" s="37" t="n">
        <f aca="false">200000</f>
        <v>200000</v>
      </c>
      <c r="E734" s="69" t="n">
        <f aca="false">C734-D734</f>
        <v>216500</v>
      </c>
    </row>
    <row r="735" customFormat="false" ht="15" hidden="false" customHeight="false" outlineLevel="0" collapsed="false">
      <c r="A735" s="35" t="n">
        <v>82</v>
      </c>
      <c r="B735" s="36" t="s">
        <v>703</v>
      </c>
      <c r="C735" s="14" t="s">
        <v>11</v>
      </c>
      <c r="D735" s="37"/>
      <c r="E735" s="69" t="s">
        <v>11</v>
      </c>
    </row>
    <row r="736" customFormat="false" ht="15" hidden="false" customHeight="false" outlineLevel="0" collapsed="false">
      <c r="A736" s="12" t="n">
        <v>83</v>
      </c>
      <c r="B736" s="36" t="s">
        <v>704</v>
      </c>
      <c r="C736" s="14" t="n">
        <v>416500</v>
      </c>
      <c r="D736" s="37" t="n">
        <f aca="false">416500</f>
        <v>416500</v>
      </c>
      <c r="E736" s="69" t="n">
        <f aca="false">C736-D736</f>
        <v>0</v>
      </c>
    </row>
    <row r="737" customFormat="false" ht="15" hidden="false" customHeight="false" outlineLevel="0" collapsed="false">
      <c r="A737" s="35" t="n">
        <v>84</v>
      </c>
      <c r="B737" s="36" t="s">
        <v>705</v>
      </c>
      <c r="C737" s="14" t="n">
        <v>416500</v>
      </c>
      <c r="D737" s="37" t="n">
        <f aca="false">216500+200000</f>
        <v>416500</v>
      </c>
      <c r="E737" s="69" t="n">
        <f aca="false">C737-D737</f>
        <v>0</v>
      </c>
    </row>
    <row r="738" customFormat="false" ht="15" hidden="false" customHeight="false" outlineLevel="0" collapsed="false">
      <c r="A738" s="12" t="n">
        <v>85</v>
      </c>
      <c r="B738" s="36" t="s">
        <v>706</v>
      </c>
      <c r="C738" s="14" t="n">
        <v>416500</v>
      </c>
      <c r="D738" s="37" t="n">
        <f aca="false">116500</f>
        <v>116500</v>
      </c>
      <c r="E738" s="69" t="n">
        <f aca="false">C738-D738</f>
        <v>300000</v>
      </c>
    </row>
    <row r="739" customFormat="false" ht="15" hidden="false" customHeight="false" outlineLevel="0" collapsed="false">
      <c r="A739" s="12" t="n">
        <v>86</v>
      </c>
      <c r="B739" s="90" t="s">
        <v>707</v>
      </c>
      <c r="C739" s="92" t="n">
        <v>416500</v>
      </c>
      <c r="D739" s="76" t="n">
        <f aca="false">216500+200000</f>
        <v>416500</v>
      </c>
      <c r="E739" s="69" t="n">
        <f aca="false">C739-D739</f>
        <v>0</v>
      </c>
    </row>
    <row r="740" customFormat="false" ht="15" hidden="false" customHeight="false" outlineLevel="0" collapsed="false">
      <c r="A740" s="35" t="n">
        <v>87</v>
      </c>
      <c r="B740" s="36" t="s">
        <v>708</v>
      </c>
      <c r="C740" s="14" t="n">
        <v>416500</v>
      </c>
      <c r="D740" s="37" t="n">
        <f aca="false">216500+200000</f>
        <v>416500</v>
      </c>
      <c r="E740" s="69" t="n">
        <f aca="false">C740-D740</f>
        <v>0</v>
      </c>
    </row>
    <row r="741" customFormat="false" ht="15" hidden="false" customHeight="false" outlineLevel="0" collapsed="false">
      <c r="A741" s="12" t="n">
        <v>88</v>
      </c>
      <c r="B741" s="36" t="s">
        <v>709</v>
      </c>
      <c r="C741" s="14" t="n">
        <v>416500</v>
      </c>
      <c r="D741" s="37" t="n">
        <f aca="false">116500+100000</f>
        <v>216500</v>
      </c>
      <c r="E741" s="69" t="n">
        <f aca="false">C741-D741</f>
        <v>200000</v>
      </c>
    </row>
    <row r="742" customFormat="false" ht="15" hidden="false" customHeight="false" outlineLevel="0" collapsed="false">
      <c r="A742" s="35" t="n">
        <v>89</v>
      </c>
      <c r="B742" s="36" t="s">
        <v>710</v>
      </c>
      <c r="C742" s="14" t="n">
        <v>416500</v>
      </c>
      <c r="D742" s="37" t="n">
        <f aca="false">216500+200500</f>
        <v>417000</v>
      </c>
      <c r="E742" s="69" t="n">
        <f aca="false">C742-D742</f>
        <v>-500</v>
      </c>
    </row>
    <row r="743" customFormat="false" ht="15" hidden="false" customHeight="false" outlineLevel="0" collapsed="false">
      <c r="A743" s="12" t="n">
        <v>90</v>
      </c>
      <c r="B743" s="36" t="s">
        <v>711</v>
      </c>
      <c r="C743" s="14" t="n">
        <v>416500</v>
      </c>
      <c r="D743" s="37" t="n">
        <f aca="false">216500+200000</f>
        <v>416500</v>
      </c>
      <c r="E743" s="69" t="n">
        <f aca="false">C743-D743</f>
        <v>0</v>
      </c>
    </row>
    <row r="744" customFormat="false" ht="15" hidden="false" customHeight="false" outlineLevel="0" collapsed="false">
      <c r="A744" s="12" t="n">
        <v>91</v>
      </c>
      <c r="B744" s="36" t="s">
        <v>712</v>
      </c>
      <c r="C744" s="14" t="n">
        <v>416500</v>
      </c>
      <c r="D744" s="37" t="n">
        <f aca="false">190000+226500</f>
        <v>416500</v>
      </c>
      <c r="E744" s="69" t="n">
        <f aca="false">C744-D744</f>
        <v>0</v>
      </c>
    </row>
    <row r="745" customFormat="false" ht="15" hidden="false" customHeight="false" outlineLevel="0" collapsed="false">
      <c r="A745" s="35" t="n">
        <v>92</v>
      </c>
      <c r="B745" s="36" t="s">
        <v>713</v>
      </c>
      <c r="C745" s="14" t="n">
        <v>416500</v>
      </c>
      <c r="D745" s="37" t="n">
        <v>416500</v>
      </c>
      <c r="E745" s="69" t="n">
        <f aca="false">C745-D745</f>
        <v>0</v>
      </c>
    </row>
    <row r="746" customFormat="false" ht="15" hidden="false" customHeight="false" outlineLevel="0" collapsed="false">
      <c r="A746" s="12" t="n">
        <v>93</v>
      </c>
      <c r="B746" s="36" t="s">
        <v>714</v>
      </c>
      <c r="C746" s="14" t="n">
        <v>416500</v>
      </c>
      <c r="D746" s="37" t="n">
        <f aca="false">216500+100000+100000</f>
        <v>416500</v>
      </c>
      <c r="E746" s="69" t="n">
        <f aca="false">C746-D746</f>
        <v>0</v>
      </c>
    </row>
    <row r="747" customFormat="false" ht="17.35" hidden="false" customHeight="false" outlineLevel="0" collapsed="false">
      <c r="A747" s="93"/>
      <c r="B747" s="23" t="s">
        <v>21</v>
      </c>
      <c r="C747" s="24" t="n">
        <f aca="false">SUM(C654:C746)</f>
        <v>38318000</v>
      </c>
      <c r="D747" s="25" t="n">
        <f aca="false">SUM(D654:D746)</f>
        <v>34038500</v>
      </c>
      <c r="E747" s="70" t="n">
        <f aca="false">SUM(E654:E746)</f>
        <v>4279500</v>
      </c>
    </row>
    <row r="748" customFormat="false" ht="17.35" hidden="false" customHeight="false" outlineLevel="0" collapsed="false">
      <c r="A748" s="49"/>
      <c r="B748" s="28"/>
      <c r="C748" s="29"/>
      <c r="D748" s="30"/>
      <c r="E748" s="67"/>
    </row>
    <row r="749" customFormat="false" ht="17.35" hidden="false" customHeight="false" outlineLevel="0" collapsed="false">
      <c r="A749" s="49"/>
      <c r="B749" s="28"/>
      <c r="C749" s="29"/>
      <c r="D749" s="30"/>
      <c r="E749" s="67"/>
    </row>
    <row r="750" customFormat="false" ht="17.35" hidden="false" customHeight="false" outlineLevel="0" collapsed="false">
      <c r="A750" s="2"/>
      <c r="B750" s="3" t="s">
        <v>0</v>
      </c>
      <c r="D750" s="32"/>
      <c r="E750" s="32"/>
    </row>
    <row r="751" customFormat="false" ht="17.35" hidden="false" customHeight="false" outlineLevel="0" collapsed="false">
      <c r="A751" s="4"/>
      <c r="D751" s="32"/>
      <c r="E751" s="32"/>
    </row>
    <row r="752" customFormat="false" ht="15" hidden="false" customHeight="false" outlineLevel="0" collapsed="false">
      <c r="A752" s="2"/>
      <c r="D752" s="32"/>
      <c r="E752" s="32"/>
    </row>
    <row r="753" customFormat="false" ht="17.25" hidden="false" customHeight="false" outlineLevel="0" collapsed="false">
      <c r="A753" s="2"/>
      <c r="B753" s="5" t="s">
        <v>61</v>
      </c>
      <c r="D753" s="32"/>
      <c r="E753" s="32"/>
    </row>
    <row r="754" customFormat="false" ht="15" hidden="false" customHeight="false" outlineLevel="0" collapsed="false">
      <c r="A754" s="2"/>
      <c r="D754" s="33" t="s">
        <v>161</v>
      </c>
      <c r="E754" s="32"/>
    </row>
    <row r="755" customFormat="false" ht="15" hidden="false" customHeight="false" outlineLevel="0" collapsed="false">
      <c r="A755" s="2"/>
      <c r="D755" s="32"/>
      <c r="E755" s="32"/>
    </row>
    <row r="756" customFormat="false" ht="15" hidden="false" customHeight="false" outlineLevel="0" collapsed="false">
      <c r="A756" s="7" t="s">
        <v>3</v>
      </c>
      <c r="B756" s="8" t="s">
        <v>4</v>
      </c>
      <c r="C756" s="9" t="s">
        <v>5</v>
      </c>
      <c r="D756" s="34" t="s">
        <v>6</v>
      </c>
      <c r="E756" s="68" t="s">
        <v>7</v>
      </c>
    </row>
    <row r="757" customFormat="false" ht="15" hidden="false" customHeight="false" outlineLevel="0" collapsed="false">
      <c r="A757" s="51" t="n">
        <v>1</v>
      </c>
      <c r="B757" s="13" t="s">
        <v>715</v>
      </c>
      <c r="C757" s="14" t="n">
        <v>416500</v>
      </c>
      <c r="D757" s="37" t="n">
        <f aca="false">200000+15500</f>
        <v>215500</v>
      </c>
      <c r="E757" s="69" t="n">
        <f aca="false">C757-D757</f>
        <v>201000</v>
      </c>
    </row>
    <row r="758" customFormat="false" ht="15" hidden="false" customHeight="false" outlineLevel="0" collapsed="false">
      <c r="A758" s="12" t="n">
        <v>2</v>
      </c>
      <c r="B758" s="43" t="s">
        <v>716</v>
      </c>
      <c r="C758" s="14" t="s">
        <v>11</v>
      </c>
      <c r="D758" s="37" t="s">
        <v>11</v>
      </c>
      <c r="E758" s="69" t="s">
        <v>11</v>
      </c>
    </row>
    <row r="759" customFormat="false" ht="15" hidden="false" customHeight="false" outlineLevel="0" collapsed="false">
      <c r="A759" s="35" t="n">
        <v>3</v>
      </c>
      <c r="B759" s="39" t="s">
        <v>717</v>
      </c>
      <c r="C759" s="14" t="n">
        <v>416500</v>
      </c>
      <c r="D759" s="37"/>
      <c r="E759" s="69" t="n">
        <f aca="false">C759-D759</f>
        <v>416500</v>
      </c>
    </row>
    <row r="760" customFormat="false" ht="15" hidden="false" customHeight="false" outlineLevel="0" collapsed="false">
      <c r="A760" s="35" t="n">
        <v>4</v>
      </c>
      <c r="B760" s="39" t="s">
        <v>718</v>
      </c>
      <c r="C760" s="14" t="n">
        <v>416500</v>
      </c>
      <c r="D760" s="37"/>
      <c r="E760" s="69" t="n">
        <f aca="false">C760-D760</f>
        <v>416500</v>
      </c>
    </row>
    <row r="761" customFormat="false" ht="15" hidden="false" customHeight="false" outlineLevel="0" collapsed="false">
      <c r="A761" s="12" t="n">
        <v>5</v>
      </c>
      <c r="B761" s="39" t="s">
        <v>719</v>
      </c>
      <c r="C761" s="37" t="n">
        <v>416500</v>
      </c>
      <c r="D761" s="37" t="n">
        <f aca="false">117000+100000+100000+99500</f>
        <v>416500</v>
      </c>
      <c r="E761" s="69" t="n">
        <f aca="false">C761-D761</f>
        <v>0</v>
      </c>
    </row>
    <row r="762" customFormat="false" ht="15" hidden="false" customHeight="false" outlineLevel="0" collapsed="false">
      <c r="A762" s="12" t="n">
        <v>6</v>
      </c>
      <c r="B762" s="39" t="s">
        <v>720</v>
      </c>
      <c r="C762" s="37" t="s">
        <v>11</v>
      </c>
      <c r="D762" s="37" t="s">
        <v>11</v>
      </c>
      <c r="E762" s="69" t="s">
        <v>11</v>
      </c>
    </row>
    <row r="763" customFormat="false" ht="15" hidden="false" customHeight="false" outlineLevel="0" collapsed="false">
      <c r="A763" s="12" t="n">
        <v>7</v>
      </c>
      <c r="B763" s="39" t="s">
        <v>721</v>
      </c>
      <c r="C763" s="14" t="n">
        <v>416500</v>
      </c>
      <c r="D763" s="37"/>
      <c r="E763" s="69" t="n">
        <f aca="false">C763-D763</f>
        <v>416500</v>
      </c>
    </row>
    <row r="764" customFormat="false" ht="15" hidden="false" customHeight="false" outlineLevel="0" collapsed="false">
      <c r="A764" s="12" t="n">
        <v>8</v>
      </c>
      <c r="B764" s="39" t="s">
        <v>722</v>
      </c>
      <c r="C764" s="14" t="n">
        <v>416500</v>
      </c>
      <c r="D764" s="37"/>
      <c r="E764" s="69" t="n">
        <f aca="false">C764-D764</f>
        <v>416500</v>
      </c>
    </row>
    <row r="765" customFormat="false" ht="15" hidden="false" customHeight="false" outlineLevel="0" collapsed="false">
      <c r="A765" s="12" t="n">
        <v>9</v>
      </c>
      <c r="B765" s="39" t="s">
        <v>723</v>
      </c>
      <c r="C765" s="14" t="n">
        <v>416500</v>
      </c>
      <c r="D765" s="37"/>
      <c r="E765" s="69" t="n">
        <f aca="false">C765-D765</f>
        <v>416500</v>
      </c>
    </row>
    <row r="766" customFormat="false" ht="15" hidden="false" customHeight="false" outlineLevel="0" collapsed="false">
      <c r="A766" s="12" t="n">
        <v>10</v>
      </c>
      <c r="B766" s="39" t="s">
        <v>724</v>
      </c>
      <c r="C766" s="14" t="n">
        <v>416500</v>
      </c>
      <c r="D766" s="37"/>
      <c r="E766" s="69" t="n">
        <f aca="false">C766-D766</f>
        <v>416500</v>
      </c>
    </row>
    <row r="767" customFormat="false" ht="15" hidden="false" customHeight="false" outlineLevel="0" collapsed="false">
      <c r="A767" s="12" t="n">
        <v>11</v>
      </c>
      <c r="B767" s="39" t="s">
        <v>725</v>
      </c>
      <c r="C767" s="14" t="n">
        <v>416500</v>
      </c>
      <c r="D767" s="37" t="n">
        <f aca="false">82000</f>
        <v>82000</v>
      </c>
      <c r="E767" s="69" t="n">
        <f aca="false">C767-D767</f>
        <v>334500</v>
      </c>
    </row>
    <row r="768" customFormat="false" ht="15" hidden="false" customHeight="false" outlineLevel="0" collapsed="false">
      <c r="A768" s="35" t="n">
        <v>12</v>
      </c>
      <c r="B768" s="39" t="s">
        <v>726</v>
      </c>
      <c r="C768" s="14" t="n">
        <v>416500</v>
      </c>
      <c r="D768" s="37" t="n">
        <f aca="false">215000+100000+101500</f>
        <v>416500</v>
      </c>
      <c r="E768" s="69" t="n">
        <f aca="false">C768-D768</f>
        <v>0</v>
      </c>
    </row>
    <row r="769" customFormat="false" ht="17.35" hidden="false" customHeight="false" outlineLevel="0" collapsed="false">
      <c r="A769" s="22"/>
      <c r="B769" s="23" t="s">
        <v>21</v>
      </c>
      <c r="C769" s="24" t="n">
        <f aca="false">SUM(C757:C768)</f>
        <v>4165000</v>
      </c>
      <c r="D769" s="25" t="n">
        <f aca="false">SUM(D757:D768)</f>
        <v>1130500</v>
      </c>
      <c r="E769" s="70" t="n">
        <f aca="false">SUM(E757:E768)</f>
        <v>3034500</v>
      </c>
    </row>
    <row r="770" customFormat="false" ht="17.35" hidden="false" customHeight="false" outlineLevel="0" collapsed="false">
      <c r="A770" s="49"/>
      <c r="B770" s="28"/>
      <c r="C770" s="29"/>
      <c r="D770" s="30"/>
      <c r="E770" s="67"/>
    </row>
    <row r="771" customFormat="false" ht="15" hidden="false" customHeight="false" outlineLevel="0" collapsed="false">
      <c r="D771" s="32"/>
      <c r="E771" s="32"/>
    </row>
    <row r="772" customFormat="false" ht="17.35" hidden="false" customHeight="false" outlineLevel="0" collapsed="false">
      <c r="B772" s="3" t="s">
        <v>0</v>
      </c>
      <c r="D772" s="32"/>
      <c r="E772" s="32"/>
    </row>
    <row r="773" customFormat="false" ht="17.35" hidden="false" customHeight="false" outlineLevel="0" collapsed="false">
      <c r="A773" s="4"/>
      <c r="D773" s="32"/>
      <c r="E773" s="32"/>
    </row>
    <row r="774" customFormat="false" ht="15" hidden="false" customHeight="false" outlineLevel="0" collapsed="false">
      <c r="A774" s="2"/>
      <c r="D774" s="32"/>
      <c r="E774" s="32"/>
    </row>
    <row r="775" customFormat="false" ht="17.25" hidden="false" customHeight="false" outlineLevel="0" collapsed="false">
      <c r="A775" s="2"/>
      <c r="B775" s="5" t="s">
        <v>727</v>
      </c>
      <c r="D775" s="32"/>
      <c r="E775" s="32"/>
    </row>
    <row r="776" customFormat="false" ht="15" hidden="false" customHeight="false" outlineLevel="0" collapsed="false">
      <c r="A776" s="2"/>
      <c r="D776" s="33" t="s">
        <v>178</v>
      </c>
      <c r="E776" s="32"/>
    </row>
    <row r="777" customFormat="false" ht="15" hidden="false" customHeight="false" outlineLevel="0" collapsed="false">
      <c r="A777" s="2"/>
      <c r="D777" s="32"/>
      <c r="E777" s="32"/>
    </row>
    <row r="778" customFormat="false" ht="15" hidden="false" customHeight="false" outlineLevel="0" collapsed="false">
      <c r="A778" s="7" t="s">
        <v>3</v>
      </c>
      <c r="B778" s="8" t="s">
        <v>4</v>
      </c>
      <c r="C778" s="9" t="s">
        <v>5</v>
      </c>
      <c r="D778" s="34" t="s">
        <v>6</v>
      </c>
      <c r="E778" s="68" t="s">
        <v>7</v>
      </c>
    </row>
    <row r="779" customFormat="false" ht="15" hidden="false" customHeight="false" outlineLevel="0" collapsed="false">
      <c r="A779" s="35" t="n">
        <v>1</v>
      </c>
      <c r="B779" s="39" t="s">
        <v>728</v>
      </c>
      <c r="C779" s="14" t="n">
        <v>416500</v>
      </c>
      <c r="D779" s="37" t="n">
        <f aca="false">16500+200000</f>
        <v>216500</v>
      </c>
      <c r="E779" s="69" t="n">
        <f aca="false">C779-D779</f>
        <v>200000</v>
      </c>
    </row>
    <row r="780" customFormat="false" ht="15" hidden="false" customHeight="false" outlineLevel="0" collapsed="false">
      <c r="A780" s="35" t="n">
        <v>2</v>
      </c>
      <c r="B780" s="39" t="s">
        <v>729</v>
      </c>
      <c r="C780" s="14" t="s">
        <v>730</v>
      </c>
      <c r="D780" s="37"/>
      <c r="E780" s="69" t="s">
        <v>731</v>
      </c>
    </row>
    <row r="781" customFormat="false" ht="15" hidden="false" customHeight="false" outlineLevel="0" collapsed="false">
      <c r="A781" s="35" t="n">
        <v>3</v>
      </c>
      <c r="B781" s="20" t="s">
        <v>732</v>
      </c>
      <c r="C781" s="14" t="n">
        <v>416500</v>
      </c>
      <c r="D781" s="37" t="n">
        <f aca="false">100000+50000</f>
        <v>150000</v>
      </c>
      <c r="E781" s="69" t="n">
        <f aca="false">C781-D781</f>
        <v>266500</v>
      </c>
    </row>
    <row r="782" customFormat="false" ht="15" hidden="false" customHeight="false" outlineLevel="0" collapsed="false">
      <c r="A782" s="35" t="n">
        <v>4</v>
      </c>
      <c r="B782" s="39" t="s">
        <v>733</v>
      </c>
      <c r="C782" s="14" t="n">
        <v>416500</v>
      </c>
      <c r="D782" s="37"/>
      <c r="E782" s="69" t="n">
        <f aca="false">C782-D782</f>
        <v>416500</v>
      </c>
    </row>
    <row r="783" customFormat="false" ht="15" hidden="false" customHeight="false" outlineLevel="0" collapsed="false">
      <c r="A783" s="35" t="n">
        <v>5</v>
      </c>
      <c r="B783" s="39" t="s">
        <v>734</v>
      </c>
      <c r="C783" s="14" t="n">
        <v>416500</v>
      </c>
      <c r="D783" s="37"/>
      <c r="E783" s="69" t="n">
        <f aca="false">C783-D783</f>
        <v>416500</v>
      </c>
    </row>
    <row r="784" customFormat="false" ht="15" hidden="false" customHeight="false" outlineLevel="0" collapsed="false">
      <c r="A784" s="35" t="n">
        <v>6</v>
      </c>
      <c r="B784" s="39" t="s">
        <v>735</v>
      </c>
      <c r="C784" s="14" t="n">
        <v>416500</v>
      </c>
      <c r="D784" s="37" t="n">
        <f aca="false">250000+166500</f>
        <v>416500</v>
      </c>
      <c r="E784" s="69" t="n">
        <f aca="false">C784-D784</f>
        <v>0</v>
      </c>
    </row>
    <row r="785" customFormat="false" ht="15" hidden="false" customHeight="false" outlineLevel="0" collapsed="false">
      <c r="A785" s="35" t="n">
        <v>7</v>
      </c>
      <c r="B785" s="39" t="s">
        <v>736</v>
      </c>
      <c r="C785" s="14" t="n">
        <v>416500</v>
      </c>
      <c r="D785" s="37" t="n">
        <f aca="false">200000</f>
        <v>200000</v>
      </c>
      <c r="E785" s="69" t="n">
        <f aca="false">C785-D785</f>
        <v>216500</v>
      </c>
    </row>
    <row r="786" customFormat="false" ht="15" hidden="false" customHeight="false" outlineLevel="0" collapsed="false">
      <c r="A786" s="35" t="n">
        <v>8</v>
      </c>
      <c r="B786" s="39" t="s">
        <v>737</v>
      </c>
      <c r="C786" s="14" t="n">
        <v>416500</v>
      </c>
      <c r="D786" s="37"/>
      <c r="E786" s="69" t="n">
        <f aca="false">C786-D786</f>
        <v>416500</v>
      </c>
    </row>
    <row r="787" customFormat="false" ht="15" hidden="false" customHeight="false" outlineLevel="0" collapsed="false">
      <c r="A787" s="35" t="n">
        <v>9</v>
      </c>
      <c r="B787" s="39" t="s">
        <v>738</v>
      </c>
      <c r="C787" s="14" t="n">
        <v>416500</v>
      </c>
      <c r="D787" s="37"/>
      <c r="E787" s="69" t="n">
        <f aca="false">C787-D787</f>
        <v>416500</v>
      </c>
    </row>
    <row r="788" customFormat="false" ht="15" hidden="false" customHeight="false" outlineLevel="0" collapsed="false">
      <c r="A788" s="35" t="n">
        <v>10</v>
      </c>
      <c r="B788" s="39" t="s">
        <v>739</v>
      </c>
      <c r="C788" s="14" t="n">
        <v>416500</v>
      </c>
      <c r="D788" s="37" t="n">
        <f aca="false">75000+150000</f>
        <v>225000</v>
      </c>
      <c r="E788" s="69" t="n">
        <f aca="false">C788-D788</f>
        <v>191500</v>
      </c>
    </row>
    <row r="789" customFormat="false" ht="15" hidden="false" customHeight="false" outlineLevel="0" collapsed="false">
      <c r="A789" s="35" t="n">
        <v>11</v>
      </c>
      <c r="B789" s="39" t="s">
        <v>740</v>
      </c>
      <c r="C789" s="14" t="n">
        <v>416500</v>
      </c>
      <c r="D789" s="37"/>
      <c r="E789" s="69" t="n">
        <f aca="false">C789-D789</f>
        <v>416500</v>
      </c>
    </row>
    <row r="790" customFormat="false" ht="15" hidden="false" customHeight="false" outlineLevel="0" collapsed="false">
      <c r="A790" s="35" t="n">
        <v>12</v>
      </c>
      <c r="B790" s="39" t="s">
        <v>741</v>
      </c>
      <c r="C790" s="14" t="n">
        <v>416500</v>
      </c>
      <c r="D790" s="37" t="n">
        <f aca="false">150000+50000+100000+100000+16500</f>
        <v>416500</v>
      </c>
      <c r="E790" s="69" t="n">
        <f aca="false">C790-D790</f>
        <v>0</v>
      </c>
    </row>
    <row r="791" customFormat="false" ht="17.35" hidden="false" customHeight="false" outlineLevel="0" collapsed="false">
      <c r="A791" s="35"/>
      <c r="B791" s="79" t="s">
        <v>21</v>
      </c>
      <c r="C791" s="24" t="n">
        <f aca="false">SUM(C779:C790)</f>
        <v>4581500</v>
      </c>
      <c r="D791" s="94" t="n">
        <f aca="false">SUM(D779:D790)</f>
        <v>1624500</v>
      </c>
      <c r="E791" s="70" t="n">
        <f aca="false">SUM(E779:E790)</f>
        <v>2957000</v>
      </c>
    </row>
    <row r="792" customFormat="false" ht="15" hidden="false" customHeight="false" outlineLevel="0" collapsed="false">
      <c r="D792" s="32"/>
      <c r="E792" s="32"/>
    </row>
    <row r="793" customFormat="false" ht="15" hidden="false" customHeight="false" outlineLevel="0" collapsed="false">
      <c r="D793" s="32"/>
      <c r="E793" s="32"/>
    </row>
    <row r="794" customFormat="false" ht="15" hidden="false" customHeight="false" outlineLevel="0" collapsed="false">
      <c r="D794" s="32"/>
      <c r="E794" s="32"/>
    </row>
    <row r="795" customFormat="false" ht="15" hidden="false" customHeight="false" outlineLevel="0" collapsed="false">
      <c r="D795" s="32"/>
      <c r="E795" s="32"/>
    </row>
    <row r="796" customFormat="false" ht="17.35" hidden="false" customHeight="false" outlineLevel="0" collapsed="false">
      <c r="A796" s="2"/>
      <c r="B796" s="3" t="s">
        <v>0</v>
      </c>
      <c r="D796" s="32"/>
      <c r="E796" s="32"/>
    </row>
    <row r="797" customFormat="false" ht="17.35" hidden="false" customHeight="false" outlineLevel="0" collapsed="false">
      <c r="A797" s="4"/>
      <c r="D797" s="32"/>
      <c r="E797" s="32"/>
    </row>
    <row r="798" customFormat="false" ht="15" hidden="false" customHeight="false" outlineLevel="0" collapsed="false">
      <c r="A798" s="2"/>
      <c r="D798" s="32"/>
      <c r="E798" s="32"/>
    </row>
    <row r="799" customFormat="false" ht="17.25" hidden="false" customHeight="false" outlineLevel="0" collapsed="false">
      <c r="A799" s="2"/>
      <c r="B799" s="5" t="s">
        <v>103</v>
      </c>
      <c r="D799" s="32"/>
      <c r="E799" s="32"/>
    </row>
    <row r="800" customFormat="false" ht="15" hidden="false" customHeight="false" outlineLevel="0" collapsed="false">
      <c r="A800" s="2"/>
      <c r="D800" s="33" t="s">
        <v>161</v>
      </c>
      <c r="E800" s="32"/>
    </row>
    <row r="801" customFormat="false" ht="15" hidden="false" customHeight="false" outlineLevel="0" collapsed="false">
      <c r="A801" s="2"/>
      <c r="D801" s="32"/>
      <c r="E801" s="32"/>
    </row>
    <row r="802" customFormat="false" ht="15" hidden="false" customHeight="false" outlineLevel="0" collapsed="false">
      <c r="A802" s="7" t="s">
        <v>3</v>
      </c>
      <c r="B802" s="8" t="s">
        <v>4</v>
      </c>
      <c r="C802" s="9" t="s">
        <v>5</v>
      </c>
      <c r="D802" s="34" t="s">
        <v>6</v>
      </c>
      <c r="E802" s="68" t="s">
        <v>7</v>
      </c>
    </row>
    <row r="803" customFormat="false" ht="15" hidden="false" customHeight="false" outlineLevel="0" collapsed="false">
      <c r="A803" s="12" t="n">
        <v>1</v>
      </c>
      <c r="B803" s="39" t="s">
        <v>742</v>
      </c>
      <c r="C803" s="14" t="n">
        <v>416500</v>
      </c>
      <c r="D803" s="37" t="n">
        <f aca="false">150500+70000+100000</f>
        <v>320500</v>
      </c>
      <c r="E803" s="69" t="n">
        <f aca="false">C803-D803</f>
        <v>96000</v>
      </c>
    </row>
    <row r="804" customFormat="false" ht="15" hidden="false" customHeight="false" outlineLevel="0" collapsed="false">
      <c r="A804" s="35" t="n">
        <v>2</v>
      </c>
      <c r="B804" s="95" t="s">
        <v>743</v>
      </c>
      <c r="C804" s="14" t="n">
        <v>416500</v>
      </c>
      <c r="D804" s="37" t="n">
        <f aca="false">216500+100000</f>
        <v>316500</v>
      </c>
      <c r="E804" s="69" t="n">
        <f aca="false">C804-D804</f>
        <v>100000</v>
      </c>
    </row>
    <row r="805" customFormat="false" ht="15" hidden="false" customHeight="false" outlineLevel="0" collapsed="false">
      <c r="A805" s="12" t="n">
        <v>3</v>
      </c>
      <c r="B805" s="39" t="s">
        <v>744</v>
      </c>
      <c r="C805" s="14" t="n">
        <v>416500</v>
      </c>
      <c r="D805" s="37"/>
      <c r="E805" s="69" t="n">
        <f aca="false">C805-D805</f>
        <v>416500</v>
      </c>
    </row>
    <row r="806" customFormat="false" ht="15" hidden="false" customHeight="false" outlineLevel="0" collapsed="false">
      <c r="A806" s="12" t="n">
        <v>4</v>
      </c>
      <c r="B806" s="39" t="s">
        <v>745</v>
      </c>
      <c r="C806" s="14" t="n">
        <v>416500</v>
      </c>
      <c r="D806" s="37" t="n">
        <f aca="false">83500+333000</f>
        <v>416500</v>
      </c>
      <c r="E806" s="69" t="n">
        <f aca="false">C806-D806</f>
        <v>0</v>
      </c>
    </row>
    <row r="807" customFormat="false" ht="15" hidden="false" customHeight="false" outlineLevel="0" collapsed="false">
      <c r="A807" s="12" t="n">
        <v>5</v>
      </c>
      <c r="B807" s="39" t="s">
        <v>746</v>
      </c>
      <c r="C807" s="96" t="n">
        <v>416500</v>
      </c>
      <c r="D807" s="97" t="n">
        <f aca="false">100000</f>
        <v>100000</v>
      </c>
      <c r="E807" s="69" t="n">
        <f aca="false">C807-D807</f>
        <v>316500</v>
      </c>
    </row>
    <row r="808" customFormat="false" ht="15" hidden="false" customHeight="false" outlineLevel="0" collapsed="false">
      <c r="A808" s="12" t="n">
        <v>6</v>
      </c>
      <c r="B808" s="39" t="s">
        <v>747</v>
      </c>
      <c r="C808" s="96" t="n">
        <v>416500</v>
      </c>
      <c r="D808" s="37" t="n">
        <f aca="false">32000</f>
        <v>32000</v>
      </c>
      <c r="E808" s="69" t="n">
        <f aca="false">C808-D808</f>
        <v>384500</v>
      </c>
    </row>
    <row r="809" customFormat="false" ht="15" hidden="false" customHeight="false" outlineLevel="0" collapsed="false">
      <c r="A809" s="12" t="n">
        <v>7</v>
      </c>
      <c r="B809" s="95" t="s">
        <v>748</v>
      </c>
      <c r="C809" s="96" t="n">
        <v>416500</v>
      </c>
      <c r="D809" s="37" t="n">
        <v>416500</v>
      </c>
      <c r="E809" s="69" t="n">
        <f aca="false">C809-D809</f>
        <v>0</v>
      </c>
    </row>
    <row r="810" customFormat="false" ht="15" hidden="false" customHeight="false" outlineLevel="0" collapsed="false">
      <c r="A810" s="12" t="n">
        <v>8</v>
      </c>
      <c r="B810" s="39" t="s">
        <v>749</v>
      </c>
      <c r="C810" s="96" t="n">
        <v>416500</v>
      </c>
      <c r="D810" s="37" t="n">
        <f aca="false">30000</f>
        <v>30000</v>
      </c>
      <c r="E810" s="69" t="n">
        <f aca="false">C810-D810</f>
        <v>386500</v>
      </c>
    </row>
    <row r="811" customFormat="false" ht="15" hidden="false" customHeight="false" outlineLevel="0" collapsed="false">
      <c r="A811" s="35" t="n">
        <v>9</v>
      </c>
      <c r="B811" s="39" t="s">
        <v>750</v>
      </c>
      <c r="C811" s="14" t="n">
        <v>416500</v>
      </c>
      <c r="D811" s="37" t="n">
        <v>416500</v>
      </c>
      <c r="E811" s="69" t="n">
        <f aca="false">C811-D811</f>
        <v>0</v>
      </c>
    </row>
    <row r="812" customFormat="false" ht="17.35" hidden="false" customHeight="false" outlineLevel="0" collapsed="false">
      <c r="A812" s="22"/>
      <c r="B812" s="23" t="s">
        <v>21</v>
      </c>
      <c r="C812" s="24" t="n">
        <f aca="false">SUM(C803:C811)</f>
        <v>3748500</v>
      </c>
      <c r="D812" s="25" t="n">
        <f aca="false">SUM(D803:D811)</f>
        <v>2048500</v>
      </c>
      <c r="E812" s="70" t="n">
        <f aca="false">SUM(E803:E811)</f>
        <v>1700000</v>
      </c>
    </row>
    <row r="813" customFormat="false" ht="15" hidden="false" customHeight="false" outlineLevel="0" collapsed="false">
      <c r="D813" s="32"/>
      <c r="E813" s="32"/>
    </row>
    <row r="814" customFormat="false" ht="15" hidden="false" customHeight="false" outlineLevel="0" collapsed="false">
      <c r="D814" s="32"/>
      <c r="E814" s="32"/>
    </row>
    <row r="815" customFormat="false" ht="15" hidden="false" customHeight="false" outlineLevel="0" collapsed="false">
      <c r="D815" s="32"/>
      <c r="E815" s="32"/>
    </row>
    <row r="816" customFormat="false" ht="17.35" hidden="false" customHeight="false" outlineLevel="0" collapsed="false">
      <c r="B816" s="3" t="s">
        <v>0</v>
      </c>
      <c r="D816" s="32"/>
      <c r="E816" s="32"/>
    </row>
    <row r="817" customFormat="false" ht="15" hidden="false" customHeight="false" outlineLevel="0" collapsed="false">
      <c r="D817" s="32"/>
      <c r="E817" s="32"/>
    </row>
    <row r="818" customFormat="false" ht="17.25" hidden="false" customHeight="false" outlineLevel="0" collapsed="false">
      <c r="B818" s="55" t="s">
        <v>751</v>
      </c>
      <c r="D818" s="32"/>
      <c r="E818" s="32"/>
    </row>
    <row r="819" customFormat="false" ht="15" hidden="false" customHeight="false" outlineLevel="0" collapsed="false">
      <c r="B819" s="5"/>
      <c r="D819" s="32"/>
      <c r="E819" s="33" t="s">
        <v>178</v>
      </c>
    </row>
    <row r="820" customFormat="false" ht="15" hidden="false" customHeight="false" outlineLevel="0" collapsed="false">
      <c r="D820" s="32"/>
      <c r="E820" s="32"/>
    </row>
    <row r="821" customFormat="false" ht="15" hidden="false" customHeight="false" outlineLevel="0" collapsed="false">
      <c r="D821" s="32"/>
      <c r="E821" s="32"/>
    </row>
    <row r="822" customFormat="false" ht="15" hidden="false" customHeight="false" outlineLevel="0" collapsed="false">
      <c r="A822" s="7" t="s">
        <v>3</v>
      </c>
      <c r="B822" s="8" t="s">
        <v>4</v>
      </c>
      <c r="C822" s="9" t="s">
        <v>5</v>
      </c>
      <c r="D822" s="34" t="s">
        <v>6</v>
      </c>
      <c r="E822" s="68" t="s">
        <v>7</v>
      </c>
    </row>
    <row r="823" customFormat="false" ht="15" hidden="false" customHeight="false" outlineLevel="0" collapsed="false">
      <c r="A823" s="12" t="n">
        <v>1</v>
      </c>
      <c r="B823" s="95" t="s">
        <v>752</v>
      </c>
      <c r="C823" s="96" t="n">
        <v>416500</v>
      </c>
      <c r="D823" s="97" t="n">
        <f aca="false">116500+100000</f>
        <v>216500</v>
      </c>
      <c r="E823" s="69" t="n">
        <f aca="false">C823-D823</f>
        <v>200000</v>
      </c>
    </row>
    <row r="824" customFormat="false" ht="15" hidden="false" customHeight="false" outlineLevel="0" collapsed="false">
      <c r="A824" s="35" t="n">
        <v>2</v>
      </c>
      <c r="B824" s="95" t="s">
        <v>753</v>
      </c>
      <c r="C824" s="96" t="n">
        <v>416500</v>
      </c>
      <c r="D824" s="97" t="n">
        <v>416500</v>
      </c>
      <c r="E824" s="69" t="n">
        <f aca="false">C824-D824</f>
        <v>0</v>
      </c>
    </row>
    <row r="825" customFormat="false" ht="15" hidden="false" customHeight="false" outlineLevel="0" collapsed="false">
      <c r="A825" s="12" t="n">
        <v>3</v>
      </c>
      <c r="B825" s="95" t="s">
        <v>754</v>
      </c>
      <c r="C825" s="96" t="n">
        <v>416500</v>
      </c>
      <c r="D825" s="37"/>
      <c r="E825" s="69" t="n">
        <f aca="false">C825-D825</f>
        <v>416500</v>
      </c>
    </row>
    <row r="826" customFormat="false" ht="15" hidden="false" customHeight="false" outlineLevel="0" collapsed="false">
      <c r="A826" s="35" t="n">
        <v>4</v>
      </c>
      <c r="B826" s="95" t="s">
        <v>755</v>
      </c>
      <c r="C826" s="96" t="n">
        <v>416500</v>
      </c>
      <c r="D826" s="37"/>
      <c r="E826" s="69" t="n">
        <f aca="false">C826-D826</f>
        <v>416500</v>
      </c>
    </row>
    <row r="827" customFormat="false" ht="15" hidden="false" customHeight="false" outlineLevel="0" collapsed="false">
      <c r="A827" s="12" t="n">
        <v>5</v>
      </c>
      <c r="B827" s="95" t="s">
        <v>756</v>
      </c>
      <c r="C827" s="96" t="n">
        <v>416500</v>
      </c>
      <c r="D827" s="37"/>
      <c r="E827" s="69" t="n">
        <f aca="false">C827-D827</f>
        <v>416500</v>
      </c>
    </row>
    <row r="828" customFormat="false" ht="15" hidden="false" customHeight="false" outlineLevel="0" collapsed="false">
      <c r="A828" s="35" t="n">
        <v>6</v>
      </c>
      <c r="B828" s="95" t="s">
        <v>757</v>
      </c>
      <c r="C828" s="96" t="n">
        <v>416500</v>
      </c>
      <c r="D828" s="37" t="n">
        <f aca="false">50000+300000+66500</f>
        <v>416500</v>
      </c>
      <c r="E828" s="69" t="n">
        <f aca="false">C828-D828</f>
        <v>0</v>
      </c>
    </row>
    <row r="829" customFormat="false" ht="15" hidden="false" customHeight="false" outlineLevel="0" collapsed="false">
      <c r="A829" s="12" t="n">
        <v>7</v>
      </c>
      <c r="B829" s="95" t="s">
        <v>758</v>
      </c>
      <c r="C829" s="96" t="n">
        <v>416500</v>
      </c>
      <c r="D829" s="37" t="n">
        <f aca="false">202000+215500</f>
        <v>417500</v>
      </c>
      <c r="E829" s="69" t="n">
        <f aca="false">C829-D829</f>
        <v>-1000</v>
      </c>
    </row>
    <row r="830" customFormat="false" ht="15" hidden="false" customHeight="false" outlineLevel="0" collapsed="false">
      <c r="A830" s="35" t="n">
        <v>8</v>
      </c>
      <c r="B830" s="95" t="s">
        <v>759</v>
      </c>
      <c r="C830" s="96" t="n">
        <v>416500</v>
      </c>
      <c r="D830" s="37"/>
      <c r="E830" s="69" t="n">
        <f aca="false">C830-D830</f>
        <v>416500</v>
      </c>
    </row>
    <row r="831" customFormat="false" ht="15" hidden="false" customHeight="false" outlineLevel="0" collapsed="false">
      <c r="A831" s="12" t="n">
        <v>9</v>
      </c>
      <c r="B831" s="95" t="s">
        <v>760</v>
      </c>
      <c r="C831" s="69" t="n">
        <v>416500</v>
      </c>
      <c r="D831" s="37"/>
      <c r="E831" s="69" t="n">
        <v>416500</v>
      </c>
    </row>
    <row r="832" customFormat="false" ht="15" hidden="false" customHeight="false" outlineLevel="0" collapsed="false">
      <c r="A832" s="35" t="n">
        <v>10</v>
      </c>
      <c r="B832" s="95" t="s">
        <v>761</v>
      </c>
      <c r="C832" s="96" t="n">
        <v>416500</v>
      </c>
      <c r="D832" s="37" t="n">
        <f aca="false">150000+266500</f>
        <v>416500</v>
      </c>
      <c r="E832" s="69" t="n">
        <f aca="false">C832-D832</f>
        <v>0</v>
      </c>
    </row>
    <row r="833" customFormat="false" ht="15" hidden="false" customHeight="false" outlineLevel="0" collapsed="false">
      <c r="A833" s="12" t="n">
        <v>11</v>
      </c>
      <c r="B833" s="95" t="s">
        <v>762</v>
      </c>
      <c r="C833" s="96" t="n">
        <v>416500</v>
      </c>
      <c r="D833" s="37" t="n">
        <f aca="false">216500+200000</f>
        <v>416500</v>
      </c>
      <c r="E833" s="69" t="n">
        <f aca="false">C833-D833</f>
        <v>0</v>
      </c>
    </row>
    <row r="834" customFormat="false" ht="15" hidden="false" customHeight="false" outlineLevel="0" collapsed="false">
      <c r="A834" s="35" t="n">
        <v>12</v>
      </c>
      <c r="B834" s="95" t="s">
        <v>763</v>
      </c>
      <c r="C834" s="96" t="n">
        <v>416500</v>
      </c>
      <c r="D834" s="37" t="n">
        <f aca="false">116500+300000</f>
        <v>416500</v>
      </c>
      <c r="E834" s="69" t="n">
        <f aca="false">C834-D834</f>
        <v>0</v>
      </c>
    </row>
    <row r="835" customFormat="false" ht="15" hidden="false" customHeight="false" outlineLevel="0" collapsed="false">
      <c r="A835" s="12" t="n">
        <v>13</v>
      </c>
      <c r="B835" s="95" t="s">
        <v>764</v>
      </c>
      <c r="C835" s="96" t="n">
        <v>416500</v>
      </c>
      <c r="D835" s="37" t="n">
        <f aca="false">116500+100000+200000</f>
        <v>416500</v>
      </c>
      <c r="E835" s="69" t="n">
        <f aca="false">C835-D835</f>
        <v>0</v>
      </c>
    </row>
    <row r="836" customFormat="false" ht="15" hidden="false" customHeight="false" outlineLevel="0" collapsed="false">
      <c r="A836" s="35" t="n">
        <v>14</v>
      </c>
      <c r="B836" s="95" t="s">
        <v>765</v>
      </c>
      <c r="C836" s="96" t="n">
        <v>416500</v>
      </c>
      <c r="D836" s="37"/>
      <c r="E836" s="69" t="n">
        <f aca="false">C836-D836</f>
        <v>416500</v>
      </c>
    </row>
    <row r="837" customFormat="false" ht="15" hidden="false" customHeight="false" outlineLevel="0" collapsed="false">
      <c r="A837" s="12" t="n">
        <v>15</v>
      </c>
      <c r="B837" s="98" t="s">
        <v>766</v>
      </c>
      <c r="C837" s="96" t="n">
        <v>416500</v>
      </c>
      <c r="D837" s="37"/>
      <c r="E837" s="69" t="n">
        <f aca="false">C837-D837</f>
        <v>416500</v>
      </c>
    </row>
    <row r="838" customFormat="false" ht="15" hidden="false" customHeight="false" outlineLevel="0" collapsed="false">
      <c r="A838" s="35" t="n">
        <v>16</v>
      </c>
      <c r="B838" s="95" t="s">
        <v>767</v>
      </c>
      <c r="C838" s="96" t="n">
        <v>416500</v>
      </c>
      <c r="D838" s="37" t="n">
        <f aca="false">70000+97000+50000+50000+50000</f>
        <v>317000</v>
      </c>
      <c r="E838" s="69" t="n">
        <f aca="false">C838-D838</f>
        <v>99500</v>
      </c>
    </row>
    <row r="839" customFormat="false" ht="15" hidden="false" customHeight="false" outlineLevel="0" collapsed="false">
      <c r="A839" s="12" t="n">
        <v>17</v>
      </c>
      <c r="B839" s="95" t="s">
        <v>768</v>
      </c>
      <c r="C839" s="96" t="n">
        <v>416500</v>
      </c>
      <c r="D839" s="37" t="n">
        <f aca="false">100000+316500</f>
        <v>416500</v>
      </c>
      <c r="E839" s="69" t="n">
        <f aca="false">C839-D839</f>
        <v>0</v>
      </c>
    </row>
    <row r="840" customFormat="false" ht="15" hidden="false" customHeight="false" outlineLevel="0" collapsed="false">
      <c r="A840" s="35" t="n">
        <v>18</v>
      </c>
      <c r="B840" s="95" t="s">
        <v>769</v>
      </c>
      <c r="C840" s="96" t="n">
        <v>416500</v>
      </c>
      <c r="D840" s="37" t="n">
        <v>416500</v>
      </c>
      <c r="E840" s="69" t="n">
        <f aca="false">C840-D840</f>
        <v>0</v>
      </c>
    </row>
    <row r="841" customFormat="false" ht="15" hidden="false" customHeight="false" outlineLevel="0" collapsed="false">
      <c r="A841" s="12" t="n">
        <v>19</v>
      </c>
      <c r="B841" s="95" t="s">
        <v>770</v>
      </c>
      <c r="C841" s="96" t="n">
        <v>416500</v>
      </c>
      <c r="D841" s="37"/>
      <c r="E841" s="69" t="n">
        <f aca="false">C841-D841</f>
        <v>416500</v>
      </c>
    </row>
    <row r="842" customFormat="false" ht="15" hidden="false" customHeight="false" outlineLevel="0" collapsed="false">
      <c r="A842" s="35" t="n">
        <v>20</v>
      </c>
      <c r="B842" s="95" t="s">
        <v>771</v>
      </c>
      <c r="C842" s="96" t="n">
        <v>416500</v>
      </c>
      <c r="D842" s="37" t="n">
        <f aca="false">250000</f>
        <v>250000</v>
      </c>
      <c r="E842" s="69" t="n">
        <f aca="false">C842-D842</f>
        <v>166500</v>
      </c>
    </row>
    <row r="843" customFormat="false" ht="15" hidden="false" customHeight="false" outlineLevel="0" collapsed="false">
      <c r="A843" s="12" t="n">
        <v>21</v>
      </c>
      <c r="B843" s="95" t="s">
        <v>772</v>
      </c>
      <c r="C843" s="96" t="n">
        <v>416500</v>
      </c>
      <c r="D843" s="37" t="n">
        <v>416500</v>
      </c>
      <c r="E843" s="69" t="n">
        <f aca="false">C843-D843</f>
        <v>0</v>
      </c>
    </row>
    <row r="844" customFormat="false" ht="15" hidden="false" customHeight="false" outlineLevel="0" collapsed="false">
      <c r="A844" s="35" t="n">
        <v>22</v>
      </c>
      <c r="B844" s="95" t="s">
        <v>773</v>
      </c>
      <c r="C844" s="96" t="n">
        <v>416500</v>
      </c>
      <c r="D844" s="37" t="n">
        <f aca="false">150000+160000+106000+500</f>
        <v>416500</v>
      </c>
      <c r="E844" s="69" t="n">
        <f aca="false">C844-D844</f>
        <v>0</v>
      </c>
    </row>
    <row r="845" customFormat="false" ht="15" hidden="false" customHeight="false" outlineLevel="0" collapsed="false">
      <c r="A845" s="12" t="n">
        <v>23</v>
      </c>
      <c r="B845" s="95" t="s">
        <v>774</v>
      </c>
      <c r="C845" s="96" t="n">
        <v>416500</v>
      </c>
      <c r="D845" s="37" t="n">
        <f aca="false">200000+40000+176500</f>
        <v>416500</v>
      </c>
      <c r="E845" s="69" t="n">
        <f aca="false">C845-D845</f>
        <v>0</v>
      </c>
    </row>
    <row r="846" customFormat="false" ht="15" hidden="false" customHeight="false" outlineLevel="0" collapsed="false">
      <c r="A846" s="35" t="n">
        <v>24</v>
      </c>
      <c r="B846" s="95" t="s">
        <v>775</v>
      </c>
      <c r="C846" s="96" t="n">
        <v>416500</v>
      </c>
      <c r="D846" s="37" t="n">
        <v>416500</v>
      </c>
      <c r="E846" s="69" t="n">
        <f aca="false">C846-D846</f>
        <v>0</v>
      </c>
    </row>
    <row r="847" customFormat="false" ht="17.35" hidden="false" customHeight="false" outlineLevel="0" collapsed="false">
      <c r="A847" s="35"/>
      <c r="B847" s="23" t="s">
        <v>21</v>
      </c>
      <c r="C847" s="24" t="n">
        <f aca="false">SUM(C823:C846)</f>
        <v>9996000</v>
      </c>
      <c r="D847" s="25" t="n">
        <f aca="false">SUM(D823:D846)</f>
        <v>6199000</v>
      </c>
      <c r="E847" s="70" t="n">
        <f aca="false">SUM(E823:E846)</f>
        <v>3797000</v>
      </c>
    </row>
    <row r="848" customFormat="false" ht="15" hidden="false" customHeight="false" outlineLevel="0" collapsed="false">
      <c r="D848" s="32"/>
      <c r="E848" s="32"/>
    </row>
    <row r="849" customFormat="false" ht="15" hidden="false" customHeight="false" outlineLevel="0" collapsed="false">
      <c r="D849" s="32"/>
      <c r="E849" s="32"/>
    </row>
    <row r="850" customFormat="false" ht="15" hidden="false" customHeight="false" outlineLevel="0" collapsed="false">
      <c r="D850" s="32"/>
      <c r="E850" s="32"/>
    </row>
    <row r="851" customFormat="false" ht="15" hidden="false" customHeight="false" outlineLevel="0" collapsed="false">
      <c r="D851" s="32"/>
      <c r="E851" s="32"/>
    </row>
    <row r="852" customFormat="false" ht="17.35" hidden="false" customHeight="false" outlineLevel="0" collapsed="false">
      <c r="A852" s="4"/>
      <c r="B852" s="3" t="s">
        <v>0</v>
      </c>
      <c r="C852" s="3"/>
      <c r="D852" s="32"/>
      <c r="E852" s="32"/>
    </row>
    <row r="853" customFormat="false" ht="15" hidden="false" customHeight="false" outlineLevel="0" collapsed="false">
      <c r="A853" s="2"/>
      <c r="D853" s="32"/>
      <c r="E853" s="32"/>
    </row>
    <row r="854" customFormat="false" ht="15" hidden="false" customHeight="false" outlineLevel="0" collapsed="false">
      <c r="A854" s="2"/>
      <c r="D854" s="32"/>
      <c r="E854" s="32"/>
    </row>
    <row r="855" customFormat="false" ht="17.25" hidden="false" customHeight="false" outlineLevel="0" collapsed="false">
      <c r="A855" s="2"/>
      <c r="B855" s="5" t="s">
        <v>776</v>
      </c>
      <c r="D855" s="33" t="s">
        <v>178</v>
      </c>
      <c r="E855" s="32"/>
    </row>
    <row r="856" customFormat="false" ht="15" hidden="false" customHeight="false" outlineLevel="0" collapsed="false">
      <c r="A856" s="2"/>
      <c r="D856" s="32"/>
      <c r="E856" s="32"/>
    </row>
    <row r="857" customFormat="false" ht="15" hidden="false" customHeight="false" outlineLevel="0" collapsed="false">
      <c r="A857" s="7" t="s">
        <v>3</v>
      </c>
      <c r="B857" s="8" t="s">
        <v>4</v>
      </c>
      <c r="C857" s="9" t="s">
        <v>5</v>
      </c>
      <c r="D857" s="34" t="s">
        <v>6</v>
      </c>
      <c r="E857" s="68" t="s">
        <v>7</v>
      </c>
    </row>
    <row r="858" customFormat="false" ht="15" hidden="false" customHeight="false" outlineLevel="0" collapsed="false">
      <c r="A858" s="35" t="n">
        <v>1</v>
      </c>
      <c r="B858" s="39" t="s">
        <v>777</v>
      </c>
      <c r="C858" s="99" t="n">
        <v>416500</v>
      </c>
      <c r="D858" s="100"/>
      <c r="E858" s="101" t="n">
        <f aca="false">C858-D858</f>
        <v>416500</v>
      </c>
    </row>
    <row r="859" customFormat="false" ht="15" hidden="false" customHeight="false" outlineLevel="0" collapsed="false">
      <c r="A859" s="35" t="n">
        <v>2</v>
      </c>
      <c r="B859" s="39" t="s">
        <v>778</v>
      </c>
      <c r="C859" s="99" t="n">
        <v>416500</v>
      </c>
      <c r="D859" s="100"/>
      <c r="E859" s="101" t="n">
        <f aca="false">C859-D859</f>
        <v>416500</v>
      </c>
    </row>
    <row r="860" customFormat="false" ht="15" hidden="false" customHeight="false" outlineLevel="0" collapsed="false">
      <c r="A860" s="35" t="n">
        <v>3</v>
      </c>
      <c r="B860" s="39" t="s">
        <v>779</v>
      </c>
      <c r="C860" s="99" t="n">
        <v>416500</v>
      </c>
      <c r="D860" s="100"/>
      <c r="E860" s="101" t="n">
        <f aca="false">C860-D860</f>
        <v>416500</v>
      </c>
    </row>
    <row r="861" customFormat="false" ht="15" hidden="false" customHeight="false" outlineLevel="0" collapsed="false">
      <c r="A861" s="35" t="n">
        <v>4</v>
      </c>
      <c r="B861" s="39" t="s">
        <v>780</v>
      </c>
      <c r="C861" s="99" t="n">
        <v>416500</v>
      </c>
      <c r="D861" s="100" t="n">
        <f aca="false">150000+200000+70000</f>
        <v>420000</v>
      </c>
      <c r="E861" s="101" t="n">
        <f aca="false">C861-D861</f>
        <v>-3500</v>
      </c>
    </row>
    <row r="862" customFormat="false" ht="15" hidden="false" customHeight="false" outlineLevel="0" collapsed="false">
      <c r="A862" s="35" t="n">
        <v>5</v>
      </c>
      <c r="B862" s="36" t="s">
        <v>781</v>
      </c>
      <c r="C862" s="99" t="n">
        <v>416500</v>
      </c>
      <c r="D862" s="100"/>
      <c r="E862" s="101" t="n">
        <f aca="false">C862-D862</f>
        <v>416500</v>
      </c>
    </row>
    <row r="863" customFormat="false" ht="15" hidden="false" customHeight="false" outlineLevel="0" collapsed="false">
      <c r="A863" s="35" t="n">
        <v>6</v>
      </c>
      <c r="B863" s="39" t="s">
        <v>782</v>
      </c>
      <c r="C863" s="99" t="n">
        <v>416500</v>
      </c>
      <c r="D863" s="100" t="n">
        <f aca="false">216500+100000</f>
        <v>316500</v>
      </c>
      <c r="E863" s="101" t="n">
        <f aca="false">C863-D863</f>
        <v>100000</v>
      </c>
    </row>
    <row r="864" customFormat="false" ht="17.35" hidden="false" customHeight="false" outlineLevel="0" collapsed="false">
      <c r="A864" s="22"/>
      <c r="B864" s="23" t="s">
        <v>21</v>
      </c>
      <c r="C864" s="24" t="n">
        <f aca="false">SUM(C858:C863)</f>
        <v>2499000</v>
      </c>
      <c r="D864" s="54" t="n">
        <f aca="false">SUM(D858:D863)</f>
        <v>736500</v>
      </c>
      <c r="E864" s="70" t="n">
        <f aca="false">SUM(E858:E863)</f>
        <v>1762500</v>
      </c>
    </row>
    <row r="874" customFormat="false" ht="15" hidden="false" customHeight="false" outlineLevel="0" collapsed="false">
      <c r="E874" s="1" t="s">
        <v>783</v>
      </c>
    </row>
    <row r="881" customFormat="false" ht="17.35" hidden="false" customHeight="false" outlineLevel="0" collapsed="false">
      <c r="A881" s="2"/>
      <c r="B881" s="3" t="s">
        <v>0</v>
      </c>
    </row>
    <row r="882" customFormat="false" ht="15" hidden="false" customHeight="false" outlineLevel="0" collapsed="false">
      <c r="A882" s="2"/>
    </row>
    <row r="883" customFormat="false" ht="15" hidden="false" customHeight="false" outlineLevel="0" collapsed="false">
      <c r="A883" s="2"/>
    </row>
    <row r="884" customFormat="false" ht="17.9" hidden="false" customHeight="false" outlineLevel="0" collapsed="false">
      <c r="A884" s="2"/>
      <c r="B884" s="5" t="s">
        <v>22</v>
      </c>
      <c r="D884" s="6" t="s">
        <v>2</v>
      </c>
    </row>
    <row r="885" customFormat="false" ht="15" hidden="false" customHeight="false" outlineLevel="0" collapsed="false">
      <c r="A885" s="2"/>
    </row>
    <row r="886" customFormat="false" ht="15" hidden="false" customHeight="false" outlineLevel="0" collapsed="false">
      <c r="A886" s="7" t="s">
        <v>3</v>
      </c>
      <c r="B886" s="8" t="s">
        <v>4</v>
      </c>
      <c r="C886" s="9" t="s">
        <v>5</v>
      </c>
      <c r="D886" s="10" t="s">
        <v>6</v>
      </c>
      <c r="E886" s="11" t="s">
        <v>7</v>
      </c>
    </row>
    <row r="887" customFormat="false" ht="15" hidden="false" customHeight="false" outlineLevel="0" collapsed="false">
      <c r="A887" s="35" t="n">
        <v>1</v>
      </c>
      <c r="B887" s="39" t="s">
        <v>27</v>
      </c>
      <c r="C887" s="14" t="n">
        <v>416500</v>
      </c>
      <c r="D887" s="14"/>
      <c r="E887" s="42" t="n">
        <f aca="false">C887-D887</f>
        <v>416500</v>
      </c>
    </row>
    <row r="888" customFormat="false" ht="15" hidden="false" customHeight="false" outlineLevel="0" collapsed="false">
      <c r="A888" s="35" t="n">
        <v>2</v>
      </c>
      <c r="B888" s="39" t="s">
        <v>30</v>
      </c>
      <c r="C888" s="14" t="n">
        <v>416500</v>
      </c>
      <c r="D888" s="14" t="n">
        <f aca="false">216500</f>
        <v>216500</v>
      </c>
      <c r="E888" s="42" t="n">
        <f aca="false">C888-D888</f>
        <v>200000</v>
      </c>
    </row>
    <row r="889" customFormat="false" ht="15" hidden="false" customHeight="false" outlineLevel="0" collapsed="false">
      <c r="A889" s="35" t="n">
        <v>3</v>
      </c>
      <c r="B889" s="39" t="s">
        <v>29</v>
      </c>
      <c r="C889" s="14" t="n">
        <v>416500</v>
      </c>
      <c r="D889" s="14" t="n">
        <f aca="false">216500</f>
        <v>216500</v>
      </c>
      <c r="E889" s="42" t="n">
        <f aca="false">C889-D889</f>
        <v>200000</v>
      </c>
    </row>
    <row r="890" customFormat="false" ht="15" hidden="false" customHeight="false" outlineLevel="0" collapsed="false">
      <c r="A890" s="35" t="n">
        <v>4</v>
      </c>
      <c r="B890" s="39" t="s">
        <v>155</v>
      </c>
      <c r="C890" s="14" t="n">
        <v>416500</v>
      </c>
      <c r="D890" s="14" t="n">
        <f aca="false">220000</f>
        <v>220000</v>
      </c>
      <c r="E890" s="42" t="n">
        <f aca="false">C890-D890</f>
        <v>196500</v>
      </c>
    </row>
    <row r="891" customFormat="false" ht="15" hidden="false" customHeight="false" outlineLevel="0" collapsed="false">
      <c r="A891" s="35" t="n">
        <v>5</v>
      </c>
      <c r="B891" s="39" t="s">
        <v>34</v>
      </c>
      <c r="C891" s="14" t="n">
        <v>416500</v>
      </c>
      <c r="D891" s="14" t="n">
        <f aca="false">216000</f>
        <v>216000</v>
      </c>
      <c r="E891" s="42" t="n">
        <f aca="false">C891-D891</f>
        <v>200500</v>
      </c>
    </row>
    <row r="892" customFormat="false" ht="15" hidden="false" customHeight="false" outlineLevel="0" collapsed="false">
      <c r="A892" s="35" t="n">
        <v>6</v>
      </c>
      <c r="B892" s="39" t="s">
        <v>28</v>
      </c>
      <c r="C892" s="14" t="n">
        <v>416500</v>
      </c>
      <c r="D892" s="14" t="n">
        <f aca="false">216500</f>
        <v>216500</v>
      </c>
      <c r="E892" s="42" t="n">
        <f aca="false">C892-D892</f>
        <v>200000</v>
      </c>
    </row>
    <row r="893" customFormat="false" ht="15" hidden="false" customHeight="false" outlineLevel="0" collapsed="false">
      <c r="A893" s="35" t="n">
        <v>7</v>
      </c>
      <c r="B893" s="39" t="s">
        <v>25</v>
      </c>
      <c r="C893" s="14" t="n">
        <v>416500</v>
      </c>
      <c r="D893" s="14" t="n">
        <f aca="false">185000+31000</f>
        <v>216000</v>
      </c>
      <c r="E893" s="42" t="n">
        <f aca="false">C893-D893</f>
        <v>200500</v>
      </c>
    </row>
    <row r="894" customFormat="false" ht="15" hidden="false" customHeight="false" outlineLevel="0" collapsed="false">
      <c r="A894" s="35" t="n">
        <v>8</v>
      </c>
      <c r="B894" s="39" t="s">
        <v>33</v>
      </c>
      <c r="C894" s="14" t="n">
        <v>416500</v>
      </c>
      <c r="D894" s="14" t="n">
        <f aca="false">200000+16500</f>
        <v>216500</v>
      </c>
      <c r="E894" s="42" t="n">
        <f aca="false">C894-D894</f>
        <v>200000</v>
      </c>
    </row>
    <row r="895" customFormat="false" ht="15" hidden="false" customHeight="false" outlineLevel="0" collapsed="false">
      <c r="A895" s="35" t="n">
        <v>9</v>
      </c>
      <c r="B895" s="39" t="s">
        <v>156</v>
      </c>
      <c r="C895" s="14" t="n">
        <v>416500</v>
      </c>
      <c r="D895" s="14" t="n">
        <f aca="false">216500</f>
        <v>216500</v>
      </c>
      <c r="E895" s="42" t="n">
        <f aca="false">C895-D895</f>
        <v>200000</v>
      </c>
    </row>
    <row r="896" customFormat="false" ht="15" hidden="false" customHeight="false" outlineLevel="0" collapsed="false">
      <c r="A896" s="35" t="n">
        <v>10</v>
      </c>
      <c r="B896" s="39" t="s">
        <v>36</v>
      </c>
      <c r="C896" s="14" t="n">
        <v>416500</v>
      </c>
      <c r="D896" s="14" t="n">
        <f aca="false">200000</f>
        <v>200000</v>
      </c>
      <c r="E896" s="42" t="n">
        <f aca="false">C896-D896</f>
        <v>216500</v>
      </c>
    </row>
    <row r="897" customFormat="false" ht="15" hidden="false" customHeight="false" outlineLevel="0" collapsed="false">
      <c r="A897" s="35" t="n">
        <v>11</v>
      </c>
      <c r="B897" s="39" t="s">
        <v>157</v>
      </c>
      <c r="C897" s="14" t="n">
        <v>416500</v>
      </c>
      <c r="D897" s="14" t="n">
        <f aca="false">416500</f>
        <v>416500</v>
      </c>
      <c r="E897" s="42" t="n">
        <f aca="false">C897-D897</f>
        <v>0</v>
      </c>
    </row>
    <row r="898" customFormat="false" ht="15" hidden="false" customHeight="false" outlineLevel="0" collapsed="false">
      <c r="A898" s="35" t="n">
        <v>12</v>
      </c>
      <c r="B898" s="39" t="s">
        <v>32</v>
      </c>
      <c r="C898" s="14" t="n">
        <v>416500</v>
      </c>
      <c r="D898" s="14" t="n">
        <f aca="false">216500</f>
        <v>216500</v>
      </c>
      <c r="E898" s="42" t="n">
        <f aca="false">C898-D898</f>
        <v>200000</v>
      </c>
    </row>
    <row r="899" customFormat="false" ht="15" hidden="false" customHeight="false" outlineLevel="0" collapsed="false">
      <c r="A899" s="35" t="n">
        <v>13</v>
      </c>
      <c r="B899" s="39" t="s">
        <v>26</v>
      </c>
      <c r="C899" s="14" t="n">
        <v>416500</v>
      </c>
      <c r="D899" s="14" t="n">
        <f aca="false">250000</f>
        <v>250000</v>
      </c>
      <c r="E899" s="42" t="n">
        <f aca="false">C899-D899</f>
        <v>166500</v>
      </c>
    </row>
    <row r="900" customFormat="false" ht="15" hidden="false" customHeight="false" outlineLevel="0" collapsed="false">
      <c r="A900" s="35" t="n">
        <v>14</v>
      </c>
      <c r="B900" s="39" t="s">
        <v>35</v>
      </c>
      <c r="C900" s="14" t="n">
        <v>416500</v>
      </c>
      <c r="D900" s="14" t="n">
        <f aca="false">216500</f>
        <v>216500</v>
      </c>
      <c r="E900" s="42" t="n">
        <f aca="false">C900-D900</f>
        <v>200000</v>
      </c>
    </row>
    <row r="901" customFormat="false" ht="17.35" hidden="false" customHeight="false" outlineLevel="0" collapsed="false">
      <c r="A901" s="35"/>
      <c r="B901" s="23" t="s">
        <v>21</v>
      </c>
      <c r="C901" s="24" t="n">
        <f aca="false">SUM(C887:C900)</f>
        <v>5831000</v>
      </c>
      <c r="D901" s="54" t="n">
        <f aca="false">SUM(D887:D900)</f>
        <v>3034000</v>
      </c>
      <c r="E901" s="26" t="n">
        <f aca="false">C901-D901</f>
        <v>2797000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203"/>
  <sheetViews>
    <sheetView showFormulas="false" showGridLines="true" showRowColHeaders="true" showZeros="true" rightToLeft="false" tabSelected="false" showOutlineSymbols="true" defaultGridColor="true" view="normal" topLeftCell="A239" colorId="64" zoomScale="100" zoomScaleNormal="100" zoomScalePageLayoutView="100" workbookViewId="0">
      <selection pane="topLeft" activeCell="F3" activeCellId="0" sqref="F3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34"/>
    <col collapsed="false" customWidth="true" hidden="false" outlineLevel="0" max="3" min="3" style="1" width="13.86"/>
    <col collapsed="false" customWidth="true" hidden="false" outlineLevel="0" max="4" min="4" style="1" width="14"/>
    <col collapsed="false" customWidth="true" hidden="false" outlineLevel="0" max="5" min="5" style="1" width="14.43"/>
    <col collapsed="false" customWidth="true" hidden="false" outlineLevel="0" max="16384" min="16376" style="0" width="11.53"/>
  </cols>
  <sheetData>
    <row r="3" customFormat="false" ht="17.35" hidden="false" customHeight="false" outlineLevel="0" collapsed="false">
      <c r="A3" s="3"/>
      <c r="B3" s="102" t="s">
        <v>784</v>
      </c>
      <c r="C3" s="103"/>
      <c r="D3" s="103"/>
      <c r="E3" s="103"/>
    </row>
    <row r="5" customFormat="false" ht="15" hidden="false" customHeight="false" outlineLevel="0" collapsed="false">
      <c r="B5" s="104" t="s">
        <v>785</v>
      </c>
    </row>
    <row r="7" customFormat="false" ht="17.25" hidden="false" customHeight="false" outlineLevel="0" collapsed="false">
      <c r="B7" s="55" t="s">
        <v>751</v>
      </c>
      <c r="E7" s="6"/>
    </row>
    <row r="8" customFormat="false" ht="15" hidden="false" customHeight="false" outlineLevel="0" collapsed="false">
      <c r="B8" s="5"/>
    </row>
    <row r="10" customFormat="false" ht="15" hidden="false" customHeight="false" outlineLevel="0" collapsed="false">
      <c r="A10" s="7" t="s">
        <v>3</v>
      </c>
      <c r="B10" s="8" t="s">
        <v>4</v>
      </c>
      <c r="C10" s="9" t="s">
        <v>5</v>
      </c>
      <c r="D10" s="10" t="s">
        <v>6</v>
      </c>
      <c r="E10" s="105" t="s">
        <v>7</v>
      </c>
    </row>
    <row r="11" customFormat="false" ht="15" hidden="false" customHeight="false" outlineLevel="0" collapsed="false">
      <c r="A11" s="35" t="n">
        <v>1</v>
      </c>
      <c r="B11" s="106" t="s">
        <v>786</v>
      </c>
      <c r="C11" s="14" t="n">
        <v>750000</v>
      </c>
      <c r="D11" s="14"/>
      <c r="E11" s="96" t="n">
        <f aca="false">C11-D11</f>
        <v>750000</v>
      </c>
    </row>
    <row r="12" customFormat="false" ht="15" hidden="false" customHeight="false" outlineLevel="0" collapsed="false">
      <c r="A12" s="35" t="n">
        <v>2</v>
      </c>
      <c r="B12" s="106" t="s">
        <v>787</v>
      </c>
      <c r="C12" s="14" t="n">
        <v>750000</v>
      </c>
      <c r="D12" s="107"/>
      <c r="E12" s="96" t="n">
        <f aca="false">C12-D12</f>
        <v>750000</v>
      </c>
    </row>
    <row r="13" customFormat="false" ht="15" hidden="false" customHeight="false" outlineLevel="0" collapsed="false">
      <c r="A13" s="35" t="n">
        <v>3</v>
      </c>
      <c r="B13" s="106" t="s">
        <v>788</v>
      </c>
      <c r="C13" s="14" t="n">
        <v>750000</v>
      </c>
      <c r="D13" s="107"/>
      <c r="E13" s="96" t="n">
        <f aca="false">C13-D13</f>
        <v>750000</v>
      </c>
    </row>
    <row r="14" customFormat="false" ht="15" hidden="false" customHeight="false" outlineLevel="0" collapsed="false">
      <c r="A14" s="35" t="n">
        <v>4</v>
      </c>
      <c r="B14" s="106" t="s">
        <v>789</v>
      </c>
      <c r="C14" s="14" t="n">
        <v>750000</v>
      </c>
      <c r="D14" s="107" t="n">
        <v>750000</v>
      </c>
      <c r="E14" s="96" t="n">
        <f aca="false">C14-D14</f>
        <v>0</v>
      </c>
    </row>
    <row r="15" customFormat="false" ht="15" hidden="false" customHeight="false" outlineLevel="0" collapsed="false">
      <c r="A15" s="35" t="n">
        <v>5</v>
      </c>
      <c r="B15" s="106" t="s">
        <v>790</v>
      </c>
      <c r="C15" s="14" t="n">
        <v>750000</v>
      </c>
      <c r="D15" s="107"/>
      <c r="E15" s="96" t="n">
        <f aca="false">C15-D15</f>
        <v>750000</v>
      </c>
    </row>
    <row r="16" customFormat="false" ht="15" hidden="false" customHeight="false" outlineLevel="0" collapsed="false">
      <c r="A16" s="35" t="n">
        <v>6</v>
      </c>
      <c r="B16" s="106" t="s">
        <v>791</v>
      </c>
      <c r="C16" s="14" t="n">
        <v>750000</v>
      </c>
      <c r="D16" s="107"/>
      <c r="E16" s="96" t="n">
        <f aca="false">C16-D16</f>
        <v>750000</v>
      </c>
    </row>
    <row r="17" customFormat="false" ht="15" hidden="false" customHeight="false" outlineLevel="0" collapsed="false">
      <c r="A17" s="35" t="n">
        <v>7</v>
      </c>
      <c r="B17" s="106" t="s">
        <v>792</v>
      </c>
      <c r="C17" s="14" t="n">
        <v>750000</v>
      </c>
      <c r="D17" s="107"/>
      <c r="E17" s="96" t="n">
        <f aca="false">C17-D17</f>
        <v>750000</v>
      </c>
    </row>
    <row r="18" customFormat="false" ht="15" hidden="false" customHeight="false" outlineLevel="0" collapsed="false">
      <c r="A18" s="35" t="n">
        <v>8</v>
      </c>
      <c r="B18" s="106" t="s">
        <v>793</v>
      </c>
      <c r="C18" s="14" t="n">
        <v>750000</v>
      </c>
      <c r="D18" s="107"/>
      <c r="E18" s="96" t="n">
        <f aca="false">C18-D18</f>
        <v>750000</v>
      </c>
    </row>
    <row r="19" customFormat="false" ht="15" hidden="false" customHeight="false" outlineLevel="0" collapsed="false">
      <c r="A19" s="35" t="n">
        <v>9</v>
      </c>
      <c r="B19" s="106" t="s">
        <v>794</v>
      </c>
      <c r="C19" s="14" t="n">
        <v>750000</v>
      </c>
      <c r="D19" s="107"/>
      <c r="E19" s="96" t="n">
        <f aca="false">C19-D19</f>
        <v>750000</v>
      </c>
    </row>
    <row r="20" customFormat="false" ht="15" hidden="false" customHeight="false" outlineLevel="0" collapsed="false">
      <c r="A20" s="35" t="n">
        <v>10</v>
      </c>
      <c r="B20" s="106" t="s">
        <v>795</v>
      </c>
      <c r="C20" s="14" t="n">
        <v>750000</v>
      </c>
      <c r="D20" s="107"/>
      <c r="E20" s="96" t="n">
        <f aca="false">C20-D20</f>
        <v>750000</v>
      </c>
    </row>
    <row r="21" customFormat="false" ht="15" hidden="false" customHeight="false" outlineLevel="0" collapsed="false">
      <c r="A21" s="35" t="n">
        <v>11</v>
      </c>
      <c r="B21" s="106" t="s">
        <v>796</v>
      </c>
      <c r="C21" s="14" t="n">
        <v>750000</v>
      </c>
      <c r="D21" s="107" t="n">
        <v>750000</v>
      </c>
      <c r="E21" s="96" t="n">
        <f aca="false">C21-D21</f>
        <v>0</v>
      </c>
    </row>
    <row r="22" customFormat="false" ht="15" hidden="false" customHeight="false" outlineLevel="0" collapsed="false">
      <c r="A22" s="35" t="n">
        <v>12</v>
      </c>
      <c r="B22" s="106" t="s">
        <v>797</v>
      </c>
      <c r="C22" s="14" t="n">
        <v>750000</v>
      </c>
      <c r="D22" s="107"/>
      <c r="E22" s="96" t="n">
        <f aca="false">C22-D22</f>
        <v>750000</v>
      </c>
    </row>
    <row r="23" customFormat="false" ht="15" hidden="false" customHeight="false" outlineLevel="0" collapsed="false">
      <c r="A23" s="35" t="n">
        <v>13</v>
      </c>
      <c r="B23" s="106" t="s">
        <v>798</v>
      </c>
      <c r="C23" s="14" t="n">
        <v>750000</v>
      </c>
      <c r="D23" s="107" t="n">
        <f aca="false">500000+250000</f>
        <v>750000</v>
      </c>
      <c r="E23" s="96" t="n">
        <f aca="false">C23-D23</f>
        <v>0</v>
      </c>
    </row>
    <row r="24" customFormat="false" ht="15" hidden="false" customHeight="false" outlineLevel="0" collapsed="false">
      <c r="A24" s="35" t="n">
        <v>14</v>
      </c>
      <c r="B24" s="108" t="s">
        <v>799</v>
      </c>
      <c r="C24" s="14" t="n">
        <v>750000</v>
      </c>
      <c r="D24" s="109"/>
      <c r="E24" s="96" t="n">
        <f aca="false">C24-D24</f>
        <v>750000</v>
      </c>
    </row>
    <row r="25" customFormat="false" ht="15" hidden="false" customHeight="false" outlineLevel="0" collapsed="false">
      <c r="A25" s="35" t="n">
        <v>15</v>
      </c>
      <c r="B25" s="108" t="s">
        <v>800</v>
      </c>
      <c r="C25" s="14" t="n">
        <v>750000</v>
      </c>
      <c r="D25" s="109" t="n">
        <v>500000</v>
      </c>
      <c r="E25" s="96" t="n">
        <f aca="false">C25-D25</f>
        <v>250000</v>
      </c>
    </row>
    <row r="26" customFormat="false" ht="15" hidden="false" customHeight="false" outlineLevel="0" collapsed="false">
      <c r="A26" s="35" t="n">
        <v>16</v>
      </c>
      <c r="B26" s="108" t="s">
        <v>801</v>
      </c>
      <c r="C26" s="14" t="n">
        <v>750000</v>
      </c>
      <c r="D26" s="109" t="n">
        <v>750000</v>
      </c>
      <c r="E26" s="96" t="n">
        <f aca="false">C26-D26</f>
        <v>0</v>
      </c>
    </row>
    <row r="27" customFormat="false" ht="15" hidden="false" customHeight="false" outlineLevel="0" collapsed="false">
      <c r="A27" s="35" t="n">
        <v>17</v>
      </c>
      <c r="B27" s="108" t="s">
        <v>802</v>
      </c>
      <c r="C27" s="14" t="n">
        <v>750000</v>
      </c>
      <c r="D27" s="109"/>
      <c r="E27" s="96" t="n">
        <f aca="false">C27-D27</f>
        <v>750000</v>
      </c>
    </row>
    <row r="28" customFormat="false" ht="15" hidden="false" customHeight="false" outlineLevel="0" collapsed="false">
      <c r="A28" s="35" t="n">
        <v>18</v>
      </c>
      <c r="B28" s="108" t="s">
        <v>803</v>
      </c>
      <c r="C28" s="14" t="n">
        <v>750000</v>
      </c>
      <c r="D28" s="109"/>
      <c r="E28" s="96" t="n">
        <f aca="false">C28-D28</f>
        <v>750000</v>
      </c>
    </row>
    <row r="29" customFormat="false" ht="15" hidden="false" customHeight="false" outlineLevel="0" collapsed="false">
      <c r="A29" s="35" t="n">
        <v>19</v>
      </c>
      <c r="B29" s="108" t="s">
        <v>804</v>
      </c>
      <c r="C29" s="14" t="n">
        <v>750000</v>
      </c>
      <c r="D29" s="109"/>
      <c r="E29" s="96" t="n">
        <f aca="false">C29-D29</f>
        <v>750000</v>
      </c>
    </row>
    <row r="30" customFormat="false" ht="15" hidden="false" customHeight="false" outlineLevel="0" collapsed="false">
      <c r="A30" s="35" t="n">
        <v>20</v>
      </c>
      <c r="B30" s="108" t="s">
        <v>805</v>
      </c>
      <c r="C30" s="14" t="n">
        <v>750000</v>
      </c>
      <c r="D30" s="109"/>
      <c r="E30" s="96" t="n">
        <f aca="false">C30-D30</f>
        <v>750000</v>
      </c>
    </row>
    <row r="31" customFormat="false" ht="15" hidden="false" customHeight="false" outlineLevel="0" collapsed="false">
      <c r="A31" s="35" t="n">
        <v>21</v>
      </c>
      <c r="B31" s="108" t="s">
        <v>806</v>
      </c>
      <c r="C31" s="14" t="n">
        <v>750000</v>
      </c>
      <c r="D31" s="109" t="n">
        <f aca="false">750000</f>
        <v>750000</v>
      </c>
      <c r="E31" s="96" t="n">
        <f aca="false">C31-D31</f>
        <v>0</v>
      </c>
    </row>
    <row r="32" customFormat="false" ht="15" hidden="false" customHeight="false" outlineLevel="0" collapsed="false">
      <c r="A32" s="35" t="n">
        <v>22</v>
      </c>
      <c r="B32" s="108" t="s">
        <v>807</v>
      </c>
      <c r="C32" s="14" t="n">
        <v>750000</v>
      </c>
      <c r="D32" s="109"/>
      <c r="E32" s="96" t="n">
        <f aca="false">C32-D32</f>
        <v>750000</v>
      </c>
    </row>
    <row r="33" customFormat="false" ht="15" hidden="false" customHeight="false" outlineLevel="0" collapsed="false">
      <c r="A33" s="35" t="n">
        <v>23</v>
      </c>
      <c r="B33" s="108" t="s">
        <v>808</v>
      </c>
      <c r="C33" s="14" t="n">
        <v>750000</v>
      </c>
      <c r="D33" s="109"/>
      <c r="E33" s="96" t="n">
        <f aca="false">C33-D33</f>
        <v>750000</v>
      </c>
    </row>
    <row r="34" customFormat="false" ht="15" hidden="false" customHeight="false" outlineLevel="0" collapsed="false">
      <c r="A34" s="35" t="n">
        <v>24</v>
      </c>
      <c r="B34" s="110" t="s">
        <v>809</v>
      </c>
      <c r="C34" s="38" t="n">
        <v>750000</v>
      </c>
      <c r="D34" s="76"/>
      <c r="E34" s="69" t="n">
        <f aca="false">C34-D34</f>
        <v>750000</v>
      </c>
    </row>
    <row r="35" customFormat="false" ht="15" hidden="false" customHeight="false" outlineLevel="0" collapsed="false">
      <c r="A35" s="35" t="n">
        <v>25</v>
      </c>
      <c r="B35" s="108" t="s">
        <v>810</v>
      </c>
      <c r="C35" s="42" t="n">
        <v>750000</v>
      </c>
      <c r="D35" s="92" t="n">
        <v>750000</v>
      </c>
      <c r="E35" s="96" t="n">
        <f aca="false">C35-D35</f>
        <v>0</v>
      </c>
    </row>
    <row r="36" customFormat="false" ht="15" hidden="false" customHeight="false" outlineLevel="0" collapsed="false">
      <c r="A36" s="35" t="n">
        <v>26</v>
      </c>
      <c r="B36" s="106" t="s">
        <v>811</v>
      </c>
      <c r="C36" s="42" t="n">
        <v>750000</v>
      </c>
      <c r="D36" s="92"/>
      <c r="E36" s="96" t="n">
        <f aca="false">C36-D36</f>
        <v>750000</v>
      </c>
    </row>
    <row r="37" customFormat="false" ht="15" hidden="false" customHeight="false" outlineLevel="0" collapsed="false">
      <c r="A37" s="35" t="n">
        <v>27</v>
      </c>
      <c r="B37" s="108" t="s">
        <v>812</v>
      </c>
      <c r="C37" s="14" t="n">
        <v>750000</v>
      </c>
      <c r="D37" s="92" t="n">
        <v>750000</v>
      </c>
      <c r="E37" s="96" t="n">
        <f aca="false">C37-D37</f>
        <v>0</v>
      </c>
    </row>
    <row r="38" customFormat="false" ht="17.35" hidden="false" customHeight="false" outlineLevel="0" collapsed="false">
      <c r="A38" s="35"/>
      <c r="B38" s="23" t="s">
        <v>21</v>
      </c>
      <c r="C38" s="24" t="n">
        <f aca="false">SUM(C11:C37)</f>
        <v>20250000</v>
      </c>
      <c r="D38" s="54" t="n">
        <f aca="false">SUM(D11:D37)</f>
        <v>5750000</v>
      </c>
      <c r="E38" s="111" t="n">
        <f aca="false">SUM(E11:E37)</f>
        <v>14500000</v>
      </c>
    </row>
    <row r="43" customFormat="false" ht="15" hidden="false" customHeight="false" outlineLevel="0" collapsed="false">
      <c r="A43" s="102" t="s">
        <v>813</v>
      </c>
      <c r="B43" s="103"/>
      <c r="C43" s="103"/>
      <c r="D43" s="103"/>
      <c r="E43" s="103"/>
    </row>
    <row r="45" customFormat="false" ht="15" hidden="false" customHeight="false" outlineLevel="0" collapsed="false">
      <c r="B45" s="104" t="s">
        <v>2</v>
      </c>
    </row>
    <row r="46" customFormat="false" ht="15" hidden="false" customHeight="false" outlineLevel="0" collapsed="false">
      <c r="B46" s="5" t="s">
        <v>814</v>
      </c>
    </row>
    <row r="48" customFormat="false" ht="15" hidden="false" customHeight="false" outlineLevel="0" collapsed="false">
      <c r="A48" s="112" t="s">
        <v>3</v>
      </c>
      <c r="B48" s="113" t="s">
        <v>815</v>
      </c>
      <c r="C48" s="9" t="s">
        <v>5</v>
      </c>
      <c r="D48" s="114" t="s">
        <v>6</v>
      </c>
      <c r="E48" s="105" t="s">
        <v>7</v>
      </c>
    </row>
    <row r="49" customFormat="false" ht="15" hidden="false" customHeight="false" outlineLevel="0" collapsed="false">
      <c r="A49" s="77" t="n">
        <v>1</v>
      </c>
      <c r="B49" s="78" t="s">
        <v>816</v>
      </c>
      <c r="C49" s="115" t="n">
        <v>750000</v>
      </c>
      <c r="D49" s="116" t="n">
        <f aca="false">400000</f>
        <v>400000</v>
      </c>
      <c r="E49" s="117" t="n">
        <f aca="false">C49-D49</f>
        <v>350000</v>
      </c>
    </row>
    <row r="50" customFormat="false" ht="15" hidden="false" customHeight="false" outlineLevel="0" collapsed="false">
      <c r="A50" s="77" t="n">
        <v>2</v>
      </c>
      <c r="B50" s="78" t="s">
        <v>817</v>
      </c>
      <c r="C50" s="115" t="n">
        <v>750000</v>
      </c>
      <c r="D50" s="116" t="n">
        <f aca="false">300000</f>
        <v>300000</v>
      </c>
      <c r="E50" s="117" t="n">
        <f aca="false">C50-D50</f>
        <v>450000</v>
      </c>
    </row>
    <row r="51" customFormat="false" ht="15" hidden="false" customHeight="false" outlineLevel="0" collapsed="false">
      <c r="A51" s="77" t="n">
        <v>3</v>
      </c>
      <c r="B51" s="78" t="s">
        <v>818</v>
      </c>
      <c r="C51" s="115" t="n">
        <v>750000</v>
      </c>
      <c r="D51" s="116"/>
      <c r="E51" s="117" t="n">
        <f aca="false">C51-D51</f>
        <v>750000</v>
      </c>
    </row>
    <row r="52" customFormat="false" ht="15" hidden="false" customHeight="false" outlineLevel="0" collapsed="false">
      <c r="A52" s="77" t="n">
        <v>4</v>
      </c>
      <c r="B52" s="78" t="s">
        <v>819</v>
      </c>
      <c r="C52" s="115" t="n">
        <v>750000</v>
      </c>
      <c r="D52" s="116" t="n">
        <f aca="false">400000+350000</f>
        <v>750000</v>
      </c>
      <c r="E52" s="117" t="n">
        <f aca="false">C52-D52</f>
        <v>0</v>
      </c>
    </row>
    <row r="53" customFormat="false" ht="15" hidden="false" customHeight="false" outlineLevel="0" collapsed="false">
      <c r="A53" s="77" t="n">
        <v>5</v>
      </c>
      <c r="B53" s="78" t="s">
        <v>820</v>
      </c>
      <c r="C53" s="115" t="n">
        <v>750000</v>
      </c>
      <c r="D53" s="116" t="n">
        <f aca="false">400000</f>
        <v>400000</v>
      </c>
      <c r="E53" s="117" t="n">
        <f aca="false">C53-D53</f>
        <v>350000</v>
      </c>
    </row>
    <row r="54" customFormat="false" ht="15" hidden="false" customHeight="false" outlineLevel="0" collapsed="false">
      <c r="A54" s="77" t="n">
        <v>6</v>
      </c>
      <c r="B54" s="78" t="s">
        <v>821</v>
      </c>
      <c r="C54" s="115" t="n">
        <v>750000</v>
      </c>
      <c r="D54" s="116" t="n">
        <f aca="false">400000</f>
        <v>400000</v>
      </c>
      <c r="E54" s="117" t="n">
        <f aca="false">C54-D54</f>
        <v>350000</v>
      </c>
    </row>
    <row r="55" customFormat="false" ht="15" hidden="false" customHeight="false" outlineLevel="0" collapsed="false">
      <c r="A55" s="77" t="n">
        <v>7</v>
      </c>
      <c r="B55" s="78" t="s">
        <v>822</v>
      </c>
      <c r="C55" s="115" t="n">
        <v>750000</v>
      </c>
      <c r="D55" s="116" t="n">
        <f aca="false">350000+140000</f>
        <v>490000</v>
      </c>
      <c r="E55" s="117" t="n">
        <f aca="false">C55-D55</f>
        <v>260000</v>
      </c>
    </row>
    <row r="56" customFormat="false" ht="15" hidden="false" customHeight="false" outlineLevel="0" collapsed="false">
      <c r="A56" s="77" t="n">
        <v>8</v>
      </c>
      <c r="B56" s="78" t="s">
        <v>823</v>
      </c>
      <c r="C56" s="115" t="n">
        <v>750000</v>
      </c>
      <c r="D56" s="116" t="n">
        <f aca="false">150000</f>
        <v>150000</v>
      </c>
      <c r="E56" s="117" t="n">
        <f aca="false">C56-D56</f>
        <v>600000</v>
      </c>
    </row>
    <row r="57" customFormat="false" ht="15" hidden="false" customHeight="false" outlineLevel="0" collapsed="false">
      <c r="A57" s="77" t="n">
        <v>9</v>
      </c>
      <c r="B57" s="78" t="s">
        <v>824</v>
      </c>
      <c r="C57" s="115" t="n">
        <v>750000</v>
      </c>
      <c r="D57" s="116" t="n">
        <f aca="false">400000</f>
        <v>400000</v>
      </c>
      <c r="E57" s="117" t="n">
        <f aca="false">C57-D57</f>
        <v>350000</v>
      </c>
    </row>
    <row r="58" customFormat="false" ht="15" hidden="false" customHeight="false" outlineLevel="0" collapsed="false">
      <c r="A58" s="77" t="n">
        <v>10</v>
      </c>
      <c r="B58" s="78" t="s">
        <v>825</v>
      </c>
      <c r="C58" s="115" t="n">
        <v>750000</v>
      </c>
      <c r="D58" s="116" t="n">
        <f aca="false">300000</f>
        <v>300000</v>
      </c>
      <c r="E58" s="117" t="n">
        <f aca="false">C58-D58</f>
        <v>450000</v>
      </c>
    </row>
    <row r="59" customFormat="false" ht="15" hidden="false" customHeight="false" outlineLevel="0" collapsed="false">
      <c r="A59" s="77" t="n">
        <v>11</v>
      </c>
      <c r="B59" s="78" t="s">
        <v>826</v>
      </c>
      <c r="C59" s="115" t="n">
        <v>750000</v>
      </c>
      <c r="D59" s="116" t="n">
        <f aca="false">400000-50000</f>
        <v>350000</v>
      </c>
      <c r="E59" s="117" t="n">
        <f aca="false">C59-D59</f>
        <v>400000</v>
      </c>
    </row>
    <row r="60" customFormat="false" ht="15" hidden="false" customHeight="false" outlineLevel="0" collapsed="false">
      <c r="A60" s="77" t="n">
        <v>12</v>
      </c>
      <c r="B60" s="78" t="s">
        <v>827</v>
      </c>
      <c r="C60" s="115" t="n">
        <v>750000</v>
      </c>
      <c r="D60" s="116" t="n">
        <f aca="false">200000</f>
        <v>200000</v>
      </c>
      <c r="E60" s="117" t="n">
        <f aca="false">C60-D60</f>
        <v>550000</v>
      </c>
    </row>
    <row r="61" customFormat="false" ht="15" hidden="false" customHeight="false" outlineLevel="0" collapsed="false">
      <c r="A61" s="77" t="n">
        <v>13</v>
      </c>
      <c r="B61" s="78" t="s">
        <v>828</v>
      </c>
      <c r="C61" s="115" t="n">
        <v>750000</v>
      </c>
      <c r="D61" s="116" t="n">
        <f aca="false">400000</f>
        <v>400000</v>
      </c>
      <c r="E61" s="117" t="n">
        <f aca="false">C61-D61</f>
        <v>350000</v>
      </c>
    </row>
    <row r="62" customFormat="false" ht="15" hidden="false" customHeight="false" outlineLevel="0" collapsed="false">
      <c r="A62" s="77" t="n">
        <v>14</v>
      </c>
      <c r="B62" s="78" t="s">
        <v>829</v>
      </c>
      <c r="C62" s="115" t="n">
        <v>750000</v>
      </c>
      <c r="D62" s="116"/>
      <c r="E62" s="117" t="n">
        <f aca="false">C62-D62</f>
        <v>750000</v>
      </c>
    </row>
    <row r="63" customFormat="false" ht="15" hidden="false" customHeight="false" outlineLevel="0" collapsed="false">
      <c r="A63" s="77" t="n">
        <v>15</v>
      </c>
      <c r="B63" s="78" t="s">
        <v>830</v>
      </c>
      <c r="C63" s="115" t="n">
        <v>750000</v>
      </c>
      <c r="D63" s="116" t="n">
        <f aca="false">200000+35000</f>
        <v>235000</v>
      </c>
      <c r="E63" s="117" t="n">
        <f aca="false">C63-D63</f>
        <v>515000</v>
      </c>
    </row>
    <row r="64" customFormat="false" ht="15" hidden="false" customHeight="false" outlineLevel="0" collapsed="false">
      <c r="A64" s="77" t="n">
        <v>16</v>
      </c>
      <c r="B64" s="78" t="s">
        <v>831</v>
      </c>
      <c r="C64" s="115" t="n">
        <v>750000</v>
      </c>
      <c r="D64" s="116" t="n">
        <v>750000</v>
      </c>
      <c r="E64" s="117" t="n">
        <f aca="false">C64-D64</f>
        <v>0</v>
      </c>
    </row>
    <row r="65" customFormat="false" ht="15" hidden="false" customHeight="false" outlineLevel="0" collapsed="false">
      <c r="A65" s="77" t="n">
        <v>17</v>
      </c>
      <c r="B65" s="78" t="s">
        <v>832</v>
      </c>
      <c r="C65" s="115" t="n">
        <v>750000</v>
      </c>
      <c r="D65" s="116" t="n">
        <f aca="false">300000</f>
        <v>300000</v>
      </c>
      <c r="E65" s="117" t="n">
        <f aca="false">C65-D65</f>
        <v>450000</v>
      </c>
    </row>
    <row r="66" customFormat="false" ht="15" hidden="false" customHeight="false" outlineLevel="0" collapsed="false">
      <c r="A66" s="77" t="n">
        <v>18</v>
      </c>
      <c r="B66" s="78" t="s">
        <v>833</v>
      </c>
      <c r="C66" s="115" t="n">
        <v>750000</v>
      </c>
      <c r="D66" s="116"/>
      <c r="E66" s="117" t="n">
        <f aca="false">C66-D66</f>
        <v>750000</v>
      </c>
    </row>
    <row r="67" customFormat="false" ht="15" hidden="false" customHeight="false" outlineLevel="0" collapsed="false">
      <c r="A67" s="77" t="n">
        <v>19</v>
      </c>
      <c r="B67" s="78" t="s">
        <v>834</v>
      </c>
      <c r="C67" s="115" t="n">
        <v>750000</v>
      </c>
      <c r="D67" s="116" t="n">
        <f aca="false">390000</f>
        <v>390000</v>
      </c>
      <c r="E67" s="117" t="n">
        <f aca="false">C67-D67</f>
        <v>360000</v>
      </c>
    </row>
    <row r="68" customFormat="false" ht="15" hidden="false" customHeight="false" outlineLevel="0" collapsed="false">
      <c r="A68" s="77" t="n">
        <v>20</v>
      </c>
      <c r="B68" s="78" t="s">
        <v>835</v>
      </c>
      <c r="C68" s="115" t="n">
        <v>750000</v>
      </c>
      <c r="D68" s="116"/>
      <c r="E68" s="117" t="n">
        <f aca="false">C68-D68</f>
        <v>750000</v>
      </c>
    </row>
    <row r="69" customFormat="false" ht="15" hidden="false" customHeight="false" outlineLevel="0" collapsed="false">
      <c r="A69" s="77" t="n">
        <v>21</v>
      </c>
      <c r="B69" s="78" t="s">
        <v>836</v>
      </c>
      <c r="C69" s="115" t="n">
        <v>750000</v>
      </c>
      <c r="D69" s="116" t="n">
        <f aca="false">300000+450000</f>
        <v>750000</v>
      </c>
      <c r="E69" s="117" t="n">
        <f aca="false">C69-D69</f>
        <v>0</v>
      </c>
    </row>
    <row r="70" customFormat="false" ht="15" hidden="false" customHeight="false" outlineLevel="0" collapsed="false">
      <c r="A70" s="77" t="n">
        <v>22</v>
      </c>
      <c r="B70" s="78" t="s">
        <v>837</v>
      </c>
      <c r="C70" s="115" t="n">
        <v>750000</v>
      </c>
      <c r="D70" s="116" t="n">
        <f aca="false">150000+600000</f>
        <v>750000</v>
      </c>
      <c r="E70" s="117" t="n">
        <f aca="false">C70-D70</f>
        <v>0</v>
      </c>
    </row>
    <row r="71" customFormat="false" ht="15" hidden="false" customHeight="false" outlineLevel="0" collapsed="false">
      <c r="A71" s="77" t="n">
        <v>23</v>
      </c>
      <c r="B71" s="78" t="s">
        <v>838</v>
      </c>
      <c r="C71" s="115" t="n">
        <v>750000</v>
      </c>
      <c r="D71" s="116" t="n">
        <v>750000</v>
      </c>
      <c r="E71" s="117" t="n">
        <f aca="false">C71-D71</f>
        <v>0</v>
      </c>
    </row>
    <row r="72" customFormat="false" ht="15" hidden="false" customHeight="false" outlineLevel="0" collapsed="false">
      <c r="A72" s="77" t="n">
        <v>24</v>
      </c>
      <c r="B72" s="78" t="s">
        <v>839</v>
      </c>
      <c r="C72" s="115" t="n">
        <v>750000</v>
      </c>
      <c r="D72" s="116" t="n">
        <f aca="false">450000</f>
        <v>450000</v>
      </c>
      <c r="E72" s="117" t="n">
        <f aca="false">C72-D72</f>
        <v>300000</v>
      </c>
    </row>
    <row r="73" customFormat="false" ht="15" hidden="false" customHeight="false" outlineLevel="0" collapsed="false">
      <c r="A73" s="77" t="n">
        <v>25</v>
      </c>
      <c r="B73" s="78" t="s">
        <v>840</v>
      </c>
      <c r="C73" s="115" t="n">
        <v>750000</v>
      </c>
      <c r="D73" s="116" t="n">
        <f aca="false">400000</f>
        <v>400000</v>
      </c>
      <c r="E73" s="117" t="n">
        <f aca="false">C73-D73</f>
        <v>350000</v>
      </c>
    </row>
    <row r="74" customFormat="false" ht="15" hidden="false" customHeight="false" outlineLevel="0" collapsed="false">
      <c r="A74" s="77" t="n">
        <v>26</v>
      </c>
      <c r="B74" s="78" t="s">
        <v>841</v>
      </c>
      <c r="C74" s="115" t="n">
        <v>750000</v>
      </c>
      <c r="D74" s="116" t="n">
        <f aca="false">400000</f>
        <v>400000</v>
      </c>
      <c r="E74" s="117" t="n">
        <f aca="false">C74-D74</f>
        <v>350000</v>
      </c>
    </row>
    <row r="75" customFormat="false" ht="15" hidden="false" customHeight="false" outlineLevel="0" collapsed="false">
      <c r="A75" s="77" t="n">
        <v>27</v>
      </c>
      <c r="B75" s="78" t="s">
        <v>842</v>
      </c>
      <c r="C75" s="115" t="n">
        <v>750000</v>
      </c>
      <c r="D75" s="116"/>
      <c r="E75" s="117" t="n">
        <f aca="false">C75-D75</f>
        <v>750000</v>
      </c>
    </row>
    <row r="76" customFormat="false" ht="15" hidden="false" customHeight="false" outlineLevel="0" collapsed="false">
      <c r="A76" s="77" t="n">
        <v>28</v>
      </c>
      <c r="B76" s="78" t="s">
        <v>843</v>
      </c>
      <c r="C76" s="115" t="n">
        <v>750000</v>
      </c>
      <c r="D76" s="116" t="n">
        <f aca="false">400000+350000</f>
        <v>750000</v>
      </c>
      <c r="E76" s="117" t="n">
        <f aca="false">C76-D76</f>
        <v>0</v>
      </c>
    </row>
    <row r="77" customFormat="false" ht="15" hidden="false" customHeight="false" outlineLevel="0" collapsed="false">
      <c r="A77" s="77" t="n">
        <v>29</v>
      </c>
      <c r="B77" s="78" t="s">
        <v>844</v>
      </c>
      <c r="C77" s="115" t="n">
        <v>750000</v>
      </c>
      <c r="D77" s="116" t="n">
        <f aca="false">100000</f>
        <v>100000</v>
      </c>
      <c r="E77" s="117" t="n">
        <f aca="false">C77-D77</f>
        <v>650000</v>
      </c>
    </row>
    <row r="78" customFormat="false" ht="15" hidden="false" customHeight="false" outlineLevel="0" collapsed="false">
      <c r="A78" s="77" t="n">
        <v>30</v>
      </c>
      <c r="B78" s="78" t="s">
        <v>845</v>
      </c>
      <c r="C78" s="115" t="n">
        <v>750000</v>
      </c>
      <c r="D78" s="116" t="n">
        <f aca="false">200000+200000</f>
        <v>400000</v>
      </c>
      <c r="E78" s="117" t="n">
        <f aca="false">C78-D78</f>
        <v>350000</v>
      </c>
    </row>
    <row r="79" customFormat="false" ht="15" hidden="false" customHeight="false" outlineLevel="0" collapsed="false">
      <c r="A79" s="77" t="n">
        <v>31</v>
      </c>
      <c r="B79" s="78" t="s">
        <v>846</v>
      </c>
      <c r="C79" s="118" t="s">
        <v>11</v>
      </c>
      <c r="D79" s="116"/>
      <c r="E79" s="119" t="s">
        <v>11</v>
      </c>
    </row>
    <row r="80" customFormat="false" ht="15" hidden="false" customHeight="false" outlineLevel="0" collapsed="false">
      <c r="A80" s="77" t="n">
        <v>32</v>
      </c>
      <c r="B80" s="78" t="s">
        <v>847</v>
      </c>
      <c r="C80" s="115" t="n">
        <v>750000</v>
      </c>
      <c r="D80" s="116" t="n">
        <f aca="false">200000</f>
        <v>200000</v>
      </c>
      <c r="E80" s="117" t="n">
        <f aca="false">C80-D80</f>
        <v>550000</v>
      </c>
    </row>
    <row r="81" customFormat="false" ht="15" hidden="false" customHeight="false" outlineLevel="0" collapsed="false">
      <c r="A81" s="77" t="n">
        <v>33</v>
      </c>
      <c r="B81" s="78" t="s">
        <v>848</v>
      </c>
      <c r="C81" s="115" t="n">
        <v>750000</v>
      </c>
      <c r="D81" s="116" t="n">
        <f aca="false">400000</f>
        <v>400000</v>
      </c>
      <c r="E81" s="117" t="n">
        <f aca="false">C81-D81</f>
        <v>350000</v>
      </c>
    </row>
    <row r="82" customFormat="false" ht="15" hidden="false" customHeight="false" outlineLevel="0" collapsed="false">
      <c r="A82" s="77" t="n">
        <v>34</v>
      </c>
      <c r="B82" s="78" t="s">
        <v>849</v>
      </c>
      <c r="C82" s="115" t="n">
        <v>750000</v>
      </c>
      <c r="D82" s="116" t="n">
        <f aca="false">200000+550000</f>
        <v>750000</v>
      </c>
      <c r="E82" s="117" t="n">
        <f aca="false">C82-D82</f>
        <v>0</v>
      </c>
    </row>
    <row r="83" customFormat="false" ht="15" hidden="false" customHeight="false" outlineLevel="0" collapsed="false">
      <c r="A83" s="77" t="n">
        <v>35</v>
      </c>
      <c r="B83" s="78" t="s">
        <v>850</v>
      </c>
      <c r="C83" s="115" t="n">
        <v>750000</v>
      </c>
      <c r="D83" s="116"/>
      <c r="E83" s="117" t="n">
        <f aca="false">C83-D83</f>
        <v>750000</v>
      </c>
    </row>
    <row r="84" customFormat="false" ht="15" hidden="false" customHeight="false" outlineLevel="0" collapsed="false">
      <c r="A84" s="77" t="n">
        <v>36</v>
      </c>
      <c r="B84" s="78" t="s">
        <v>851</v>
      </c>
      <c r="C84" s="115" t="n">
        <v>750000</v>
      </c>
      <c r="D84" s="116" t="n">
        <f aca="false">300000</f>
        <v>300000</v>
      </c>
      <c r="E84" s="117" t="n">
        <f aca="false">C84-D84</f>
        <v>450000</v>
      </c>
    </row>
    <row r="85" customFormat="false" ht="15" hidden="false" customHeight="false" outlineLevel="0" collapsed="false">
      <c r="A85" s="77" t="n">
        <v>37</v>
      </c>
      <c r="B85" s="78" t="s">
        <v>852</v>
      </c>
      <c r="C85" s="115" t="n">
        <v>750000</v>
      </c>
      <c r="D85" s="116" t="n">
        <f aca="false">450000</f>
        <v>450000</v>
      </c>
      <c r="E85" s="117" t="n">
        <f aca="false">C85-D85</f>
        <v>300000</v>
      </c>
    </row>
    <row r="86" customFormat="false" ht="15" hidden="false" customHeight="false" outlineLevel="0" collapsed="false">
      <c r="A86" s="77" t="n">
        <v>38</v>
      </c>
      <c r="B86" s="78" t="s">
        <v>853</v>
      </c>
      <c r="C86" s="115" t="n">
        <v>750000</v>
      </c>
      <c r="D86" s="116" t="n">
        <f aca="false">200000</f>
        <v>200000</v>
      </c>
      <c r="E86" s="117" t="n">
        <f aca="false">C86-D86</f>
        <v>550000</v>
      </c>
    </row>
    <row r="87" customFormat="false" ht="15" hidden="false" customHeight="false" outlineLevel="0" collapsed="false">
      <c r="A87" s="77" t="n">
        <v>39</v>
      </c>
      <c r="B87" s="78" t="s">
        <v>854</v>
      </c>
      <c r="C87" s="115" t="n">
        <v>750000</v>
      </c>
      <c r="D87" s="116" t="n">
        <f aca="false">280000</f>
        <v>280000</v>
      </c>
      <c r="E87" s="117" t="n">
        <f aca="false">C87-D87</f>
        <v>470000</v>
      </c>
    </row>
    <row r="88" customFormat="false" ht="15" hidden="false" customHeight="false" outlineLevel="0" collapsed="false">
      <c r="A88" s="77" t="n">
        <v>40</v>
      </c>
      <c r="B88" s="78" t="s">
        <v>855</v>
      </c>
      <c r="C88" s="115" t="n">
        <v>750000</v>
      </c>
      <c r="D88" s="116"/>
      <c r="E88" s="117" t="n">
        <f aca="false">C88-D88</f>
        <v>750000</v>
      </c>
    </row>
    <row r="89" customFormat="false" ht="15" hidden="false" customHeight="false" outlineLevel="0" collapsed="false">
      <c r="A89" s="77" t="n">
        <v>41</v>
      </c>
      <c r="B89" s="78" t="s">
        <v>856</v>
      </c>
      <c r="C89" s="115" t="n">
        <v>750000</v>
      </c>
      <c r="D89" s="116" t="n">
        <v>750000</v>
      </c>
      <c r="E89" s="117" t="n">
        <f aca="false">C89-D89</f>
        <v>0</v>
      </c>
    </row>
    <row r="90" customFormat="false" ht="15" hidden="false" customHeight="false" outlineLevel="0" collapsed="false">
      <c r="A90" s="77" t="n">
        <v>42</v>
      </c>
      <c r="B90" s="78" t="s">
        <v>857</v>
      </c>
      <c r="C90" s="115" t="n">
        <v>750000</v>
      </c>
      <c r="D90" s="116" t="n">
        <f aca="false">500000</f>
        <v>500000</v>
      </c>
      <c r="E90" s="117" t="n">
        <f aca="false">C90-D90</f>
        <v>250000</v>
      </c>
    </row>
    <row r="91" customFormat="false" ht="15" hidden="false" customHeight="false" outlineLevel="0" collapsed="false">
      <c r="A91" s="77" t="n">
        <v>43</v>
      </c>
      <c r="B91" s="78" t="s">
        <v>858</v>
      </c>
      <c r="C91" s="115" t="n">
        <v>750000</v>
      </c>
      <c r="D91" s="116" t="n">
        <f aca="false">300000</f>
        <v>300000</v>
      </c>
      <c r="E91" s="117" t="n">
        <f aca="false">C91-D91</f>
        <v>450000</v>
      </c>
    </row>
    <row r="92" customFormat="false" ht="15" hidden="false" customHeight="false" outlineLevel="0" collapsed="false">
      <c r="A92" s="77" t="n">
        <v>44</v>
      </c>
      <c r="B92" s="78" t="s">
        <v>859</v>
      </c>
      <c r="C92" s="115" t="n">
        <v>750000</v>
      </c>
      <c r="D92" s="116" t="n">
        <f aca="false">400000</f>
        <v>400000</v>
      </c>
      <c r="E92" s="117" t="n">
        <f aca="false">C92-D92</f>
        <v>350000</v>
      </c>
    </row>
    <row r="93" customFormat="false" ht="15" hidden="false" customHeight="false" outlineLevel="0" collapsed="false">
      <c r="A93" s="77" t="n">
        <v>45</v>
      </c>
      <c r="B93" s="78" t="s">
        <v>860</v>
      </c>
      <c r="C93" s="115" t="n">
        <v>750000</v>
      </c>
      <c r="D93" s="116" t="n">
        <f aca="false">300000</f>
        <v>300000</v>
      </c>
      <c r="E93" s="117" t="n">
        <f aca="false">C93-D93</f>
        <v>450000</v>
      </c>
    </row>
    <row r="94" customFormat="false" ht="15" hidden="false" customHeight="false" outlineLevel="0" collapsed="false">
      <c r="A94" s="77" t="n">
        <v>46</v>
      </c>
      <c r="B94" s="78" t="s">
        <v>861</v>
      </c>
      <c r="C94" s="115" t="n">
        <v>750000</v>
      </c>
      <c r="D94" s="116" t="n">
        <v>750000</v>
      </c>
      <c r="E94" s="117" t="n">
        <f aca="false">C94-D94</f>
        <v>0</v>
      </c>
    </row>
    <row r="95" customFormat="false" ht="19.7" hidden="false" customHeight="false" outlineLevel="0" collapsed="false">
      <c r="A95" s="120"/>
      <c r="B95" s="121" t="s">
        <v>21</v>
      </c>
      <c r="C95" s="122" t="n">
        <f aca="false">SUM(C49:C94)</f>
        <v>33750000</v>
      </c>
      <c r="D95" s="123" t="n">
        <f aca="false">SUM(D49:D94)</f>
        <v>16545000</v>
      </c>
      <c r="E95" s="124" t="n">
        <f aca="false">SUM(E49:E94)</f>
        <v>17205000</v>
      </c>
    </row>
    <row r="103" customFormat="false" ht="15" hidden="false" customHeight="false" outlineLevel="0" collapsed="false">
      <c r="A103" s="1" t="s">
        <v>862</v>
      </c>
    </row>
    <row r="105" customFormat="false" ht="17.35" hidden="false" customHeight="false" outlineLevel="0" collapsed="false">
      <c r="A105" s="3"/>
      <c r="B105" s="3" t="s">
        <v>863</v>
      </c>
    </row>
    <row r="107" customFormat="false" ht="17.25" hidden="false" customHeight="false" outlineLevel="0" collapsed="false">
      <c r="B107" s="55" t="s">
        <v>864</v>
      </c>
    </row>
    <row r="109" customFormat="false" ht="17.35" hidden="false" customHeight="false" outlineLevel="0" collapsed="false">
      <c r="B109" s="125"/>
    </row>
    <row r="110" customFormat="false" ht="15" hidden="false" customHeight="false" outlineLevel="0" collapsed="false">
      <c r="B110" s="5" t="s">
        <v>865</v>
      </c>
    </row>
    <row r="112" customFormat="false" ht="15" hidden="false" customHeight="false" outlineLevel="0" collapsed="false">
      <c r="A112" s="112" t="s">
        <v>3</v>
      </c>
      <c r="B112" s="113" t="s">
        <v>815</v>
      </c>
      <c r="C112" s="9" t="s">
        <v>5</v>
      </c>
      <c r="D112" s="114" t="s">
        <v>6</v>
      </c>
      <c r="E112" s="105" t="s">
        <v>7</v>
      </c>
    </row>
    <row r="113" customFormat="false" ht="15" hidden="false" customHeight="false" outlineLevel="0" collapsed="false">
      <c r="A113" s="77" t="n">
        <v>1</v>
      </c>
      <c r="B113" s="57" t="s">
        <v>866</v>
      </c>
      <c r="C113" s="115" t="n">
        <v>425000</v>
      </c>
      <c r="D113" s="115" t="n">
        <v>425000</v>
      </c>
      <c r="E113" s="117" t="n">
        <f aca="false">C113-D113</f>
        <v>0</v>
      </c>
    </row>
    <row r="114" customFormat="false" ht="15" hidden="false" customHeight="false" outlineLevel="0" collapsed="false">
      <c r="A114" s="77" t="n">
        <v>2</v>
      </c>
      <c r="B114" s="126" t="s">
        <v>867</v>
      </c>
      <c r="C114" s="115" t="n">
        <v>318750</v>
      </c>
      <c r="D114" s="115"/>
      <c r="E114" s="117" t="n">
        <f aca="false">C114-D114</f>
        <v>318750</v>
      </c>
    </row>
    <row r="115" customFormat="false" ht="15" hidden="false" customHeight="false" outlineLevel="0" collapsed="false">
      <c r="A115" s="77" t="n">
        <v>3</v>
      </c>
      <c r="B115" s="57" t="s">
        <v>868</v>
      </c>
      <c r="C115" s="115" t="n">
        <v>425000</v>
      </c>
      <c r="D115" s="115" t="n">
        <v>425000</v>
      </c>
      <c r="E115" s="117" t="n">
        <f aca="false">C115-D115</f>
        <v>0</v>
      </c>
    </row>
    <row r="116" customFormat="false" ht="15" hidden="false" customHeight="false" outlineLevel="0" collapsed="false">
      <c r="A116" s="77" t="n">
        <v>4</v>
      </c>
      <c r="B116" s="57" t="s">
        <v>869</v>
      </c>
      <c r="C116" s="115" t="n">
        <v>425000</v>
      </c>
      <c r="D116" s="115"/>
      <c r="E116" s="117" t="n">
        <f aca="false">C116-D116</f>
        <v>425000</v>
      </c>
    </row>
    <row r="117" customFormat="false" ht="15" hidden="false" customHeight="false" outlineLevel="0" collapsed="false">
      <c r="A117" s="77" t="n">
        <v>5</v>
      </c>
      <c r="B117" s="57" t="s">
        <v>870</v>
      </c>
      <c r="C117" s="115" t="n">
        <v>425000</v>
      </c>
      <c r="D117" s="115"/>
      <c r="E117" s="117" t="n">
        <f aca="false">C117-D117</f>
        <v>425000</v>
      </c>
    </row>
    <row r="118" customFormat="false" ht="15" hidden="false" customHeight="false" outlineLevel="0" collapsed="false">
      <c r="A118" s="77" t="n">
        <v>6</v>
      </c>
      <c r="B118" s="57" t="s">
        <v>871</v>
      </c>
      <c r="C118" s="115" t="n">
        <v>425000</v>
      </c>
      <c r="D118" s="115" t="n">
        <f aca="false">25000+400000</f>
        <v>425000</v>
      </c>
      <c r="E118" s="117" t="n">
        <f aca="false">C118-D118</f>
        <v>0</v>
      </c>
    </row>
    <row r="119" customFormat="false" ht="15" hidden="false" customHeight="false" outlineLevel="0" collapsed="false">
      <c r="A119" s="77" t="n">
        <v>7</v>
      </c>
      <c r="B119" s="57" t="s">
        <v>872</v>
      </c>
      <c r="C119" s="115" t="n">
        <v>425000</v>
      </c>
      <c r="D119" s="115" t="n">
        <f aca="false">320000+105000</f>
        <v>425000</v>
      </c>
      <c r="E119" s="117" t="n">
        <f aca="false">C119-D119</f>
        <v>0</v>
      </c>
    </row>
    <row r="120" customFormat="false" ht="15" hidden="false" customHeight="false" outlineLevel="0" collapsed="false">
      <c r="A120" s="77" t="n">
        <v>8</v>
      </c>
      <c r="B120" s="57" t="s">
        <v>873</v>
      </c>
      <c r="C120" s="115" t="n">
        <v>425000</v>
      </c>
      <c r="D120" s="115" t="n">
        <v>425000</v>
      </c>
      <c r="E120" s="117" t="n">
        <f aca="false">C120-D120</f>
        <v>0</v>
      </c>
    </row>
    <row r="121" customFormat="false" ht="15" hidden="false" customHeight="false" outlineLevel="0" collapsed="false">
      <c r="A121" s="77" t="n">
        <v>9</v>
      </c>
      <c r="B121" s="57" t="s">
        <v>874</v>
      </c>
      <c r="C121" s="115" t="n">
        <v>425000</v>
      </c>
      <c r="D121" s="115" t="n">
        <f aca="false">220000+205000</f>
        <v>425000</v>
      </c>
      <c r="E121" s="117" t="n">
        <f aca="false">C121-D121</f>
        <v>0</v>
      </c>
    </row>
    <row r="122" customFormat="false" ht="15" hidden="false" customHeight="false" outlineLevel="0" collapsed="false">
      <c r="A122" s="77" t="n">
        <v>10</v>
      </c>
      <c r="B122" s="57" t="s">
        <v>875</v>
      </c>
      <c r="C122" s="115" t="n">
        <v>425000</v>
      </c>
      <c r="D122" s="115" t="n">
        <f aca="false">200000+200000+25000</f>
        <v>425000</v>
      </c>
      <c r="E122" s="117" t="n">
        <f aca="false">C122-D122</f>
        <v>0</v>
      </c>
    </row>
    <row r="123" customFormat="false" ht="15" hidden="false" customHeight="false" outlineLevel="0" collapsed="false">
      <c r="A123" s="77" t="n">
        <v>11</v>
      </c>
      <c r="B123" s="57" t="s">
        <v>876</v>
      </c>
      <c r="C123" s="115" t="n">
        <v>425000</v>
      </c>
      <c r="D123" s="115" t="n">
        <v>425000</v>
      </c>
      <c r="E123" s="117" t="n">
        <f aca="false">C123-D123</f>
        <v>0</v>
      </c>
    </row>
    <row r="124" customFormat="false" ht="15" hidden="false" customHeight="false" outlineLevel="0" collapsed="false">
      <c r="A124" s="77" t="n">
        <v>12</v>
      </c>
      <c r="B124" s="57" t="s">
        <v>877</v>
      </c>
      <c r="C124" s="115" t="n">
        <v>425000</v>
      </c>
      <c r="D124" s="115" t="n">
        <v>425000</v>
      </c>
      <c r="E124" s="117" t="n">
        <f aca="false">C124-D124</f>
        <v>0</v>
      </c>
    </row>
    <row r="125" customFormat="false" ht="15" hidden="false" customHeight="false" outlineLevel="0" collapsed="false">
      <c r="A125" s="77" t="n">
        <v>13</v>
      </c>
      <c r="B125" s="57" t="s">
        <v>878</v>
      </c>
      <c r="C125" s="115" t="n">
        <v>425000</v>
      </c>
      <c r="D125" s="115"/>
      <c r="E125" s="117" t="n">
        <f aca="false">C125-D125</f>
        <v>425000</v>
      </c>
    </row>
    <row r="126" customFormat="false" ht="15" hidden="false" customHeight="false" outlineLevel="0" collapsed="false">
      <c r="A126" s="77" t="n">
        <v>14</v>
      </c>
      <c r="B126" s="57" t="s">
        <v>879</v>
      </c>
      <c r="C126" s="115" t="n">
        <v>425000</v>
      </c>
      <c r="D126" s="115" t="n">
        <f aca="false">25000+130000+25000+50000+50000+50000+20000+20000+15000+25000+15000</f>
        <v>425000</v>
      </c>
      <c r="E126" s="117" t="n">
        <f aca="false">C126-D126</f>
        <v>0</v>
      </c>
    </row>
    <row r="127" customFormat="false" ht="15" hidden="false" customHeight="false" outlineLevel="0" collapsed="false">
      <c r="A127" s="77" t="n">
        <v>15</v>
      </c>
      <c r="B127" s="57" t="s">
        <v>880</v>
      </c>
      <c r="C127" s="115" t="n">
        <v>425000</v>
      </c>
      <c r="D127" s="115" t="n">
        <v>425000</v>
      </c>
      <c r="E127" s="117" t="n">
        <f aca="false">C127-D127</f>
        <v>0</v>
      </c>
    </row>
    <row r="128" customFormat="false" ht="15" hidden="false" customHeight="false" outlineLevel="0" collapsed="false">
      <c r="A128" s="77" t="n">
        <v>16</v>
      </c>
      <c r="B128" s="126" t="s">
        <v>881</v>
      </c>
      <c r="C128" s="115" t="n">
        <v>425000</v>
      </c>
      <c r="D128" s="115" t="n">
        <f aca="false">400000+25000</f>
        <v>425000</v>
      </c>
      <c r="E128" s="117" t="n">
        <f aca="false">C128-D128</f>
        <v>0</v>
      </c>
    </row>
    <row r="129" customFormat="false" ht="15" hidden="false" customHeight="false" outlineLevel="0" collapsed="false">
      <c r="A129" s="77" t="n">
        <v>17</v>
      </c>
      <c r="B129" s="57" t="s">
        <v>882</v>
      </c>
      <c r="C129" s="115" t="n">
        <v>425000</v>
      </c>
      <c r="D129" s="115" t="n">
        <f aca="false">500000</f>
        <v>500000</v>
      </c>
      <c r="E129" s="117" t="n">
        <f aca="false">C129-D129</f>
        <v>-75000</v>
      </c>
    </row>
    <row r="130" customFormat="false" ht="15" hidden="false" customHeight="false" outlineLevel="0" collapsed="false">
      <c r="A130" s="77" t="n">
        <v>18</v>
      </c>
      <c r="B130" s="57" t="s">
        <v>883</v>
      </c>
      <c r="C130" s="115" t="n">
        <v>425000</v>
      </c>
      <c r="D130" s="115" t="n">
        <f aca="false">400000+25000</f>
        <v>425000</v>
      </c>
      <c r="E130" s="117" t="n">
        <f aca="false">C130-D130</f>
        <v>0</v>
      </c>
    </row>
    <row r="131" customFormat="false" ht="15" hidden="false" customHeight="false" outlineLevel="0" collapsed="false">
      <c r="A131" s="77" t="n">
        <v>19</v>
      </c>
      <c r="B131" s="57" t="s">
        <v>884</v>
      </c>
      <c r="C131" s="115" t="n">
        <v>425000</v>
      </c>
      <c r="D131" s="115" t="n">
        <f aca="false">125000+200000+100000</f>
        <v>425000</v>
      </c>
      <c r="E131" s="117" t="n">
        <f aca="false">C131-D131</f>
        <v>0</v>
      </c>
    </row>
    <row r="132" customFormat="false" ht="15" hidden="false" customHeight="false" outlineLevel="0" collapsed="false">
      <c r="A132" s="77" t="n">
        <v>20</v>
      </c>
      <c r="B132" s="57" t="s">
        <v>885</v>
      </c>
      <c r="C132" s="115" t="n">
        <v>425000</v>
      </c>
      <c r="D132" s="115" t="n">
        <v>425000</v>
      </c>
      <c r="E132" s="117" t="n">
        <f aca="false">C132-D132</f>
        <v>0</v>
      </c>
    </row>
    <row r="133" customFormat="false" ht="15" hidden="false" customHeight="false" outlineLevel="0" collapsed="false">
      <c r="A133" s="77" t="n">
        <v>21</v>
      </c>
      <c r="B133" s="57" t="s">
        <v>886</v>
      </c>
      <c r="C133" s="115" t="n">
        <v>425000</v>
      </c>
      <c r="D133" s="115" t="n">
        <v>425000</v>
      </c>
      <c r="E133" s="117" t="n">
        <f aca="false">C133-D133</f>
        <v>0</v>
      </c>
    </row>
    <row r="134" customFormat="false" ht="15" hidden="false" customHeight="false" outlineLevel="0" collapsed="false">
      <c r="A134" s="77" t="n">
        <v>22</v>
      </c>
      <c r="B134" s="57" t="s">
        <v>887</v>
      </c>
      <c r="C134" s="115" t="n">
        <v>425000</v>
      </c>
      <c r="D134" s="115" t="n">
        <v>425000</v>
      </c>
      <c r="E134" s="117" t="n">
        <f aca="false">C134-D134</f>
        <v>0</v>
      </c>
    </row>
    <row r="135" customFormat="false" ht="15" hidden="false" customHeight="false" outlineLevel="0" collapsed="false">
      <c r="A135" s="77" t="n">
        <v>23</v>
      </c>
      <c r="B135" s="57" t="s">
        <v>888</v>
      </c>
      <c r="C135" s="115" t="n">
        <v>425000</v>
      </c>
      <c r="D135" s="115"/>
      <c r="E135" s="117" t="n">
        <f aca="false">C135-D135</f>
        <v>425000</v>
      </c>
    </row>
    <row r="136" customFormat="false" ht="15" hidden="false" customHeight="false" outlineLevel="0" collapsed="false">
      <c r="A136" s="77" t="n">
        <v>24</v>
      </c>
      <c r="B136" s="57" t="s">
        <v>889</v>
      </c>
      <c r="C136" s="115" t="n">
        <v>425000</v>
      </c>
      <c r="D136" s="115" t="n">
        <v>425000</v>
      </c>
      <c r="E136" s="117" t="n">
        <f aca="false">C136-D136</f>
        <v>0</v>
      </c>
    </row>
    <row r="137" customFormat="false" ht="15" hidden="false" customHeight="false" outlineLevel="0" collapsed="false">
      <c r="A137" s="77" t="n">
        <v>25</v>
      </c>
      <c r="B137" s="57" t="s">
        <v>890</v>
      </c>
      <c r="C137" s="115" t="n">
        <v>425000</v>
      </c>
      <c r="D137" s="115" t="n">
        <f aca="false">400000+25000</f>
        <v>425000</v>
      </c>
      <c r="E137" s="117" t="n">
        <f aca="false">C137-D137</f>
        <v>0</v>
      </c>
    </row>
    <row r="138" customFormat="false" ht="15" hidden="false" customHeight="false" outlineLevel="0" collapsed="false">
      <c r="A138" s="77" t="n">
        <v>26</v>
      </c>
      <c r="B138" s="57" t="s">
        <v>891</v>
      </c>
      <c r="C138" s="115" t="n">
        <v>425000</v>
      </c>
      <c r="D138" s="115" t="n">
        <v>425000</v>
      </c>
      <c r="E138" s="117" t="n">
        <f aca="false">C138-D138</f>
        <v>0</v>
      </c>
    </row>
    <row r="139" customFormat="false" ht="15" hidden="false" customHeight="false" outlineLevel="0" collapsed="false">
      <c r="A139" s="77" t="n">
        <v>27</v>
      </c>
      <c r="B139" s="57" t="s">
        <v>892</v>
      </c>
      <c r="C139" s="115" t="n">
        <v>425000</v>
      </c>
      <c r="D139" s="115" t="n">
        <v>425000</v>
      </c>
      <c r="E139" s="117" t="n">
        <f aca="false">C139-D139</f>
        <v>0</v>
      </c>
    </row>
    <row r="140" customFormat="false" ht="15" hidden="false" customHeight="false" outlineLevel="0" collapsed="false">
      <c r="A140" s="77" t="n">
        <v>28</v>
      </c>
      <c r="B140" s="57" t="s">
        <v>893</v>
      </c>
      <c r="C140" s="115" t="n">
        <v>425000</v>
      </c>
      <c r="D140" s="115" t="n">
        <f aca="false">25000+350000+50000</f>
        <v>425000</v>
      </c>
      <c r="E140" s="117" t="n">
        <f aca="false">C140-D140</f>
        <v>0</v>
      </c>
    </row>
    <row r="141" customFormat="false" ht="15" hidden="false" customHeight="false" outlineLevel="0" collapsed="false">
      <c r="A141" s="77" t="n">
        <v>29</v>
      </c>
      <c r="B141" s="57" t="s">
        <v>894</v>
      </c>
      <c r="C141" s="115" t="n">
        <v>425000</v>
      </c>
      <c r="D141" s="115" t="n">
        <v>425000</v>
      </c>
      <c r="E141" s="117" t="n">
        <f aca="false">C141-D141</f>
        <v>0</v>
      </c>
    </row>
    <row r="142" customFormat="false" ht="15" hidden="false" customHeight="false" outlineLevel="0" collapsed="false">
      <c r="A142" s="77" t="n">
        <v>30</v>
      </c>
      <c r="B142" s="57" t="s">
        <v>895</v>
      </c>
      <c r="C142" s="115" t="n">
        <v>425000</v>
      </c>
      <c r="D142" s="115"/>
      <c r="E142" s="117" t="n">
        <f aca="false">C142-D142</f>
        <v>425000</v>
      </c>
    </row>
    <row r="143" customFormat="false" ht="15" hidden="false" customHeight="false" outlineLevel="0" collapsed="false">
      <c r="A143" s="77" t="n">
        <v>31</v>
      </c>
      <c r="B143" s="57" t="s">
        <v>896</v>
      </c>
      <c r="C143" s="115" t="n">
        <v>425000</v>
      </c>
      <c r="D143" s="115" t="n">
        <v>425000</v>
      </c>
      <c r="E143" s="117" t="n">
        <f aca="false">C143-D143</f>
        <v>0</v>
      </c>
    </row>
    <row r="144" customFormat="false" ht="15" hidden="false" customHeight="false" outlineLevel="0" collapsed="false">
      <c r="A144" s="77" t="n">
        <v>32</v>
      </c>
      <c r="B144" s="126" t="s">
        <v>897</v>
      </c>
      <c r="C144" s="115" t="n">
        <v>425000</v>
      </c>
      <c r="D144" s="115" t="n">
        <v>425000</v>
      </c>
      <c r="E144" s="117" t="n">
        <f aca="false">C144-D144</f>
        <v>0</v>
      </c>
    </row>
    <row r="145" customFormat="false" ht="15" hidden="false" customHeight="false" outlineLevel="0" collapsed="false">
      <c r="A145" s="77" t="n">
        <v>33</v>
      </c>
      <c r="B145" s="57" t="s">
        <v>898</v>
      </c>
      <c r="C145" s="115" t="n">
        <v>425000</v>
      </c>
      <c r="D145" s="115" t="n">
        <v>425000</v>
      </c>
      <c r="E145" s="117" t="n">
        <f aca="false">C145-D145</f>
        <v>0</v>
      </c>
    </row>
    <row r="146" customFormat="false" ht="15" hidden="false" customHeight="false" outlineLevel="0" collapsed="false">
      <c r="A146" s="77" t="n">
        <v>34</v>
      </c>
      <c r="B146" s="57" t="s">
        <v>899</v>
      </c>
      <c r="C146" s="115" t="n">
        <v>425000</v>
      </c>
      <c r="D146" s="115"/>
      <c r="E146" s="117" t="n">
        <f aca="false">C146-D146</f>
        <v>425000</v>
      </c>
    </row>
    <row r="147" customFormat="false" ht="15" hidden="false" customHeight="false" outlineLevel="0" collapsed="false">
      <c r="A147" s="77" t="n">
        <v>35</v>
      </c>
      <c r="B147" s="57" t="s">
        <v>900</v>
      </c>
      <c r="C147" s="115" t="n">
        <v>425000</v>
      </c>
      <c r="D147" s="115"/>
      <c r="E147" s="117" t="n">
        <f aca="false">C147-D147</f>
        <v>425000</v>
      </c>
    </row>
    <row r="148" customFormat="false" ht="15" hidden="false" customHeight="false" outlineLevel="0" collapsed="false">
      <c r="A148" s="77" t="n">
        <v>36</v>
      </c>
      <c r="B148" s="57" t="s">
        <v>901</v>
      </c>
      <c r="C148" s="115" t="n">
        <v>425000</v>
      </c>
      <c r="D148" s="115" t="n">
        <v>425000</v>
      </c>
      <c r="E148" s="117" t="n">
        <f aca="false">C148-D148</f>
        <v>0</v>
      </c>
    </row>
    <row r="149" customFormat="false" ht="15" hidden="false" customHeight="false" outlineLevel="0" collapsed="false">
      <c r="A149" s="77" t="n">
        <v>37</v>
      </c>
      <c r="B149" s="57" t="s">
        <v>902</v>
      </c>
      <c r="C149" s="115" t="n">
        <v>425000</v>
      </c>
      <c r="D149" s="115" t="n">
        <v>425000</v>
      </c>
      <c r="E149" s="117" t="n">
        <f aca="false">C149-D149</f>
        <v>0</v>
      </c>
    </row>
    <row r="150" customFormat="false" ht="15" hidden="false" customHeight="false" outlineLevel="0" collapsed="false">
      <c r="A150" s="77" t="n">
        <v>38</v>
      </c>
      <c r="B150" s="57" t="s">
        <v>903</v>
      </c>
      <c r="C150" s="115" t="n">
        <v>425000</v>
      </c>
      <c r="D150" s="115"/>
      <c r="E150" s="117" t="n">
        <f aca="false">C150-D150</f>
        <v>425000</v>
      </c>
    </row>
    <row r="151" customFormat="false" ht="15" hidden="false" customHeight="false" outlineLevel="0" collapsed="false">
      <c r="A151" s="77" t="n">
        <v>39</v>
      </c>
      <c r="B151" s="57" t="s">
        <v>904</v>
      </c>
      <c r="C151" s="115" t="n">
        <v>425000</v>
      </c>
      <c r="D151" s="115"/>
      <c r="E151" s="117" t="n">
        <f aca="false">C151-D151</f>
        <v>425000</v>
      </c>
    </row>
    <row r="152" customFormat="false" ht="15" hidden="false" customHeight="false" outlineLevel="0" collapsed="false">
      <c r="A152" s="77" t="n">
        <v>40</v>
      </c>
      <c r="B152" s="57" t="s">
        <v>905</v>
      </c>
      <c r="C152" s="115" t="n">
        <v>425000</v>
      </c>
      <c r="D152" s="115" t="n">
        <v>425000</v>
      </c>
      <c r="E152" s="117" t="n">
        <f aca="false">C152-D152</f>
        <v>0</v>
      </c>
    </row>
    <row r="153" customFormat="false" ht="15" hidden="false" customHeight="false" outlineLevel="0" collapsed="false">
      <c r="A153" s="77" t="n">
        <v>41</v>
      </c>
      <c r="B153" s="57" t="s">
        <v>906</v>
      </c>
      <c r="C153" s="115" t="n">
        <v>425000</v>
      </c>
      <c r="D153" s="115"/>
      <c r="E153" s="117" t="n">
        <f aca="false">C153-D153</f>
        <v>425000</v>
      </c>
    </row>
    <row r="154" customFormat="false" ht="15" hidden="false" customHeight="false" outlineLevel="0" collapsed="false">
      <c r="A154" s="77" t="n">
        <v>42</v>
      </c>
      <c r="B154" s="57" t="s">
        <v>907</v>
      </c>
      <c r="C154" s="115" t="n">
        <v>425000</v>
      </c>
      <c r="D154" s="115" t="n">
        <f aca="false">75000+350000</f>
        <v>425000</v>
      </c>
      <c r="E154" s="117" t="n">
        <f aca="false">C154-D154</f>
        <v>0</v>
      </c>
    </row>
    <row r="155" customFormat="false" ht="15" hidden="false" customHeight="false" outlineLevel="0" collapsed="false">
      <c r="A155" s="77" t="n">
        <v>43</v>
      </c>
      <c r="B155" s="57" t="s">
        <v>908</v>
      </c>
      <c r="C155" s="115" t="n">
        <v>425000</v>
      </c>
      <c r="D155" s="115" t="n">
        <f aca="false">100000+100000+125000+100000</f>
        <v>425000</v>
      </c>
      <c r="E155" s="117" t="n">
        <f aca="false">C155-D155</f>
        <v>0</v>
      </c>
    </row>
    <row r="156" customFormat="false" ht="15" hidden="false" customHeight="false" outlineLevel="0" collapsed="false">
      <c r="A156" s="77" t="n">
        <v>44</v>
      </c>
      <c r="B156" s="57" t="s">
        <v>909</v>
      </c>
      <c r="C156" s="115" t="n">
        <v>318750</v>
      </c>
      <c r="D156" s="115" t="n">
        <v>318750</v>
      </c>
      <c r="E156" s="117" t="n">
        <f aca="false">C156-D156</f>
        <v>0</v>
      </c>
    </row>
    <row r="157" customFormat="false" ht="15" hidden="false" customHeight="false" outlineLevel="0" collapsed="false">
      <c r="A157" s="77" t="n">
        <v>45</v>
      </c>
      <c r="B157" s="57" t="s">
        <v>910</v>
      </c>
      <c r="C157" s="115" t="n">
        <v>425000</v>
      </c>
      <c r="D157" s="115" t="n">
        <f aca="false">200000+225000</f>
        <v>425000</v>
      </c>
      <c r="E157" s="117" t="n">
        <f aca="false">C157-D157</f>
        <v>0</v>
      </c>
    </row>
    <row r="158" customFormat="false" ht="15" hidden="false" customHeight="false" outlineLevel="0" collapsed="false">
      <c r="A158" s="77" t="n">
        <v>46</v>
      </c>
      <c r="B158" s="57" t="s">
        <v>911</v>
      </c>
      <c r="C158" s="115" t="n">
        <v>425000</v>
      </c>
      <c r="D158" s="115" t="n">
        <f aca="false">200000+200000+25000</f>
        <v>425000</v>
      </c>
      <c r="E158" s="117" t="n">
        <f aca="false">C158-D158</f>
        <v>0</v>
      </c>
    </row>
    <row r="159" customFormat="false" ht="15" hidden="false" customHeight="false" outlineLevel="0" collapsed="false">
      <c r="A159" s="77" t="n">
        <v>47</v>
      </c>
      <c r="B159" s="57" t="s">
        <v>912</v>
      </c>
      <c r="C159" s="115" t="n">
        <v>425000</v>
      </c>
      <c r="D159" s="115" t="n">
        <f aca="false">190000</f>
        <v>190000</v>
      </c>
      <c r="E159" s="117" t="n">
        <f aca="false">C159-D159</f>
        <v>235000</v>
      </c>
    </row>
    <row r="160" customFormat="false" ht="15" hidden="false" customHeight="false" outlineLevel="0" collapsed="false">
      <c r="A160" s="77" t="n">
        <v>48</v>
      </c>
      <c r="B160" s="57" t="s">
        <v>913</v>
      </c>
      <c r="C160" s="115" t="n">
        <v>425000</v>
      </c>
      <c r="D160" s="115" t="n">
        <f aca="false">200000+125000+100000</f>
        <v>425000</v>
      </c>
      <c r="E160" s="117" t="n">
        <f aca="false">C160-D160</f>
        <v>0</v>
      </c>
    </row>
    <row r="161" customFormat="false" ht="15" hidden="false" customHeight="false" outlineLevel="0" collapsed="false">
      <c r="A161" s="77"/>
      <c r="B161" s="57" t="s">
        <v>914</v>
      </c>
      <c r="C161" s="115" t="n">
        <v>425000</v>
      </c>
      <c r="D161" s="115" t="n">
        <v>425000</v>
      </c>
      <c r="E161" s="117" t="n">
        <f aca="false">C161-D161</f>
        <v>0</v>
      </c>
    </row>
    <row r="162" customFormat="false" ht="15" hidden="false" customHeight="false" outlineLevel="0" collapsed="false">
      <c r="A162" s="77" t="n">
        <v>49</v>
      </c>
      <c r="B162" s="57" t="s">
        <v>915</v>
      </c>
      <c r="C162" s="115" t="n">
        <v>425000</v>
      </c>
      <c r="D162" s="115"/>
      <c r="E162" s="117" t="n">
        <f aca="false">C162-D162</f>
        <v>425000</v>
      </c>
    </row>
    <row r="163" customFormat="false" ht="19.7" hidden="false" customHeight="false" outlineLevel="0" collapsed="false">
      <c r="A163" s="120"/>
      <c r="B163" s="121" t="s">
        <v>21</v>
      </c>
      <c r="C163" s="127" t="n">
        <f aca="false">SUM(C113:C162)</f>
        <v>21037500</v>
      </c>
      <c r="D163" s="123" t="n">
        <f aca="false">SUM(D113:D162)</f>
        <v>15883750</v>
      </c>
      <c r="E163" s="124" t="n">
        <f aca="false">SUM(E113:E162)</f>
        <v>5153750</v>
      </c>
    </row>
    <row r="170" customFormat="false" ht="17.35" hidden="false" customHeight="false" outlineLevel="0" collapsed="false">
      <c r="A170" s="3"/>
      <c r="B170" s="3" t="s">
        <v>863</v>
      </c>
    </row>
    <row r="172" customFormat="false" ht="17.25" hidden="false" customHeight="false" outlineLevel="0" collapsed="false">
      <c r="B172" s="55" t="s">
        <v>916</v>
      </c>
    </row>
    <row r="174" customFormat="false" ht="5.25" hidden="false" customHeight="true" outlineLevel="0" collapsed="false">
      <c r="B174" s="125"/>
    </row>
    <row r="175" customFormat="false" ht="15" hidden="false" customHeight="false" outlineLevel="0" collapsed="false">
      <c r="B175" s="5" t="s">
        <v>865</v>
      </c>
    </row>
    <row r="177" customFormat="false" ht="15" hidden="false" customHeight="false" outlineLevel="0" collapsed="false">
      <c r="A177" s="112" t="s">
        <v>3</v>
      </c>
      <c r="B177" s="113" t="s">
        <v>815</v>
      </c>
      <c r="C177" s="9" t="s">
        <v>5</v>
      </c>
      <c r="D177" s="114" t="s">
        <v>6</v>
      </c>
      <c r="E177" s="105" t="s">
        <v>7</v>
      </c>
    </row>
    <row r="178" customFormat="false" ht="15" hidden="false" customHeight="false" outlineLevel="0" collapsed="false">
      <c r="A178" s="77" t="n">
        <v>1</v>
      </c>
      <c r="B178" s="78" t="s">
        <v>917</v>
      </c>
      <c r="C178" s="115" t="n">
        <v>425000</v>
      </c>
      <c r="D178" s="115" t="n">
        <f aca="false">250000+100000+75000</f>
        <v>425000</v>
      </c>
      <c r="E178" s="117" t="n">
        <f aca="false">C178-D178</f>
        <v>0</v>
      </c>
    </row>
    <row r="179" customFormat="false" ht="15" hidden="false" customHeight="false" outlineLevel="0" collapsed="false">
      <c r="A179" s="77" t="n">
        <v>2</v>
      </c>
      <c r="B179" s="78" t="s">
        <v>918</v>
      </c>
      <c r="C179" s="115" t="n">
        <v>425000</v>
      </c>
      <c r="D179" s="115" t="n">
        <v>425000</v>
      </c>
      <c r="E179" s="117" t="n">
        <f aca="false">C179-D179</f>
        <v>0</v>
      </c>
    </row>
    <row r="180" customFormat="false" ht="15" hidden="false" customHeight="false" outlineLevel="0" collapsed="false">
      <c r="A180" s="77" t="n">
        <v>3</v>
      </c>
      <c r="B180" s="78" t="s">
        <v>919</v>
      </c>
      <c r="C180" s="115" t="n">
        <v>425000</v>
      </c>
      <c r="D180" s="115" t="n">
        <f aca="false">100000+100000+80000+100000</f>
        <v>380000</v>
      </c>
      <c r="E180" s="117" t="n">
        <f aca="false">C180-D180</f>
        <v>45000</v>
      </c>
    </row>
    <row r="181" customFormat="false" ht="15" hidden="false" customHeight="false" outlineLevel="0" collapsed="false">
      <c r="A181" s="77" t="n">
        <v>4</v>
      </c>
      <c r="B181" s="78" t="s">
        <v>920</v>
      </c>
      <c r="C181" s="115" t="n">
        <v>425000</v>
      </c>
      <c r="D181" s="115" t="n">
        <f aca="false">350000</f>
        <v>350000</v>
      </c>
      <c r="E181" s="117" t="n">
        <f aca="false">C181-D181</f>
        <v>75000</v>
      </c>
    </row>
    <row r="182" customFormat="false" ht="15" hidden="false" customHeight="false" outlineLevel="0" collapsed="false">
      <c r="A182" s="77" t="n">
        <v>5</v>
      </c>
      <c r="B182" s="78" t="s">
        <v>921</v>
      </c>
      <c r="C182" s="115" t="n">
        <v>425000</v>
      </c>
      <c r="D182" s="115" t="n">
        <f aca="false">200000+225000</f>
        <v>425000</v>
      </c>
      <c r="E182" s="117" t="n">
        <f aca="false">C182-D182</f>
        <v>0</v>
      </c>
    </row>
    <row r="183" customFormat="false" ht="15" hidden="false" customHeight="false" outlineLevel="0" collapsed="false">
      <c r="A183" s="77" t="n">
        <v>6</v>
      </c>
      <c r="B183" s="78" t="s">
        <v>922</v>
      </c>
      <c r="C183" s="115" t="n">
        <v>425000</v>
      </c>
      <c r="D183" s="115" t="n">
        <f aca="false">425000</f>
        <v>425000</v>
      </c>
      <c r="E183" s="117" t="n">
        <f aca="false">C183-D183</f>
        <v>0</v>
      </c>
    </row>
    <row r="184" customFormat="false" ht="15" hidden="false" customHeight="false" outlineLevel="0" collapsed="false">
      <c r="A184" s="77" t="n">
        <v>7</v>
      </c>
      <c r="B184" s="78" t="s">
        <v>923</v>
      </c>
      <c r="C184" s="115" t="n">
        <v>425000</v>
      </c>
      <c r="D184" s="115" t="n">
        <f aca="false">225000+80000+120000</f>
        <v>425000</v>
      </c>
      <c r="E184" s="117" t="n">
        <f aca="false">C184-D184</f>
        <v>0</v>
      </c>
    </row>
    <row r="185" customFormat="false" ht="15" hidden="false" customHeight="false" outlineLevel="0" collapsed="false">
      <c r="A185" s="77" t="n">
        <v>8</v>
      </c>
      <c r="B185" s="78" t="s">
        <v>924</v>
      </c>
      <c r="C185" s="115" t="n">
        <v>425000</v>
      </c>
      <c r="D185" s="115" t="n">
        <f aca="false">300000+125000</f>
        <v>425000</v>
      </c>
      <c r="E185" s="117" t="n">
        <f aca="false">C185-D185</f>
        <v>0</v>
      </c>
    </row>
    <row r="186" customFormat="false" ht="15" hidden="false" customHeight="false" outlineLevel="0" collapsed="false">
      <c r="A186" s="77" t="n">
        <v>9</v>
      </c>
      <c r="B186" s="78" t="s">
        <v>925</v>
      </c>
      <c r="C186" s="115" t="n">
        <v>425000</v>
      </c>
      <c r="D186" s="115" t="n">
        <f aca="false">75000+100000+250000</f>
        <v>425000</v>
      </c>
      <c r="E186" s="117" t="n">
        <f aca="false">C186-D186</f>
        <v>0</v>
      </c>
    </row>
    <row r="187" customFormat="false" ht="15" hidden="false" customHeight="false" outlineLevel="0" collapsed="false">
      <c r="A187" s="77" t="n">
        <v>10</v>
      </c>
      <c r="B187" s="78" t="s">
        <v>926</v>
      </c>
      <c r="C187" s="115" t="n">
        <v>425000</v>
      </c>
      <c r="D187" s="115" t="n">
        <f aca="false">180000+45000+200000</f>
        <v>425000</v>
      </c>
      <c r="E187" s="117" t="n">
        <f aca="false">C187-D187</f>
        <v>0</v>
      </c>
    </row>
    <row r="188" customFormat="false" ht="15" hidden="false" customHeight="false" outlineLevel="0" collapsed="false">
      <c r="A188" s="77" t="n">
        <v>11</v>
      </c>
      <c r="B188" s="78" t="s">
        <v>927</v>
      </c>
      <c r="C188" s="115" t="n">
        <v>425000</v>
      </c>
      <c r="D188" s="115" t="n">
        <f aca="false">200000+225000</f>
        <v>425000</v>
      </c>
      <c r="E188" s="117" t="n">
        <f aca="false">C188-D188</f>
        <v>0</v>
      </c>
    </row>
    <row r="189" customFormat="false" ht="15" hidden="false" customHeight="false" outlineLevel="0" collapsed="false">
      <c r="A189" s="77" t="n">
        <v>12</v>
      </c>
      <c r="B189" s="78" t="s">
        <v>928</v>
      </c>
      <c r="C189" s="115" t="n">
        <v>425000</v>
      </c>
      <c r="D189" s="115" t="n">
        <f aca="false">200000+225000</f>
        <v>425000</v>
      </c>
      <c r="E189" s="117" t="n">
        <f aca="false">C189-D189</f>
        <v>0</v>
      </c>
    </row>
    <row r="190" customFormat="false" ht="15" hidden="false" customHeight="false" outlineLevel="0" collapsed="false">
      <c r="A190" s="77" t="n">
        <v>13</v>
      </c>
      <c r="B190" s="78" t="s">
        <v>929</v>
      </c>
      <c r="C190" s="115" t="n">
        <v>425000</v>
      </c>
      <c r="D190" s="115" t="n">
        <f aca="false">200000+125000+100000</f>
        <v>425000</v>
      </c>
      <c r="E190" s="117" t="n">
        <f aca="false">C190-D190</f>
        <v>0</v>
      </c>
    </row>
    <row r="191" customFormat="false" ht="15" hidden="false" customHeight="false" outlineLevel="0" collapsed="false">
      <c r="A191" s="77" t="n">
        <v>14</v>
      </c>
      <c r="B191" s="78" t="s">
        <v>930</v>
      </c>
      <c r="C191" s="115" t="n">
        <v>425000</v>
      </c>
      <c r="D191" s="115" t="n">
        <f aca="false">230000+70000+125000</f>
        <v>425000</v>
      </c>
      <c r="E191" s="117" t="n">
        <f aca="false">C191-D191</f>
        <v>0</v>
      </c>
    </row>
    <row r="192" customFormat="false" ht="15" hidden="false" customHeight="false" outlineLevel="0" collapsed="false">
      <c r="A192" s="77" t="n">
        <v>15</v>
      </c>
      <c r="B192" s="78" t="s">
        <v>931</v>
      </c>
      <c r="C192" s="115" t="n">
        <v>425000</v>
      </c>
      <c r="D192" s="115" t="n">
        <f aca="false">50000+200000+175000</f>
        <v>425000</v>
      </c>
      <c r="E192" s="117" t="n">
        <f aca="false">C192-D192</f>
        <v>0</v>
      </c>
    </row>
    <row r="193" customFormat="false" ht="15" hidden="false" customHeight="false" outlineLevel="0" collapsed="false">
      <c r="A193" s="77" t="n">
        <v>16</v>
      </c>
      <c r="B193" s="78" t="s">
        <v>932</v>
      </c>
      <c r="C193" s="115" t="n">
        <v>425000</v>
      </c>
      <c r="D193" s="115" t="n">
        <f aca="false">100000+100000+100000+125000</f>
        <v>425000</v>
      </c>
      <c r="E193" s="117" t="n">
        <f aca="false">C193-D193</f>
        <v>0</v>
      </c>
    </row>
    <row r="194" customFormat="false" ht="15" hidden="false" customHeight="false" outlineLevel="0" collapsed="false">
      <c r="A194" s="77" t="n">
        <v>17</v>
      </c>
      <c r="B194" s="78" t="s">
        <v>933</v>
      </c>
      <c r="C194" s="115" t="n">
        <v>425000</v>
      </c>
      <c r="D194" s="115" t="n">
        <f aca="false">60000+100000+125000+140000</f>
        <v>425000</v>
      </c>
      <c r="E194" s="117" t="n">
        <f aca="false">C194-D194</f>
        <v>0</v>
      </c>
    </row>
    <row r="195" customFormat="false" ht="15" hidden="false" customHeight="false" outlineLevel="0" collapsed="false">
      <c r="A195" s="77" t="n">
        <v>18</v>
      </c>
      <c r="B195" s="78" t="s">
        <v>934</v>
      </c>
      <c r="C195" s="118" t="s">
        <v>11</v>
      </c>
      <c r="D195" s="118" t="s">
        <v>11</v>
      </c>
      <c r="E195" s="119" t="s">
        <v>11</v>
      </c>
    </row>
    <row r="196" customFormat="false" ht="15" hidden="false" customHeight="false" outlineLevel="0" collapsed="false">
      <c r="A196" s="77" t="n">
        <v>19</v>
      </c>
      <c r="B196" s="78" t="s">
        <v>935</v>
      </c>
      <c r="C196" s="115" t="n">
        <v>425000</v>
      </c>
      <c r="D196" s="115" t="n">
        <f aca="false">100000+100000+100000+125000</f>
        <v>425000</v>
      </c>
      <c r="E196" s="117" t="n">
        <f aca="false">C196-D196</f>
        <v>0</v>
      </c>
    </row>
    <row r="197" customFormat="false" ht="15" hidden="false" customHeight="false" outlineLevel="0" collapsed="false">
      <c r="A197" s="77" t="n">
        <v>20</v>
      </c>
      <c r="B197" s="78" t="s">
        <v>936</v>
      </c>
      <c r="C197" s="115" t="n">
        <v>425000</v>
      </c>
      <c r="D197" s="115" t="n">
        <f aca="false">200000+200000+25000</f>
        <v>425000</v>
      </c>
      <c r="E197" s="117" t="n">
        <f aca="false">C197-D197</f>
        <v>0</v>
      </c>
    </row>
    <row r="198" customFormat="false" ht="15" hidden="false" customHeight="false" outlineLevel="0" collapsed="false">
      <c r="A198" s="77" t="n">
        <v>21</v>
      </c>
      <c r="B198" s="78" t="s">
        <v>937</v>
      </c>
      <c r="C198" s="115" t="n">
        <v>425000</v>
      </c>
      <c r="D198" s="115" t="n">
        <f aca="false">150000+50000+225000</f>
        <v>425000</v>
      </c>
      <c r="E198" s="117" t="n">
        <f aca="false">C198-D198</f>
        <v>0</v>
      </c>
    </row>
    <row r="199" customFormat="false" ht="15" hidden="false" customHeight="false" outlineLevel="0" collapsed="false">
      <c r="A199" s="77" t="n">
        <v>22</v>
      </c>
      <c r="B199" s="78" t="s">
        <v>938</v>
      </c>
      <c r="C199" s="115" t="n">
        <v>425000</v>
      </c>
      <c r="D199" s="115" t="n">
        <f aca="false">200000+125000+100000</f>
        <v>425000</v>
      </c>
      <c r="E199" s="117" t="n">
        <f aca="false">C199-D199</f>
        <v>0</v>
      </c>
    </row>
    <row r="200" customFormat="false" ht="15" hidden="false" customHeight="false" outlineLevel="0" collapsed="false">
      <c r="A200" s="77" t="n">
        <v>23</v>
      </c>
      <c r="B200" s="78" t="s">
        <v>939</v>
      </c>
      <c r="C200" s="115" t="n">
        <v>425000</v>
      </c>
      <c r="D200" s="115" t="n">
        <f aca="false">150000+120000+80000+75000</f>
        <v>425000</v>
      </c>
      <c r="E200" s="117" t="n">
        <f aca="false">C200-D200</f>
        <v>0</v>
      </c>
    </row>
    <row r="201" customFormat="false" ht="15" hidden="false" customHeight="false" outlineLevel="0" collapsed="false">
      <c r="A201" s="77" t="n">
        <v>24</v>
      </c>
      <c r="B201" s="78" t="s">
        <v>940</v>
      </c>
      <c r="C201" s="118" t="s">
        <v>11</v>
      </c>
      <c r="D201" s="118" t="s">
        <v>11</v>
      </c>
      <c r="E201" s="119" t="s">
        <v>11</v>
      </c>
    </row>
    <row r="202" customFormat="false" ht="15" hidden="false" customHeight="false" outlineLevel="0" collapsed="false">
      <c r="A202" s="77" t="n">
        <v>25</v>
      </c>
      <c r="B202" s="78" t="s">
        <v>941</v>
      </c>
      <c r="C202" s="115" t="n">
        <v>425000</v>
      </c>
      <c r="D202" s="115" t="n">
        <f aca="false">200000+225000</f>
        <v>425000</v>
      </c>
      <c r="E202" s="117" t="n">
        <f aca="false">C202-D202</f>
        <v>0</v>
      </c>
    </row>
    <row r="203" customFormat="false" ht="19.7" hidden="false" customHeight="false" outlineLevel="0" collapsed="false">
      <c r="A203" s="120"/>
      <c r="B203" s="121" t="s">
        <v>21</v>
      </c>
      <c r="C203" s="127" t="n">
        <f aca="false">SUM(C178:C202)</f>
        <v>9775000</v>
      </c>
      <c r="D203" s="123" t="n">
        <f aca="false">SUM(D178:D202)</f>
        <v>9655000</v>
      </c>
      <c r="E203" s="124" t="n">
        <f aca="false">SUM(E178:E202)</f>
        <v>120000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L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11.00390625" defaultRowHeight="15" zeroHeight="false" outlineLevelRow="0" outlineLevelCol="0"/>
  <cols>
    <col collapsed="false" customWidth="true" hidden="false" outlineLevel="0" max="2" min="2" style="1" width="7.16"/>
    <col collapsed="false" customWidth="true" hidden="false" outlineLevel="0" max="3" min="3" style="1" width="16.57"/>
    <col collapsed="false" customWidth="true" hidden="false" outlineLevel="0" max="4" min="4" style="1" width="15.43"/>
    <col collapsed="false" customWidth="true" hidden="false" outlineLevel="0" max="5" min="5" style="1" width="14.57"/>
  </cols>
  <sheetData>
    <row r="4" customFormat="false" ht="15" hidden="false" customHeight="false" outlineLevel="0" collapsed="false">
      <c r="A4" s="128" t="s">
        <v>942</v>
      </c>
      <c r="B4" s="129"/>
      <c r="C4" s="129"/>
      <c r="D4" s="129"/>
      <c r="E4" s="129"/>
      <c r="F4" s="129"/>
      <c r="G4" s="129"/>
    </row>
    <row r="5" customFormat="false" ht="15" hidden="false" customHeight="false" outlineLevel="0" collapsed="false">
      <c r="A5" s="130" t="s">
        <v>943</v>
      </c>
      <c r="B5" s="131"/>
      <c r="C5" s="131"/>
      <c r="D5" s="131"/>
      <c r="E5" s="132"/>
      <c r="F5" s="129"/>
      <c r="G5" s="129"/>
    </row>
    <row r="7" customFormat="false" ht="15" hidden="false" customHeight="false" outlineLevel="0" collapsed="false">
      <c r="A7" s="133" t="s">
        <v>944</v>
      </c>
      <c r="B7" s="134" t="s">
        <v>945</v>
      </c>
      <c r="C7" s="135" t="s">
        <v>946</v>
      </c>
      <c r="D7" s="136" t="s">
        <v>947</v>
      </c>
      <c r="E7" s="133" t="s">
        <v>948</v>
      </c>
      <c r="F7" s="137" t="s">
        <v>949</v>
      </c>
    </row>
    <row r="8" customFormat="false" ht="6.75" hidden="false" customHeight="true" outlineLevel="0" collapsed="false">
      <c r="A8" s="138"/>
      <c r="B8" s="139"/>
      <c r="C8" s="140"/>
      <c r="D8" s="140"/>
      <c r="E8" s="140"/>
      <c r="F8" s="141"/>
    </row>
    <row r="9" customFormat="false" ht="15" hidden="false" customHeight="false" outlineLevel="0" collapsed="false">
      <c r="A9" s="142" t="s">
        <v>950</v>
      </c>
      <c r="B9" s="143" t="n">
        <v>21</v>
      </c>
      <c r="C9" s="144" t="n">
        <f aca="false">'LICENCE PRO. 1ère ANNEE'!C81</f>
        <v>8330000</v>
      </c>
      <c r="D9" s="144" t="n">
        <f aca="false">'LICENCE PRO. 1ère ANNEE'!D81</f>
        <v>6537000</v>
      </c>
      <c r="E9" s="145" t="n">
        <f aca="false">'LICENCE PRO. 1ère ANNEE'!E81</f>
        <v>493500</v>
      </c>
      <c r="F9" s="146"/>
    </row>
    <row r="10" customFormat="false" ht="15" hidden="false" customHeight="false" outlineLevel="0" collapsed="false">
      <c r="A10" s="142" t="s">
        <v>951</v>
      </c>
      <c r="B10" s="143" t="n">
        <v>39</v>
      </c>
      <c r="C10" s="144" t="n">
        <f aca="false">'LICENCE PRO. 2è-3è-4è ANNEE'!C215</f>
        <v>16668500</v>
      </c>
      <c r="D10" s="144" t="n">
        <f aca="false">'LICENCE PRO. 2è-3è-4è ANNEE'!D215</f>
        <v>10854500</v>
      </c>
      <c r="E10" s="145" t="n">
        <f aca="false">C10-D10</f>
        <v>5814000</v>
      </c>
      <c r="F10" s="146"/>
    </row>
    <row r="11" customFormat="false" ht="15" hidden="false" customHeight="false" outlineLevel="0" collapsed="false">
      <c r="A11" s="142" t="s">
        <v>952</v>
      </c>
      <c r="B11" s="143" t="n">
        <v>22</v>
      </c>
      <c r="C11" s="144" t="n">
        <f aca="false">'LICENCE PRO. 2è-3è-4è ANNEE'!C250</f>
        <v>9163000</v>
      </c>
      <c r="D11" s="144" t="n">
        <f aca="false">'LICENCE PRO. 2è-3è-4è ANNEE'!D250</f>
        <v>4269000</v>
      </c>
      <c r="E11" s="145" t="n">
        <f aca="false">C11-D11</f>
        <v>4894000</v>
      </c>
      <c r="F11" s="146"/>
    </row>
    <row r="12" customFormat="false" ht="15" hidden="false" customHeight="false" outlineLevel="0" collapsed="false">
      <c r="A12" s="142" t="s">
        <v>953</v>
      </c>
      <c r="B12" s="143" t="n">
        <v>21</v>
      </c>
      <c r="C12" s="144" t="n">
        <f aca="false">'LICENCE PRO. 2è-3è-4è ANNEE'!C281</f>
        <v>8746500</v>
      </c>
      <c r="D12" s="144" t="n">
        <f aca="false">'LICENCE PRO. 2è-3è-4è ANNEE'!D281</f>
        <v>4805500</v>
      </c>
      <c r="E12" s="145" t="n">
        <f aca="false">C12-D12</f>
        <v>3941000</v>
      </c>
      <c r="F12" s="146"/>
    </row>
    <row r="13" customFormat="false" ht="6.75" hidden="false" customHeight="true" outlineLevel="0" collapsed="false">
      <c r="A13" s="147"/>
      <c r="B13" s="148"/>
      <c r="C13" s="149"/>
      <c r="D13" s="149"/>
      <c r="E13" s="149"/>
      <c r="F13" s="150"/>
    </row>
    <row r="14" customFormat="false" ht="15" hidden="false" customHeight="false" outlineLevel="0" collapsed="false">
      <c r="A14" s="142" t="s">
        <v>954</v>
      </c>
      <c r="B14" s="143" t="n">
        <v>15</v>
      </c>
      <c r="C14" s="144" t="n">
        <f aca="false">'LICENCE PRO. 1ère ANNEE'!C130</f>
        <v>6247500</v>
      </c>
      <c r="D14" s="144" t="n">
        <f aca="false">'LICENCE PRO. 1ère ANNEE'!D130</f>
        <v>4758450</v>
      </c>
      <c r="E14" s="144" t="n">
        <f aca="false">C14-D14</f>
        <v>1489050</v>
      </c>
      <c r="F14" s="151"/>
    </row>
    <row r="15" customFormat="false" ht="15" hidden="false" customHeight="false" outlineLevel="0" collapsed="false">
      <c r="A15" s="142" t="s">
        <v>955</v>
      </c>
      <c r="B15" s="143" t="n">
        <v>27</v>
      </c>
      <c r="C15" s="144" t="n">
        <f aca="false">'LICENCE PRO. 2è-3è-4è ANNEE'!C319</f>
        <v>11245500</v>
      </c>
      <c r="D15" s="144" t="n">
        <f aca="false">'LICENCE PRO. 2è-3è-4è ANNEE'!D319</f>
        <v>5200000</v>
      </c>
      <c r="E15" s="144" t="n">
        <f aca="false">C15-D15</f>
        <v>6045500</v>
      </c>
      <c r="F15" s="151"/>
    </row>
    <row r="16" customFormat="false" ht="15" hidden="false" customHeight="false" outlineLevel="0" collapsed="false">
      <c r="A16" s="142" t="s">
        <v>956</v>
      </c>
      <c r="B16" s="143" t="n">
        <v>21</v>
      </c>
      <c r="C16" s="144" t="n">
        <f aca="false">'LICENCE PRO. 2è-3è-4è ANNEE'!C350</f>
        <v>8746500</v>
      </c>
      <c r="D16" s="144" t="n">
        <f aca="false">'LICENCE PRO. 2è-3è-4è ANNEE'!D350</f>
        <v>5249000</v>
      </c>
      <c r="E16" s="144" t="n">
        <f aca="false">C16-D16</f>
        <v>3497500</v>
      </c>
      <c r="F16" s="151"/>
    </row>
    <row r="17" customFormat="false" ht="15" hidden="false" customHeight="false" outlineLevel="0" collapsed="false">
      <c r="A17" s="142" t="s">
        <v>957</v>
      </c>
      <c r="B17" s="143" t="n">
        <v>13</v>
      </c>
      <c r="C17" s="144" t="n">
        <f aca="false">'LICENCE PRO. 2è-3è-4è ANNEE'!C374</f>
        <v>5414500</v>
      </c>
      <c r="D17" s="144" t="n">
        <f aca="false">'LICENCE PRO. 2è-3è-4è ANNEE'!D374</f>
        <v>3232000</v>
      </c>
      <c r="E17" s="144" t="n">
        <f aca="false">C17-D17</f>
        <v>2182500</v>
      </c>
      <c r="F17" s="151"/>
    </row>
    <row r="18" customFormat="false" ht="6.75" hidden="false" customHeight="true" outlineLevel="0" collapsed="false">
      <c r="A18" s="152"/>
      <c r="B18" s="152"/>
      <c r="C18" s="153"/>
      <c r="D18" s="153"/>
      <c r="E18" s="153"/>
      <c r="F18" s="154"/>
    </row>
    <row r="19" customFormat="false" ht="15" hidden="false" customHeight="false" outlineLevel="0" collapsed="false">
      <c r="A19" s="143" t="s">
        <v>958</v>
      </c>
      <c r="B19" s="143" t="n">
        <v>10</v>
      </c>
      <c r="C19" s="144" t="n">
        <f aca="false">'LICENCE PRO. 1ère ANNEE'!C150</f>
        <v>4165000</v>
      </c>
      <c r="D19" s="144" t="n">
        <f aca="false">'LICENCE PRO. 1ère ANNEE'!D150</f>
        <v>3997500</v>
      </c>
      <c r="E19" s="144" t="n">
        <f aca="false">C19-D19</f>
        <v>167500</v>
      </c>
      <c r="F19" s="146"/>
    </row>
    <row r="20" customFormat="false" ht="15" hidden="false" customHeight="false" outlineLevel="0" collapsed="false">
      <c r="A20" s="143" t="s">
        <v>959</v>
      </c>
      <c r="B20" s="143" t="n">
        <v>18</v>
      </c>
      <c r="C20" s="144" t="n">
        <f aca="false">'LICENCE PRO. 2è-3è-4è ANNEE'!C404</f>
        <v>7497000</v>
      </c>
      <c r="D20" s="144" t="n">
        <f aca="false">'LICENCE PRO. 2è-3è-4è ANNEE'!D404</f>
        <v>6491500</v>
      </c>
      <c r="E20" s="144" t="n">
        <f aca="false">C20-D20</f>
        <v>1005500</v>
      </c>
      <c r="F20" s="146"/>
    </row>
    <row r="21" customFormat="false" ht="15" hidden="false" customHeight="false" outlineLevel="0" collapsed="false">
      <c r="A21" s="143" t="s">
        <v>960</v>
      </c>
      <c r="B21" s="143" t="n">
        <v>16</v>
      </c>
      <c r="C21" s="144" t="n">
        <f aca="false">'LICENCE PRO. 2è-3è-4è ANNEE'!C432</f>
        <v>6664000</v>
      </c>
      <c r="D21" s="144" t="n">
        <f aca="false">'LICENCE PRO. 2è-3è-4è ANNEE'!D432</f>
        <v>4414000</v>
      </c>
      <c r="E21" s="144" t="n">
        <f aca="false">C21-D21</f>
        <v>2250000</v>
      </c>
      <c r="F21" s="146"/>
    </row>
    <row r="22" customFormat="false" ht="15" hidden="false" customHeight="false" outlineLevel="0" collapsed="false">
      <c r="A22" s="143" t="s">
        <v>961</v>
      </c>
      <c r="B22" s="143" t="n">
        <v>23</v>
      </c>
      <c r="C22" s="144" t="n">
        <f aca="false">'LICENCE PRO. 2è-3è-4è ANNEE'!C465</f>
        <v>9579500</v>
      </c>
      <c r="D22" s="144" t="n">
        <f aca="false">'LICENCE PRO. 2è-3è-4è ANNEE'!D465</f>
        <v>7713000</v>
      </c>
      <c r="E22" s="144" t="n">
        <f aca="false">C22-D22</f>
        <v>1866500</v>
      </c>
      <c r="F22" s="146"/>
    </row>
    <row r="23" customFormat="false" ht="6.75" hidden="false" customHeight="true" outlineLevel="0" collapsed="false">
      <c r="A23" s="155"/>
      <c r="B23" s="156"/>
      <c r="C23" s="157"/>
      <c r="D23" s="157"/>
      <c r="E23" s="157"/>
      <c r="F23" s="158"/>
    </row>
    <row r="24" customFormat="false" ht="0.75" hidden="false" customHeight="true" outlineLevel="0" collapsed="false">
      <c r="A24" s="159"/>
      <c r="B24" s="159"/>
      <c r="C24" s="159"/>
      <c r="D24" s="159"/>
      <c r="E24" s="159"/>
      <c r="F24" s="159"/>
    </row>
    <row r="25" customFormat="false" ht="14.25" hidden="false" customHeight="true" outlineLevel="0" collapsed="false">
      <c r="A25" s="160" t="s">
        <v>962</v>
      </c>
      <c r="B25" s="160" t="n">
        <v>9</v>
      </c>
      <c r="C25" s="161" t="n">
        <f aca="false">'LICENCE PRO. 1ère ANNEE'!C105</f>
        <v>3748500</v>
      </c>
      <c r="D25" s="161" t="n">
        <f aca="false">'LICENCE PRO. 1ère ANNEE'!D105</f>
        <v>3195500</v>
      </c>
      <c r="E25" s="161" t="n">
        <f aca="false">C25-D25</f>
        <v>553000</v>
      </c>
      <c r="F25" s="160"/>
    </row>
    <row r="26" customFormat="false" ht="15" hidden="false" customHeight="false" outlineLevel="0" collapsed="false">
      <c r="A26" s="142" t="s">
        <v>963</v>
      </c>
      <c r="B26" s="143" t="n">
        <v>10</v>
      </c>
      <c r="C26" s="144" t="n">
        <f aca="false">'LICENCE PRO. 2è-3è-4è ANNEE'!C769</f>
        <v>4165000</v>
      </c>
      <c r="D26" s="144" t="n">
        <f aca="false">'LICENCE PRO. 2è-3è-4è ANNEE'!D769</f>
        <v>1130500</v>
      </c>
      <c r="E26" s="161" t="n">
        <f aca="false">C26-D26</f>
        <v>3034500</v>
      </c>
      <c r="F26" s="151"/>
    </row>
    <row r="27" customFormat="false" ht="15" hidden="false" customHeight="false" outlineLevel="0" collapsed="false">
      <c r="A27" s="142" t="s">
        <v>964</v>
      </c>
      <c r="B27" s="143" t="n">
        <v>12</v>
      </c>
      <c r="C27" s="144" t="n">
        <f aca="false">'LICENCE PRO. 2è-3è-4è ANNEE'!C791</f>
        <v>4581500</v>
      </c>
      <c r="D27" s="144" t="n">
        <f aca="false">'LICENCE PRO. 2è-3è-4è ANNEE'!D791</f>
        <v>1624500</v>
      </c>
      <c r="E27" s="161" t="n">
        <f aca="false">C27-D27</f>
        <v>2957000</v>
      </c>
      <c r="F27" s="151"/>
    </row>
    <row r="28" customFormat="false" ht="5.25" hidden="false" customHeight="true" outlineLevel="0" collapsed="false">
      <c r="A28" s="156"/>
      <c r="B28" s="162"/>
      <c r="C28" s="163"/>
      <c r="D28" s="163"/>
      <c r="E28" s="163"/>
      <c r="F28" s="158"/>
    </row>
    <row r="29" customFormat="false" ht="15" hidden="false" customHeight="false" outlineLevel="0" collapsed="false">
      <c r="A29" s="142" t="s">
        <v>965</v>
      </c>
      <c r="B29" s="143" t="n">
        <v>13</v>
      </c>
      <c r="C29" s="144" t="n">
        <f aca="false">'LICENCE PRO. 1ère ANNEE'!C49</f>
        <v>5414500</v>
      </c>
      <c r="D29" s="144" t="n">
        <f aca="false">'LICENCE PRO. 1ère ANNEE'!D49</f>
        <v>4511000</v>
      </c>
      <c r="E29" s="144" t="n">
        <f aca="false">C29-D29</f>
        <v>903500</v>
      </c>
      <c r="F29" s="151"/>
    </row>
    <row r="30" customFormat="false" ht="15" hidden="false" customHeight="false" outlineLevel="0" collapsed="false">
      <c r="A30" s="142" t="s">
        <v>966</v>
      </c>
      <c r="B30" s="143" t="n">
        <v>21</v>
      </c>
      <c r="C30" s="144" t="n">
        <f aca="false">'LICENCE PRO. 2è-3è-4è ANNEE'!C83</f>
        <v>8746500</v>
      </c>
      <c r="D30" s="144" t="n">
        <f aca="false">'LICENCE PRO. 2è-3è-4è ANNEE'!D83</f>
        <v>5999500</v>
      </c>
      <c r="E30" s="144" t="n">
        <f aca="false">C30-D30</f>
        <v>2747000</v>
      </c>
      <c r="F30" s="151"/>
    </row>
    <row r="31" customFormat="false" ht="15" hidden="false" customHeight="false" outlineLevel="0" collapsed="false">
      <c r="A31" s="142" t="s">
        <v>967</v>
      </c>
      <c r="B31" s="143" t="n">
        <v>44</v>
      </c>
      <c r="C31" s="144" t="n">
        <f aca="false">'LICENCE PRO. 2è-3è-4è ANNEE'!C136</f>
        <v>18326000</v>
      </c>
      <c r="D31" s="144" t="n">
        <f aca="false">'LICENCE PRO. 2è-3è-4è ANNEE'!D136</f>
        <v>9238000</v>
      </c>
      <c r="E31" s="144" t="n">
        <f aca="false">C31-D31</f>
        <v>9088000</v>
      </c>
      <c r="F31" s="151"/>
    </row>
    <row r="32" customFormat="false" ht="15" hidden="false" customHeight="false" outlineLevel="0" collapsed="false">
      <c r="A32" s="142" t="s">
        <v>968</v>
      </c>
      <c r="B32" s="143" t="n">
        <v>20</v>
      </c>
      <c r="C32" s="144" t="n">
        <f aca="false">'LICENCE PRO. 2è-3è-4è ANNEE'!C165</f>
        <v>8330000</v>
      </c>
      <c r="D32" s="144" t="n">
        <f aca="false">'LICENCE PRO. 2è-3è-4è ANNEE'!D165</f>
        <v>2969000</v>
      </c>
      <c r="E32" s="144" t="n">
        <f aca="false">C32-D32</f>
        <v>5361000</v>
      </c>
      <c r="F32" s="151"/>
    </row>
    <row r="33" customFormat="false" ht="8.25" hidden="false" customHeight="true" outlineLevel="0" collapsed="false">
      <c r="A33" s="156"/>
      <c r="B33" s="162"/>
      <c r="C33" s="163"/>
      <c r="D33" s="163"/>
      <c r="E33" s="164"/>
      <c r="F33" s="165"/>
    </row>
    <row r="34" customFormat="false" ht="12.75" hidden="false" customHeight="true" outlineLevel="0" collapsed="false">
      <c r="A34" s="160" t="s">
        <v>969</v>
      </c>
      <c r="B34" s="160" t="n">
        <v>11</v>
      </c>
      <c r="C34" s="161" t="n">
        <f aca="false">'LICENCE PRO. 1ère ANNEE'!C22</f>
        <v>4581500</v>
      </c>
      <c r="D34" s="161" t="n">
        <f aca="false">'LICENCE PRO. 1ère ANNEE'!E22</f>
        <v>200500</v>
      </c>
      <c r="E34" s="161" t="n">
        <f aca="false">C34-D34</f>
        <v>4381000</v>
      </c>
      <c r="F34" s="166"/>
    </row>
    <row r="35" customFormat="false" ht="15" hidden="false" customHeight="false" outlineLevel="0" collapsed="false">
      <c r="A35" s="142" t="s">
        <v>970</v>
      </c>
      <c r="B35" s="143" t="n">
        <v>16</v>
      </c>
      <c r="C35" s="144" t="n">
        <f aca="false">'LICENCE PRO. 2è-3è-4è ANNEE'!C27</f>
        <v>6664000</v>
      </c>
      <c r="D35" s="144" t="n">
        <f aca="false">'LICENCE PRO. 2è-3è-4è ANNEE'!D27</f>
        <v>2074000</v>
      </c>
      <c r="E35" s="161" t="n">
        <f aca="false">C35-D35</f>
        <v>4590000</v>
      </c>
      <c r="F35" s="151"/>
    </row>
    <row r="36" customFormat="false" ht="15" hidden="false" customHeight="false" outlineLevel="0" collapsed="false">
      <c r="A36" s="142" t="s">
        <v>971</v>
      </c>
      <c r="B36" s="167" t="n">
        <v>12</v>
      </c>
      <c r="C36" s="144" t="n">
        <f aca="false">'LICENCE PRO. 2è-3è-4è ANNEE'!C52</f>
        <v>4998000</v>
      </c>
      <c r="D36" s="144" t="n">
        <f aca="false">'LICENCE PRO. 2è-3è-4è ANNEE'!D52</f>
        <v>1255000</v>
      </c>
      <c r="E36" s="161" t="n">
        <f aca="false">C36-D36</f>
        <v>3743000</v>
      </c>
      <c r="F36" s="168"/>
    </row>
    <row r="37" customFormat="false" ht="9" hidden="false" customHeight="true" outlineLevel="0" collapsed="false">
      <c r="A37" s="169"/>
      <c r="B37" s="170"/>
      <c r="C37" s="171"/>
      <c r="D37" s="171"/>
      <c r="E37" s="171"/>
      <c r="F37" s="172"/>
    </row>
    <row r="38" customFormat="false" ht="20.25" hidden="false" customHeight="true" outlineLevel="0" collapsed="false">
      <c r="A38" s="173" t="s">
        <v>972</v>
      </c>
      <c r="B38" s="174" t="n">
        <v>6</v>
      </c>
      <c r="C38" s="144" t="n">
        <f aca="false">'LICENCE PRO. 2è-3è-4è ANNEE'!C864</f>
        <v>2499000</v>
      </c>
      <c r="D38" s="144" t="n">
        <f aca="false">'LICENCE PRO. 2è-3è-4è ANNEE'!D864</f>
        <v>736500</v>
      </c>
      <c r="E38" s="175" t="n">
        <f aca="false">C38-D38</f>
        <v>1762500</v>
      </c>
      <c r="F38" s="151"/>
      <c r="L38" s="176" t="n">
        <f aca="false">303212000-C52</f>
        <v>1419000</v>
      </c>
    </row>
    <row r="39" customFormat="false" ht="7.5" hidden="false" customHeight="true" outlineLevel="0" collapsed="false">
      <c r="A39" s="177"/>
      <c r="B39" s="178"/>
      <c r="C39" s="179"/>
      <c r="D39" s="179"/>
      <c r="E39" s="179"/>
      <c r="F39" s="180"/>
    </row>
    <row r="40" customFormat="false" ht="15" hidden="false" customHeight="false" outlineLevel="0" collapsed="false">
      <c r="A40" s="181" t="s">
        <v>973</v>
      </c>
      <c r="B40" s="182" t="n">
        <v>41</v>
      </c>
      <c r="C40" s="161" t="n">
        <f aca="false">'LICENCE PRO. 1ère ANNEE'!C218</f>
        <v>16673500</v>
      </c>
      <c r="D40" s="161" t="n">
        <f aca="false">'LICENCE PRO. 1ère ANNEE'!D218</f>
        <v>14483500</v>
      </c>
      <c r="E40" s="161" t="n">
        <f aca="false">C40-D40</f>
        <v>2190000</v>
      </c>
      <c r="F40" s="183"/>
    </row>
    <row r="41" customFormat="false" ht="15" hidden="false" customHeight="false" outlineLevel="0" collapsed="false">
      <c r="A41" s="181" t="s">
        <v>974</v>
      </c>
      <c r="B41" s="182" t="n">
        <v>61</v>
      </c>
      <c r="C41" s="161" t="n">
        <f aca="false">'LICENCE PRO. 2è-3è-4è ANNEE'!C607</f>
        <v>24990000</v>
      </c>
      <c r="D41" s="161" t="n">
        <f aca="false">'LICENCE PRO. 2è-3è-4è ANNEE'!D607</f>
        <v>22627000</v>
      </c>
      <c r="E41" s="161" t="n">
        <f aca="false">C41-D41</f>
        <v>2363000</v>
      </c>
      <c r="F41" s="183"/>
    </row>
    <row r="42" customFormat="false" ht="15" hidden="false" customHeight="false" outlineLevel="0" collapsed="false">
      <c r="A42" s="173" t="s">
        <v>975</v>
      </c>
      <c r="B42" s="174" t="n">
        <v>26</v>
      </c>
      <c r="C42" s="144" t="n">
        <f aca="false">'LICENCE PRO. 2è-3è-4è ANNEE'!C644</f>
        <v>10829000</v>
      </c>
      <c r="D42" s="144" t="n">
        <f aca="false">'LICENCE PRO. 2è-3è-4è ANNEE'!D644</f>
        <v>10283500</v>
      </c>
      <c r="E42" s="161" t="n">
        <f aca="false">C42-D42</f>
        <v>545500</v>
      </c>
      <c r="F42" s="151"/>
      <c r="I42" s="1" t="s">
        <v>976</v>
      </c>
    </row>
    <row r="43" customFormat="false" ht="6" hidden="false" customHeight="true" outlineLevel="0" collapsed="false">
      <c r="A43" s="177"/>
      <c r="B43" s="178"/>
      <c r="C43" s="179"/>
      <c r="D43" s="179"/>
      <c r="E43" s="179"/>
      <c r="F43" s="180"/>
    </row>
    <row r="44" customFormat="false" ht="15" hidden="false" customHeight="false" outlineLevel="0" collapsed="false">
      <c r="A44" s="173" t="s">
        <v>977</v>
      </c>
      <c r="B44" s="174" t="n">
        <v>13</v>
      </c>
      <c r="C44" s="144" t="n">
        <f aca="false">'LICENCE PRO. 2è-3è-4è ANNEE'!C490</f>
        <v>5414500</v>
      </c>
      <c r="D44" s="144" t="n">
        <f aca="false">'LICENCE PRO. 2è-3è-4è ANNEE'!D490</f>
        <v>4418500</v>
      </c>
      <c r="E44" s="144" t="n">
        <f aca="false">C44-D44</f>
        <v>996000</v>
      </c>
      <c r="F44" s="151"/>
    </row>
    <row r="45" customFormat="false" ht="15" hidden="false" customHeight="false" outlineLevel="0" collapsed="false">
      <c r="A45" s="173" t="s">
        <v>978</v>
      </c>
      <c r="B45" s="174" t="n">
        <v>33</v>
      </c>
      <c r="C45" s="144" t="n">
        <f aca="false">'LICENCE PRO. 2è-3è-4è ANNEE'!C535</f>
        <v>13553000</v>
      </c>
      <c r="D45" s="144" t="n">
        <f aca="false">'LICENCE PRO. 2è-3è-4è ANNEE'!D535</f>
        <v>12701000</v>
      </c>
      <c r="E45" s="144" t="n">
        <f aca="false">C45-D45</f>
        <v>852000</v>
      </c>
      <c r="F45" s="151"/>
      <c r="J45" s="176" t="e">
        <f aca="false">#REF!+#REF!</f>
        <v>#REF!</v>
      </c>
    </row>
    <row r="46" customFormat="false" ht="15" hidden="false" customHeight="false" outlineLevel="0" collapsed="false">
      <c r="A46" s="173" t="s">
        <v>979</v>
      </c>
      <c r="B46" s="174" t="n">
        <v>92</v>
      </c>
      <c r="C46" s="144" t="n">
        <f aca="false">'LICENCE PRO. 2è-3è-4è ANNEE'!C747</f>
        <v>38318000</v>
      </c>
      <c r="D46" s="144" t="n">
        <f aca="false">'LICENCE PRO. 2è-3è-4è ANNEE'!D747</f>
        <v>34038500</v>
      </c>
      <c r="E46" s="144" t="n">
        <f aca="false">C46-D46</f>
        <v>4279500</v>
      </c>
      <c r="F46" s="151"/>
    </row>
    <row r="47" customFormat="false" ht="5.25" hidden="false" customHeight="true" outlineLevel="0" collapsed="false">
      <c r="A47" s="184"/>
      <c r="B47" s="185"/>
      <c r="C47" s="186"/>
      <c r="D47" s="186"/>
      <c r="E47" s="186"/>
      <c r="F47" s="187"/>
    </row>
    <row r="48" customFormat="false" ht="15" hidden="false" customHeight="false" outlineLevel="0" collapsed="false">
      <c r="A48" s="181" t="s">
        <v>980</v>
      </c>
      <c r="B48" s="182" t="n">
        <v>9</v>
      </c>
      <c r="C48" s="161" t="n">
        <f aca="false">'LICENCE PRO. 1ère ANNEE'!C168</f>
        <v>3748500</v>
      </c>
      <c r="D48" s="161" t="n">
        <f aca="false">'LICENCE PRO. 1ère ANNEE'!D168</f>
        <v>1212500</v>
      </c>
      <c r="E48" s="161" t="n">
        <f aca="false">C48-D48</f>
        <v>2536000</v>
      </c>
      <c r="F48" s="183"/>
    </row>
    <row r="49" customFormat="false" ht="15" hidden="false" customHeight="false" outlineLevel="0" collapsed="false">
      <c r="A49" s="181" t="s">
        <v>981</v>
      </c>
      <c r="B49" s="182" t="n">
        <v>24</v>
      </c>
      <c r="C49" s="161" t="n">
        <f aca="false">'LICENCE PRO. 2è-3è-4è ANNEE'!C847</f>
        <v>9996000</v>
      </c>
      <c r="D49" s="161" t="n">
        <f aca="false">'LICENCE PRO. 2è-3è-4è ANNEE'!D847</f>
        <v>6199000</v>
      </c>
      <c r="E49" s="161" t="n">
        <f aca="false">'LICENCE PRO. 2è-3è-4è ANNEE'!E847</f>
        <v>3797000</v>
      </c>
      <c r="F49" s="183"/>
    </row>
    <row r="50" customFormat="false" ht="17.25" hidden="false" customHeight="true" outlineLevel="0" collapsed="false">
      <c r="A50" s="181" t="s">
        <v>982</v>
      </c>
      <c r="B50" s="182" t="n">
        <v>9</v>
      </c>
      <c r="C50" s="161" t="n">
        <f aca="false">'LICENCE PRO. 2è-3è-4è ANNEE'!C812</f>
        <v>3748500</v>
      </c>
      <c r="D50" s="161" t="n">
        <f aca="false">'LICENCE PRO. 2è-3è-4è ANNEE'!D812</f>
        <v>2048500</v>
      </c>
      <c r="E50" s="161" t="n">
        <f aca="false">C50-D50</f>
        <v>1700000</v>
      </c>
      <c r="F50" s="183"/>
    </row>
    <row r="51" customFormat="false" ht="18.75" hidden="false" customHeight="true" outlineLevel="0" collapsed="false">
      <c r="A51" s="177"/>
      <c r="B51" s="188"/>
      <c r="C51" s="179"/>
      <c r="D51" s="179"/>
      <c r="E51" s="179"/>
      <c r="F51" s="180"/>
      <c r="I51" s="1" t="n">
        <f aca="false">278000000-191342950</f>
        <v>86657050</v>
      </c>
    </row>
    <row r="52" customFormat="false" ht="15" hidden="false" customHeight="false" outlineLevel="0" collapsed="false">
      <c r="A52" s="133" t="s">
        <v>983</v>
      </c>
      <c r="B52" s="189" t="n">
        <v>728</v>
      </c>
      <c r="C52" s="189" t="n">
        <f aca="false">C9+C10+C11+C12+C14+C15+C16+C17+C19+C20+C21+C22+C25+C26+C27+C29+C30+C31+C32+C34+C35+C36+C38+C40+C41+C42+C44+C45+C46+C48+C49+C50</f>
        <v>301793000</v>
      </c>
      <c r="D52" s="190" t="n">
        <f aca="false">SUM(D9:D51)</f>
        <v>208467450</v>
      </c>
      <c r="E52" s="189" t="n">
        <f aca="false">SUM(E9:E51)</f>
        <v>92026050</v>
      </c>
      <c r="F52" s="191" t="n">
        <f aca="false">D52/C52</f>
        <v>0.690763039566855</v>
      </c>
      <c r="K52" s="1" t="s">
        <v>862</v>
      </c>
    </row>
    <row r="53" customFormat="false" ht="15" hidden="false" customHeight="false" outlineLevel="0" collapsed="false">
      <c r="A53" s="192"/>
      <c r="B53" s="192"/>
      <c r="C53" s="193"/>
      <c r="D53" s="193"/>
      <c r="E53" s="193"/>
      <c r="F53" s="194"/>
    </row>
    <row r="54" customFormat="false" ht="15" hidden="false" customHeight="false" outlineLevel="0" collapsed="false">
      <c r="D54" s="1" t="n">
        <v>176584950</v>
      </c>
    </row>
    <row r="57" customFormat="false" ht="15" hidden="false" customHeight="false" outlineLevel="0" collapsed="false">
      <c r="D57" s="1" t="n">
        <f aca="false">D52/C52*100</f>
        <v>69.0763039566855</v>
      </c>
    </row>
    <row r="62" customFormat="false" ht="15" hidden="false" customHeight="false" outlineLevel="0" collapsed="false">
      <c r="G62" s="176"/>
      <c r="I62" s="176"/>
    </row>
  </sheetData>
  <mergeCells count="2">
    <mergeCell ref="B5:D5"/>
    <mergeCell ref="A24:F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17.29"/>
    <col collapsed="false" customWidth="true" hidden="false" outlineLevel="0" max="3" min="3" style="1" width="16.29"/>
    <col collapsed="false" customWidth="true" hidden="false" outlineLevel="0" max="4" min="4" style="1" width="16"/>
  </cols>
  <sheetData>
    <row r="6" customFormat="false" ht="19.7" hidden="false" customHeight="false" outlineLevel="0" collapsed="false">
      <c r="A6" s="195" t="s">
        <v>984</v>
      </c>
    </row>
    <row r="8" customFormat="false" ht="26.85" hidden="false" customHeight="false" outlineLevel="0" collapsed="false">
      <c r="A8" s="196" t="s">
        <v>985</v>
      </c>
      <c r="B8" s="197" t="s">
        <v>986</v>
      </c>
      <c r="C8" s="197" t="s">
        <v>987</v>
      </c>
      <c r="D8" s="197" t="s">
        <v>988</v>
      </c>
    </row>
    <row r="9" customFormat="false" ht="25.5" hidden="false" customHeight="true" outlineLevel="0" collapsed="false">
      <c r="A9" s="198" t="s">
        <v>989</v>
      </c>
      <c r="B9" s="199"/>
      <c r="C9" s="199"/>
      <c r="D9" s="199"/>
      <c r="E9" s="176" t="n">
        <f aca="false">B9+C9+D9</f>
        <v>0</v>
      </c>
    </row>
    <row r="10" customFormat="false" ht="24" hidden="false" customHeight="true" outlineLevel="0" collapsed="false">
      <c r="A10" s="200" t="s">
        <v>990</v>
      </c>
      <c r="B10" s="201"/>
      <c r="C10" s="201"/>
      <c r="D10" s="201"/>
      <c r="E10" s="176" t="n">
        <f aca="false">B10+C10+D10</f>
        <v>0</v>
      </c>
    </row>
    <row r="11" customFormat="false" ht="24.75" hidden="false" customHeight="true" outlineLevel="0" collapsed="false">
      <c r="A11" s="200" t="s">
        <v>991</v>
      </c>
      <c r="B11" s="201"/>
      <c r="C11" s="201"/>
      <c r="D11" s="201"/>
      <c r="E11" s="176" t="n">
        <f aca="false">B11+C11+D11</f>
        <v>0</v>
      </c>
    </row>
    <row r="12" customFormat="false" ht="26.25" hidden="false" customHeight="true" outlineLevel="0" collapsed="false">
      <c r="A12" s="200" t="s">
        <v>992</v>
      </c>
      <c r="B12" s="201"/>
      <c r="C12" s="201"/>
      <c r="D12" s="201"/>
      <c r="E12" s="176" t="n">
        <f aca="false">B12+C12+D12</f>
        <v>0</v>
      </c>
    </row>
    <row r="13" customFormat="false" ht="22.5" hidden="false" customHeight="true" outlineLevel="0" collapsed="false">
      <c r="A13" s="200" t="s">
        <v>993</v>
      </c>
      <c r="B13" s="201"/>
      <c r="C13" s="201"/>
      <c r="D13" s="201"/>
      <c r="E13" s="176" t="n">
        <f aca="false">B13+C13+D13</f>
        <v>0</v>
      </c>
    </row>
    <row r="14" customFormat="false" ht="26.25" hidden="false" customHeight="true" outlineLevel="0" collapsed="false">
      <c r="A14" s="200" t="s">
        <v>994</v>
      </c>
      <c r="B14" s="201"/>
      <c r="C14" s="201"/>
      <c r="D14" s="201"/>
      <c r="E14" s="176" t="n">
        <f aca="false">B14+C14+D14</f>
        <v>0</v>
      </c>
    </row>
    <row r="15" customFormat="false" ht="24.75" hidden="false" customHeight="true" outlineLevel="0" collapsed="false">
      <c r="A15" s="200" t="s">
        <v>995</v>
      </c>
      <c r="B15" s="201"/>
      <c r="C15" s="201"/>
      <c r="D15" s="201"/>
      <c r="E15" s="176" t="n">
        <f aca="false">B15+C15+D15</f>
        <v>0</v>
      </c>
    </row>
    <row r="16" customFormat="false" ht="26.25" hidden="false" customHeight="true" outlineLevel="0" collapsed="false">
      <c r="A16" s="200" t="s">
        <v>996</v>
      </c>
      <c r="B16" s="201"/>
      <c r="C16" s="201"/>
      <c r="D16" s="201"/>
      <c r="E16" s="176" t="n">
        <f aca="false">B16+C16+D16</f>
        <v>0</v>
      </c>
    </row>
    <row r="17" customFormat="false" ht="25.5" hidden="false" customHeight="true" outlineLevel="0" collapsed="false">
      <c r="A17" s="200" t="s">
        <v>997</v>
      </c>
      <c r="B17" s="201"/>
      <c r="C17" s="201"/>
      <c r="D17" s="201"/>
      <c r="E17" s="176" t="n">
        <f aca="false">B17+C17+D17</f>
        <v>0</v>
      </c>
    </row>
    <row r="18" customFormat="false" ht="22.5" hidden="false" customHeight="true" outlineLevel="0" collapsed="false">
      <c r="A18" s="200" t="s">
        <v>998</v>
      </c>
      <c r="B18" s="201"/>
      <c r="C18" s="201"/>
      <c r="D18" s="201"/>
      <c r="E18" s="176" t="n">
        <f aca="false">B18+C18+D18</f>
        <v>0</v>
      </c>
    </row>
    <row r="19" customFormat="false" ht="27.75" hidden="false" customHeight="true" outlineLevel="0" collapsed="false">
      <c r="A19" s="200" t="s">
        <v>999</v>
      </c>
      <c r="B19" s="202"/>
      <c r="C19" s="202"/>
      <c r="D19" s="201"/>
      <c r="E19" s="176" t="n">
        <f aca="false">B19+C19+D19</f>
        <v>0</v>
      </c>
    </row>
    <row r="20" customFormat="false" ht="27.75" hidden="false" customHeight="true" outlineLevel="0" collapsed="false">
      <c r="A20" s="200" t="s">
        <v>1000</v>
      </c>
      <c r="B20" s="203"/>
      <c r="C20" s="203"/>
      <c r="D20" s="204"/>
      <c r="E20" s="176" t="n">
        <f aca="false">B20+C20+D20</f>
        <v>0</v>
      </c>
    </row>
    <row r="21" customFormat="false" ht="24.75" hidden="false" customHeight="true" outlineLevel="0" collapsed="false">
      <c r="A21" s="205" t="s">
        <v>1001</v>
      </c>
      <c r="B21" s="206" t="n">
        <f aca="false">SUM(B9:B18)</f>
        <v>0</v>
      </c>
      <c r="C21" s="206" t="n">
        <f aca="false">SUM(C9:C20)</f>
        <v>0</v>
      </c>
      <c r="D21" s="206" t="n">
        <f aca="false">SUM(D9:D18)</f>
        <v>0</v>
      </c>
      <c r="E21" s="176" t="n">
        <f aca="false">SUM(E9:E20)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F3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37" activeCellId="0" sqref="E437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35.14"/>
    <col collapsed="false" customWidth="true" hidden="false" outlineLevel="0" max="5" min="5" style="1" width="14.14"/>
    <col collapsed="false" customWidth="true" hidden="false" outlineLevel="0" max="6" min="6" style="1" width="15.85"/>
  </cols>
  <sheetData>
    <row r="5" customFormat="false" ht="17.35" hidden="false" customHeight="false" outlineLevel="0" collapsed="false">
      <c r="A5" s="2"/>
      <c r="B5" s="3" t="s">
        <v>1002</v>
      </c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/>
    </row>
    <row r="8" customFormat="false" ht="17.25" hidden="false" customHeight="false" outlineLevel="0" collapsed="false">
      <c r="A8" s="2"/>
      <c r="B8" s="5" t="s">
        <v>22</v>
      </c>
      <c r="D8" s="6" t="s">
        <v>2</v>
      </c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7" t="s">
        <v>3</v>
      </c>
      <c r="B10" s="8" t="s">
        <v>4</v>
      </c>
      <c r="C10" s="9" t="s">
        <v>5</v>
      </c>
      <c r="D10" s="10" t="s">
        <v>6</v>
      </c>
      <c r="E10" s="105" t="s">
        <v>7</v>
      </c>
    </row>
    <row r="11" customFormat="false" ht="15" hidden="false" customHeight="false" outlineLevel="0" collapsed="false">
      <c r="A11" s="35" t="n">
        <v>1</v>
      </c>
      <c r="B11" s="17" t="s">
        <v>192</v>
      </c>
      <c r="C11" s="14"/>
      <c r="D11" s="14"/>
      <c r="E11" s="96"/>
    </row>
    <row r="12" customFormat="false" ht="15" hidden="false" customHeight="false" outlineLevel="0" collapsed="false">
      <c r="A12" s="35" t="n">
        <v>2</v>
      </c>
      <c r="B12" s="39" t="s">
        <v>193</v>
      </c>
      <c r="C12" s="14"/>
      <c r="D12" s="14"/>
      <c r="E12" s="96"/>
    </row>
    <row r="13" customFormat="false" ht="15" hidden="false" customHeight="false" outlineLevel="0" collapsed="false">
      <c r="A13" s="35" t="n">
        <v>3</v>
      </c>
      <c r="B13" s="39" t="s">
        <v>195</v>
      </c>
      <c r="C13" s="14"/>
      <c r="D13" s="14"/>
      <c r="E13" s="96"/>
    </row>
    <row r="14" customFormat="false" ht="15" hidden="false" customHeight="false" outlineLevel="0" collapsed="false">
      <c r="A14" s="35" t="n">
        <v>4</v>
      </c>
      <c r="B14" s="39" t="s">
        <v>196</v>
      </c>
      <c r="C14" s="14"/>
      <c r="D14" s="14"/>
      <c r="E14" s="96"/>
    </row>
    <row r="15" customFormat="false" ht="15" hidden="false" customHeight="false" outlineLevel="0" collapsed="false">
      <c r="A15" s="35" t="n">
        <v>5</v>
      </c>
      <c r="B15" s="39" t="s">
        <v>197</v>
      </c>
      <c r="C15" s="14"/>
      <c r="D15" s="14"/>
      <c r="E15" s="96"/>
    </row>
    <row r="16" customFormat="false" ht="15" hidden="false" customHeight="false" outlineLevel="0" collapsed="false">
      <c r="A16" s="35" t="n">
        <v>6</v>
      </c>
      <c r="B16" s="39" t="s">
        <v>1003</v>
      </c>
      <c r="C16" s="14"/>
      <c r="D16" s="14"/>
      <c r="E16" s="96"/>
    </row>
    <row r="17" customFormat="false" ht="15" hidden="false" customHeight="false" outlineLevel="0" collapsed="false">
      <c r="A17" s="35" t="n">
        <v>7</v>
      </c>
      <c r="B17" s="39" t="s">
        <v>198</v>
      </c>
      <c r="C17" s="14"/>
      <c r="D17" s="14"/>
      <c r="E17" s="96"/>
    </row>
    <row r="18" customFormat="false" ht="15" hidden="false" customHeight="false" outlineLevel="0" collapsed="false">
      <c r="A18" s="35" t="n">
        <v>8</v>
      </c>
      <c r="B18" s="39" t="s">
        <v>199</v>
      </c>
      <c r="C18" s="14"/>
      <c r="D18" s="14"/>
      <c r="E18" s="96"/>
    </row>
    <row r="19" customFormat="false" ht="15" hidden="false" customHeight="false" outlineLevel="0" collapsed="false">
      <c r="A19" s="35" t="n">
        <v>9</v>
      </c>
      <c r="B19" s="39" t="s">
        <v>200</v>
      </c>
      <c r="C19" s="14"/>
      <c r="D19" s="14"/>
      <c r="E19" s="96"/>
    </row>
    <row r="20" customFormat="false" ht="15" hidden="false" customHeight="false" outlineLevel="0" collapsed="false">
      <c r="A20" s="35" t="n">
        <v>10</v>
      </c>
      <c r="B20" s="39" t="s">
        <v>201</v>
      </c>
      <c r="C20" s="14"/>
      <c r="D20" s="14"/>
      <c r="E20" s="96"/>
    </row>
    <row r="21" customFormat="false" ht="15" hidden="false" customHeight="false" outlineLevel="0" collapsed="false">
      <c r="A21" s="35" t="n">
        <v>11</v>
      </c>
      <c r="B21" s="39" t="s">
        <v>202</v>
      </c>
      <c r="C21" s="14"/>
      <c r="D21" s="14"/>
      <c r="E21" s="96"/>
    </row>
    <row r="22" customFormat="false" ht="15" hidden="false" customHeight="false" outlineLevel="0" collapsed="false">
      <c r="A22" s="35" t="n">
        <v>12</v>
      </c>
      <c r="B22" s="39" t="s">
        <v>203</v>
      </c>
      <c r="C22" s="14"/>
      <c r="D22" s="14"/>
      <c r="E22" s="96"/>
    </row>
    <row r="23" customFormat="false" ht="15" hidden="false" customHeight="false" outlineLevel="0" collapsed="false">
      <c r="A23" s="35" t="n">
        <v>13</v>
      </c>
      <c r="B23" s="39" t="s">
        <v>204</v>
      </c>
      <c r="C23" s="14"/>
      <c r="D23" s="14"/>
      <c r="E23" s="96"/>
    </row>
    <row r="24" customFormat="false" ht="15" hidden="false" customHeight="false" outlineLevel="0" collapsed="false">
      <c r="A24" s="35" t="n">
        <v>14</v>
      </c>
      <c r="B24" s="39" t="s">
        <v>205</v>
      </c>
      <c r="C24" s="14"/>
      <c r="D24" s="14"/>
      <c r="E24" s="96"/>
    </row>
    <row r="25" customFormat="false" ht="15" hidden="false" customHeight="false" outlineLevel="0" collapsed="false">
      <c r="A25" s="35" t="n">
        <v>15</v>
      </c>
      <c r="B25" s="39" t="s">
        <v>206</v>
      </c>
      <c r="C25" s="14"/>
      <c r="D25" s="14"/>
      <c r="E25" s="96"/>
    </row>
    <row r="26" customFormat="false" ht="15" hidden="false" customHeight="false" outlineLevel="0" collapsed="false">
      <c r="A26" s="35" t="n">
        <v>16</v>
      </c>
      <c r="B26" s="39" t="s">
        <v>207</v>
      </c>
      <c r="C26" s="14"/>
      <c r="D26" s="14"/>
      <c r="E26" s="96"/>
    </row>
    <row r="27" customFormat="false" ht="15" hidden="false" customHeight="false" outlineLevel="0" collapsed="false">
      <c r="A27" s="35" t="n">
        <v>17</v>
      </c>
      <c r="B27" s="17" t="s">
        <v>208</v>
      </c>
      <c r="C27" s="14"/>
      <c r="D27" s="14"/>
      <c r="E27" s="96"/>
    </row>
    <row r="28" customFormat="false" ht="15" hidden="false" customHeight="false" outlineLevel="0" collapsed="false">
      <c r="A28" s="35" t="n">
        <v>18</v>
      </c>
      <c r="B28" s="39" t="s">
        <v>209</v>
      </c>
      <c r="C28" s="14"/>
      <c r="D28" s="14"/>
      <c r="E28" s="96"/>
    </row>
    <row r="29" customFormat="false" ht="15" hidden="false" customHeight="false" outlineLevel="0" collapsed="false">
      <c r="A29" s="35" t="n">
        <v>19</v>
      </c>
      <c r="B29" s="39" t="s">
        <v>211</v>
      </c>
      <c r="C29" s="14"/>
      <c r="D29" s="14"/>
      <c r="E29" s="96"/>
    </row>
    <row r="30" customFormat="false" ht="15" hidden="false" customHeight="false" outlineLevel="0" collapsed="false">
      <c r="A30" s="50" t="n">
        <v>20</v>
      </c>
      <c r="B30" s="20" t="s">
        <v>210</v>
      </c>
      <c r="C30" s="14"/>
      <c r="D30" s="207"/>
      <c r="E30" s="96"/>
    </row>
    <row r="31" customFormat="false" ht="15" hidden="false" customHeight="false" outlineLevel="0" collapsed="false">
      <c r="A31" s="50" t="n">
        <v>21</v>
      </c>
      <c r="B31" s="36" t="s">
        <v>212</v>
      </c>
      <c r="C31" s="14"/>
      <c r="D31" s="14"/>
      <c r="E31" s="96"/>
    </row>
    <row r="32" customFormat="false" ht="15" hidden="false" customHeight="false" outlineLevel="0" collapsed="false">
      <c r="A32" s="35" t="n">
        <v>22</v>
      </c>
      <c r="B32" s="39" t="s">
        <v>194</v>
      </c>
      <c r="C32" s="14"/>
      <c r="D32" s="14"/>
      <c r="E32" s="96"/>
    </row>
    <row r="33" customFormat="false" ht="17.35" hidden="false" customHeight="false" outlineLevel="0" collapsed="false">
      <c r="A33" s="35"/>
      <c r="B33" s="23" t="s">
        <v>21</v>
      </c>
      <c r="C33" s="24" t="n">
        <f aca="false">SUM(C11:C32)</f>
        <v>0</v>
      </c>
      <c r="D33" s="54" t="n">
        <f aca="false">SUM(D11:D32)</f>
        <v>0</v>
      </c>
      <c r="E33" s="96" t="n">
        <f aca="false">C33-D33</f>
        <v>0</v>
      </c>
    </row>
    <row r="34" customFormat="false" ht="15" hidden="false" customHeight="false" outlineLevel="0" collapsed="false">
      <c r="A34" s="50"/>
    </row>
    <row r="36" customFormat="false" ht="17.35" hidden="false" customHeight="false" outlineLevel="0" collapsed="false">
      <c r="B36" s="3" t="s">
        <v>1002</v>
      </c>
      <c r="C36" s="3"/>
    </row>
    <row r="38" customFormat="false" ht="15" hidden="false" customHeight="false" outlineLevel="0" collapsed="false">
      <c r="A38" s="2"/>
    </row>
    <row r="39" customFormat="false" ht="17.25" hidden="false" customHeight="false" outlineLevel="0" collapsed="false">
      <c r="A39" s="2"/>
      <c r="B39" s="5" t="s">
        <v>37</v>
      </c>
      <c r="D39" s="6" t="s">
        <v>2</v>
      </c>
    </row>
    <row r="40" customFormat="false" ht="15" hidden="false" customHeight="false" outlineLevel="0" collapsed="false">
      <c r="A40" s="2"/>
    </row>
    <row r="41" customFormat="false" ht="15" hidden="false" customHeight="false" outlineLevel="0" collapsed="false">
      <c r="A41" s="7" t="s">
        <v>3</v>
      </c>
      <c r="B41" s="8" t="s">
        <v>4</v>
      </c>
      <c r="C41" s="9" t="s">
        <v>5</v>
      </c>
      <c r="D41" s="10" t="s">
        <v>6</v>
      </c>
      <c r="E41" s="105" t="s">
        <v>7</v>
      </c>
    </row>
    <row r="42" customFormat="false" ht="15" hidden="false" customHeight="false" outlineLevel="0" collapsed="false">
      <c r="A42" s="35" t="n">
        <v>1</v>
      </c>
      <c r="B42" s="20" t="s">
        <v>1004</v>
      </c>
      <c r="C42" s="14"/>
      <c r="D42" s="207"/>
      <c r="E42" s="96"/>
    </row>
    <row r="43" customFormat="false" ht="15" hidden="false" customHeight="false" outlineLevel="0" collapsed="false">
      <c r="A43" s="12" t="n">
        <v>2</v>
      </c>
      <c r="B43" s="20" t="s">
        <v>1005</v>
      </c>
      <c r="C43" s="14"/>
      <c r="D43" s="207"/>
      <c r="E43" s="96"/>
    </row>
    <row r="44" customFormat="false" ht="15" hidden="false" customHeight="false" outlineLevel="0" collapsed="false">
      <c r="A44" s="12" t="n">
        <v>3</v>
      </c>
      <c r="B44" s="20" t="s">
        <v>278</v>
      </c>
      <c r="C44" s="14"/>
      <c r="D44" s="207"/>
      <c r="E44" s="96"/>
    </row>
    <row r="45" customFormat="false" ht="15" hidden="false" customHeight="false" outlineLevel="0" collapsed="false">
      <c r="A45" s="12" t="n">
        <v>4</v>
      </c>
      <c r="B45" s="20" t="s">
        <v>279</v>
      </c>
      <c r="C45" s="14"/>
      <c r="D45" s="207"/>
      <c r="E45" s="96"/>
    </row>
    <row r="46" customFormat="false" ht="15" hidden="false" customHeight="false" outlineLevel="0" collapsed="false">
      <c r="A46" s="35" t="n">
        <v>5</v>
      </c>
      <c r="B46" s="20" t="s">
        <v>1006</v>
      </c>
      <c r="C46" s="14"/>
      <c r="D46" s="207"/>
      <c r="E46" s="96"/>
    </row>
    <row r="47" customFormat="false" ht="15" hidden="false" customHeight="false" outlineLevel="0" collapsed="false">
      <c r="A47" s="35" t="n">
        <v>6</v>
      </c>
      <c r="B47" s="20" t="s">
        <v>280</v>
      </c>
      <c r="C47" s="14"/>
      <c r="D47" s="207"/>
      <c r="E47" s="96"/>
    </row>
    <row r="48" customFormat="false" ht="15" hidden="false" customHeight="false" outlineLevel="0" collapsed="false">
      <c r="A48" s="35" t="n">
        <v>7</v>
      </c>
      <c r="B48" s="20" t="s">
        <v>1007</v>
      </c>
      <c r="C48" s="14"/>
      <c r="D48" s="207"/>
      <c r="E48" s="96"/>
    </row>
    <row r="49" customFormat="false" ht="15" hidden="false" customHeight="false" outlineLevel="0" collapsed="false">
      <c r="A49" s="35" t="n">
        <v>8</v>
      </c>
      <c r="B49" s="20" t="s">
        <v>282</v>
      </c>
      <c r="C49" s="14"/>
      <c r="D49" s="207"/>
      <c r="E49" s="96"/>
    </row>
    <row r="50" customFormat="false" ht="15" hidden="false" customHeight="false" outlineLevel="0" collapsed="false">
      <c r="A50" s="35" t="n">
        <v>9</v>
      </c>
      <c r="B50" s="20" t="s">
        <v>284</v>
      </c>
      <c r="C50" s="14"/>
      <c r="D50" s="207"/>
      <c r="E50" s="96"/>
    </row>
    <row r="51" customFormat="false" ht="15" hidden="false" customHeight="false" outlineLevel="0" collapsed="false">
      <c r="A51" s="35" t="n">
        <v>10</v>
      </c>
      <c r="B51" s="20" t="s">
        <v>1008</v>
      </c>
      <c r="C51" s="14"/>
      <c r="D51" s="207"/>
      <c r="E51" s="96"/>
    </row>
    <row r="52" customFormat="false" ht="15" hidden="false" customHeight="false" outlineLevel="0" collapsed="false">
      <c r="A52" s="35" t="n">
        <v>11</v>
      </c>
      <c r="B52" s="20" t="s">
        <v>1009</v>
      </c>
      <c r="C52" s="14"/>
      <c r="D52" s="207"/>
      <c r="E52" s="96"/>
    </row>
    <row r="53" customFormat="false" ht="15" hidden="false" customHeight="false" outlineLevel="0" collapsed="false">
      <c r="A53" s="50" t="n">
        <v>12</v>
      </c>
      <c r="B53" s="20" t="s">
        <v>287</v>
      </c>
      <c r="C53" s="14"/>
      <c r="D53" s="207"/>
      <c r="E53" s="96"/>
    </row>
    <row r="54" customFormat="false" ht="15" hidden="false" customHeight="false" outlineLevel="0" collapsed="false">
      <c r="A54" s="35" t="n">
        <v>13</v>
      </c>
      <c r="B54" s="20" t="s">
        <v>289</v>
      </c>
      <c r="C54" s="14"/>
      <c r="D54" s="207"/>
      <c r="E54" s="96"/>
    </row>
    <row r="55" customFormat="false" ht="15" hidden="false" customHeight="false" outlineLevel="0" collapsed="false">
      <c r="A55" s="35" t="n">
        <v>14</v>
      </c>
      <c r="B55" s="20" t="s">
        <v>290</v>
      </c>
      <c r="C55" s="14"/>
      <c r="D55" s="207"/>
      <c r="E55" s="96"/>
    </row>
    <row r="56" customFormat="false" ht="15" hidden="false" customHeight="false" outlineLevel="0" collapsed="false">
      <c r="A56" s="35" t="n">
        <v>15</v>
      </c>
      <c r="B56" s="20" t="s">
        <v>292</v>
      </c>
      <c r="C56" s="14"/>
      <c r="D56" s="207"/>
      <c r="E56" s="96"/>
    </row>
    <row r="57" customFormat="false" ht="15" hidden="false" customHeight="false" outlineLevel="0" collapsed="false">
      <c r="A57" s="35" t="n">
        <v>16</v>
      </c>
      <c r="B57" s="20" t="s">
        <v>1010</v>
      </c>
      <c r="C57" s="14"/>
      <c r="D57" s="207"/>
      <c r="E57" s="96"/>
    </row>
    <row r="58" customFormat="false" ht="15" hidden="false" customHeight="false" outlineLevel="0" collapsed="false">
      <c r="A58" s="35" t="n">
        <v>17</v>
      </c>
      <c r="B58" s="20" t="s">
        <v>293</v>
      </c>
      <c r="C58" s="14"/>
      <c r="D58" s="207"/>
      <c r="E58" s="96"/>
    </row>
    <row r="59" customFormat="false" ht="15" hidden="false" customHeight="false" outlineLevel="0" collapsed="false">
      <c r="A59" s="35" t="n">
        <v>18</v>
      </c>
      <c r="B59" s="20" t="s">
        <v>294</v>
      </c>
      <c r="C59" s="14"/>
      <c r="D59" s="207"/>
      <c r="E59" s="96"/>
    </row>
    <row r="60" customFormat="false" ht="15" hidden="false" customHeight="false" outlineLevel="0" collapsed="false">
      <c r="A60" s="35" t="n">
        <v>19</v>
      </c>
      <c r="B60" s="20" t="s">
        <v>1011</v>
      </c>
      <c r="C60" s="14"/>
      <c r="D60" s="207"/>
      <c r="E60" s="96"/>
    </row>
    <row r="61" customFormat="false" ht="15" hidden="false" customHeight="false" outlineLevel="0" collapsed="false">
      <c r="A61" s="35" t="n">
        <v>20</v>
      </c>
      <c r="B61" s="20" t="s">
        <v>297</v>
      </c>
      <c r="C61" s="14"/>
      <c r="D61" s="207"/>
      <c r="E61" s="96"/>
    </row>
    <row r="62" customFormat="false" ht="15" hidden="false" customHeight="false" outlineLevel="0" collapsed="false">
      <c r="A62" s="35" t="n">
        <v>21</v>
      </c>
      <c r="B62" s="20" t="s">
        <v>300</v>
      </c>
      <c r="C62" s="14"/>
      <c r="D62" s="207"/>
      <c r="E62" s="96"/>
    </row>
    <row r="63" customFormat="false" ht="15" hidden="false" customHeight="false" outlineLevel="0" collapsed="false">
      <c r="A63" s="35" t="n">
        <v>22</v>
      </c>
      <c r="B63" s="20" t="s">
        <v>301</v>
      </c>
      <c r="C63" s="14"/>
      <c r="D63" s="207"/>
      <c r="E63" s="96"/>
    </row>
    <row r="64" customFormat="false" ht="15" hidden="false" customHeight="false" outlineLevel="0" collapsed="false">
      <c r="A64" s="35" t="n">
        <v>23</v>
      </c>
      <c r="B64" s="20" t="s">
        <v>303</v>
      </c>
      <c r="C64" s="14"/>
      <c r="D64" s="207"/>
      <c r="E64" s="96"/>
    </row>
    <row r="65" customFormat="false" ht="15" hidden="false" customHeight="false" outlineLevel="0" collapsed="false">
      <c r="A65" s="35" t="n">
        <v>24</v>
      </c>
      <c r="B65" s="20" t="s">
        <v>304</v>
      </c>
      <c r="C65" s="14"/>
      <c r="D65" s="207"/>
      <c r="E65" s="96"/>
    </row>
    <row r="66" customFormat="false" ht="15" hidden="false" customHeight="false" outlineLevel="0" collapsed="false">
      <c r="A66" s="35" t="n">
        <v>25</v>
      </c>
      <c r="B66" s="20" t="s">
        <v>305</v>
      </c>
      <c r="C66" s="14"/>
      <c r="D66" s="207"/>
      <c r="E66" s="96"/>
    </row>
    <row r="67" customFormat="false" ht="15" hidden="false" customHeight="false" outlineLevel="0" collapsed="false">
      <c r="A67" s="35" t="n">
        <v>26</v>
      </c>
      <c r="B67" s="20" t="s">
        <v>306</v>
      </c>
      <c r="C67" s="14"/>
      <c r="D67" s="207"/>
      <c r="E67" s="96"/>
    </row>
    <row r="68" customFormat="false" ht="15" hidden="false" customHeight="false" outlineLevel="0" collapsed="false">
      <c r="A68" s="35" t="n">
        <v>27</v>
      </c>
      <c r="B68" s="20" t="s">
        <v>308</v>
      </c>
      <c r="C68" s="14"/>
      <c r="D68" s="207"/>
      <c r="E68" s="96"/>
    </row>
    <row r="69" customFormat="false" ht="15" hidden="false" customHeight="false" outlineLevel="0" collapsed="false">
      <c r="A69" s="35" t="n">
        <v>28</v>
      </c>
      <c r="B69" s="20" t="s">
        <v>309</v>
      </c>
      <c r="C69" s="14"/>
      <c r="D69" s="207"/>
      <c r="E69" s="96"/>
    </row>
    <row r="70" customFormat="false" ht="15" hidden="false" customHeight="false" outlineLevel="0" collapsed="false">
      <c r="A70" s="35" t="n">
        <v>29</v>
      </c>
      <c r="B70" s="20" t="s">
        <v>312</v>
      </c>
      <c r="C70" s="14"/>
      <c r="D70" s="207"/>
      <c r="E70" s="96"/>
    </row>
    <row r="71" customFormat="false" ht="15" hidden="false" customHeight="false" outlineLevel="0" collapsed="false">
      <c r="A71" s="35" t="n">
        <v>30</v>
      </c>
      <c r="B71" s="20" t="s">
        <v>1012</v>
      </c>
      <c r="C71" s="14"/>
      <c r="D71" s="207"/>
      <c r="E71" s="96"/>
    </row>
    <row r="72" customFormat="false" ht="15" hidden="false" customHeight="false" outlineLevel="0" collapsed="false">
      <c r="A72" s="35" t="n">
        <v>31</v>
      </c>
      <c r="B72" s="20" t="s">
        <v>315</v>
      </c>
      <c r="C72" s="14"/>
      <c r="D72" s="207"/>
      <c r="E72" s="96"/>
    </row>
    <row r="73" customFormat="false" ht="15" hidden="false" customHeight="false" outlineLevel="0" collapsed="false">
      <c r="A73" s="35" t="n">
        <v>32</v>
      </c>
      <c r="B73" s="20" t="s">
        <v>316</v>
      </c>
      <c r="C73" s="14"/>
      <c r="D73" s="207"/>
      <c r="E73" s="96"/>
    </row>
    <row r="74" customFormat="false" ht="17.35" hidden="false" customHeight="false" outlineLevel="0" collapsed="false">
      <c r="A74" s="35"/>
      <c r="B74" s="23" t="s">
        <v>21</v>
      </c>
      <c r="C74" s="24"/>
      <c r="D74" s="54"/>
      <c r="E74" s="111"/>
    </row>
    <row r="75" customFormat="false" ht="17.35" hidden="false" customHeight="false" outlineLevel="0" collapsed="false">
      <c r="B75" s="28"/>
      <c r="C75" s="29"/>
      <c r="D75" s="208"/>
      <c r="E75" s="31"/>
    </row>
    <row r="76" customFormat="false" ht="17.35" hidden="false" customHeight="false" outlineLevel="0" collapsed="false">
      <c r="B76" s="28"/>
      <c r="C76" s="29"/>
      <c r="D76" s="208"/>
      <c r="E76" s="31"/>
    </row>
    <row r="77" customFormat="false" ht="17.35" hidden="false" customHeight="false" outlineLevel="0" collapsed="false">
      <c r="A77" s="2"/>
      <c r="B77" s="3" t="s">
        <v>1002</v>
      </c>
    </row>
    <row r="78" customFormat="false" ht="17.35" hidden="false" customHeight="false" outlineLevel="0" collapsed="false">
      <c r="A78" s="4"/>
    </row>
    <row r="79" customFormat="false" ht="15" hidden="false" customHeight="false" outlineLevel="0" collapsed="false">
      <c r="A79" s="2"/>
    </row>
    <row r="80" customFormat="false" ht="17.25" hidden="false" customHeight="false" outlineLevel="0" collapsed="false">
      <c r="A80" s="2"/>
      <c r="B80" s="5" t="s">
        <v>61</v>
      </c>
    </row>
    <row r="81" customFormat="false" ht="15" hidden="false" customHeight="false" outlineLevel="0" collapsed="false">
      <c r="A81" s="2"/>
      <c r="D81" s="6" t="s">
        <v>2</v>
      </c>
    </row>
    <row r="82" customFormat="false" ht="15" hidden="false" customHeight="false" outlineLevel="0" collapsed="false">
      <c r="A82" s="2"/>
    </row>
    <row r="83" customFormat="false" ht="15" hidden="false" customHeight="false" outlineLevel="0" collapsed="false">
      <c r="A83" s="7" t="s">
        <v>3</v>
      </c>
      <c r="B83" s="8" t="s">
        <v>4</v>
      </c>
      <c r="C83" s="9" t="s">
        <v>5</v>
      </c>
      <c r="D83" s="10" t="s">
        <v>6</v>
      </c>
      <c r="E83" s="105" t="s">
        <v>7</v>
      </c>
    </row>
    <row r="84" customFormat="false" ht="15" hidden="false" customHeight="false" outlineLevel="0" collapsed="false">
      <c r="A84" s="51" t="n">
        <v>1</v>
      </c>
      <c r="B84" s="13" t="s">
        <v>426</v>
      </c>
      <c r="C84" s="14"/>
      <c r="D84" s="14"/>
      <c r="E84" s="96"/>
    </row>
    <row r="85" customFormat="false" ht="15" hidden="false" customHeight="false" outlineLevel="0" collapsed="false">
      <c r="A85" s="12" t="n">
        <v>2</v>
      </c>
      <c r="B85" s="43" t="s">
        <v>1013</v>
      </c>
      <c r="C85" s="14"/>
      <c r="D85" s="14"/>
      <c r="E85" s="96"/>
    </row>
    <row r="86" customFormat="false" ht="17.35" hidden="false" customHeight="false" outlineLevel="0" collapsed="false">
      <c r="A86" s="22"/>
      <c r="B86" s="23" t="s">
        <v>21</v>
      </c>
      <c r="C86" s="24" t="n">
        <f aca="false">SUM(C84:C85)</f>
        <v>0</v>
      </c>
      <c r="D86" s="54" t="n">
        <f aca="false">SUM(D84:D85)</f>
        <v>0</v>
      </c>
      <c r="E86" s="111" t="n">
        <f aca="false">SUM(E85)</f>
        <v>0</v>
      </c>
    </row>
    <row r="87" customFormat="false" ht="17.35" hidden="false" customHeight="false" outlineLevel="0" collapsed="false">
      <c r="A87" s="209"/>
      <c r="B87" s="28"/>
      <c r="C87" s="29"/>
      <c r="D87" s="208"/>
      <c r="E87" s="31"/>
    </row>
    <row r="88" customFormat="false" ht="15" hidden="false" customHeight="false" outlineLevel="0" collapsed="false">
      <c r="A88" s="209"/>
    </row>
    <row r="89" customFormat="false" ht="17.35" hidden="false" customHeight="false" outlineLevel="0" collapsed="false">
      <c r="A89" s="2"/>
      <c r="B89" s="3" t="s">
        <v>1002</v>
      </c>
    </row>
    <row r="90" customFormat="false" ht="17.35" hidden="false" customHeight="false" outlineLevel="0" collapsed="false">
      <c r="A90" s="4"/>
    </row>
    <row r="91" customFormat="false" ht="15" hidden="false" customHeight="false" outlineLevel="0" collapsed="false">
      <c r="A91" s="2"/>
    </row>
    <row r="92" customFormat="false" ht="17.25" hidden="false" customHeight="false" outlineLevel="0" collapsed="false">
      <c r="A92" s="2"/>
      <c r="B92" s="5" t="s">
        <v>75</v>
      </c>
    </row>
    <row r="93" customFormat="false" ht="15" hidden="false" customHeight="false" outlineLevel="0" collapsed="false">
      <c r="A93" s="2"/>
      <c r="D93" s="6" t="s">
        <v>2</v>
      </c>
    </row>
    <row r="94" customFormat="false" ht="15" hidden="false" customHeight="false" outlineLevel="0" collapsed="false">
      <c r="A94" s="2"/>
    </row>
    <row r="95" customFormat="false" ht="15" hidden="false" customHeight="false" outlineLevel="0" collapsed="false">
      <c r="A95" s="7" t="s">
        <v>3</v>
      </c>
      <c r="B95" s="8" t="s">
        <v>4</v>
      </c>
      <c r="C95" s="9" t="s">
        <v>5</v>
      </c>
      <c r="D95" s="10" t="s">
        <v>6</v>
      </c>
      <c r="E95" s="105" t="s">
        <v>7</v>
      </c>
    </row>
    <row r="96" customFormat="false" ht="15" hidden="false" customHeight="false" outlineLevel="0" collapsed="false">
      <c r="A96" s="1" t="n">
        <v>1</v>
      </c>
      <c r="B96" s="39" t="s">
        <v>363</v>
      </c>
      <c r="C96" s="14"/>
      <c r="D96" s="14"/>
      <c r="E96" s="96"/>
    </row>
    <row r="97" customFormat="false" ht="15" hidden="false" customHeight="false" outlineLevel="0" collapsed="false">
      <c r="A97" s="1" t="n">
        <v>2</v>
      </c>
      <c r="B97" s="39" t="s">
        <v>1014</v>
      </c>
      <c r="C97" s="14"/>
      <c r="D97" s="14"/>
      <c r="E97" s="96"/>
    </row>
    <row r="98" customFormat="false" ht="15" hidden="false" customHeight="false" outlineLevel="0" collapsed="false">
      <c r="A98" s="35" t="n">
        <v>3</v>
      </c>
      <c r="B98" s="39" t="s">
        <v>365</v>
      </c>
      <c r="C98" s="14"/>
      <c r="D98" s="14"/>
      <c r="E98" s="96"/>
    </row>
    <row r="99" customFormat="false" ht="15" hidden="false" customHeight="false" outlineLevel="0" collapsed="false">
      <c r="A99" s="12" t="n">
        <v>4</v>
      </c>
      <c r="B99" s="20" t="s">
        <v>366</v>
      </c>
      <c r="C99" s="14"/>
      <c r="D99" s="207"/>
      <c r="E99" s="96"/>
    </row>
    <row r="100" customFormat="false" ht="15" hidden="false" customHeight="false" outlineLevel="0" collapsed="false">
      <c r="A100" s="35" t="n">
        <v>5</v>
      </c>
      <c r="B100" s="39" t="s">
        <v>367</v>
      </c>
      <c r="C100" s="14"/>
      <c r="D100" s="14"/>
      <c r="E100" s="96"/>
    </row>
    <row r="101" customFormat="false" ht="15" hidden="false" customHeight="false" outlineLevel="0" collapsed="false">
      <c r="A101" s="12" t="n">
        <v>6</v>
      </c>
      <c r="B101" s="43" t="s">
        <v>368</v>
      </c>
      <c r="C101" s="14"/>
      <c r="D101" s="14"/>
      <c r="E101" s="96"/>
    </row>
    <row r="102" customFormat="false" ht="15" hidden="false" customHeight="false" outlineLevel="0" collapsed="false">
      <c r="A102" s="12" t="n">
        <v>7</v>
      </c>
      <c r="B102" s="43" t="s">
        <v>369</v>
      </c>
      <c r="C102" s="14"/>
      <c r="D102" s="14"/>
      <c r="E102" s="96"/>
    </row>
    <row r="103" customFormat="false" ht="15" hidden="false" customHeight="false" outlineLevel="0" collapsed="false">
      <c r="A103" s="35" t="n">
        <v>8</v>
      </c>
      <c r="B103" s="39" t="s">
        <v>370</v>
      </c>
      <c r="C103" s="14"/>
      <c r="D103" s="14"/>
      <c r="E103" s="96"/>
    </row>
    <row r="104" customFormat="false" ht="15" hidden="false" customHeight="false" outlineLevel="0" collapsed="false">
      <c r="A104" s="12" t="n">
        <v>9</v>
      </c>
      <c r="B104" s="39" t="s">
        <v>371</v>
      </c>
      <c r="C104" s="14"/>
      <c r="D104" s="14"/>
      <c r="E104" s="96"/>
    </row>
    <row r="105" customFormat="false" ht="15" hidden="false" customHeight="false" outlineLevel="0" collapsed="false">
      <c r="A105" s="12" t="n">
        <v>10</v>
      </c>
      <c r="B105" s="39" t="s">
        <v>372</v>
      </c>
      <c r="C105" s="14"/>
      <c r="D105" s="14"/>
      <c r="E105" s="96"/>
    </row>
    <row r="106" customFormat="false" ht="15" hidden="false" customHeight="false" outlineLevel="0" collapsed="false">
      <c r="A106" s="35" t="n">
        <v>11</v>
      </c>
      <c r="B106" s="39" t="s">
        <v>373</v>
      </c>
      <c r="C106" s="14"/>
      <c r="D106" s="14"/>
      <c r="E106" s="96"/>
    </row>
    <row r="107" customFormat="false" ht="15" hidden="false" customHeight="false" outlineLevel="0" collapsed="false">
      <c r="A107" s="53" t="n">
        <v>12</v>
      </c>
      <c r="B107" s="39" t="s">
        <v>374</v>
      </c>
      <c r="C107" s="14"/>
      <c r="D107" s="14"/>
      <c r="E107" s="96"/>
    </row>
    <row r="108" customFormat="false" ht="15" hidden="false" customHeight="false" outlineLevel="0" collapsed="false">
      <c r="A108" s="35" t="n">
        <v>13</v>
      </c>
      <c r="B108" s="39" t="s">
        <v>375</v>
      </c>
      <c r="C108" s="14"/>
      <c r="D108" s="14"/>
      <c r="E108" s="96"/>
    </row>
    <row r="109" customFormat="false" ht="15" hidden="false" customHeight="false" outlineLevel="0" collapsed="false">
      <c r="A109" s="12" t="n">
        <v>14</v>
      </c>
      <c r="B109" s="39" t="s">
        <v>376</v>
      </c>
      <c r="C109" s="14"/>
      <c r="D109" s="14"/>
      <c r="E109" s="96"/>
    </row>
    <row r="110" customFormat="false" ht="15" hidden="false" customHeight="false" outlineLevel="0" collapsed="false">
      <c r="A110" s="35" t="n">
        <v>15</v>
      </c>
      <c r="B110" s="39" t="s">
        <v>1015</v>
      </c>
      <c r="C110" s="14"/>
      <c r="D110" s="14"/>
      <c r="E110" s="96"/>
    </row>
    <row r="111" customFormat="false" ht="15" hidden="false" customHeight="false" outlineLevel="0" collapsed="false">
      <c r="A111" s="53" t="n">
        <v>16</v>
      </c>
      <c r="B111" s="39" t="s">
        <v>378</v>
      </c>
      <c r="C111" s="14"/>
      <c r="D111" s="14"/>
      <c r="E111" s="96"/>
    </row>
    <row r="112" customFormat="false" ht="15" hidden="false" customHeight="false" outlineLevel="0" collapsed="false">
      <c r="A112" s="53" t="n">
        <v>17</v>
      </c>
      <c r="B112" s="39" t="s">
        <v>1016</v>
      </c>
      <c r="C112" s="14"/>
      <c r="D112" s="14"/>
      <c r="E112" s="96"/>
    </row>
    <row r="113" customFormat="false" ht="15" hidden="false" customHeight="false" outlineLevel="0" collapsed="false">
      <c r="A113" s="53" t="n">
        <v>18</v>
      </c>
      <c r="B113" s="39" t="s">
        <v>1017</v>
      </c>
      <c r="C113" s="14"/>
      <c r="D113" s="14"/>
      <c r="E113" s="96"/>
    </row>
    <row r="114" customFormat="false" ht="17.35" hidden="false" customHeight="false" outlineLevel="0" collapsed="false">
      <c r="A114" s="22"/>
      <c r="B114" s="23" t="s">
        <v>21</v>
      </c>
      <c r="C114" s="24"/>
      <c r="D114" s="54"/>
      <c r="E114" s="111"/>
    </row>
    <row r="116" customFormat="false" ht="17.35" hidden="false" customHeight="false" outlineLevel="0" collapsed="false">
      <c r="B116" s="3" t="s">
        <v>1002</v>
      </c>
    </row>
    <row r="117" customFormat="false" ht="15" hidden="false" customHeight="false" outlineLevel="0" collapsed="false">
      <c r="A117" s="2"/>
    </row>
    <row r="118" customFormat="false" ht="15" hidden="false" customHeight="false" outlineLevel="0" collapsed="false">
      <c r="A118" s="2"/>
    </row>
    <row r="119" customFormat="false" ht="17.25" hidden="false" customHeight="false" outlineLevel="0" collapsed="false">
      <c r="A119" s="2"/>
      <c r="B119" s="5" t="s">
        <v>91</v>
      </c>
    </row>
    <row r="120" customFormat="false" ht="15" hidden="false" customHeight="false" outlineLevel="0" collapsed="false">
      <c r="A120" s="2"/>
      <c r="E120" s="6" t="s">
        <v>2</v>
      </c>
    </row>
    <row r="121" customFormat="false" ht="15" hidden="false" customHeight="false" outlineLevel="0" collapsed="false">
      <c r="A121" s="2"/>
    </row>
    <row r="122" customFormat="false" ht="15" hidden="false" customHeight="false" outlineLevel="0" collapsed="false">
      <c r="A122" s="7" t="s">
        <v>3</v>
      </c>
      <c r="B122" s="8" t="s">
        <v>4</v>
      </c>
      <c r="C122" s="9" t="s">
        <v>5</v>
      </c>
      <c r="D122" s="10" t="s">
        <v>6</v>
      </c>
      <c r="E122" s="105" t="s">
        <v>7</v>
      </c>
    </row>
    <row r="123" customFormat="false" ht="15" hidden="false" customHeight="false" outlineLevel="0" collapsed="false">
      <c r="A123" s="35" t="n">
        <v>1</v>
      </c>
      <c r="B123" s="39" t="s">
        <v>427</v>
      </c>
      <c r="C123" s="14"/>
      <c r="D123" s="14"/>
      <c r="E123" s="96"/>
    </row>
    <row r="124" customFormat="false" ht="15" hidden="false" customHeight="false" outlineLevel="0" collapsed="false">
      <c r="A124" s="35" t="n">
        <v>2</v>
      </c>
      <c r="B124" s="39" t="s">
        <v>428</v>
      </c>
      <c r="C124" s="14"/>
      <c r="D124" s="14"/>
      <c r="E124" s="96"/>
    </row>
    <row r="125" customFormat="false" ht="15" hidden="false" customHeight="false" outlineLevel="0" collapsed="false">
      <c r="A125" s="50" t="n">
        <v>3</v>
      </c>
      <c r="B125" s="39" t="s">
        <v>1018</v>
      </c>
      <c r="C125" s="14"/>
      <c r="D125" s="14"/>
      <c r="E125" s="96"/>
    </row>
    <row r="126" customFormat="false" ht="15" hidden="false" customHeight="false" outlineLevel="0" collapsed="false">
      <c r="A126" s="35" t="n">
        <v>4</v>
      </c>
      <c r="B126" s="39" t="s">
        <v>429</v>
      </c>
      <c r="C126" s="14"/>
      <c r="D126" s="14"/>
      <c r="E126" s="96"/>
    </row>
    <row r="127" customFormat="false" ht="15" hidden="false" customHeight="false" outlineLevel="0" collapsed="false">
      <c r="A127" s="35" t="n">
        <v>5</v>
      </c>
      <c r="B127" s="39" t="s">
        <v>430</v>
      </c>
      <c r="C127" s="14"/>
      <c r="D127" s="14"/>
      <c r="E127" s="96"/>
    </row>
    <row r="128" customFormat="false" ht="15" hidden="false" customHeight="false" outlineLevel="0" collapsed="false">
      <c r="A128" s="35" t="n">
        <v>6</v>
      </c>
      <c r="B128" s="39" t="s">
        <v>431</v>
      </c>
      <c r="C128" s="14"/>
      <c r="D128" s="14"/>
      <c r="E128" s="96"/>
    </row>
    <row r="129" customFormat="false" ht="15" hidden="false" customHeight="false" outlineLevel="0" collapsed="false">
      <c r="A129" s="35" t="n">
        <v>7</v>
      </c>
      <c r="B129" s="39" t="s">
        <v>432</v>
      </c>
      <c r="C129" s="14"/>
      <c r="D129" s="14"/>
      <c r="E129" s="96"/>
    </row>
    <row r="130" customFormat="false" ht="15" hidden="false" customHeight="false" outlineLevel="0" collapsed="false">
      <c r="A130" s="35" t="n">
        <v>8</v>
      </c>
      <c r="B130" s="39" t="s">
        <v>433</v>
      </c>
      <c r="C130" s="14"/>
      <c r="D130" s="14"/>
      <c r="E130" s="96"/>
    </row>
    <row r="131" customFormat="false" ht="15" hidden="false" customHeight="false" outlineLevel="0" collapsed="false">
      <c r="A131" s="35" t="n">
        <v>9</v>
      </c>
      <c r="B131" s="39" t="s">
        <v>434</v>
      </c>
      <c r="C131" s="14"/>
      <c r="D131" s="14"/>
      <c r="E131" s="96"/>
    </row>
    <row r="132" customFormat="false" ht="15" hidden="false" customHeight="false" outlineLevel="0" collapsed="false">
      <c r="A132" s="35" t="n">
        <v>10</v>
      </c>
      <c r="B132" s="75" t="s">
        <v>435</v>
      </c>
      <c r="C132" s="14"/>
      <c r="D132" s="92"/>
      <c r="E132" s="96"/>
    </row>
    <row r="133" customFormat="false" ht="15" hidden="false" customHeight="false" outlineLevel="0" collapsed="false">
      <c r="A133" s="35" t="n">
        <v>11</v>
      </c>
      <c r="B133" s="39" t="s">
        <v>436</v>
      </c>
      <c r="C133" s="14"/>
      <c r="D133" s="14"/>
      <c r="E133" s="96"/>
    </row>
    <row r="134" customFormat="false" ht="15" hidden="false" customHeight="false" outlineLevel="0" collapsed="false">
      <c r="A134" s="35" t="n">
        <v>12</v>
      </c>
      <c r="B134" s="90" t="s">
        <v>437</v>
      </c>
      <c r="C134" s="14"/>
      <c r="D134" s="92"/>
      <c r="E134" s="96"/>
    </row>
    <row r="135" customFormat="false" ht="15" hidden="false" customHeight="false" outlineLevel="0" collapsed="false">
      <c r="A135" s="35" t="n">
        <v>13</v>
      </c>
      <c r="B135" s="75" t="s">
        <v>438</v>
      </c>
      <c r="C135" s="14"/>
      <c r="D135" s="92"/>
      <c r="E135" s="96"/>
    </row>
    <row r="136" customFormat="false" ht="15" hidden="false" customHeight="false" outlineLevel="0" collapsed="false">
      <c r="A136" s="35" t="n">
        <v>14</v>
      </c>
      <c r="B136" s="75" t="s">
        <v>439</v>
      </c>
      <c r="C136" s="14"/>
      <c r="D136" s="92"/>
      <c r="E136" s="96"/>
    </row>
    <row r="137" customFormat="false" ht="15" hidden="false" customHeight="false" outlineLevel="0" collapsed="false">
      <c r="A137" s="35" t="n">
        <v>15</v>
      </c>
      <c r="B137" s="75" t="s">
        <v>440</v>
      </c>
      <c r="C137" s="14"/>
      <c r="D137" s="92"/>
      <c r="E137" s="96"/>
    </row>
    <row r="138" customFormat="false" ht="15" hidden="false" customHeight="false" outlineLevel="0" collapsed="false">
      <c r="A138" s="35" t="n">
        <v>16</v>
      </c>
      <c r="B138" s="75" t="s">
        <v>441</v>
      </c>
      <c r="C138" s="14"/>
      <c r="D138" s="92"/>
      <c r="E138" s="96"/>
    </row>
    <row r="139" customFormat="false" ht="15" hidden="false" customHeight="false" outlineLevel="0" collapsed="false">
      <c r="A139" s="35" t="n">
        <v>17</v>
      </c>
      <c r="B139" s="75" t="s">
        <v>442</v>
      </c>
      <c r="C139" s="14"/>
      <c r="D139" s="92"/>
      <c r="E139" s="96"/>
    </row>
    <row r="140" customFormat="false" ht="15" hidden="false" customHeight="false" outlineLevel="0" collapsed="false">
      <c r="A140" s="35" t="n">
        <v>18</v>
      </c>
      <c r="B140" s="91" t="s">
        <v>444</v>
      </c>
      <c r="C140" s="14"/>
      <c r="D140" s="92"/>
      <c r="E140" s="96"/>
    </row>
    <row r="141" customFormat="false" ht="17.35" hidden="false" customHeight="false" outlineLevel="0" collapsed="false">
      <c r="A141" s="35"/>
      <c r="B141" s="23" t="s">
        <v>21</v>
      </c>
      <c r="C141" s="24"/>
      <c r="D141" s="54"/>
      <c r="E141" s="111"/>
    </row>
    <row r="143" customFormat="false" ht="17.35" hidden="false" customHeight="false" outlineLevel="0" collapsed="false">
      <c r="A143" s="2"/>
      <c r="B143" s="3" t="s">
        <v>1002</v>
      </c>
    </row>
    <row r="144" customFormat="false" ht="17.35" hidden="false" customHeight="false" outlineLevel="0" collapsed="false">
      <c r="A144" s="4"/>
    </row>
    <row r="145" customFormat="false" ht="15" hidden="false" customHeight="false" outlineLevel="0" collapsed="false">
      <c r="A145" s="2"/>
    </row>
    <row r="146" customFormat="false" ht="17.25" hidden="false" customHeight="false" outlineLevel="0" collapsed="false">
      <c r="A146" s="2"/>
      <c r="B146" s="5" t="s">
        <v>485</v>
      </c>
    </row>
    <row r="147" customFormat="false" ht="15" hidden="false" customHeight="false" outlineLevel="0" collapsed="false">
      <c r="A147" s="2"/>
      <c r="D147" s="6" t="s">
        <v>2</v>
      </c>
    </row>
    <row r="148" customFormat="false" ht="15" hidden="false" customHeight="false" outlineLevel="0" collapsed="false">
      <c r="A148" s="2"/>
    </row>
    <row r="149" customFormat="false" ht="15" hidden="false" customHeight="false" outlineLevel="0" collapsed="false">
      <c r="A149" s="7" t="s">
        <v>3</v>
      </c>
      <c r="B149" s="8" t="s">
        <v>4</v>
      </c>
      <c r="C149" s="9" t="s">
        <v>5</v>
      </c>
      <c r="D149" s="10" t="s">
        <v>6</v>
      </c>
      <c r="E149" s="105" t="s">
        <v>7</v>
      </c>
    </row>
    <row r="150" customFormat="false" ht="15" hidden="false" customHeight="false" outlineLevel="0" collapsed="false">
      <c r="A150" s="12" t="n">
        <v>1</v>
      </c>
      <c r="B150" s="39" t="s">
        <v>533</v>
      </c>
      <c r="C150" s="14"/>
      <c r="D150" s="14"/>
      <c r="E150" s="96"/>
    </row>
    <row r="151" customFormat="false" ht="15" hidden="false" customHeight="false" outlineLevel="0" collapsed="false">
      <c r="A151" s="35" t="n">
        <v>2</v>
      </c>
      <c r="B151" s="39" t="s">
        <v>486</v>
      </c>
      <c r="C151" s="14"/>
      <c r="D151" s="14"/>
      <c r="E151" s="96"/>
    </row>
    <row r="152" customFormat="false" ht="15" hidden="false" customHeight="false" outlineLevel="0" collapsed="false">
      <c r="A152" s="35" t="n">
        <v>3</v>
      </c>
      <c r="B152" s="39" t="s">
        <v>487</v>
      </c>
      <c r="C152" s="14"/>
      <c r="D152" s="14"/>
      <c r="E152" s="96"/>
    </row>
    <row r="153" customFormat="false" ht="15" hidden="false" customHeight="false" outlineLevel="0" collapsed="false">
      <c r="A153" s="12" t="n">
        <v>4</v>
      </c>
      <c r="B153" s="39" t="s">
        <v>489</v>
      </c>
      <c r="C153" s="14"/>
      <c r="D153" s="14"/>
      <c r="E153" s="96"/>
    </row>
    <row r="154" customFormat="false" ht="15" hidden="false" customHeight="false" outlineLevel="0" collapsed="false">
      <c r="A154" s="35" t="n">
        <v>5</v>
      </c>
      <c r="B154" s="39" t="s">
        <v>490</v>
      </c>
      <c r="C154" s="14"/>
      <c r="D154" s="14"/>
      <c r="E154" s="96"/>
    </row>
    <row r="155" customFormat="false" ht="15" hidden="false" customHeight="false" outlineLevel="0" collapsed="false">
      <c r="A155" s="12" t="n">
        <v>6</v>
      </c>
      <c r="B155" s="39" t="s">
        <v>491</v>
      </c>
      <c r="C155" s="14"/>
      <c r="D155" s="14"/>
      <c r="E155" s="96"/>
    </row>
    <row r="156" customFormat="false" ht="15" hidden="false" customHeight="false" outlineLevel="0" collapsed="false">
      <c r="A156" s="35" t="n">
        <v>7</v>
      </c>
      <c r="B156" s="39" t="s">
        <v>492</v>
      </c>
      <c r="C156" s="14"/>
      <c r="D156" s="14"/>
      <c r="E156" s="96"/>
    </row>
    <row r="157" customFormat="false" ht="15" hidden="false" customHeight="false" outlineLevel="0" collapsed="false">
      <c r="A157" s="53" t="n">
        <v>8</v>
      </c>
      <c r="B157" s="39" t="s">
        <v>562</v>
      </c>
      <c r="C157" s="14"/>
      <c r="D157" s="14"/>
      <c r="E157" s="96"/>
    </row>
    <row r="158" customFormat="false" ht="15" hidden="false" customHeight="false" outlineLevel="0" collapsed="false">
      <c r="A158" s="12" t="n">
        <v>9</v>
      </c>
      <c r="B158" s="39" t="s">
        <v>493</v>
      </c>
      <c r="C158" s="14"/>
      <c r="D158" s="14"/>
      <c r="E158" s="96"/>
    </row>
    <row r="159" customFormat="false" ht="15" hidden="false" customHeight="false" outlineLevel="0" collapsed="false">
      <c r="A159" s="35" t="n">
        <v>10</v>
      </c>
      <c r="B159" s="39" t="s">
        <v>494</v>
      </c>
      <c r="C159" s="14"/>
      <c r="D159" s="14"/>
      <c r="E159" s="96"/>
    </row>
    <row r="160" customFormat="false" ht="15" hidden="false" customHeight="false" outlineLevel="0" collapsed="false">
      <c r="A160" s="12" t="n">
        <v>11</v>
      </c>
      <c r="B160" s="39" t="s">
        <v>495</v>
      </c>
      <c r="C160" s="14"/>
      <c r="D160" s="14"/>
      <c r="E160" s="96"/>
    </row>
    <row r="161" customFormat="false" ht="15" hidden="false" customHeight="false" outlineLevel="0" collapsed="false">
      <c r="A161" s="35" t="n">
        <v>12</v>
      </c>
      <c r="B161" s="39" t="s">
        <v>1019</v>
      </c>
      <c r="C161" s="14"/>
      <c r="D161" s="14"/>
      <c r="E161" s="96"/>
    </row>
    <row r="162" customFormat="false" ht="15" hidden="false" customHeight="false" outlineLevel="0" collapsed="false">
      <c r="A162" s="35" t="n">
        <v>13</v>
      </c>
      <c r="B162" s="39" t="s">
        <v>496</v>
      </c>
      <c r="C162" s="14"/>
      <c r="D162" s="14"/>
      <c r="E162" s="96"/>
    </row>
    <row r="163" customFormat="false" ht="15" hidden="false" customHeight="false" outlineLevel="0" collapsed="false">
      <c r="A163" s="53" t="n">
        <v>14</v>
      </c>
      <c r="B163" s="39" t="s">
        <v>497</v>
      </c>
      <c r="C163" s="14"/>
      <c r="D163" s="14"/>
      <c r="E163" s="96"/>
    </row>
    <row r="164" customFormat="false" ht="15" hidden="false" customHeight="false" outlineLevel="0" collapsed="false">
      <c r="A164" s="53" t="n">
        <v>15</v>
      </c>
      <c r="B164" s="39" t="s">
        <v>499</v>
      </c>
      <c r="C164" s="14"/>
      <c r="D164" s="14"/>
      <c r="E164" s="96"/>
    </row>
    <row r="165" customFormat="false" ht="15" hidden="false" customHeight="false" outlineLevel="0" collapsed="false">
      <c r="A165" s="53" t="n">
        <v>16</v>
      </c>
      <c r="B165" s="39" t="s">
        <v>498</v>
      </c>
      <c r="C165" s="14"/>
      <c r="D165" s="14"/>
      <c r="E165" s="96"/>
    </row>
    <row r="166" customFormat="false" ht="17.35" hidden="false" customHeight="false" outlineLevel="0" collapsed="false">
      <c r="A166" s="22"/>
      <c r="B166" s="23" t="s">
        <v>21</v>
      </c>
      <c r="C166" s="24"/>
      <c r="D166" s="54"/>
      <c r="E166" s="111"/>
    </row>
    <row r="167" customFormat="false" ht="17.35" hidden="false" customHeight="false" outlineLevel="0" collapsed="false">
      <c r="B167" s="28"/>
      <c r="C167" s="29"/>
      <c r="D167" s="208"/>
      <c r="E167" s="31"/>
    </row>
    <row r="168" customFormat="false" ht="17.35" hidden="false" customHeight="false" outlineLevel="0" collapsed="false">
      <c r="A168" s="2"/>
      <c r="B168" s="3" t="s">
        <v>1002</v>
      </c>
    </row>
    <row r="169" customFormat="false" ht="17.35" hidden="false" customHeight="false" outlineLevel="0" collapsed="false">
      <c r="A169" s="4"/>
    </row>
    <row r="170" customFormat="false" ht="15" hidden="false" customHeight="false" outlineLevel="0" collapsed="false">
      <c r="A170" s="2"/>
    </row>
    <row r="171" customFormat="false" ht="17.25" hidden="false" customHeight="false" outlineLevel="0" collapsed="false">
      <c r="A171" s="2"/>
      <c r="B171" s="5" t="s">
        <v>113</v>
      </c>
    </row>
    <row r="172" customFormat="false" ht="15" hidden="false" customHeight="false" outlineLevel="0" collapsed="false">
      <c r="A172" s="2"/>
      <c r="D172" s="6" t="s">
        <v>2</v>
      </c>
    </row>
    <row r="173" customFormat="false" ht="15" hidden="false" customHeight="false" outlineLevel="0" collapsed="false">
      <c r="A173" s="2"/>
    </row>
    <row r="174" customFormat="false" ht="15" hidden="false" customHeight="false" outlineLevel="0" collapsed="false">
      <c r="A174" s="7" t="s">
        <v>3</v>
      </c>
      <c r="B174" s="8" t="s">
        <v>4</v>
      </c>
      <c r="C174" s="9" t="s">
        <v>5</v>
      </c>
      <c r="D174" s="10" t="s">
        <v>6</v>
      </c>
      <c r="E174" s="105" t="s">
        <v>7</v>
      </c>
    </row>
    <row r="175" customFormat="false" ht="15" hidden="false" customHeight="false" outlineLevel="0" collapsed="false">
      <c r="A175" s="35" t="n">
        <v>1</v>
      </c>
      <c r="B175" s="39" t="s">
        <v>1020</v>
      </c>
      <c r="C175" s="14"/>
      <c r="D175" s="14"/>
      <c r="E175" s="96"/>
    </row>
    <row r="176" customFormat="false" ht="15" hidden="false" customHeight="false" outlineLevel="0" collapsed="false">
      <c r="A176" s="12" t="n">
        <v>2</v>
      </c>
      <c r="B176" s="39" t="s">
        <v>535</v>
      </c>
      <c r="C176" s="14"/>
      <c r="D176" s="14"/>
      <c r="E176" s="96"/>
    </row>
    <row r="177" customFormat="false" ht="15" hidden="false" customHeight="false" outlineLevel="0" collapsed="false">
      <c r="A177" s="35" t="n">
        <v>3</v>
      </c>
      <c r="B177" s="39" t="s">
        <v>536</v>
      </c>
      <c r="C177" s="14"/>
      <c r="D177" s="14"/>
      <c r="E177" s="96"/>
    </row>
    <row r="178" customFormat="false" ht="15" hidden="false" customHeight="false" outlineLevel="0" collapsed="false">
      <c r="A178" s="12" t="n">
        <v>4</v>
      </c>
      <c r="B178" s="39" t="s">
        <v>537</v>
      </c>
      <c r="C178" s="14"/>
      <c r="D178" s="14"/>
      <c r="E178" s="96"/>
    </row>
    <row r="179" customFormat="false" ht="15" hidden="false" customHeight="false" outlineLevel="0" collapsed="false">
      <c r="A179" s="12" t="n">
        <v>5</v>
      </c>
      <c r="B179" s="39" t="s">
        <v>538</v>
      </c>
      <c r="C179" s="14"/>
      <c r="D179" s="14"/>
      <c r="E179" s="96"/>
    </row>
    <row r="180" customFormat="false" ht="15" hidden="false" customHeight="false" outlineLevel="0" collapsed="false">
      <c r="A180" s="35" t="n">
        <v>6</v>
      </c>
      <c r="B180" s="39" t="s">
        <v>1021</v>
      </c>
      <c r="C180" s="14"/>
      <c r="D180" s="14"/>
      <c r="E180" s="96"/>
    </row>
    <row r="181" customFormat="false" ht="15" hidden="false" customHeight="false" outlineLevel="0" collapsed="false">
      <c r="A181" s="12" t="n">
        <v>7</v>
      </c>
      <c r="B181" s="39" t="s">
        <v>539</v>
      </c>
      <c r="C181" s="14"/>
      <c r="D181" s="14"/>
      <c r="E181" s="96"/>
    </row>
    <row r="182" customFormat="false" ht="15" hidden="false" customHeight="false" outlineLevel="0" collapsed="false">
      <c r="A182" s="35" t="n">
        <v>8</v>
      </c>
      <c r="B182" s="39" t="s">
        <v>540</v>
      </c>
      <c r="C182" s="14"/>
      <c r="D182" s="14"/>
      <c r="E182" s="96"/>
    </row>
    <row r="183" customFormat="false" ht="15" hidden="false" customHeight="false" outlineLevel="0" collapsed="false">
      <c r="A183" s="12" t="n">
        <v>9</v>
      </c>
      <c r="B183" s="39" t="s">
        <v>541</v>
      </c>
      <c r="C183" s="14"/>
      <c r="D183" s="14"/>
      <c r="E183" s="96"/>
    </row>
    <row r="184" customFormat="false" ht="15" hidden="false" customHeight="false" outlineLevel="0" collapsed="false">
      <c r="A184" s="35" t="n">
        <v>10</v>
      </c>
      <c r="B184" s="39" t="s">
        <v>542</v>
      </c>
      <c r="C184" s="14"/>
      <c r="D184" s="14"/>
      <c r="E184" s="96"/>
    </row>
    <row r="185" customFormat="false" ht="15" hidden="false" customHeight="false" outlineLevel="0" collapsed="false">
      <c r="A185" s="53" t="n">
        <v>11</v>
      </c>
      <c r="B185" s="39" t="s">
        <v>543</v>
      </c>
      <c r="C185" s="14"/>
      <c r="D185" s="14"/>
      <c r="E185" s="96"/>
    </row>
    <row r="186" customFormat="false" ht="15" hidden="false" customHeight="false" outlineLevel="0" collapsed="false">
      <c r="A186" s="12" t="n">
        <v>12</v>
      </c>
      <c r="B186" s="39" t="s">
        <v>544</v>
      </c>
      <c r="C186" s="14"/>
      <c r="D186" s="14"/>
      <c r="E186" s="96"/>
    </row>
    <row r="187" customFormat="false" ht="15" hidden="false" customHeight="false" outlineLevel="0" collapsed="false">
      <c r="A187" s="35" t="n">
        <v>13</v>
      </c>
      <c r="B187" s="39" t="s">
        <v>1022</v>
      </c>
      <c r="C187" s="14"/>
      <c r="D187" s="14"/>
      <c r="E187" s="96"/>
    </row>
    <row r="188" customFormat="false" ht="15" hidden="false" customHeight="false" outlineLevel="0" collapsed="false">
      <c r="A188" s="53" t="n">
        <v>14</v>
      </c>
      <c r="B188" s="39" t="s">
        <v>546</v>
      </c>
      <c r="C188" s="14"/>
      <c r="D188" s="14"/>
      <c r="E188" s="96"/>
    </row>
    <row r="189" customFormat="false" ht="15" hidden="false" customHeight="false" outlineLevel="0" collapsed="false">
      <c r="A189" s="53" t="n">
        <v>15</v>
      </c>
      <c r="B189" s="39" t="s">
        <v>547</v>
      </c>
      <c r="C189" s="14"/>
      <c r="D189" s="14"/>
      <c r="E189" s="96"/>
    </row>
    <row r="190" customFormat="false" ht="15" hidden="false" customHeight="false" outlineLevel="0" collapsed="false">
      <c r="A190" s="53" t="n">
        <v>16</v>
      </c>
      <c r="B190" s="39" t="s">
        <v>548</v>
      </c>
      <c r="C190" s="14"/>
      <c r="D190" s="14"/>
      <c r="E190" s="96"/>
    </row>
    <row r="191" customFormat="false" ht="15" hidden="false" customHeight="false" outlineLevel="0" collapsed="false">
      <c r="A191" s="53" t="n">
        <v>17</v>
      </c>
      <c r="B191" s="39" t="s">
        <v>549</v>
      </c>
      <c r="C191" s="14"/>
      <c r="D191" s="14"/>
      <c r="E191" s="96"/>
    </row>
    <row r="192" customFormat="false" ht="15" hidden="false" customHeight="false" outlineLevel="0" collapsed="false">
      <c r="A192" s="53" t="n">
        <v>18</v>
      </c>
      <c r="B192" s="39" t="s">
        <v>1023</v>
      </c>
      <c r="C192" s="14"/>
      <c r="D192" s="14"/>
      <c r="E192" s="96"/>
    </row>
    <row r="193" customFormat="false" ht="15" hidden="false" customHeight="false" outlineLevel="0" collapsed="false">
      <c r="A193" s="53" t="n">
        <v>19</v>
      </c>
      <c r="B193" s="39" t="s">
        <v>550</v>
      </c>
      <c r="C193" s="14"/>
      <c r="D193" s="14"/>
      <c r="E193" s="96"/>
    </row>
    <row r="194" customFormat="false" ht="15" hidden="false" customHeight="false" outlineLevel="0" collapsed="false">
      <c r="A194" s="53" t="n">
        <v>20</v>
      </c>
      <c r="B194" s="39" t="s">
        <v>551</v>
      </c>
      <c r="C194" s="14"/>
      <c r="D194" s="14"/>
      <c r="E194" s="96"/>
    </row>
    <row r="195" customFormat="false" ht="15" hidden="false" customHeight="false" outlineLevel="0" collapsed="false">
      <c r="A195" s="53" t="n">
        <v>21</v>
      </c>
      <c r="B195" s="39" t="s">
        <v>552</v>
      </c>
      <c r="C195" s="14"/>
      <c r="D195" s="14"/>
      <c r="E195" s="96"/>
    </row>
    <row r="196" customFormat="false" ht="15" hidden="false" customHeight="false" outlineLevel="0" collapsed="false">
      <c r="A196" s="53" t="n">
        <v>22</v>
      </c>
      <c r="B196" s="39" t="s">
        <v>1024</v>
      </c>
      <c r="C196" s="14"/>
      <c r="D196" s="14"/>
      <c r="E196" s="96"/>
    </row>
    <row r="197" customFormat="false" ht="15" hidden="false" customHeight="false" outlineLevel="0" collapsed="false">
      <c r="A197" s="53" t="n">
        <v>23</v>
      </c>
      <c r="B197" s="39" t="s">
        <v>553</v>
      </c>
      <c r="C197" s="14"/>
      <c r="D197" s="14"/>
      <c r="E197" s="96"/>
    </row>
    <row r="198" customFormat="false" ht="15" hidden="false" customHeight="false" outlineLevel="0" collapsed="false">
      <c r="A198" s="53" t="n">
        <v>24</v>
      </c>
      <c r="B198" s="39" t="s">
        <v>554</v>
      </c>
      <c r="C198" s="14"/>
      <c r="D198" s="14"/>
      <c r="E198" s="96"/>
    </row>
    <row r="199" customFormat="false" ht="15" hidden="false" customHeight="false" outlineLevel="0" collapsed="false">
      <c r="A199" s="53" t="n">
        <v>25</v>
      </c>
      <c r="B199" s="39" t="s">
        <v>555</v>
      </c>
      <c r="C199" s="14"/>
      <c r="D199" s="14"/>
      <c r="E199" s="96"/>
    </row>
    <row r="200" customFormat="false" ht="15" hidden="false" customHeight="false" outlineLevel="0" collapsed="false">
      <c r="A200" s="53" t="n">
        <v>26</v>
      </c>
      <c r="B200" s="39" t="s">
        <v>556</v>
      </c>
      <c r="C200" s="14"/>
      <c r="D200" s="14"/>
      <c r="E200" s="96"/>
    </row>
    <row r="201" customFormat="false" ht="15" hidden="false" customHeight="false" outlineLevel="0" collapsed="false">
      <c r="A201" s="53" t="n">
        <v>27</v>
      </c>
      <c r="B201" s="39" t="s">
        <v>1025</v>
      </c>
      <c r="C201" s="14"/>
      <c r="D201" s="14"/>
      <c r="E201" s="96"/>
    </row>
    <row r="202" customFormat="false" ht="15" hidden="false" customHeight="false" outlineLevel="0" collapsed="false">
      <c r="A202" s="53" t="n">
        <v>28</v>
      </c>
      <c r="B202" s="39" t="s">
        <v>557</v>
      </c>
      <c r="C202" s="14"/>
      <c r="D202" s="14"/>
      <c r="E202" s="96"/>
    </row>
    <row r="203" customFormat="false" ht="15" hidden="false" customHeight="false" outlineLevel="0" collapsed="false">
      <c r="A203" s="53" t="n">
        <v>29</v>
      </c>
      <c r="B203" s="39" t="s">
        <v>558</v>
      </c>
      <c r="C203" s="14"/>
      <c r="D203" s="14"/>
      <c r="E203" s="96"/>
    </row>
    <row r="204" customFormat="false" ht="15" hidden="false" customHeight="false" outlineLevel="0" collapsed="false">
      <c r="A204" s="53" t="n">
        <v>30</v>
      </c>
      <c r="B204" s="39" t="s">
        <v>1026</v>
      </c>
      <c r="C204" s="37"/>
      <c r="D204" s="37"/>
      <c r="E204" s="69"/>
    </row>
    <row r="205" customFormat="false" ht="15" hidden="false" customHeight="false" outlineLevel="0" collapsed="false">
      <c r="A205" s="53" t="n">
        <v>31</v>
      </c>
      <c r="B205" s="39" t="s">
        <v>1027</v>
      </c>
      <c r="C205" s="14"/>
      <c r="D205" s="14"/>
      <c r="E205" s="96"/>
    </row>
    <row r="206" customFormat="false" ht="15" hidden="false" customHeight="false" outlineLevel="0" collapsed="false">
      <c r="A206" s="53" t="n">
        <v>32</v>
      </c>
      <c r="B206" s="39" t="s">
        <v>1028</v>
      </c>
      <c r="C206" s="14"/>
      <c r="D206" s="14"/>
      <c r="E206" s="96"/>
    </row>
    <row r="207" customFormat="false" ht="15" hidden="false" customHeight="false" outlineLevel="0" collapsed="false">
      <c r="A207" s="53" t="n">
        <v>33</v>
      </c>
      <c r="B207" s="39" t="s">
        <v>560</v>
      </c>
      <c r="C207" s="14"/>
      <c r="D207" s="14"/>
      <c r="E207" s="96"/>
    </row>
    <row r="208" customFormat="false" ht="15" hidden="false" customHeight="false" outlineLevel="0" collapsed="false">
      <c r="A208" s="53" t="n">
        <v>34</v>
      </c>
      <c r="B208" s="39" t="s">
        <v>561</v>
      </c>
      <c r="C208" s="14"/>
      <c r="D208" s="14"/>
      <c r="E208" s="96"/>
    </row>
    <row r="209" customFormat="false" ht="15" hidden="false" customHeight="false" outlineLevel="0" collapsed="false">
      <c r="A209" s="53" t="n">
        <v>35</v>
      </c>
      <c r="B209" s="39" t="s">
        <v>563</v>
      </c>
      <c r="C209" s="14"/>
      <c r="D209" s="14"/>
      <c r="E209" s="96"/>
    </row>
    <row r="210" customFormat="false" ht="15" hidden="false" customHeight="false" outlineLevel="0" collapsed="false">
      <c r="A210" s="53" t="n">
        <v>36</v>
      </c>
      <c r="B210" s="39" t="s">
        <v>1029</v>
      </c>
      <c r="C210" s="14"/>
      <c r="D210" s="14"/>
      <c r="E210" s="96"/>
    </row>
    <row r="211" customFormat="false" ht="15" hidden="false" customHeight="false" outlineLevel="0" collapsed="false">
      <c r="A211" s="53" t="n">
        <v>37</v>
      </c>
      <c r="B211" s="39" t="s">
        <v>565</v>
      </c>
      <c r="C211" s="14"/>
      <c r="D211" s="14"/>
      <c r="E211" s="96"/>
    </row>
    <row r="212" customFormat="false" ht="15" hidden="false" customHeight="false" outlineLevel="0" collapsed="false">
      <c r="A212" s="53" t="n">
        <v>38</v>
      </c>
      <c r="B212" s="39" t="s">
        <v>1030</v>
      </c>
      <c r="C212" s="14"/>
      <c r="D212" s="14"/>
      <c r="E212" s="96"/>
    </row>
    <row r="213" customFormat="false" ht="15" hidden="false" customHeight="false" outlineLevel="0" collapsed="false">
      <c r="A213" s="53" t="n">
        <v>39</v>
      </c>
      <c r="B213" s="39" t="s">
        <v>567</v>
      </c>
      <c r="C213" s="14"/>
      <c r="D213" s="14"/>
      <c r="E213" s="96"/>
    </row>
    <row r="214" customFormat="false" ht="15" hidden="false" customHeight="false" outlineLevel="0" collapsed="false">
      <c r="A214" s="53" t="n">
        <v>40</v>
      </c>
      <c r="B214" s="39" t="s">
        <v>568</v>
      </c>
      <c r="C214" s="14"/>
      <c r="D214" s="14"/>
      <c r="E214" s="96"/>
    </row>
    <row r="215" customFormat="false" ht="15" hidden="false" customHeight="false" outlineLevel="0" collapsed="false">
      <c r="A215" s="53" t="n">
        <v>41</v>
      </c>
      <c r="B215" s="39" t="s">
        <v>569</v>
      </c>
      <c r="C215" s="14"/>
      <c r="D215" s="14"/>
      <c r="E215" s="96"/>
    </row>
    <row r="216" customFormat="false" ht="15" hidden="false" customHeight="false" outlineLevel="0" collapsed="false">
      <c r="A216" s="53" t="n">
        <v>42</v>
      </c>
      <c r="B216" s="39" t="s">
        <v>570</v>
      </c>
      <c r="C216" s="14"/>
      <c r="D216" s="14"/>
      <c r="E216" s="96"/>
    </row>
    <row r="217" customFormat="false" ht="15" hidden="false" customHeight="false" outlineLevel="0" collapsed="false">
      <c r="A217" s="53" t="n">
        <v>43</v>
      </c>
      <c r="B217" s="39" t="s">
        <v>571</v>
      </c>
      <c r="C217" s="14"/>
      <c r="D217" s="14"/>
      <c r="E217" s="96"/>
    </row>
    <row r="218" customFormat="false" ht="15" hidden="false" customHeight="false" outlineLevel="0" collapsed="false">
      <c r="A218" s="53" t="n">
        <v>44</v>
      </c>
      <c r="B218" s="39" t="s">
        <v>572</v>
      </c>
      <c r="C218" s="14"/>
      <c r="D218" s="14"/>
      <c r="E218" s="96"/>
    </row>
    <row r="219" customFormat="false" ht="15" hidden="false" customHeight="false" outlineLevel="0" collapsed="false">
      <c r="A219" s="53" t="n">
        <v>45</v>
      </c>
      <c r="B219" s="39" t="s">
        <v>573</v>
      </c>
      <c r="C219" s="14"/>
      <c r="D219" s="14"/>
      <c r="E219" s="96"/>
    </row>
    <row r="220" customFormat="false" ht="15" hidden="false" customHeight="false" outlineLevel="0" collapsed="false">
      <c r="A220" s="53" t="n">
        <v>46</v>
      </c>
      <c r="B220" s="39" t="s">
        <v>574</v>
      </c>
      <c r="C220" s="14"/>
      <c r="D220" s="14"/>
      <c r="E220" s="96"/>
    </row>
    <row r="221" customFormat="false" ht="15" hidden="false" customHeight="false" outlineLevel="0" collapsed="false">
      <c r="A221" s="53" t="n">
        <v>47</v>
      </c>
      <c r="B221" s="39" t="s">
        <v>575</v>
      </c>
      <c r="C221" s="14"/>
      <c r="D221" s="14"/>
      <c r="E221" s="96"/>
    </row>
    <row r="222" customFormat="false" ht="15" hidden="false" customHeight="false" outlineLevel="0" collapsed="false">
      <c r="A222" s="53" t="n">
        <v>48</v>
      </c>
      <c r="B222" s="39" t="s">
        <v>576</v>
      </c>
      <c r="C222" s="14"/>
      <c r="D222" s="14"/>
      <c r="E222" s="96"/>
    </row>
    <row r="223" customFormat="false" ht="15" hidden="false" customHeight="false" outlineLevel="0" collapsed="false">
      <c r="A223" s="53" t="n">
        <v>49</v>
      </c>
      <c r="B223" s="39" t="s">
        <v>577</v>
      </c>
      <c r="C223" s="14"/>
      <c r="D223" s="14"/>
      <c r="E223" s="96"/>
    </row>
    <row r="224" customFormat="false" ht="15" hidden="false" customHeight="false" outlineLevel="0" collapsed="false">
      <c r="A224" s="53" t="n">
        <v>50</v>
      </c>
      <c r="B224" s="39" t="s">
        <v>578</v>
      </c>
      <c r="C224" s="14"/>
      <c r="D224" s="14"/>
      <c r="E224" s="96"/>
    </row>
    <row r="225" customFormat="false" ht="15" hidden="false" customHeight="false" outlineLevel="0" collapsed="false">
      <c r="A225" s="53" t="n">
        <v>51</v>
      </c>
      <c r="B225" s="39" t="s">
        <v>579</v>
      </c>
      <c r="C225" s="14"/>
      <c r="D225" s="14"/>
      <c r="E225" s="96"/>
    </row>
    <row r="226" customFormat="false" ht="15" hidden="false" customHeight="false" outlineLevel="0" collapsed="false">
      <c r="A226" s="53" t="n">
        <v>52</v>
      </c>
      <c r="B226" s="39" t="s">
        <v>580</v>
      </c>
      <c r="C226" s="14"/>
      <c r="D226" s="14"/>
      <c r="E226" s="96"/>
    </row>
    <row r="227" customFormat="false" ht="15" hidden="false" customHeight="false" outlineLevel="0" collapsed="false">
      <c r="A227" s="53" t="n">
        <v>53</v>
      </c>
      <c r="B227" s="39" t="s">
        <v>1031</v>
      </c>
      <c r="C227" s="14"/>
      <c r="D227" s="14"/>
      <c r="E227" s="96"/>
    </row>
    <row r="228" customFormat="false" ht="15" hidden="false" customHeight="false" outlineLevel="0" collapsed="false">
      <c r="A228" s="53" t="n">
        <v>54</v>
      </c>
      <c r="B228" s="39" t="s">
        <v>581</v>
      </c>
      <c r="C228" s="14"/>
      <c r="D228" s="14"/>
      <c r="E228" s="96"/>
    </row>
    <row r="229" customFormat="false" ht="15" hidden="false" customHeight="false" outlineLevel="0" collapsed="false">
      <c r="A229" s="53" t="n">
        <v>55</v>
      </c>
      <c r="B229" s="39" t="s">
        <v>582</v>
      </c>
      <c r="C229" s="14"/>
      <c r="D229" s="14"/>
      <c r="E229" s="96"/>
    </row>
    <row r="230" customFormat="false" ht="15" hidden="false" customHeight="false" outlineLevel="0" collapsed="false">
      <c r="A230" s="53" t="n">
        <v>56</v>
      </c>
      <c r="B230" s="39" t="s">
        <v>583</v>
      </c>
      <c r="C230" s="14"/>
      <c r="D230" s="14"/>
      <c r="E230" s="96"/>
    </row>
    <row r="231" customFormat="false" ht="15" hidden="false" customHeight="false" outlineLevel="0" collapsed="false">
      <c r="A231" s="53" t="n">
        <v>57</v>
      </c>
      <c r="B231" s="39" t="s">
        <v>584</v>
      </c>
      <c r="C231" s="14"/>
      <c r="D231" s="14"/>
      <c r="E231" s="96"/>
    </row>
    <row r="232" customFormat="false" ht="15" hidden="false" customHeight="false" outlineLevel="0" collapsed="false">
      <c r="A232" s="53" t="n">
        <v>58</v>
      </c>
      <c r="B232" s="39" t="s">
        <v>585</v>
      </c>
      <c r="C232" s="14"/>
      <c r="D232" s="14"/>
      <c r="E232" s="96"/>
    </row>
    <row r="233" customFormat="false" ht="15" hidden="false" customHeight="false" outlineLevel="0" collapsed="false">
      <c r="A233" s="53" t="n">
        <v>59</v>
      </c>
      <c r="B233" s="39" t="s">
        <v>586</v>
      </c>
      <c r="C233" s="14"/>
      <c r="D233" s="14"/>
      <c r="E233" s="96"/>
    </row>
    <row r="234" customFormat="false" ht="15" hidden="false" customHeight="false" outlineLevel="0" collapsed="false">
      <c r="A234" s="53" t="n">
        <v>60</v>
      </c>
      <c r="B234" s="39" t="s">
        <v>587</v>
      </c>
      <c r="C234" s="14"/>
      <c r="D234" s="14"/>
      <c r="E234" s="96"/>
    </row>
    <row r="235" customFormat="false" ht="15" hidden="false" customHeight="false" outlineLevel="0" collapsed="false">
      <c r="A235" s="53" t="n">
        <v>61</v>
      </c>
      <c r="B235" s="39" t="s">
        <v>1032</v>
      </c>
      <c r="C235" s="14"/>
      <c r="D235" s="14"/>
      <c r="E235" s="96"/>
    </row>
    <row r="236" customFormat="false" ht="15" hidden="false" customHeight="false" outlineLevel="0" collapsed="false">
      <c r="A236" s="53" t="n">
        <v>62</v>
      </c>
      <c r="B236" s="39" t="s">
        <v>589</v>
      </c>
      <c r="C236" s="14"/>
      <c r="D236" s="14"/>
      <c r="E236" s="96"/>
    </row>
    <row r="237" customFormat="false" ht="15" hidden="false" customHeight="false" outlineLevel="0" collapsed="false">
      <c r="A237" s="53" t="n">
        <v>63</v>
      </c>
      <c r="B237" s="39" t="s">
        <v>590</v>
      </c>
      <c r="C237" s="14"/>
      <c r="D237" s="14"/>
      <c r="E237" s="96"/>
    </row>
    <row r="238" customFormat="false" ht="15" hidden="false" customHeight="false" outlineLevel="0" collapsed="false">
      <c r="A238" s="53" t="n">
        <v>64</v>
      </c>
      <c r="B238" s="75" t="s">
        <v>1033</v>
      </c>
      <c r="C238" s="14"/>
      <c r="D238" s="92"/>
      <c r="E238" s="96"/>
    </row>
    <row r="239" customFormat="false" ht="15" hidden="false" customHeight="false" outlineLevel="0" collapsed="false">
      <c r="A239" s="53" t="n">
        <v>65</v>
      </c>
      <c r="B239" s="75" t="s">
        <v>591</v>
      </c>
      <c r="C239" s="14"/>
      <c r="D239" s="92"/>
      <c r="E239" s="96"/>
    </row>
    <row r="240" customFormat="false" ht="15" hidden="false" customHeight="false" outlineLevel="0" collapsed="false">
      <c r="A240" s="53" t="n">
        <v>66</v>
      </c>
      <c r="B240" s="75" t="s">
        <v>592</v>
      </c>
      <c r="C240" s="14"/>
      <c r="D240" s="92"/>
      <c r="E240" s="96"/>
    </row>
    <row r="241" customFormat="false" ht="15" hidden="false" customHeight="false" outlineLevel="0" collapsed="false">
      <c r="A241" s="53" t="n">
        <v>67</v>
      </c>
      <c r="B241" s="75" t="s">
        <v>593</v>
      </c>
      <c r="C241" s="14"/>
      <c r="D241" s="92"/>
      <c r="E241" s="96"/>
    </row>
    <row r="242" customFormat="false" ht="15" hidden="false" customHeight="false" outlineLevel="0" collapsed="false">
      <c r="A242" s="53" t="n">
        <v>68</v>
      </c>
      <c r="B242" s="39" t="s">
        <v>594</v>
      </c>
      <c r="C242" s="14"/>
      <c r="D242" s="14"/>
      <c r="E242" s="96"/>
    </row>
    <row r="243" customFormat="false" ht="17.35" hidden="false" customHeight="false" outlineLevel="0" collapsed="false">
      <c r="A243" s="53" t="n">
        <v>69</v>
      </c>
      <c r="B243" s="23" t="s">
        <v>21</v>
      </c>
      <c r="C243" s="24" t="n">
        <f aca="false">SUM(C175:C242)</f>
        <v>0</v>
      </c>
      <c r="D243" s="54" t="n">
        <f aca="false">SUM(D175:D242)</f>
        <v>0</v>
      </c>
      <c r="E243" s="111" t="n">
        <f aca="false">SUM(E175:E242)</f>
        <v>0</v>
      </c>
    </row>
    <row r="244" customFormat="false" ht="15" hidden="false" customHeight="false" outlineLevel="0" collapsed="false">
      <c r="A244" s="50"/>
    </row>
    <row r="247" customFormat="false" ht="17.35" hidden="false" customHeight="false" outlineLevel="0" collapsed="false">
      <c r="A247" s="2"/>
      <c r="B247" s="3" t="s">
        <v>1002</v>
      </c>
    </row>
    <row r="248" customFormat="false" ht="17.35" hidden="false" customHeight="false" outlineLevel="0" collapsed="false">
      <c r="A248" s="4"/>
    </row>
    <row r="249" customFormat="false" ht="15" hidden="false" customHeight="false" outlineLevel="0" collapsed="false">
      <c r="A249" s="2"/>
    </row>
    <row r="250" customFormat="false" ht="17.25" hidden="false" customHeight="false" outlineLevel="0" collapsed="false">
      <c r="A250" s="2"/>
      <c r="B250" s="5" t="s">
        <v>103</v>
      </c>
    </row>
    <row r="251" customFormat="false" ht="15" hidden="false" customHeight="false" outlineLevel="0" collapsed="false">
      <c r="A251" s="2"/>
      <c r="D251" s="6" t="s">
        <v>2</v>
      </c>
    </row>
    <row r="252" customFormat="false" ht="15" hidden="false" customHeight="false" outlineLevel="0" collapsed="false">
      <c r="A252" s="2"/>
    </row>
    <row r="253" customFormat="false" ht="15" hidden="false" customHeight="false" outlineLevel="0" collapsed="false">
      <c r="A253" s="7" t="s">
        <v>3</v>
      </c>
      <c r="B253" s="8" t="s">
        <v>4</v>
      </c>
      <c r="C253" s="9" t="s">
        <v>5</v>
      </c>
      <c r="D253" s="10" t="s">
        <v>6</v>
      </c>
      <c r="E253" s="105" t="s">
        <v>7</v>
      </c>
    </row>
    <row r="254" customFormat="false" ht="15" hidden="false" customHeight="false" outlineLevel="0" collapsed="false">
      <c r="A254" s="12" t="n">
        <v>1</v>
      </c>
      <c r="B254" s="39" t="s">
        <v>1034</v>
      </c>
      <c r="C254" s="14"/>
      <c r="D254" s="14"/>
      <c r="E254" s="96"/>
    </row>
    <row r="255" customFormat="false" ht="15" hidden="false" customHeight="false" outlineLevel="0" collapsed="false">
      <c r="A255" s="35" t="n">
        <v>2</v>
      </c>
      <c r="B255" s="39" t="s">
        <v>1035</v>
      </c>
      <c r="C255" s="14"/>
      <c r="D255" s="14"/>
      <c r="E255" s="96"/>
    </row>
    <row r="256" customFormat="false" ht="15" hidden="false" customHeight="false" outlineLevel="0" collapsed="false">
      <c r="A256" s="35"/>
      <c r="B256" s="39"/>
      <c r="C256" s="14"/>
      <c r="D256" s="14"/>
      <c r="E256" s="96" t="n">
        <f aca="false">C256-D256</f>
        <v>0</v>
      </c>
    </row>
    <row r="257" customFormat="false" ht="17.35" hidden="false" customHeight="false" outlineLevel="0" collapsed="false">
      <c r="A257" s="22"/>
      <c r="B257" s="23" t="s">
        <v>21</v>
      </c>
      <c r="C257" s="24" t="n">
        <f aca="false">SUM(C254:C256)</f>
        <v>0</v>
      </c>
      <c r="D257" s="54" t="n">
        <f aca="false">SUM(D254:D256)</f>
        <v>0</v>
      </c>
      <c r="E257" s="111" t="n">
        <f aca="false">SUM(E254:E256)</f>
        <v>0</v>
      </c>
    </row>
    <row r="262" customFormat="false" ht="17.35" hidden="false" customHeight="false" outlineLevel="0" collapsed="false">
      <c r="B262" s="3" t="s">
        <v>0</v>
      </c>
    </row>
    <row r="263" customFormat="false" ht="15" hidden="false" customHeight="false" outlineLevel="0" collapsed="false">
      <c r="A263" s="2"/>
    </row>
    <row r="264" customFormat="false" ht="15" hidden="false" customHeight="false" outlineLevel="0" collapsed="false">
      <c r="A264" s="2"/>
    </row>
    <row r="265" customFormat="false" ht="17.25" hidden="false" customHeight="false" outlineLevel="0" collapsed="false">
      <c r="A265" s="2"/>
      <c r="B265" s="5" t="s">
        <v>621</v>
      </c>
    </row>
    <row r="266" customFormat="false" ht="15" hidden="false" customHeight="false" outlineLevel="0" collapsed="false">
      <c r="A266" s="2"/>
      <c r="D266" s="6" t="s">
        <v>178</v>
      </c>
    </row>
    <row r="267" customFormat="false" ht="15" hidden="false" customHeight="false" outlineLevel="0" collapsed="false">
      <c r="A267" s="2"/>
    </row>
    <row r="268" customFormat="false" ht="15" hidden="false" customHeight="false" outlineLevel="0" collapsed="false">
      <c r="A268" s="7" t="s">
        <v>3</v>
      </c>
      <c r="B268" s="8" t="s">
        <v>4</v>
      </c>
      <c r="C268" s="9"/>
      <c r="D268" s="10"/>
      <c r="E268" s="105"/>
      <c r="F268" s="210"/>
    </row>
    <row r="269" customFormat="false" ht="15" hidden="false" customHeight="false" outlineLevel="0" collapsed="false">
      <c r="A269" s="12" t="n">
        <v>1</v>
      </c>
      <c r="B269" s="13" t="s">
        <v>622</v>
      </c>
      <c r="C269" s="14"/>
      <c r="D269" s="14"/>
      <c r="E269" s="96"/>
      <c r="F269" s="211"/>
    </row>
    <row r="270" customFormat="false" ht="15" hidden="false" customHeight="false" outlineLevel="0" collapsed="false">
      <c r="A270" s="35" t="n">
        <v>2</v>
      </c>
      <c r="B270" s="36" t="s">
        <v>623</v>
      </c>
      <c r="C270" s="14"/>
      <c r="D270" s="14"/>
      <c r="E270" s="96"/>
      <c r="F270" s="212"/>
    </row>
    <row r="271" customFormat="false" ht="15" hidden="false" customHeight="false" outlineLevel="0" collapsed="false">
      <c r="A271" s="12" t="n">
        <v>3</v>
      </c>
      <c r="B271" s="36" t="s">
        <v>624</v>
      </c>
      <c r="C271" s="14"/>
      <c r="D271" s="14"/>
      <c r="E271" s="96"/>
      <c r="F271" s="213"/>
    </row>
    <row r="272" customFormat="false" ht="15" hidden="false" customHeight="false" outlineLevel="0" collapsed="false">
      <c r="A272" s="35" t="n">
        <v>4</v>
      </c>
      <c r="B272" s="36" t="s">
        <v>625</v>
      </c>
      <c r="C272" s="14"/>
      <c r="D272" s="14"/>
      <c r="E272" s="96"/>
      <c r="F272" s="212"/>
    </row>
    <row r="273" customFormat="false" ht="15" hidden="false" customHeight="false" outlineLevel="0" collapsed="false">
      <c r="A273" s="12" t="n">
        <v>5</v>
      </c>
      <c r="B273" s="36" t="s">
        <v>626</v>
      </c>
      <c r="C273" s="14"/>
      <c r="D273" s="14"/>
      <c r="E273" s="96"/>
      <c r="F273" s="212"/>
    </row>
    <row r="274" customFormat="false" ht="15" hidden="false" customHeight="false" outlineLevel="0" collapsed="false">
      <c r="A274" s="35" t="n">
        <v>6</v>
      </c>
      <c r="B274" s="36" t="s">
        <v>627</v>
      </c>
      <c r="C274" s="14"/>
      <c r="D274" s="14"/>
      <c r="E274" s="96"/>
      <c r="F274" s="212"/>
    </row>
    <row r="275" customFormat="false" ht="15" hidden="false" customHeight="false" outlineLevel="0" collapsed="false">
      <c r="A275" s="12" t="n">
        <v>7</v>
      </c>
      <c r="B275" s="36" t="s">
        <v>628</v>
      </c>
      <c r="C275" s="14"/>
      <c r="D275" s="14"/>
      <c r="E275" s="96"/>
      <c r="F275" s="212"/>
    </row>
    <row r="276" customFormat="false" ht="15" hidden="false" customHeight="false" outlineLevel="0" collapsed="false">
      <c r="A276" s="35" t="n">
        <v>8</v>
      </c>
      <c r="B276" s="36" t="s">
        <v>629</v>
      </c>
      <c r="C276" s="14"/>
      <c r="D276" s="14"/>
      <c r="E276" s="96"/>
      <c r="F276" s="212"/>
    </row>
    <row r="277" customFormat="false" ht="15" hidden="false" customHeight="false" outlineLevel="0" collapsed="false">
      <c r="A277" s="12" t="n">
        <v>9</v>
      </c>
      <c r="B277" s="36" t="s">
        <v>630</v>
      </c>
      <c r="C277" s="14"/>
      <c r="D277" s="14"/>
      <c r="E277" s="96"/>
      <c r="F277" s="212"/>
    </row>
    <row r="278" customFormat="false" ht="15" hidden="false" customHeight="false" outlineLevel="0" collapsed="false">
      <c r="A278" s="35" t="n">
        <v>10</v>
      </c>
      <c r="B278" s="36" t="s">
        <v>631</v>
      </c>
      <c r="C278" s="14"/>
      <c r="D278" s="14"/>
      <c r="E278" s="96"/>
      <c r="F278" s="212"/>
    </row>
    <row r="279" customFormat="false" ht="15" hidden="false" customHeight="false" outlineLevel="0" collapsed="false">
      <c r="A279" s="35" t="n">
        <v>11</v>
      </c>
      <c r="B279" s="36" t="s">
        <v>632</v>
      </c>
      <c r="C279" s="14"/>
      <c r="D279" s="14"/>
      <c r="E279" s="96"/>
      <c r="F279" s="212"/>
    </row>
    <row r="280" customFormat="false" ht="15" hidden="false" customHeight="false" outlineLevel="0" collapsed="false">
      <c r="A280" s="35" t="n">
        <v>12</v>
      </c>
      <c r="B280" s="36" t="s">
        <v>633</v>
      </c>
      <c r="C280" s="14"/>
      <c r="D280" s="14"/>
      <c r="E280" s="96"/>
      <c r="F280" s="212"/>
    </row>
    <row r="281" customFormat="false" ht="15" hidden="false" customHeight="false" outlineLevel="0" collapsed="false">
      <c r="A281" s="35" t="n">
        <v>13</v>
      </c>
      <c r="B281" s="36" t="s">
        <v>634</v>
      </c>
      <c r="C281" s="14"/>
      <c r="D281" s="14"/>
      <c r="E281" s="96"/>
      <c r="F281" s="212"/>
    </row>
    <row r="282" customFormat="false" ht="15" hidden="false" customHeight="false" outlineLevel="0" collapsed="false">
      <c r="A282" s="35" t="n">
        <v>14</v>
      </c>
      <c r="B282" s="36" t="s">
        <v>635</v>
      </c>
      <c r="C282" s="14"/>
      <c r="D282" s="14"/>
      <c r="E282" s="96"/>
      <c r="F282" s="212"/>
    </row>
    <row r="283" customFormat="false" ht="15" hidden="false" customHeight="false" outlineLevel="0" collapsed="false">
      <c r="A283" s="35" t="n">
        <v>15</v>
      </c>
      <c r="B283" s="36" t="s">
        <v>636</v>
      </c>
      <c r="C283" s="14"/>
      <c r="D283" s="14"/>
      <c r="E283" s="96"/>
      <c r="F283" s="212"/>
    </row>
    <row r="284" customFormat="false" ht="15" hidden="false" customHeight="false" outlineLevel="0" collapsed="false">
      <c r="A284" s="35" t="n">
        <v>16</v>
      </c>
      <c r="B284" s="36" t="s">
        <v>637</v>
      </c>
      <c r="C284" s="14"/>
      <c r="D284" s="14"/>
      <c r="E284" s="96"/>
      <c r="F284" s="212"/>
    </row>
    <row r="285" customFormat="false" ht="15" hidden="false" customHeight="false" outlineLevel="0" collapsed="false">
      <c r="A285" s="35" t="n">
        <v>17</v>
      </c>
      <c r="B285" s="36" t="s">
        <v>638</v>
      </c>
      <c r="C285" s="14"/>
      <c r="D285" s="14"/>
      <c r="E285" s="96"/>
      <c r="F285" s="212"/>
    </row>
    <row r="286" customFormat="false" ht="15" hidden="false" customHeight="false" outlineLevel="0" collapsed="false">
      <c r="A286" s="35" t="n">
        <v>18</v>
      </c>
      <c r="B286" s="36" t="s">
        <v>639</v>
      </c>
      <c r="C286" s="14"/>
      <c r="D286" s="14"/>
      <c r="E286" s="96"/>
      <c r="F286" s="212"/>
    </row>
    <row r="287" customFormat="false" ht="15" hidden="false" customHeight="false" outlineLevel="0" collapsed="false">
      <c r="A287" s="35" t="n">
        <v>19</v>
      </c>
      <c r="B287" s="36" t="s">
        <v>640</v>
      </c>
      <c r="C287" s="14"/>
      <c r="D287" s="14"/>
      <c r="E287" s="96"/>
      <c r="F287" s="212"/>
    </row>
    <row r="288" customFormat="false" ht="15" hidden="false" customHeight="false" outlineLevel="0" collapsed="false">
      <c r="A288" s="35" t="n">
        <v>20</v>
      </c>
      <c r="B288" s="36" t="s">
        <v>641</v>
      </c>
      <c r="C288" s="14"/>
      <c r="D288" s="14"/>
      <c r="E288" s="96"/>
      <c r="F288" s="212"/>
    </row>
    <row r="289" customFormat="false" ht="15" hidden="false" customHeight="false" outlineLevel="0" collapsed="false">
      <c r="A289" s="35" t="n">
        <v>21</v>
      </c>
      <c r="B289" s="36" t="s">
        <v>642</v>
      </c>
      <c r="C289" s="14"/>
      <c r="D289" s="14"/>
      <c r="E289" s="96"/>
      <c r="F289" s="212"/>
    </row>
    <row r="290" customFormat="false" ht="15" hidden="false" customHeight="false" outlineLevel="0" collapsed="false">
      <c r="A290" s="35" t="n">
        <v>22</v>
      </c>
      <c r="B290" s="36" t="s">
        <v>643</v>
      </c>
      <c r="C290" s="14"/>
      <c r="D290" s="14"/>
      <c r="E290" s="96"/>
      <c r="F290" s="212"/>
    </row>
    <row r="291" customFormat="false" ht="15" hidden="false" customHeight="false" outlineLevel="0" collapsed="false">
      <c r="A291" s="35" t="n">
        <v>23</v>
      </c>
      <c r="B291" s="36" t="s">
        <v>644</v>
      </c>
      <c r="C291" s="14"/>
      <c r="D291" s="14"/>
      <c r="E291" s="96"/>
      <c r="F291" s="212"/>
    </row>
    <row r="292" customFormat="false" ht="15" hidden="false" customHeight="false" outlineLevel="0" collapsed="false">
      <c r="A292" s="35" t="n">
        <v>24</v>
      </c>
      <c r="B292" s="36" t="s">
        <v>645</v>
      </c>
      <c r="C292" s="14"/>
      <c r="D292" s="14"/>
      <c r="E292" s="96"/>
      <c r="F292" s="212"/>
    </row>
    <row r="293" customFormat="false" ht="15" hidden="false" customHeight="false" outlineLevel="0" collapsed="false">
      <c r="A293" s="35" t="n">
        <v>25</v>
      </c>
      <c r="B293" s="36" t="s">
        <v>646</v>
      </c>
      <c r="C293" s="14"/>
      <c r="D293" s="14"/>
      <c r="E293" s="96"/>
      <c r="F293" s="212"/>
    </row>
    <row r="294" customFormat="false" ht="15" hidden="false" customHeight="false" outlineLevel="0" collapsed="false">
      <c r="A294" s="35" t="n">
        <v>26</v>
      </c>
      <c r="B294" s="36" t="s">
        <v>647</v>
      </c>
      <c r="C294" s="14"/>
      <c r="D294" s="14"/>
      <c r="E294" s="96"/>
      <c r="F294" s="212"/>
    </row>
    <row r="295" customFormat="false" ht="15" hidden="false" customHeight="false" outlineLevel="0" collapsed="false">
      <c r="A295" s="35" t="n">
        <v>27</v>
      </c>
      <c r="B295" s="36" t="s">
        <v>648</v>
      </c>
      <c r="C295" s="14"/>
      <c r="D295" s="14"/>
      <c r="E295" s="96"/>
      <c r="F295" s="212"/>
    </row>
    <row r="296" customFormat="false" ht="15" hidden="false" customHeight="false" outlineLevel="0" collapsed="false">
      <c r="A296" s="35" t="n">
        <v>28</v>
      </c>
      <c r="B296" s="36" t="s">
        <v>649</v>
      </c>
      <c r="C296" s="14"/>
      <c r="D296" s="14"/>
      <c r="E296" s="96"/>
      <c r="F296" s="212"/>
    </row>
    <row r="297" customFormat="false" ht="15" hidden="false" customHeight="false" outlineLevel="0" collapsed="false">
      <c r="A297" s="35" t="n">
        <v>29</v>
      </c>
      <c r="B297" s="36" t="s">
        <v>650</v>
      </c>
      <c r="C297" s="14"/>
      <c r="D297" s="14"/>
      <c r="E297" s="96"/>
      <c r="F297" s="212"/>
    </row>
    <row r="298" customFormat="false" ht="15" hidden="false" customHeight="false" outlineLevel="0" collapsed="false">
      <c r="A298" s="35" t="n">
        <v>30</v>
      </c>
      <c r="B298" s="36" t="s">
        <v>651</v>
      </c>
      <c r="C298" s="14"/>
      <c r="D298" s="14"/>
      <c r="E298" s="96"/>
      <c r="F298" s="212"/>
    </row>
    <row r="299" customFormat="false" ht="15" hidden="false" customHeight="false" outlineLevel="0" collapsed="false">
      <c r="A299" s="35" t="n">
        <v>31</v>
      </c>
      <c r="B299" s="36" t="s">
        <v>652</v>
      </c>
      <c r="C299" s="14"/>
      <c r="D299" s="14"/>
      <c r="E299" s="96"/>
      <c r="F299" s="212"/>
    </row>
    <row r="300" customFormat="false" ht="15" hidden="false" customHeight="false" outlineLevel="0" collapsed="false">
      <c r="A300" s="35" t="n">
        <v>32</v>
      </c>
      <c r="B300" s="36" t="s">
        <v>653</v>
      </c>
      <c r="C300" s="14"/>
      <c r="D300" s="14"/>
      <c r="E300" s="96"/>
      <c r="F300" s="213"/>
    </row>
    <row r="301" customFormat="false" ht="15" hidden="false" customHeight="false" outlineLevel="0" collapsed="false">
      <c r="A301" s="35" t="n">
        <v>33</v>
      </c>
      <c r="B301" s="36" t="s">
        <v>654</v>
      </c>
      <c r="C301" s="14"/>
      <c r="D301" s="14"/>
      <c r="E301" s="96"/>
      <c r="F301" s="213"/>
    </row>
    <row r="302" customFormat="false" ht="15" hidden="false" customHeight="false" outlineLevel="0" collapsed="false">
      <c r="A302" s="35" t="n">
        <v>34</v>
      </c>
      <c r="B302" s="36" t="s">
        <v>655</v>
      </c>
      <c r="C302" s="14"/>
      <c r="D302" s="14"/>
      <c r="E302" s="96"/>
      <c r="F302" s="213"/>
    </row>
    <row r="303" customFormat="false" ht="15" hidden="false" customHeight="false" outlineLevel="0" collapsed="false">
      <c r="A303" s="35" t="n">
        <v>35</v>
      </c>
      <c r="B303" s="36" t="s">
        <v>656</v>
      </c>
      <c r="C303" s="14"/>
      <c r="D303" s="14"/>
      <c r="E303" s="96"/>
      <c r="F303" s="213"/>
    </row>
    <row r="304" customFormat="false" ht="15" hidden="false" customHeight="false" outlineLevel="0" collapsed="false">
      <c r="A304" s="35" t="n">
        <v>36</v>
      </c>
      <c r="B304" s="36" t="s">
        <v>657</v>
      </c>
      <c r="C304" s="14"/>
      <c r="D304" s="14"/>
      <c r="E304" s="96"/>
      <c r="F304" s="213"/>
    </row>
    <row r="305" customFormat="false" ht="15" hidden="false" customHeight="false" outlineLevel="0" collapsed="false">
      <c r="A305" s="35" t="n">
        <v>37</v>
      </c>
      <c r="B305" s="36" t="s">
        <v>658</v>
      </c>
      <c r="C305" s="14"/>
      <c r="D305" s="14"/>
      <c r="E305" s="96"/>
      <c r="F305" s="213"/>
    </row>
    <row r="306" customFormat="false" ht="15" hidden="false" customHeight="false" outlineLevel="0" collapsed="false">
      <c r="A306" s="35" t="n">
        <v>38</v>
      </c>
      <c r="B306" s="39" t="s">
        <v>659</v>
      </c>
      <c r="C306" s="37"/>
      <c r="D306" s="37"/>
      <c r="E306" s="96"/>
      <c r="F306" s="213"/>
    </row>
    <row r="307" customFormat="false" ht="15" hidden="false" customHeight="false" outlineLevel="0" collapsed="false">
      <c r="A307" s="35" t="n">
        <v>39</v>
      </c>
      <c r="B307" s="36" t="s">
        <v>660</v>
      </c>
      <c r="C307" s="14"/>
      <c r="D307" s="14"/>
      <c r="E307" s="96"/>
      <c r="F307" s="213"/>
    </row>
    <row r="308" customFormat="false" ht="15" hidden="false" customHeight="false" outlineLevel="0" collapsed="false">
      <c r="A308" s="35" t="n">
        <v>40</v>
      </c>
      <c r="B308" s="36" t="s">
        <v>661</v>
      </c>
      <c r="C308" s="14"/>
      <c r="D308" s="14"/>
      <c r="E308" s="96"/>
      <c r="F308" s="213"/>
    </row>
    <row r="309" customFormat="false" ht="15" hidden="false" customHeight="false" outlineLevel="0" collapsed="false">
      <c r="A309" s="35" t="n">
        <v>41</v>
      </c>
      <c r="B309" s="36" t="s">
        <v>662</v>
      </c>
      <c r="C309" s="14"/>
      <c r="D309" s="14"/>
      <c r="E309" s="96"/>
      <c r="F309" s="212"/>
    </row>
    <row r="310" customFormat="false" ht="15" hidden="false" customHeight="false" outlineLevel="0" collapsed="false">
      <c r="A310" s="35" t="n">
        <v>42</v>
      </c>
      <c r="B310" s="36" t="s">
        <v>663</v>
      </c>
      <c r="C310" s="14"/>
      <c r="D310" s="14"/>
      <c r="E310" s="96"/>
      <c r="F310" s="212"/>
    </row>
    <row r="311" customFormat="false" ht="15" hidden="false" customHeight="false" outlineLevel="0" collapsed="false">
      <c r="A311" s="12" t="n">
        <v>43</v>
      </c>
      <c r="B311" s="36" t="s">
        <v>664</v>
      </c>
      <c r="C311" s="14"/>
      <c r="D311" s="14"/>
      <c r="E311" s="96"/>
      <c r="F311" s="212"/>
    </row>
    <row r="312" customFormat="false" ht="15" hidden="false" customHeight="false" outlineLevel="0" collapsed="false">
      <c r="A312" s="12" t="n">
        <v>44</v>
      </c>
      <c r="B312" s="36" t="s">
        <v>665</v>
      </c>
      <c r="C312" s="14"/>
      <c r="D312" s="14"/>
      <c r="E312" s="96"/>
      <c r="F312" s="212"/>
    </row>
    <row r="313" customFormat="false" ht="15" hidden="false" customHeight="false" outlineLevel="0" collapsed="false">
      <c r="A313" s="12" t="n">
        <v>45</v>
      </c>
      <c r="B313" s="36" t="s">
        <v>666</v>
      </c>
      <c r="C313" s="14"/>
      <c r="D313" s="14"/>
      <c r="E313" s="96"/>
      <c r="F313" s="212"/>
    </row>
    <row r="314" customFormat="false" ht="15" hidden="false" customHeight="false" outlineLevel="0" collapsed="false">
      <c r="A314" s="35" t="n">
        <v>46</v>
      </c>
      <c r="B314" s="36" t="s">
        <v>667</v>
      </c>
      <c r="C314" s="14"/>
      <c r="D314" s="14"/>
      <c r="E314" s="96"/>
      <c r="F314" s="212"/>
    </row>
    <row r="315" customFormat="false" ht="15" hidden="false" customHeight="false" outlineLevel="0" collapsed="false">
      <c r="A315" s="35" t="n">
        <v>47</v>
      </c>
      <c r="B315" s="36" t="s">
        <v>668</v>
      </c>
      <c r="C315" s="14"/>
      <c r="D315" s="14"/>
      <c r="E315" s="96"/>
      <c r="F315" s="212"/>
    </row>
    <row r="316" customFormat="false" ht="15" hidden="false" customHeight="false" outlineLevel="0" collapsed="false">
      <c r="A316" s="35" t="n">
        <v>48</v>
      </c>
      <c r="B316" s="90" t="s">
        <v>669</v>
      </c>
      <c r="C316" s="92"/>
      <c r="D316" s="92"/>
      <c r="E316" s="96"/>
      <c r="F316" s="212"/>
    </row>
    <row r="317" customFormat="false" ht="15" hidden="false" customHeight="false" outlineLevel="0" collapsed="false">
      <c r="A317" s="12" t="n">
        <v>49</v>
      </c>
      <c r="B317" s="36" t="s">
        <v>670</v>
      </c>
      <c r="C317" s="14"/>
      <c r="D317" s="14"/>
      <c r="E317" s="96"/>
      <c r="F317" s="212"/>
    </row>
    <row r="318" customFormat="false" ht="15" hidden="false" customHeight="false" outlineLevel="0" collapsed="false">
      <c r="A318" s="35" t="n">
        <v>50</v>
      </c>
      <c r="B318" s="36" t="s">
        <v>671</v>
      </c>
      <c r="C318" s="14"/>
      <c r="D318" s="14"/>
      <c r="E318" s="96"/>
      <c r="F318" s="212"/>
    </row>
    <row r="319" customFormat="false" ht="15" hidden="false" customHeight="false" outlineLevel="0" collapsed="false">
      <c r="A319" s="35" t="n">
        <v>51</v>
      </c>
      <c r="B319" s="36" t="s">
        <v>672</v>
      </c>
      <c r="C319" s="14"/>
      <c r="D319" s="14"/>
      <c r="E319" s="96"/>
      <c r="F319" s="212"/>
    </row>
    <row r="320" customFormat="false" ht="15" hidden="false" customHeight="false" outlineLevel="0" collapsed="false">
      <c r="A320" s="53" t="n">
        <v>52</v>
      </c>
      <c r="B320" s="36" t="s">
        <v>673</v>
      </c>
      <c r="C320" s="14"/>
      <c r="D320" s="14"/>
      <c r="E320" s="96"/>
      <c r="F320" s="212"/>
    </row>
    <row r="321" customFormat="false" ht="15" hidden="false" customHeight="false" outlineLevel="0" collapsed="false">
      <c r="A321" s="53" t="n">
        <v>53</v>
      </c>
      <c r="B321" s="36" t="s">
        <v>674</v>
      </c>
      <c r="C321" s="14"/>
      <c r="D321" s="14"/>
      <c r="E321" s="96"/>
      <c r="F321" s="212"/>
    </row>
    <row r="322" customFormat="false" ht="15" hidden="false" customHeight="false" outlineLevel="0" collapsed="false">
      <c r="A322" s="12" t="n">
        <v>54</v>
      </c>
      <c r="B322" s="36" t="s">
        <v>675</v>
      </c>
      <c r="C322" s="14"/>
      <c r="D322" s="14"/>
      <c r="E322" s="96"/>
      <c r="F322" s="212"/>
    </row>
    <row r="323" customFormat="false" ht="15" hidden="false" customHeight="false" outlineLevel="0" collapsed="false">
      <c r="A323" s="35" t="n">
        <v>55</v>
      </c>
      <c r="B323" s="36" t="s">
        <v>676</v>
      </c>
      <c r="C323" s="14"/>
      <c r="D323" s="14"/>
      <c r="E323" s="96"/>
      <c r="F323" s="212"/>
    </row>
    <row r="324" customFormat="false" ht="15" hidden="false" customHeight="false" outlineLevel="0" collapsed="false">
      <c r="A324" s="12" t="n">
        <v>56</v>
      </c>
      <c r="B324" s="36" t="s">
        <v>677</v>
      </c>
      <c r="C324" s="14"/>
      <c r="D324" s="14"/>
      <c r="E324" s="96"/>
      <c r="F324" s="212"/>
    </row>
    <row r="325" customFormat="false" ht="15" hidden="false" customHeight="false" outlineLevel="0" collapsed="false">
      <c r="A325" s="35" t="n">
        <v>57</v>
      </c>
      <c r="B325" s="36" t="s">
        <v>678</v>
      </c>
      <c r="C325" s="14"/>
      <c r="D325" s="14"/>
      <c r="E325" s="96"/>
      <c r="F325" s="212"/>
    </row>
    <row r="326" customFormat="false" ht="15" hidden="false" customHeight="false" outlineLevel="0" collapsed="false">
      <c r="A326" s="12" t="n">
        <v>58</v>
      </c>
      <c r="B326" s="36" t="s">
        <v>1036</v>
      </c>
      <c r="C326" s="14"/>
      <c r="D326" s="14"/>
      <c r="E326" s="96"/>
      <c r="F326" s="212"/>
    </row>
    <row r="327" customFormat="false" ht="15" hidden="false" customHeight="false" outlineLevel="0" collapsed="false">
      <c r="A327" s="35" t="n">
        <v>59</v>
      </c>
      <c r="B327" s="36" t="s">
        <v>680</v>
      </c>
      <c r="C327" s="14"/>
      <c r="D327" s="14"/>
      <c r="E327" s="96"/>
      <c r="F327" s="212"/>
    </row>
    <row r="328" customFormat="false" ht="15" hidden="false" customHeight="false" outlineLevel="0" collapsed="false">
      <c r="A328" s="12" t="n">
        <v>60</v>
      </c>
      <c r="B328" s="36" t="s">
        <v>681</v>
      </c>
      <c r="C328" s="14"/>
      <c r="D328" s="14"/>
      <c r="E328" s="96"/>
      <c r="F328" s="212"/>
    </row>
    <row r="329" customFormat="false" ht="15" hidden="false" customHeight="false" outlineLevel="0" collapsed="false">
      <c r="A329" s="35" t="n">
        <v>61</v>
      </c>
      <c r="B329" s="36" t="s">
        <v>682</v>
      </c>
      <c r="C329" s="14"/>
      <c r="D329" s="14"/>
      <c r="E329" s="96"/>
      <c r="F329" s="212"/>
    </row>
    <row r="330" customFormat="false" ht="15" hidden="false" customHeight="false" outlineLevel="0" collapsed="false">
      <c r="A330" s="12" t="n">
        <v>62</v>
      </c>
      <c r="B330" s="36" t="s">
        <v>683</v>
      </c>
      <c r="C330" s="14"/>
      <c r="D330" s="14"/>
      <c r="E330" s="96"/>
      <c r="F330" s="212"/>
    </row>
    <row r="331" customFormat="false" ht="15" hidden="false" customHeight="false" outlineLevel="0" collapsed="false">
      <c r="A331" s="12" t="n">
        <v>63</v>
      </c>
      <c r="B331" s="36" t="s">
        <v>684</v>
      </c>
      <c r="C331" s="14"/>
      <c r="D331" s="14"/>
      <c r="E331" s="96"/>
      <c r="F331" s="212"/>
    </row>
    <row r="332" customFormat="false" ht="15" hidden="false" customHeight="false" outlineLevel="0" collapsed="false">
      <c r="A332" s="12" t="n">
        <v>64</v>
      </c>
      <c r="B332" s="36" t="s">
        <v>685</v>
      </c>
      <c r="C332" s="14"/>
      <c r="D332" s="14"/>
      <c r="E332" s="96"/>
      <c r="F332" s="212"/>
    </row>
    <row r="333" customFormat="false" ht="15" hidden="false" customHeight="false" outlineLevel="0" collapsed="false">
      <c r="A333" s="12" t="n">
        <v>65</v>
      </c>
      <c r="B333" s="36" t="s">
        <v>686</v>
      </c>
      <c r="C333" s="14"/>
      <c r="D333" s="14"/>
      <c r="E333" s="96"/>
      <c r="F333" s="212"/>
    </row>
    <row r="334" customFormat="false" ht="15" hidden="false" customHeight="false" outlineLevel="0" collapsed="false">
      <c r="A334" s="12" t="n">
        <v>66</v>
      </c>
      <c r="B334" s="36" t="s">
        <v>687</v>
      </c>
      <c r="C334" s="14"/>
      <c r="D334" s="14"/>
      <c r="E334" s="96"/>
      <c r="F334" s="212"/>
    </row>
    <row r="335" customFormat="false" ht="15" hidden="false" customHeight="false" outlineLevel="0" collapsed="false">
      <c r="A335" s="12" t="n">
        <v>67</v>
      </c>
      <c r="B335" s="36" t="s">
        <v>688</v>
      </c>
      <c r="C335" s="14"/>
      <c r="D335" s="14"/>
      <c r="E335" s="96"/>
      <c r="F335" s="212"/>
    </row>
    <row r="336" customFormat="false" ht="15" hidden="false" customHeight="false" outlineLevel="0" collapsed="false">
      <c r="A336" s="12" t="n">
        <v>68</v>
      </c>
      <c r="B336" s="36" t="s">
        <v>689</v>
      </c>
      <c r="C336" s="14"/>
      <c r="D336" s="14"/>
      <c r="E336" s="96"/>
      <c r="F336" s="212"/>
    </row>
    <row r="337" customFormat="false" ht="15" hidden="false" customHeight="false" outlineLevel="0" collapsed="false">
      <c r="A337" s="12" t="n">
        <v>69</v>
      </c>
      <c r="B337" s="36" t="s">
        <v>690</v>
      </c>
      <c r="C337" s="14"/>
      <c r="D337" s="14"/>
      <c r="E337" s="96"/>
      <c r="F337" s="212"/>
    </row>
    <row r="338" customFormat="false" ht="15" hidden="false" customHeight="false" outlineLevel="0" collapsed="false">
      <c r="A338" s="12" t="n">
        <v>70</v>
      </c>
      <c r="B338" s="36" t="s">
        <v>691</v>
      </c>
      <c r="C338" s="14"/>
      <c r="D338" s="14"/>
      <c r="E338" s="69"/>
      <c r="F338" s="212"/>
    </row>
    <row r="339" customFormat="false" ht="15" hidden="false" customHeight="false" outlineLevel="0" collapsed="false">
      <c r="A339" s="12" t="n">
        <v>71</v>
      </c>
      <c r="B339" s="36" t="s">
        <v>692</v>
      </c>
      <c r="C339" s="14"/>
      <c r="D339" s="14"/>
      <c r="E339" s="96"/>
      <c r="F339" s="212"/>
    </row>
    <row r="340" customFormat="false" ht="15" hidden="false" customHeight="false" outlineLevel="0" collapsed="false">
      <c r="A340" s="12" t="n">
        <v>72</v>
      </c>
      <c r="B340" s="36" t="s">
        <v>693</v>
      </c>
      <c r="C340" s="14"/>
      <c r="D340" s="14"/>
      <c r="E340" s="96"/>
      <c r="F340" s="212"/>
    </row>
    <row r="341" customFormat="false" ht="15" hidden="false" customHeight="false" outlineLevel="0" collapsed="false">
      <c r="A341" s="12" t="n">
        <v>73</v>
      </c>
      <c r="B341" s="36" t="s">
        <v>694</v>
      </c>
      <c r="C341" s="14"/>
      <c r="D341" s="14"/>
      <c r="E341" s="96"/>
      <c r="F341" s="212"/>
    </row>
    <row r="342" customFormat="false" ht="15" hidden="false" customHeight="false" outlineLevel="0" collapsed="false">
      <c r="A342" s="12" t="n">
        <v>74</v>
      </c>
      <c r="B342" s="36" t="s">
        <v>695</v>
      </c>
      <c r="C342" s="14"/>
      <c r="D342" s="14"/>
      <c r="E342" s="96"/>
      <c r="F342" s="212"/>
    </row>
    <row r="343" customFormat="false" ht="15" hidden="false" customHeight="false" outlineLevel="0" collapsed="false">
      <c r="A343" s="12" t="n">
        <v>75</v>
      </c>
      <c r="B343" s="36" t="s">
        <v>696</v>
      </c>
      <c r="C343" s="14"/>
      <c r="D343" s="14"/>
      <c r="E343" s="96"/>
      <c r="F343" s="212"/>
    </row>
    <row r="344" customFormat="false" ht="15" hidden="false" customHeight="false" outlineLevel="0" collapsed="false">
      <c r="A344" s="12" t="n">
        <v>76</v>
      </c>
      <c r="B344" s="36" t="s">
        <v>697</v>
      </c>
      <c r="C344" s="14"/>
      <c r="D344" s="14"/>
      <c r="E344" s="96"/>
      <c r="F344" s="212"/>
    </row>
    <row r="345" customFormat="false" ht="15" hidden="false" customHeight="false" outlineLevel="0" collapsed="false">
      <c r="A345" s="12" t="n">
        <v>77</v>
      </c>
      <c r="B345" s="36" t="s">
        <v>698</v>
      </c>
      <c r="C345" s="14"/>
      <c r="D345" s="14"/>
      <c r="E345" s="96"/>
      <c r="F345" s="212"/>
    </row>
    <row r="346" customFormat="false" ht="15" hidden="false" customHeight="false" outlineLevel="0" collapsed="false">
      <c r="A346" s="12" t="n">
        <v>78</v>
      </c>
      <c r="B346" s="36" t="s">
        <v>699</v>
      </c>
      <c r="C346" s="14"/>
      <c r="D346" s="14"/>
      <c r="E346" s="96"/>
      <c r="F346" s="212"/>
    </row>
    <row r="347" customFormat="false" ht="15" hidden="false" customHeight="false" outlineLevel="0" collapsed="false">
      <c r="A347" s="12" t="n">
        <v>79</v>
      </c>
      <c r="B347" s="36" t="s">
        <v>700</v>
      </c>
      <c r="C347" s="14"/>
      <c r="D347" s="14"/>
      <c r="E347" s="96"/>
      <c r="F347" s="212"/>
    </row>
    <row r="348" customFormat="false" ht="15" hidden="false" customHeight="false" outlineLevel="0" collapsed="false">
      <c r="A348" s="12" t="n">
        <v>80</v>
      </c>
      <c r="B348" s="36" t="s">
        <v>701</v>
      </c>
      <c r="C348" s="14"/>
      <c r="D348" s="14"/>
      <c r="E348" s="96"/>
      <c r="F348" s="212"/>
    </row>
    <row r="349" customFormat="false" ht="15" hidden="false" customHeight="false" outlineLevel="0" collapsed="false">
      <c r="A349" s="12" t="n">
        <v>81</v>
      </c>
      <c r="B349" s="36" t="s">
        <v>702</v>
      </c>
      <c r="C349" s="14"/>
      <c r="D349" s="14"/>
      <c r="E349" s="96"/>
      <c r="F349" s="212"/>
    </row>
    <row r="350" customFormat="false" ht="15" hidden="false" customHeight="false" outlineLevel="0" collapsed="false">
      <c r="A350" s="12" t="n">
        <v>82</v>
      </c>
      <c r="B350" s="36" t="s">
        <v>703</v>
      </c>
      <c r="C350" s="14"/>
      <c r="D350" s="14"/>
      <c r="E350" s="96"/>
      <c r="F350" s="212"/>
    </row>
    <row r="351" customFormat="false" ht="15" hidden="false" customHeight="false" outlineLevel="0" collapsed="false">
      <c r="A351" s="12" t="n">
        <v>83</v>
      </c>
      <c r="B351" s="36" t="s">
        <v>704</v>
      </c>
      <c r="C351" s="14"/>
      <c r="D351" s="14"/>
      <c r="E351" s="96"/>
      <c r="F351" s="212"/>
    </row>
    <row r="352" customFormat="false" ht="15" hidden="false" customHeight="false" outlineLevel="0" collapsed="false">
      <c r="A352" s="12" t="n">
        <v>84</v>
      </c>
      <c r="B352" s="36" t="s">
        <v>705</v>
      </c>
      <c r="C352" s="14"/>
      <c r="D352" s="14"/>
      <c r="E352" s="96"/>
      <c r="F352" s="212"/>
    </row>
    <row r="353" customFormat="false" ht="15" hidden="false" customHeight="false" outlineLevel="0" collapsed="false">
      <c r="A353" s="12" t="n">
        <v>85</v>
      </c>
      <c r="B353" s="36" t="s">
        <v>706</v>
      </c>
      <c r="C353" s="14"/>
      <c r="D353" s="14"/>
      <c r="E353" s="96"/>
      <c r="F353" s="212"/>
    </row>
    <row r="354" customFormat="false" ht="15" hidden="false" customHeight="false" outlineLevel="0" collapsed="false">
      <c r="A354" s="12" t="n">
        <v>86</v>
      </c>
      <c r="B354" s="90" t="s">
        <v>707</v>
      </c>
      <c r="C354" s="92"/>
      <c r="D354" s="92"/>
      <c r="E354" s="96"/>
      <c r="F354" s="212"/>
    </row>
    <row r="355" customFormat="false" ht="15" hidden="false" customHeight="false" outlineLevel="0" collapsed="false">
      <c r="A355" s="12" t="n">
        <v>87</v>
      </c>
      <c r="B355" s="36" t="s">
        <v>708</v>
      </c>
      <c r="C355" s="14"/>
      <c r="D355" s="14"/>
      <c r="E355" s="96"/>
      <c r="F355" s="212"/>
    </row>
    <row r="356" customFormat="false" ht="15" hidden="false" customHeight="false" outlineLevel="0" collapsed="false">
      <c r="A356" s="12" t="n">
        <v>88</v>
      </c>
      <c r="B356" s="36" t="s">
        <v>709</v>
      </c>
      <c r="C356" s="14"/>
      <c r="D356" s="14"/>
      <c r="E356" s="96"/>
      <c r="F356" s="212"/>
    </row>
    <row r="357" customFormat="false" ht="15" hidden="false" customHeight="false" outlineLevel="0" collapsed="false">
      <c r="A357" s="12" t="n">
        <v>89</v>
      </c>
      <c r="B357" s="36" t="s">
        <v>710</v>
      </c>
      <c r="C357" s="14"/>
      <c r="D357" s="14"/>
      <c r="E357" s="96"/>
      <c r="F357" s="212"/>
    </row>
    <row r="358" customFormat="false" ht="15" hidden="false" customHeight="false" outlineLevel="0" collapsed="false">
      <c r="A358" s="12" t="n">
        <v>90</v>
      </c>
      <c r="B358" s="36" t="s">
        <v>711</v>
      </c>
      <c r="C358" s="14"/>
      <c r="D358" s="14"/>
      <c r="E358" s="96"/>
      <c r="F358" s="212"/>
    </row>
    <row r="359" customFormat="false" ht="15" hidden="false" customHeight="false" outlineLevel="0" collapsed="false">
      <c r="A359" s="12" t="n">
        <v>91</v>
      </c>
      <c r="B359" s="36" t="s">
        <v>712</v>
      </c>
      <c r="C359" s="14"/>
      <c r="D359" s="14"/>
      <c r="E359" s="96"/>
      <c r="F359" s="212"/>
    </row>
    <row r="360" customFormat="false" ht="15" hidden="false" customHeight="false" outlineLevel="0" collapsed="false">
      <c r="A360" s="12" t="n">
        <v>92</v>
      </c>
      <c r="B360" s="36" t="s">
        <v>713</v>
      </c>
      <c r="C360" s="14"/>
      <c r="D360" s="14"/>
      <c r="E360" s="96"/>
      <c r="F360" s="212"/>
    </row>
    <row r="361" customFormat="false" ht="15" hidden="false" customHeight="false" outlineLevel="0" collapsed="false">
      <c r="A361" s="12" t="n">
        <v>93</v>
      </c>
      <c r="B361" s="36" t="s">
        <v>714</v>
      </c>
      <c r="C361" s="14"/>
      <c r="D361" s="14"/>
      <c r="E361" s="96"/>
      <c r="F361" s="212"/>
    </row>
    <row r="362" customFormat="false" ht="17.35" hidden="false" customHeight="false" outlineLevel="0" collapsed="false">
      <c r="A362" s="93"/>
      <c r="B362" s="23" t="s">
        <v>21</v>
      </c>
      <c r="C362" s="24" t="n">
        <f aca="false">SUM(C269:C361)</f>
        <v>0</v>
      </c>
      <c r="D362" s="54" t="n">
        <f aca="false">SUM(D269:D361)</f>
        <v>0</v>
      </c>
      <c r="E362" s="111" t="n">
        <f aca="false">SUM(E269:E361)</f>
        <v>0</v>
      </c>
      <c r="F362" s="214"/>
    </row>
    <row r="363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G936"/>
  <sheetViews>
    <sheetView showFormulas="false" showGridLines="true" showRowColHeaders="true" showZeros="true" rightToLeft="false" tabSelected="false" showOutlineSymbols="true" defaultGridColor="true" view="normal" topLeftCell="A113" colorId="64" zoomScale="100" zoomScaleNormal="100" zoomScalePageLayoutView="100" workbookViewId="0">
      <selection pane="topLeft" activeCell="G936" activeCellId="0" sqref="G936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39.14"/>
    <col collapsed="false" customWidth="true" hidden="false" outlineLevel="0" max="3" min="3" style="1" width="14.43"/>
    <col collapsed="false" customWidth="true" hidden="false" outlineLevel="0" max="4" min="4" style="1" width="12.29"/>
    <col collapsed="false" customWidth="true" hidden="false" outlineLevel="0" max="5" min="5" style="1" width="16.84"/>
    <col collapsed="false" customWidth="true" hidden="false" outlineLevel="0" max="6" min="6" style="1" width="20.43"/>
    <col collapsed="false" customWidth="true" hidden="false" outlineLevel="0" max="7" min="7" style="1" width="8.43"/>
  </cols>
  <sheetData>
    <row r="3" customFormat="false" ht="15" hidden="false" customHeight="false" outlineLevel="0" collapsed="false">
      <c r="A3" s="103"/>
      <c r="B3" s="215" t="s">
        <v>1037</v>
      </c>
      <c r="C3" s="103"/>
      <c r="D3" s="103"/>
      <c r="E3" s="103"/>
    </row>
    <row r="4" customFormat="false" ht="15" hidden="false" customHeight="false" outlineLevel="0" collapsed="false">
      <c r="A4" s="103"/>
      <c r="B4" s="5"/>
      <c r="C4" s="103"/>
      <c r="D4" s="103"/>
      <c r="E4" s="103"/>
    </row>
    <row r="5" customFormat="false" ht="15" hidden="false" customHeight="false" outlineLevel="0" collapsed="false">
      <c r="A5" s="103"/>
      <c r="B5" s="103"/>
      <c r="C5" s="104" t="s">
        <v>1038</v>
      </c>
      <c r="D5" s="103"/>
      <c r="E5" s="103"/>
    </row>
    <row r="6" customFormat="false" ht="15" hidden="false" customHeight="false" outlineLevel="0" collapsed="false">
      <c r="A6" s="103"/>
      <c r="B6" s="5"/>
      <c r="C6" s="103"/>
      <c r="D6" s="103"/>
      <c r="E6" s="103"/>
    </row>
    <row r="7" customFormat="false" ht="15" hidden="false" customHeight="false" outlineLevel="0" collapsed="false">
      <c r="A7" s="103"/>
      <c r="B7" s="104" t="s">
        <v>1039</v>
      </c>
      <c r="C7" s="103"/>
      <c r="D7" s="103"/>
      <c r="E7" s="103"/>
    </row>
    <row r="8" customFormat="false" ht="15" hidden="false" customHeight="false" outlineLevel="0" collapsed="false">
      <c r="A8" s="103"/>
      <c r="B8" s="103"/>
      <c r="C8" s="103"/>
      <c r="D8" s="103"/>
      <c r="E8" s="103"/>
    </row>
    <row r="9" customFormat="false" ht="15" hidden="false" customHeight="false" outlineLevel="0" collapsed="false">
      <c r="A9" s="216" t="s">
        <v>3</v>
      </c>
      <c r="B9" s="217" t="s">
        <v>1040</v>
      </c>
      <c r="C9" s="217" t="s">
        <v>1041</v>
      </c>
      <c r="D9" s="217" t="s">
        <v>1042</v>
      </c>
      <c r="E9" s="218" t="s">
        <v>1043</v>
      </c>
    </row>
    <row r="10" customFormat="false" ht="15" hidden="false" customHeight="false" outlineLevel="0" collapsed="false">
      <c r="A10" s="219"/>
      <c r="B10" s="220" t="s">
        <v>1044</v>
      </c>
      <c r="C10" s="221" t="n">
        <v>97374458</v>
      </c>
      <c r="D10" s="222" t="s">
        <v>1045</v>
      </c>
      <c r="E10" s="223"/>
    </row>
    <row r="11" customFormat="false" ht="15" hidden="false" customHeight="false" outlineLevel="0" collapsed="false">
      <c r="A11" s="224" t="n">
        <v>1</v>
      </c>
      <c r="B11" s="106" t="s">
        <v>869</v>
      </c>
      <c r="C11" s="225" t="n">
        <v>96619484</v>
      </c>
      <c r="D11" s="226" t="s">
        <v>1046</v>
      </c>
      <c r="E11" s="227"/>
    </row>
    <row r="12" customFormat="false" ht="15" hidden="false" customHeight="false" outlineLevel="0" collapsed="false">
      <c r="A12" s="224" t="n">
        <v>2</v>
      </c>
      <c r="B12" s="106" t="s">
        <v>870</v>
      </c>
      <c r="C12" s="225" t="n">
        <v>96185890</v>
      </c>
      <c r="D12" s="226" t="s">
        <v>1047</v>
      </c>
      <c r="E12" s="227"/>
    </row>
    <row r="13" customFormat="false" ht="15" hidden="false" customHeight="false" outlineLevel="0" collapsed="false">
      <c r="A13" s="224" t="n">
        <v>3</v>
      </c>
      <c r="B13" s="106" t="s">
        <v>871</v>
      </c>
      <c r="C13" s="225" t="n">
        <v>97877227</v>
      </c>
      <c r="D13" s="106"/>
      <c r="E13" s="227"/>
    </row>
    <row r="14" customFormat="false" ht="15" hidden="false" customHeight="false" outlineLevel="0" collapsed="false">
      <c r="A14" s="228" t="n">
        <v>4</v>
      </c>
      <c r="B14" s="229" t="s">
        <v>1048</v>
      </c>
      <c r="C14" s="230" t="n">
        <v>97475188</v>
      </c>
      <c r="D14" s="231" t="s">
        <v>1049</v>
      </c>
      <c r="E14" s="232" t="s">
        <v>1050</v>
      </c>
    </row>
    <row r="15" customFormat="false" ht="15" hidden="false" customHeight="false" outlineLevel="0" collapsed="false">
      <c r="A15" s="224" t="n">
        <v>5</v>
      </c>
      <c r="B15" s="106" t="s">
        <v>1051</v>
      </c>
      <c r="C15" s="225" t="n">
        <v>67142227</v>
      </c>
      <c r="D15" s="226" t="s">
        <v>1052</v>
      </c>
      <c r="E15" s="227"/>
    </row>
    <row r="16" customFormat="false" ht="15" hidden="false" customHeight="false" outlineLevel="0" collapsed="false">
      <c r="A16" s="224" t="n">
        <v>6</v>
      </c>
      <c r="B16" s="106" t="s">
        <v>874</v>
      </c>
      <c r="C16" s="225" t="n">
        <v>66894347</v>
      </c>
      <c r="D16" s="226" t="s">
        <v>1053</v>
      </c>
      <c r="E16" s="227"/>
    </row>
    <row r="17" customFormat="false" ht="15" hidden="false" customHeight="false" outlineLevel="0" collapsed="false">
      <c r="A17" s="224" t="n">
        <v>7</v>
      </c>
      <c r="B17" s="106" t="s">
        <v>875</v>
      </c>
      <c r="C17" s="225" t="n">
        <v>97027122</v>
      </c>
      <c r="D17" s="106"/>
      <c r="E17" s="227"/>
    </row>
    <row r="18" customFormat="false" ht="15" hidden="false" customHeight="false" outlineLevel="0" collapsed="false">
      <c r="A18" s="224" t="n">
        <v>8</v>
      </c>
      <c r="B18" s="106" t="s">
        <v>1054</v>
      </c>
      <c r="C18" s="225" t="n">
        <v>97459161</v>
      </c>
      <c r="D18" s="226" t="s">
        <v>1055</v>
      </c>
      <c r="E18" s="227"/>
    </row>
    <row r="19" customFormat="false" ht="15" hidden="false" customHeight="false" outlineLevel="0" collapsed="false">
      <c r="A19" s="224" t="n">
        <v>9</v>
      </c>
      <c r="B19" s="106" t="s">
        <v>877</v>
      </c>
      <c r="C19" s="225" t="n">
        <v>96547050</v>
      </c>
      <c r="D19" s="226" t="s">
        <v>1056</v>
      </c>
      <c r="E19" s="227"/>
    </row>
    <row r="20" customFormat="false" ht="15" hidden="false" customHeight="false" outlineLevel="0" collapsed="false">
      <c r="A20" s="224" t="n">
        <v>10</v>
      </c>
      <c r="B20" s="106" t="s">
        <v>878</v>
      </c>
      <c r="C20" s="225" t="n">
        <v>96517340</v>
      </c>
      <c r="D20" s="226" t="s">
        <v>1057</v>
      </c>
      <c r="E20" s="227"/>
    </row>
    <row r="21" customFormat="false" ht="15" hidden="false" customHeight="false" outlineLevel="0" collapsed="false">
      <c r="A21" s="224" t="n">
        <v>11</v>
      </c>
      <c r="B21" s="106" t="s">
        <v>1058</v>
      </c>
      <c r="C21" s="225" t="n">
        <v>95752568</v>
      </c>
      <c r="D21" s="226" t="s">
        <v>1059</v>
      </c>
      <c r="E21" s="227"/>
    </row>
    <row r="22" customFormat="false" ht="15" hidden="false" customHeight="false" outlineLevel="0" collapsed="false">
      <c r="A22" s="224" t="n">
        <v>12</v>
      </c>
      <c r="B22" s="106" t="s">
        <v>879</v>
      </c>
      <c r="C22" s="225" t="n">
        <v>97495400</v>
      </c>
      <c r="D22" s="226" t="s">
        <v>1060</v>
      </c>
      <c r="E22" s="227"/>
    </row>
    <row r="23" customFormat="false" ht="15" hidden="false" customHeight="false" outlineLevel="0" collapsed="false">
      <c r="A23" s="224" t="n">
        <v>13</v>
      </c>
      <c r="B23" s="106" t="s">
        <v>1061</v>
      </c>
      <c r="C23" s="225" t="n">
        <v>96368727</v>
      </c>
      <c r="D23" s="106"/>
      <c r="E23" s="227"/>
    </row>
    <row r="24" customFormat="false" ht="15" hidden="false" customHeight="false" outlineLevel="0" collapsed="false">
      <c r="A24" s="224" t="n">
        <v>14</v>
      </c>
      <c r="B24" s="106" t="s">
        <v>1062</v>
      </c>
      <c r="C24" s="225" t="n">
        <v>96285931</v>
      </c>
      <c r="D24" s="226" t="s">
        <v>1063</v>
      </c>
      <c r="E24" s="227"/>
    </row>
    <row r="25" customFormat="false" ht="15" hidden="false" customHeight="false" outlineLevel="0" collapsed="false">
      <c r="A25" s="224" t="n">
        <v>15</v>
      </c>
      <c r="B25" s="106" t="s">
        <v>884</v>
      </c>
      <c r="C25" s="225" t="n">
        <v>96939593</v>
      </c>
      <c r="D25" s="106"/>
      <c r="E25" s="227"/>
    </row>
    <row r="26" customFormat="false" ht="15" hidden="false" customHeight="false" outlineLevel="0" collapsed="false">
      <c r="A26" s="224" t="n">
        <v>16</v>
      </c>
      <c r="B26" s="106" t="s">
        <v>1064</v>
      </c>
      <c r="C26" s="225" t="n">
        <v>67273637</v>
      </c>
      <c r="D26" s="106"/>
      <c r="E26" s="227"/>
    </row>
    <row r="27" customFormat="false" ht="15" hidden="false" customHeight="false" outlineLevel="0" collapsed="false">
      <c r="A27" s="224" t="n">
        <v>17</v>
      </c>
      <c r="B27" s="106" t="s">
        <v>1065</v>
      </c>
      <c r="C27" s="225" t="n">
        <v>96569917</v>
      </c>
      <c r="D27" s="106"/>
      <c r="E27" s="227"/>
    </row>
    <row r="28" customFormat="false" ht="15" hidden="false" customHeight="false" outlineLevel="0" collapsed="false">
      <c r="A28" s="224" t="n">
        <v>18</v>
      </c>
      <c r="B28" s="106" t="s">
        <v>1066</v>
      </c>
      <c r="C28" s="225" t="n">
        <v>67038492</v>
      </c>
      <c r="D28" s="226" t="s">
        <v>1067</v>
      </c>
      <c r="E28" s="227"/>
    </row>
    <row r="29" customFormat="false" ht="15" hidden="false" customHeight="false" outlineLevel="0" collapsed="false">
      <c r="A29" s="224" t="n">
        <v>19</v>
      </c>
      <c r="B29" s="106" t="s">
        <v>888</v>
      </c>
      <c r="C29" s="225" t="n">
        <v>97229678</v>
      </c>
      <c r="D29" s="106"/>
      <c r="E29" s="227"/>
    </row>
    <row r="30" customFormat="false" ht="15" hidden="false" customHeight="false" outlineLevel="0" collapsed="false">
      <c r="A30" s="224" t="n">
        <v>20</v>
      </c>
      <c r="B30" s="106" t="s">
        <v>889</v>
      </c>
      <c r="C30" s="225" t="n">
        <v>97679191</v>
      </c>
      <c r="D30" s="226" t="s">
        <v>1068</v>
      </c>
      <c r="E30" s="227"/>
    </row>
    <row r="31" customFormat="false" ht="15" hidden="false" customHeight="false" outlineLevel="0" collapsed="false">
      <c r="A31" s="224" t="n">
        <v>21</v>
      </c>
      <c r="B31" s="106" t="s">
        <v>890</v>
      </c>
      <c r="C31" s="225" t="n">
        <v>97397405</v>
      </c>
      <c r="D31" s="106"/>
      <c r="E31" s="227"/>
    </row>
    <row r="32" customFormat="false" ht="15" hidden="false" customHeight="false" outlineLevel="0" collapsed="false">
      <c r="A32" s="224" t="n">
        <v>22</v>
      </c>
      <c r="B32" s="106" t="s">
        <v>1069</v>
      </c>
      <c r="C32" s="225" t="n">
        <v>66046772</v>
      </c>
      <c r="D32" s="226" t="s">
        <v>1070</v>
      </c>
      <c r="E32" s="227"/>
    </row>
    <row r="33" customFormat="false" ht="15" hidden="false" customHeight="false" outlineLevel="0" collapsed="false">
      <c r="A33" s="224" t="n">
        <v>23</v>
      </c>
      <c r="B33" s="106" t="s">
        <v>1071</v>
      </c>
      <c r="C33" s="225"/>
      <c r="D33" s="106"/>
      <c r="E33" s="227"/>
    </row>
    <row r="34" customFormat="false" ht="15" hidden="false" customHeight="false" outlineLevel="0" collapsed="false">
      <c r="A34" s="224" t="n">
        <v>24</v>
      </c>
      <c r="B34" s="106" t="s">
        <v>893</v>
      </c>
      <c r="C34" s="225" t="n">
        <v>66343058</v>
      </c>
      <c r="D34" s="106"/>
      <c r="E34" s="227"/>
    </row>
    <row r="35" customFormat="false" ht="15" hidden="false" customHeight="false" outlineLevel="0" collapsed="false">
      <c r="A35" s="224" t="n">
        <v>25</v>
      </c>
      <c r="B35" s="106" t="s">
        <v>894</v>
      </c>
      <c r="C35" s="225" t="n">
        <v>64658281</v>
      </c>
      <c r="D35" s="226" t="s">
        <v>1072</v>
      </c>
      <c r="E35" s="227"/>
    </row>
    <row r="36" customFormat="false" ht="15" hidden="false" customHeight="false" outlineLevel="0" collapsed="false">
      <c r="A36" s="224" t="n">
        <v>26</v>
      </c>
      <c r="B36" s="106" t="s">
        <v>1073</v>
      </c>
      <c r="C36" s="225" t="n">
        <v>67154582</v>
      </c>
      <c r="D36" s="226" t="s">
        <v>1074</v>
      </c>
      <c r="E36" s="227"/>
    </row>
    <row r="37" customFormat="false" ht="15" hidden="false" customHeight="false" outlineLevel="0" collapsed="false">
      <c r="A37" s="224" t="n">
        <v>27</v>
      </c>
      <c r="B37" s="106" t="s">
        <v>1075</v>
      </c>
      <c r="C37" s="225" t="n">
        <v>97826183</v>
      </c>
      <c r="D37" s="226" t="s">
        <v>1076</v>
      </c>
      <c r="E37" s="227"/>
    </row>
    <row r="38" customFormat="false" ht="15" hidden="false" customHeight="false" outlineLevel="0" collapsed="false">
      <c r="A38" s="224" t="n">
        <v>28</v>
      </c>
      <c r="B38" s="106" t="s">
        <v>1077</v>
      </c>
      <c r="C38" s="225" t="n">
        <v>97640944</v>
      </c>
      <c r="D38" s="106"/>
      <c r="E38" s="227"/>
    </row>
    <row r="39" customFormat="false" ht="15" hidden="false" customHeight="false" outlineLevel="0" collapsed="false">
      <c r="A39" s="224" t="n">
        <v>29</v>
      </c>
      <c r="B39" s="106" t="s">
        <v>899</v>
      </c>
      <c r="C39" s="225" t="n">
        <v>97361546</v>
      </c>
      <c r="D39" s="226" t="s">
        <v>1078</v>
      </c>
      <c r="E39" s="227"/>
    </row>
    <row r="40" customFormat="false" ht="15" hidden="false" customHeight="false" outlineLevel="0" collapsed="false">
      <c r="A40" s="224" t="n">
        <v>30</v>
      </c>
      <c r="B40" s="106" t="s">
        <v>900</v>
      </c>
      <c r="C40" s="225" t="n">
        <v>96692926</v>
      </c>
      <c r="D40" s="226" t="s">
        <v>1079</v>
      </c>
      <c r="E40" s="227"/>
    </row>
    <row r="41" customFormat="false" ht="15" hidden="false" customHeight="false" outlineLevel="0" collapsed="false">
      <c r="A41" s="224" t="n">
        <v>31</v>
      </c>
      <c r="B41" s="106" t="s">
        <v>1080</v>
      </c>
      <c r="C41" s="225" t="n">
        <v>66089937</v>
      </c>
      <c r="D41" s="106"/>
      <c r="E41" s="227"/>
    </row>
    <row r="42" customFormat="false" ht="15" hidden="false" customHeight="false" outlineLevel="0" collapsed="false">
      <c r="A42" s="224" t="n">
        <v>32</v>
      </c>
      <c r="B42" s="106" t="s">
        <v>1081</v>
      </c>
      <c r="C42" s="225" t="n">
        <v>97026977</v>
      </c>
      <c r="D42" s="106"/>
      <c r="E42" s="227"/>
    </row>
    <row r="43" customFormat="false" ht="15" hidden="false" customHeight="false" outlineLevel="0" collapsed="false">
      <c r="A43" s="224" t="n">
        <v>33</v>
      </c>
      <c r="B43" s="106" t="s">
        <v>903</v>
      </c>
      <c r="C43" s="225" t="n">
        <v>67248320</v>
      </c>
      <c r="D43" s="106"/>
      <c r="E43" s="227"/>
    </row>
    <row r="44" customFormat="false" ht="15" hidden="false" customHeight="false" outlineLevel="0" collapsed="false">
      <c r="A44" s="224" t="n">
        <v>34</v>
      </c>
      <c r="B44" s="106" t="s">
        <v>904</v>
      </c>
      <c r="C44" s="225" t="n">
        <v>95074826</v>
      </c>
      <c r="D44" s="106"/>
      <c r="E44" s="227"/>
    </row>
    <row r="45" customFormat="false" ht="15" hidden="false" customHeight="false" outlineLevel="0" collapsed="false">
      <c r="A45" s="224" t="n">
        <v>35</v>
      </c>
      <c r="B45" s="106" t="s">
        <v>1082</v>
      </c>
      <c r="C45" s="225" t="n">
        <v>94659043</v>
      </c>
      <c r="D45" s="226" t="s">
        <v>1083</v>
      </c>
      <c r="E45" s="227"/>
    </row>
    <row r="46" customFormat="false" ht="21.75" hidden="false" customHeight="true" outlineLevel="0" collapsed="false">
      <c r="A46" s="224" t="n">
        <v>36</v>
      </c>
      <c r="B46" s="106" t="s">
        <v>906</v>
      </c>
      <c r="C46" s="233" t="s">
        <v>1084</v>
      </c>
      <c r="D46" s="226" t="s">
        <v>1085</v>
      </c>
      <c r="E46" s="227"/>
    </row>
    <row r="47" customFormat="false" ht="15" hidden="false" customHeight="false" outlineLevel="0" collapsed="false">
      <c r="A47" s="224" t="n">
        <v>37</v>
      </c>
      <c r="B47" s="106" t="s">
        <v>907</v>
      </c>
      <c r="C47" s="225" t="n">
        <v>97580696</v>
      </c>
      <c r="D47" s="234"/>
      <c r="E47" s="227"/>
    </row>
    <row r="48" customFormat="false" ht="15" hidden="false" customHeight="false" outlineLevel="0" collapsed="false">
      <c r="A48" s="224" t="n">
        <v>38</v>
      </c>
      <c r="B48" s="106" t="s">
        <v>908</v>
      </c>
      <c r="C48" s="225" t="n">
        <v>97176102</v>
      </c>
      <c r="D48" s="106"/>
      <c r="E48" s="227"/>
    </row>
    <row r="49" customFormat="false" ht="15" hidden="false" customHeight="false" outlineLevel="0" collapsed="false">
      <c r="A49" s="224" t="n">
        <v>39</v>
      </c>
      <c r="B49" s="106" t="s">
        <v>1086</v>
      </c>
      <c r="C49" s="225" t="n">
        <v>97018681</v>
      </c>
      <c r="D49" s="106"/>
      <c r="E49" s="227"/>
    </row>
    <row r="50" customFormat="false" ht="15" hidden="false" customHeight="false" outlineLevel="0" collapsed="false">
      <c r="A50" s="228" t="n">
        <v>40</v>
      </c>
      <c r="B50" s="229" t="s">
        <v>909</v>
      </c>
      <c r="C50" s="230" t="n">
        <v>96686150</v>
      </c>
      <c r="D50" s="229"/>
      <c r="E50" s="232" t="s">
        <v>1087</v>
      </c>
    </row>
    <row r="51" customFormat="false" ht="15" hidden="false" customHeight="false" outlineLevel="0" collapsed="false">
      <c r="A51" s="224" t="n">
        <v>41</v>
      </c>
      <c r="B51" s="106" t="s">
        <v>910</v>
      </c>
      <c r="C51" s="225" t="n">
        <v>97014421</v>
      </c>
      <c r="D51" s="106"/>
      <c r="E51" s="227"/>
    </row>
    <row r="52" customFormat="false" ht="15" hidden="false" customHeight="false" outlineLevel="0" collapsed="false">
      <c r="A52" s="224" t="n">
        <v>42</v>
      </c>
      <c r="B52" s="106" t="s">
        <v>1088</v>
      </c>
      <c r="C52" s="225" t="n">
        <v>97644993</v>
      </c>
      <c r="D52" s="226" t="s">
        <v>1089</v>
      </c>
      <c r="E52" s="227"/>
    </row>
    <row r="53" customFormat="false" ht="15" hidden="false" customHeight="false" outlineLevel="0" collapsed="false">
      <c r="A53" s="224" t="n">
        <v>43</v>
      </c>
      <c r="B53" s="106" t="s">
        <v>912</v>
      </c>
      <c r="C53" s="225" t="n">
        <v>97457699</v>
      </c>
      <c r="D53" s="106"/>
      <c r="E53" s="227"/>
    </row>
    <row r="54" customFormat="false" ht="15" hidden="false" customHeight="false" outlineLevel="0" collapsed="false">
      <c r="A54" s="224" t="n">
        <v>44</v>
      </c>
      <c r="B54" s="106" t="s">
        <v>913</v>
      </c>
      <c r="C54" s="225" t="n">
        <v>95629110</v>
      </c>
      <c r="D54" s="226" t="s">
        <v>1090</v>
      </c>
      <c r="E54" s="227"/>
    </row>
    <row r="55" customFormat="false" ht="15" hidden="false" customHeight="false" outlineLevel="0" collapsed="false">
      <c r="A55" s="224" t="n">
        <v>45</v>
      </c>
      <c r="B55" s="106" t="s">
        <v>1091</v>
      </c>
      <c r="C55" s="225" t="n">
        <v>66300818</v>
      </c>
      <c r="D55" s="226"/>
      <c r="E55" s="227"/>
    </row>
    <row r="56" customFormat="false" ht="15" hidden="false" customHeight="false" outlineLevel="0" collapsed="false">
      <c r="A56" s="235" t="n">
        <v>46</v>
      </c>
      <c r="B56" s="236" t="s">
        <v>915</v>
      </c>
      <c r="C56" s="237"/>
      <c r="D56" s="236"/>
      <c r="E56" s="238"/>
    </row>
    <row r="57" customFormat="false" ht="15" hidden="false" customHeight="false" outlineLevel="0" collapsed="false">
      <c r="A57" s="103"/>
      <c r="B57" s="103"/>
      <c r="C57" s="103"/>
      <c r="D57" s="103"/>
      <c r="E57" s="103"/>
    </row>
    <row r="58" customFormat="false" ht="15" hidden="false" customHeight="false" outlineLevel="0" collapsed="false">
      <c r="A58" s="103"/>
      <c r="B58" s="103"/>
      <c r="C58" s="103"/>
      <c r="D58" s="103"/>
      <c r="E58" s="103"/>
    </row>
    <row r="59" customFormat="false" ht="15" hidden="false" customHeight="false" outlineLevel="0" collapsed="false">
      <c r="A59" s="103"/>
      <c r="B59" s="103"/>
      <c r="C59" s="103"/>
      <c r="D59" s="103"/>
      <c r="E59" s="103"/>
    </row>
    <row r="60" customFormat="false" ht="15" hidden="false" customHeight="false" outlineLevel="0" collapsed="false">
      <c r="A60" s="103"/>
      <c r="B60" s="103"/>
      <c r="C60" s="103"/>
      <c r="D60" s="103"/>
      <c r="E60" s="103"/>
    </row>
    <row r="61" customFormat="false" ht="15" hidden="false" customHeight="false" outlineLevel="0" collapsed="false">
      <c r="A61" s="103"/>
      <c r="B61" s="103"/>
      <c r="C61" s="103"/>
      <c r="D61" s="103"/>
      <c r="E61" s="103"/>
    </row>
    <row r="63" customFormat="false" ht="17.35" hidden="false" customHeight="false" outlineLevel="0" collapsed="false">
      <c r="A63" s="2"/>
      <c r="B63" s="3" t="s">
        <v>0</v>
      </c>
    </row>
    <row r="64" customFormat="false" ht="17.35" hidden="false" customHeight="false" outlineLevel="0" collapsed="false">
      <c r="A64" s="4"/>
    </row>
    <row r="65" customFormat="false" ht="15" hidden="false" customHeight="false" outlineLevel="0" collapsed="false">
      <c r="A65" s="2"/>
    </row>
    <row r="66" customFormat="false" ht="15" hidden="false" customHeight="false" outlineLevel="0" collapsed="false">
      <c r="A66" s="2"/>
      <c r="B66" s="5" t="s">
        <v>1</v>
      </c>
    </row>
    <row r="67" customFormat="false" ht="15" hidden="false" customHeight="false" outlineLevel="0" collapsed="false">
      <c r="A67" s="2"/>
      <c r="D67" s="6" t="s">
        <v>2</v>
      </c>
    </row>
    <row r="68" customFormat="false" ht="15" hidden="false" customHeight="false" outlineLevel="0" collapsed="false">
      <c r="A68" s="2"/>
    </row>
    <row r="69" customFormat="false" ht="15" hidden="false" customHeight="false" outlineLevel="0" collapsed="false">
      <c r="A69" s="7" t="s">
        <v>3</v>
      </c>
      <c r="B69" s="8" t="s">
        <v>4</v>
      </c>
      <c r="C69" s="9" t="s">
        <v>5</v>
      </c>
      <c r="D69" s="10" t="s">
        <v>6</v>
      </c>
      <c r="E69" s="11" t="s">
        <v>7</v>
      </c>
      <c r="F69" s="210" t="s">
        <v>1092</v>
      </c>
    </row>
    <row r="70" customFormat="false" ht="15" hidden="false" customHeight="false" outlineLevel="0" collapsed="false">
      <c r="A70" s="12" t="n">
        <v>1</v>
      </c>
      <c r="B70" s="13" t="s">
        <v>1093</v>
      </c>
      <c r="C70" s="14"/>
      <c r="D70" s="239"/>
      <c r="E70" s="16"/>
      <c r="F70" s="240"/>
    </row>
    <row r="71" customFormat="false" ht="15" hidden="false" customHeight="false" outlineLevel="0" collapsed="false">
      <c r="A71" s="12" t="n">
        <v>2</v>
      </c>
      <c r="B71" s="13" t="s">
        <v>9</v>
      </c>
      <c r="C71" s="14"/>
      <c r="D71" s="241"/>
      <c r="E71" s="16"/>
      <c r="F71" s="242"/>
    </row>
    <row r="72" customFormat="false" ht="15" hidden="false" customHeight="false" outlineLevel="0" collapsed="false">
      <c r="A72" s="12" t="n">
        <v>3</v>
      </c>
      <c r="B72" s="13" t="s">
        <v>12</v>
      </c>
      <c r="C72" s="14"/>
      <c r="D72" s="241"/>
      <c r="E72" s="16"/>
      <c r="F72" s="242"/>
    </row>
    <row r="73" customFormat="false" ht="15" hidden="false" customHeight="false" outlineLevel="0" collapsed="false">
      <c r="A73" s="12" t="n">
        <v>4</v>
      </c>
      <c r="B73" s="13" t="s">
        <v>13</v>
      </c>
      <c r="C73" s="14"/>
      <c r="D73" s="241"/>
      <c r="E73" s="16"/>
      <c r="F73" s="242"/>
    </row>
    <row r="74" customFormat="false" ht="15" hidden="false" customHeight="false" outlineLevel="0" collapsed="false">
      <c r="A74" s="12" t="n">
        <v>5</v>
      </c>
      <c r="B74" s="13" t="s">
        <v>14</v>
      </c>
      <c r="C74" s="14"/>
      <c r="D74" s="241"/>
      <c r="E74" s="16"/>
      <c r="F74" s="242"/>
    </row>
    <row r="75" customFormat="false" ht="15" hidden="false" customHeight="false" outlineLevel="0" collapsed="false">
      <c r="A75" s="12" t="n">
        <v>6</v>
      </c>
      <c r="B75" s="13" t="s">
        <v>15</v>
      </c>
      <c r="C75" s="14"/>
      <c r="D75" s="241"/>
      <c r="E75" s="16"/>
      <c r="F75" s="242"/>
    </row>
    <row r="76" customFormat="false" ht="15" hidden="false" customHeight="false" outlineLevel="0" collapsed="false">
      <c r="A76" s="12" t="n">
        <v>7</v>
      </c>
      <c r="B76" s="13" t="s">
        <v>17</v>
      </c>
      <c r="C76" s="14"/>
      <c r="D76" s="207"/>
      <c r="E76" s="16"/>
      <c r="F76" s="242"/>
    </row>
    <row r="77" customFormat="false" ht="15" hidden="false" customHeight="false" outlineLevel="0" collapsed="false">
      <c r="A77" s="12" t="n">
        <v>8</v>
      </c>
      <c r="B77" s="13" t="s">
        <v>18</v>
      </c>
      <c r="C77" s="14"/>
      <c r="D77" s="207"/>
      <c r="E77" s="16"/>
      <c r="F77" s="242"/>
    </row>
    <row r="78" customFormat="false" ht="15" hidden="false" customHeight="false" outlineLevel="0" collapsed="false">
      <c r="A78" s="12" t="n">
        <v>9</v>
      </c>
      <c r="B78" s="13" t="s">
        <v>19</v>
      </c>
      <c r="C78" s="14"/>
      <c r="D78" s="207"/>
      <c r="E78" s="16"/>
      <c r="F78" s="242"/>
    </row>
    <row r="79" customFormat="false" ht="15" hidden="false" customHeight="false" outlineLevel="0" collapsed="false">
      <c r="A79" s="12" t="n">
        <v>10</v>
      </c>
      <c r="B79" s="13" t="s">
        <v>20</v>
      </c>
      <c r="C79" s="14"/>
      <c r="D79" s="43"/>
      <c r="E79" s="16"/>
      <c r="F79" s="242"/>
    </row>
    <row r="80" customFormat="false" ht="17.35" hidden="false" customHeight="false" outlineLevel="0" collapsed="false">
      <c r="A80" s="22"/>
      <c r="B80" s="23" t="s">
        <v>21</v>
      </c>
      <c r="C80" s="24" t="n">
        <f aca="false">SUM(C76:C79)</f>
        <v>0</v>
      </c>
      <c r="D80" s="54" t="n">
        <f aca="false">SUM(D76:D79)</f>
        <v>0</v>
      </c>
      <c r="E80" s="26" t="n">
        <f aca="false">SUM(E70:E79)</f>
        <v>0</v>
      </c>
      <c r="F80" s="243"/>
    </row>
    <row r="81" customFormat="false" ht="17.35" hidden="false" customHeight="false" outlineLevel="0" collapsed="false">
      <c r="A81" s="209"/>
      <c r="B81" s="28"/>
      <c r="C81" s="29"/>
      <c r="D81" s="208"/>
      <c r="E81" s="31"/>
    </row>
    <row r="87" customFormat="false" ht="17.35" hidden="false" customHeight="false" outlineLevel="0" collapsed="false">
      <c r="A87" s="2"/>
      <c r="B87" s="3" t="s">
        <v>0</v>
      </c>
    </row>
    <row r="88" customFormat="false" ht="15" hidden="false" customHeight="false" outlineLevel="0" collapsed="false">
      <c r="A88" s="2"/>
    </row>
    <row r="89" customFormat="false" ht="15" hidden="false" customHeight="false" outlineLevel="0" collapsed="false">
      <c r="A89" s="2"/>
    </row>
    <row r="90" customFormat="false" ht="17.25" hidden="false" customHeight="false" outlineLevel="0" collapsed="false">
      <c r="A90" s="2"/>
      <c r="B90" s="5" t="s">
        <v>22</v>
      </c>
      <c r="D90" s="6" t="s">
        <v>2</v>
      </c>
    </row>
    <row r="91" customFormat="false" ht="15" hidden="false" customHeight="false" outlineLevel="0" collapsed="false">
      <c r="A91" s="2"/>
    </row>
    <row r="92" customFormat="false" ht="15" hidden="false" customHeight="false" outlineLevel="0" collapsed="false">
      <c r="A92" s="7" t="s">
        <v>3</v>
      </c>
      <c r="B92" s="8" t="s">
        <v>4</v>
      </c>
      <c r="C92" s="9" t="s">
        <v>5</v>
      </c>
      <c r="D92" s="10" t="s">
        <v>6</v>
      </c>
      <c r="E92" s="11" t="s">
        <v>7</v>
      </c>
      <c r="F92" s="210" t="s">
        <v>1092</v>
      </c>
    </row>
    <row r="93" customFormat="false" ht="15" hidden="false" customHeight="false" outlineLevel="0" collapsed="false">
      <c r="A93" s="35" t="n">
        <v>1</v>
      </c>
      <c r="B93" s="39" t="s">
        <v>30</v>
      </c>
      <c r="C93" s="14"/>
      <c r="D93" s="14"/>
      <c r="E93" s="42"/>
      <c r="F93" s="242"/>
    </row>
    <row r="94" customFormat="false" ht="15" hidden="false" customHeight="false" outlineLevel="0" collapsed="false">
      <c r="A94" s="35" t="n">
        <v>2</v>
      </c>
      <c r="B94" s="39" t="s">
        <v>29</v>
      </c>
      <c r="C94" s="14"/>
      <c r="D94" s="14"/>
      <c r="E94" s="42"/>
      <c r="F94" s="242"/>
    </row>
    <row r="95" customFormat="false" ht="15" hidden="false" customHeight="false" outlineLevel="0" collapsed="false">
      <c r="A95" s="35" t="n">
        <v>3</v>
      </c>
      <c r="B95" s="39" t="s">
        <v>155</v>
      </c>
      <c r="C95" s="14"/>
      <c r="D95" s="14"/>
      <c r="E95" s="42"/>
      <c r="F95" s="242"/>
    </row>
    <row r="96" customFormat="false" ht="15" hidden="false" customHeight="false" outlineLevel="0" collapsed="false">
      <c r="A96" s="35" t="n">
        <v>4</v>
      </c>
      <c r="B96" s="39" t="s">
        <v>34</v>
      </c>
      <c r="C96" s="14"/>
      <c r="D96" s="14"/>
      <c r="E96" s="42"/>
      <c r="F96" s="242"/>
    </row>
    <row r="97" customFormat="false" ht="15" hidden="false" customHeight="false" outlineLevel="0" collapsed="false">
      <c r="A97" s="35" t="n">
        <v>5</v>
      </c>
      <c r="B97" s="39" t="s">
        <v>28</v>
      </c>
      <c r="C97" s="14"/>
      <c r="D97" s="14"/>
      <c r="E97" s="42"/>
      <c r="F97" s="242"/>
    </row>
    <row r="98" customFormat="false" ht="15" hidden="false" customHeight="false" outlineLevel="0" collapsed="false">
      <c r="A98" s="35" t="n">
        <v>6</v>
      </c>
      <c r="B98" s="39" t="s">
        <v>25</v>
      </c>
      <c r="C98" s="14"/>
      <c r="D98" s="14"/>
      <c r="E98" s="42"/>
      <c r="F98" s="242"/>
    </row>
    <row r="99" customFormat="false" ht="15" hidden="false" customHeight="false" outlineLevel="0" collapsed="false">
      <c r="A99" s="35" t="n">
        <v>7</v>
      </c>
      <c r="B99" s="39" t="s">
        <v>33</v>
      </c>
      <c r="C99" s="14"/>
      <c r="D99" s="14"/>
      <c r="E99" s="42"/>
      <c r="F99" s="242"/>
    </row>
    <row r="100" customFormat="false" ht="15" hidden="false" customHeight="false" outlineLevel="0" collapsed="false">
      <c r="A100" s="35" t="n">
        <v>8</v>
      </c>
      <c r="B100" s="39" t="s">
        <v>156</v>
      </c>
      <c r="C100" s="14"/>
      <c r="D100" s="14"/>
      <c r="E100" s="42"/>
      <c r="F100" s="242"/>
    </row>
    <row r="101" customFormat="false" ht="15" hidden="false" customHeight="false" outlineLevel="0" collapsed="false">
      <c r="A101" s="35" t="n">
        <v>9</v>
      </c>
      <c r="B101" s="39" t="s">
        <v>36</v>
      </c>
      <c r="C101" s="14"/>
      <c r="D101" s="14"/>
      <c r="E101" s="42"/>
      <c r="F101" s="242"/>
    </row>
    <row r="102" customFormat="false" ht="15" hidden="false" customHeight="false" outlineLevel="0" collapsed="false">
      <c r="A102" s="35" t="n">
        <v>10</v>
      </c>
      <c r="B102" s="39" t="s">
        <v>157</v>
      </c>
      <c r="C102" s="14"/>
      <c r="D102" s="14"/>
      <c r="E102" s="42"/>
      <c r="F102" s="242"/>
    </row>
    <row r="103" customFormat="false" ht="15" hidden="false" customHeight="false" outlineLevel="0" collapsed="false">
      <c r="A103" s="35" t="n">
        <v>11</v>
      </c>
      <c r="B103" s="39" t="s">
        <v>32</v>
      </c>
      <c r="C103" s="14"/>
      <c r="D103" s="14"/>
      <c r="E103" s="42"/>
      <c r="F103" s="242"/>
    </row>
    <row r="104" customFormat="false" ht="15" hidden="false" customHeight="false" outlineLevel="0" collapsed="false">
      <c r="A104" s="35" t="n">
        <v>12</v>
      </c>
      <c r="B104" s="39" t="s">
        <v>26</v>
      </c>
      <c r="C104" s="14"/>
      <c r="D104" s="14"/>
      <c r="E104" s="42"/>
      <c r="F104" s="242"/>
    </row>
    <row r="105" customFormat="false" ht="15" hidden="false" customHeight="false" outlineLevel="0" collapsed="false">
      <c r="A105" s="35" t="n">
        <v>13</v>
      </c>
      <c r="B105" s="39" t="s">
        <v>35</v>
      </c>
      <c r="C105" s="14"/>
      <c r="D105" s="14"/>
      <c r="E105" s="42"/>
      <c r="F105" s="242"/>
    </row>
    <row r="106" customFormat="false" ht="17.35" hidden="false" customHeight="false" outlineLevel="0" collapsed="false">
      <c r="A106" s="35"/>
      <c r="B106" s="23" t="s">
        <v>21</v>
      </c>
      <c r="C106" s="24" t="n">
        <f aca="false">SUM(C93:C105)</f>
        <v>0</v>
      </c>
      <c r="D106" s="54" t="n">
        <f aca="false">SUM(D93:D105)</f>
        <v>0</v>
      </c>
      <c r="E106" s="26" t="n">
        <f aca="false">C106-D106</f>
        <v>0</v>
      </c>
      <c r="F106" s="243"/>
    </row>
    <row r="107" customFormat="false" ht="15" hidden="false" customHeight="false" outlineLevel="0" collapsed="false">
      <c r="A107" s="50"/>
    </row>
    <row r="109" customFormat="false" ht="17.35" hidden="false" customHeight="false" outlineLevel="0" collapsed="false">
      <c r="B109" s="3" t="s">
        <v>0</v>
      </c>
      <c r="C109" s="3"/>
    </row>
    <row r="111" customFormat="false" ht="15" hidden="false" customHeight="false" outlineLevel="0" collapsed="false">
      <c r="A111" s="2"/>
    </row>
    <row r="112" customFormat="false" ht="17.25" hidden="false" customHeight="false" outlineLevel="0" collapsed="false">
      <c r="A112" s="2"/>
      <c r="B112" s="5" t="s">
        <v>37</v>
      </c>
      <c r="D112" s="6" t="s">
        <v>2</v>
      </c>
    </row>
    <row r="113" customFormat="false" ht="15" hidden="false" customHeight="false" outlineLevel="0" collapsed="false">
      <c r="A113" s="2"/>
    </row>
    <row r="114" customFormat="false" ht="15" hidden="false" customHeight="false" outlineLevel="0" collapsed="false">
      <c r="A114" s="7" t="s">
        <v>3</v>
      </c>
      <c r="B114" s="8" t="s">
        <v>4</v>
      </c>
      <c r="C114" s="9" t="s">
        <v>5</v>
      </c>
      <c r="D114" s="10" t="s">
        <v>6</v>
      </c>
      <c r="E114" s="11" t="s">
        <v>7</v>
      </c>
      <c r="F114" s="210" t="s">
        <v>1092</v>
      </c>
    </row>
    <row r="115" customFormat="false" ht="15" hidden="false" customHeight="false" outlineLevel="0" collapsed="false">
      <c r="A115" s="12" t="n">
        <v>1</v>
      </c>
      <c r="B115" s="20" t="s">
        <v>39</v>
      </c>
      <c r="C115" s="14"/>
      <c r="D115" s="207"/>
      <c r="E115" s="42"/>
      <c r="F115" s="244"/>
    </row>
    <row r="116" customFormat="false" ht="15" hidden="false" customHeight="false" outlineLevel="0" collapsed="false">
      <c r="A116" s="12" t="n">
        <v>2</v>
      </c>
      <c r="B116" s="20" t="s">
        <v>41</v>
      </c>
      <c r="C116" s="14"/>
      <c r="D116" s="207"/>
      <c r="E116" s="42"/>
      <c r="F116" s="244"/>
    </row>
    <row r="117" customFormat="false" ht="15" hidden="false" customHeight="false" outlineLevel="0" collapsed="false">
      <c r="A117" s="35" t="n">
        <v>3</v>
      </c>
      <c r="B117" s="20" t="s">
        <v>42</v>
      </c>
      <c r="C117" s="14"/>
      <c r="D117" s="207"/>
      <c r="E117" s="42"/>
      <c r="F117" s="244"/>
    </row>
    <row r="118" customFormat="false" ht="15" hidden="false" customHeight="false" outlineLevel="0" collapsed="false">
      <c r="A118" s="35" t="n">
        <v>4</v>
      </c>
      <c r="B118" s="20" t="s">
        <v>1094</v>
      </c>
      <c r="C118" s="14"/>
      <c r="D118" s="207"/>
      <c r="E118" s="42"/>
      <c r="F118" s="244"/>
    </row>
    <row r="119" customFormat="false" ht="15" hidden="false" customHeight="false" outlineLevel="0" collapsed="false">
      <c r="A119" s="35" t="n">
        <v>5</v>
      </c>
      <c r="B119" s="20" t="s">
        <v>44</v>
      </c>
      <c r="C119" s="14"/>
      <c r="D119" s="207"/>
      <c r="E119" s="42"/>
      <c r="F119" s="244"/>
    </row>
    <row r="120" customFormat="false" ht="15" hidden="false" customHeight="false" outlineLevel="0" collapsed="false">
      <c r="A120" s="35" t="n">
        <v>6</v>
      </c>
      <c r="B120" s="20" t="s">
        <v>46</v>
      </c>
      <c r="C120" s="14"/>
      <c r="D120" s="207"/>
      <c r="E120" s="42"/>
      <c r="F120" s="244"/>
    </row>
    <row r="121" customFormat="false" ht="15" hidden="false" customHeight="false" outlineLevel="0" collapsed="false">
      <c r="A121" s="35" t="n">
        <v>7</v>
      </c>
      <c r="B121" s="20" t="s">
        <v>47</v>
      </c>
      <c r="C121" s="14"/>
      <c r="D121" s="21"/>
      <c r="E121" s="38"/>
      <c r="F121" s="245"/>
    </row>
    <row r="122" customFormat="false" ht="15" hidden="false" customHeight="false" outlineLevel="0" collapsed="false">
      <c r="A122" s="50" t="n">
        <v>8</v>
      </c>
      <c r="B122" s="20" t="s">
        <v>48</v>
      </c>
      <c r="C122" s="14"/>
      <c r="D122" s="207"/>
      <c r="E122" s="42"/>
      <c r="F122" s="244"/>
    </row>
    <row r="123" customFormat="false" ht="15" hidden="false" customHeight="false" outlineLevel="0" collapsed="false">
      <c r="A123" s="35" t="n">
        <v>9</v>
      </c>
      <c r="B123" s="20" t="s">
        <v>49</v>
      </c>
      <c r="C123" s="14"/>
      <c r="D123" s="207"/>
      <c r="E123" s="42"/>
      <c r="F123" s="244"/>
    </row>
    <row r="124" customFormat="false" ht="15" hidden="false" customHeight="false" outlineLevel="0" collapsed="false">
      <c r="A124" s="35" t="n">
        <v>10</v>
      </c>
      <c r="B124" s="20" t="s">
        <v>50</v>
      </c>
      <c r="C124" s="14"/>
      <c r="D124" s="207"/>
      <c r="E124" s="42"/>
      <c r="F124" s="244"/>
    </row>
    <row r="125" customFormat="false" ht="15" hidden="false" customHeight="false" outlineLevel="0" collapsed="false">
      <c r="A125" s="35" t="n">
        <v>11</v>
      </c>
      <c r="B125" s="20" t="s">
        <v>51</v>
      </c>
      <c r="C125" s="14"/>
      <c r="D125" s="207"/>
      <c r="E125" s="42"/>
      <c r="F125" s="244"/>
    </row>
    <row r="126" customFormat="false" ht="15" hidden="false" customHeight="false" outlineLevel="0" collapsed="false">
      <c r="A126" s="35" t="n">
        <v>12</v>
      </c>
      <c r="B126" s="20" t="s">
        <v>52</v>
      </c>
      <c r="C126" s="14"/>
      <c r="D126" s="207"/>
      <c r="E126" s="42"/>
      <c r="F126" s="244"/>
    </row>
    <row r="127" customFormat="false" ht="15" hidden="false" customHeight="false" outlineLevel="0" collapsed="false">
      <c r="A127" s="35" t="n">
        <v>13</v>
      </c>
      <c r="B127" s="20" t="s">
        <v>54</v>
      </c>
      <c r="C127" s="14"/>
      <c r="D127" s="207"/>
      <c r="E127" s="42"/>
      <c r="F127" s="244"/>
    </row>
    <row r="128" customFormat="false" ht="15" hidden="false" customHeight="false" outlineLevel="0" collapsed="false">
      <c r="A128" s="35" t="n">
        <v>14</v>
      </c>
      <c r="B128" s="20" t="s">
        <v>55</v>
      </c>
      <c r="C128" s="14"/>
      <c r="D128" s="207"/>
      <c r="E128" s="42"/>
      <c r="F128" s="244"/>
    </row>
    <row r="129" customFormat="false" ht="15" hidden="false" customHeight="false" outlineLevel="0" collapsed="false">
      <c r="A129" s="35" t="n">
        <v>15</v>
      </c>
      <c r="B129" s="20" t="s">
        <v>56</v>
      </c>
      <c r="C129" s="14"/>
      <c r="D129" s="207"/>
      <c r="E129" s="42"/>
      <c r="F129" s="244"/>
    </row>
    <row r="130" customFormat="false" ht="15" hidden="false" customHeight="false" outlineLevel="0" collapsed="false">
      <c r="A130" s="35" t="n">
        <v>16</v>
      </c>
      <c r="B130" s="20" t="s">
        <v>57</v>
      </c>
      <c r="C130" s="14"/>
      <c r="D130" s="207"/>
      <c r="E130" s="42"/>
      <c r="F130" s="244"/>
    </row>
    <row r="131" customFormat="false" ht="15" hidden="false" customHeight="false" outlineLevel="0" collapsed="false">
      <c r="A131" s="35" t="n">
        <v>17</v>
      </c>
      <c r="B131" s="20" t="s">
        <v>58</v>
      </c>
      <c r="C131" s="14"/>
      <c r="D131" s="207"/>
      <c r="E131" s="42"/>
      <c r="F131" s="245"/>
    </row>
    <row r="132" customFormat="false" ht="15" hidden="false" customHeight="false" outlineLevel="0" collapsed="false">
      <c r="A132" s="35" t="n">
        <v>18</v>
      </c>
      <c r="B132" s="20" t="s">
        <v>107</v>
      </c>
      <c r="C132" s="14"/>
      <c r="D132" s="207"/>
      <c r="E132" s="42"/>
      <c r="F132" s="244"/>
    </row>
    <row r="133" customFormat="false" ht="15" hidden="false" customHeight="false" outlineLevel="0" collapsed="false">
      <c r="A133" s="35" t="n">
        <v>19</v>
      </c>
      <c r="B133" s="20" t="s">
        <v>60</v>
      </c>
      <c r="C133" s="14"/>
      <c r="D133" s="207"/>
      <c r="E133" s="42"/>
      <c r="F133" s="244"/>
    </row>
    <row r="134" customFormat="false" ht="15" hidden="false" customHeight="false" outlineLevel="0" collapsed="false">
      <c r="A134" s="35" t="n">
        <v>20</v>
      </c>
      <c r="B134" s="20" t="s">
        <v>53</v>
      </c>
      <c r="C134" s="14"/>
      <c r="D134" s="207"/>
      <c r="E134" s="42"/>
      <c r="F134" s="244"/>
    </row>
    <row r="135" customFormat="false" ht="15" hidden="false" customHeight="false" outlineLevel="0" collapsed="false">
      <c r="A135" s="35" t="n">
        <v>21</v>
      </c>
      <c r="B135" s="20" t="s">
        <v>89</v>
      </c>
      <c r="C135" s="14"/>
      <c r="D135" s="207"/>
      <c r="E135" s="42"/>
      <c r="F135" s="244"/>
    </row>
    <row r="136" customFormat="false" ht="17.35" hidden="false" customHeight="false" outlineLevel="0" collapsed="false">
      <c r="A136" s="35"/>
      <c r="B136" s="23" t="s">
        <v>21</v>
      </c>
      <c r="C136" s="24" t="n">
        <f aca="false">SUM(C115:C135)</f>
        <v>0</v>
      </c>
      <c r="D136" s="54" t="n">
        <f aca="false">SUM(D115:D135)</f>
        <v>0</v>
      </c>
      <c r="E136" s="26" t="n">
        <f aca="false">SUM(E115:E135)</f>
        <v>0</v>
      </c>
      <c r="F136" s="246"/>
    </row>
    <row r="137" customFormat="false" ht="17.35" hidden="false" customHeight="false" outlineLevel="0" collapsed="false">
      <c r="B137" s="28"/>
      <c r="C137" s="29"/>
      <c r="D137" s="208"/>
      <c r="E137" s="31"/>
    </row>
    <row r="138" customFormat="false" ht="17.35" hidden="false" customHeight="false" outlineLevel="0" collapsed="false">
      <c r="B138" s="28"/>
      <c r="C138" s="29"/>
      <c r="D138" s="208"/>
      <c r="E138" s="31"/>
    </row>
    <row r="139" customFormat="false" ht="17.35" hidden="false" customHeight="false" outlineLevel="0" collapsed="false">
      <c r="A139" s="2"/>
      <c r="B139" s="3" t="s">
        <v>0</v>
      </c>
    </row>
    <row r="140" customFormat="false" ht="17.35" hidden="false" customHeight="false" outlineLevel="0" collapsed="false">
      <c r="A140" s="4"/>
    </row>
    <row r="141" customFormat="false" ht="15" hidden="false" customHeight="false" outlineLevel="0" collapsed="false">
      <c r="A141" s="2"/>
    </row>
    <row r="142" customFormat="false" ht="17.25" hidden="false" customHeight="false" outlineLevel="0" collapsed="false">
      <c r="A142" s="2"/>
      <c r="B142" s="5" t="s">
        <v>61</v>
      </c>
    </row>
    <row r="143" customFormat="false" ht="15" hidden="false" customHeight="false" outlineLevel="0" collapsed="false">
      <c r="A143" s="2"/>
      <c r="D143" s="6" t="s">
        <v>2</v>
      </c>
    </row>
    <row r="144" customFormat="false" ht="15" hidden="false" customHeight="false" outlineLevel="0" collapsed="false">
      <c r="A144" s="2"/>
    </row>
    <row r="145" customFormat="false" ht="15" hidden="false" customHeight="false" outlineLevel="0" collapsed="false">
      <c r="A145" s="7" t="s">
        <v>3</v>
      </c>
      <c r="B145" s="8" t="s">
        <v>4</v>
      </c>
      <c r="C145" s="9" t="s">
        <v>5</v>
      </c>
      <c r="D145" s="10" t="s">
        <v>6</v>
      </c>
      <c r="E145" s="11" t="s">
        <v>7</v>
      </c>
      <c r="F145" s="210" t="s">
        <v>1092</v>
      </c>
    </row>
    <row r="146" customFormat="false" ht="15" hidden="false" customHeight="false" outlineLevel="0" collapsed="false">
      <c r="A146" s="12" t="n">
        <v>1</v>
      </c>
      <c r="B146" s="13" t="s">
        <v>63</v>
      </c>
      <c r="C146" s="14"/>
      <c r="D146" s="241"/>
      <c r="E146" s="16"/>
      <c r="F146" s="240"/>
    </row>
    <row r="147" customFormat="false" ht="15" hidden="false" customHeight="false" outlineLevel="0" collapsed="false">
      <c r="A147" s="12" t="n">
        <v>2</v>
      </c>
      <c r="B147" s="13" t="s">
        <v>65</v>
      </c>
      <c r="C147" s="14"/>
      <c r="D147" s="241"/>
      <c r="E147" s="16"/>
      <c r="F147" s="242"/>
    </row>
    <row r="148" customFormat="false" ht="15" hidden="false" customHeight="false" outlineLevel="0" collapsed="false">
      <c r="A148" s="12" t="n">
        <v>3</v>
      </c>
      <c r="B148" s="13" t="s">
        <v>1095</v>
      </c>
      <c r="C148" s="14"/>
      <c r="D148" s="241"/>
      <c r="E148" s="16"/>
      <c r="F148" s="242"/>
    </row>
    <row r="149" customFormat="false" ht="15" hidden="false" customHeight="false" outlineLevel="0" collapsed="false">
      <c r="A149" s="12" t="n">
        <v>4</v>
      </c>
      <c r="B149" s="13" t="s">
        <v>67</v>
      </c>
      <c r="C149" s="14"/>
      <c r="D149" s="241"/>
      <c r="E149" s="16"/>
      <c r="F149" s="242"/>
    </row>
    <row r="150" customFormat="false" ht="15" hidden="false" customHeight="false" outlineLevel="0" collapsed="false">
      <c r="A150" s="12" t="n">
        <v>5</v>
      </c>
      <c r="B150" s="13" t="s">
        <v>1096</v>
      </c>
      <c r="C150" s="14"/>
      <c r="D150" s="241"/>
      <c r="E150" s="16"/>
      <c r="F150" s="242"/>
    </row>
    <row r="151" customFormat="false" ht="17.35" hidden="false" customHeight="false" outlineLevel="0" collapsed="false">
      <c r="A151" s="22"/>
      <c r="B151" s="23" t="s">
        <v>21</v>
      </c>
      <c r="C151" s="24" t="n">
        <f aca="false">SUM(C146:C150)</f>
        <v>0</v>
      </c>
      <c r="D151" s="54" t="n">
        <f aca="false">SUM(D146:D150)</f>
        <v>0</v>
      </c>
      <c r="E151" s="26" t="n">
        <f aca="false">SUM(E146:E150)</f>
        <v>0</v>
      </c>
      <c r="F151" s="243"/>
    </row>
    <row r="152" customFormat="false" ht="17.35" hidden="false" customHeight="false" outlineLevel="0" collapsed="false">
      <c r="A152" s="209"/>
      <c r="B152" s="28"/>
      <c r="C152" s="29"/>
      <c r="D152" s="208"/>
      <c r="E152" s="31"/>
    </row>
    <row r="153" customFormat="false" ht="15" hidden="false" customHeight="false" outlineLevel="0" collapsed="false">
      <c r="A153" s="209"/>
    </row>
    <row r="154" customFormat="false" ht="17.35" hidden="false" customHeight="false" outlineLevel="0" collapsed="false">
      <c r="A154" s="2"/>
      <c r="B154" s="3" t="s">
        <v>0</v>
      </c>
    </row>
    <row r="155" customFormat="false" ht="17.35" hidden="false" customHeight="false" outlineLevel="0" collapsed="false">
      <c r="A155" s="4"/>
    </row>
    <row r="156" customFormat="false" ht="15" hidden="false" customHeight="false" outlineLevel="0" collapsed="false">
      <c r="A156" s="2"/>
    </row>
    <row r="157" customFormat="false" ht="17.25" hidden="false" customHeight="false" outlineLevel="0" collapsed="false">
      <c r="A157" s="2"/>
      <c r="B157" s="5" t="s">
        <v>75</v>
      </c>
    </row>
    <row r="158" customFormat="false" ht="15" hidden="false" customHeight="false" outlineLevel="0" collapsed="false">
      <c r="A158" s="2"/>
      <c r="D158" s="6" t="s">
        <v>2</v>
      </c>
    </row>
    <row r="159" customFormat="false" ht="15" hidden="false" customHeight="false" outlineLevel="0" collapsed="false">
      <c r="A159" s="2"/>
    </row>
    <row r="160" customFormat="false" ht="15" hidden="false" customHeight="false" outlineLevel="0" collapsed="false">
      <c r="A160" s="7" t="s">
        <v>3</v>
      </c>
      <c r="B160" s="8" t="s">
        <v>4</v>
      </c>
      <c r="C160" s="9" t="s">
        <v>5</v>
      </c>
      <c r="D160" s="10" t="s">
        <v>6</v>
      </c>
      <c r="E160" s="11" t="s">
        <v>7</v>
      </c>
      <c r="F160" s="210" t="s">
        <v>1092</v>
      </c>
    </row>
    <row r="161" customFormat="false" ht="15" hidden="false" customHeight="false" outlineLevel="0" collapsed="false">
      <c r="A161" s="1" t="n">
        <v>1</v>
      </c>
      <c r="B161" s="20" t="s">
        <v>76</v>
      </c>
      <c r="C161" s="14"/>
      <c r="D161" s="207"/>
      <c r="E161" s="42"/>
      <c r="F161" s="240"/>
    </row>
    <row r="162" customFormat="false" ht="15" hidden="false" customHeight="false" outlineLevel="0" collapsed="false">
      <c r="A162" s="1" t="n">
        <v>2</v>
      </c>
      <c r="B162" s="39" t="s">
        <v>77</v>
      </c>
      <c r="C162" s="14"/>
      <c r="D162" s="14"/>
      <c r="E162" s="42"/>
      <c r="F162" s="242"/>
    </row>
    <row r="163" customFormat="false" ht="15" hidden="false" customHeight="false" outlineLevel="0" collapsed="false">
      <c r="A163" s="35" t="n">
        <v>3</v>
      </c>
      <c r="B163" s="43" t="s">
        <v>78</v>
      </c>
      <c r="C163" s="14"/>
      <c r="D163" s="14"/>
      <c r="E163" s="42"/>
      <c r="F163" s="242"/>
    </row>
    <row r="164" customFormat="false" ht="15" hidden="false" customHeight="false" outlineLevel="0" collapsed="false">
      <c r="A164" s="12" t="n">
        <v>4</v>
      </c>
      <c r="B164" s="39" t="s">
        <v>79</v>
      </c>
      <c r="C164" s="14"/>
      <c r="D164" s="14"/>
      <c r="E164" s="42"/>
      <c r="F164" s="242"/>
    </row>
    <row r="165" customFormat="false" ht="15" hidden="false" customHeight="false" outlineLevel="0" collapsed="false">
      <c r="A165" s="35" t="n">
        <v>5</v>
      </c>
      <c r="B165" s="39" t="s">
        <v>80</v>
      </c>
      <c r="C165" s="14"/>
      <c r="D165" s="14"/>
      <c r="E165" s="42"/>
      <c r="F165" s="242"/>
    </row>
    <row r="166" customFormat="false" ht="15" hidden="false" customHeight="false" outlineLevel="0" collapsed="false">
      <c r="A166" s="12" t="n">
        <v>6</v>
      </c>
      <c r="B166" s="43" t="s">
        <v>81</v>
      </c>
      <c r="C166" s="14"/>
      <c r="D166" s="14"/>
      <c r="E166" s="42"/>
      <c r="F166" s="242"/>
    </row>
    <row r="167" customFormat="false" ht="15" hidden="false" customHeight="false" outlineLevel="0" collapsed="false">
      <c r="A167" s="12" t="n">
        <v>7</v>
      </c>
      <c r="B167" s="39" t="s">
        <v>82</v>
      </c>
      <c r="C167" s="14"/>
      <c r="D167" s="14"/>
      <c r="E167" s="42"/>
      <c r="F167" s="242"/>
    </row>
    <row r="168" customFormat="false" ht="15" hidden="false" customHeight="false" outlineLevel="0" collapsed="false">
      <c r="A168" s="35" t="n">
        <v>8</v>
      </c>
      <c r="B168" s="39" t="s">
        <v>83</v>
      </c>
      <c r="C168" s="14"/>
      <c r="D168" s="14"/>
      <c r="E168" s="42"/>
      <c r="F168" s="242"/>
    </row>
    <row r="169" customFormat="false" ht="15" hidden="false" customHeight="false" outlineLevel="0" collapsed="false">
      <c r="A169" s="12" t="n">
        <v>9</v>
      </c>
      <c r="B169" s="39" t="s">
        <v>84</v>
      </c>
      <c r="C169" s="14"/>
      <c r="D169" s="14"/>
      <c r="E169" s="42"/>
      <c r="F169" s="242"/>
    </row>
    <row r="170" customFormat="false" ht="15" hidden="false" customHeight="false" outlineLevel="0" collapsed="false">
      <c r="A170" s="12" t="n">
        <v>10</v>
      </c>
      <c r="B170" s="39" t="s">
        <v>85</v>
      </c>
      <c r="C170" s="14"/>
      <c r="D170" s="14"/>
      <c r="E170" s="42"/>
      <c r="F170" s="242"/>
    </row>
    <row r="171" customFormat="false" ht="15" hidden="false" customHeight="false" outlineLevel="0" collapsed="false">
      <c r="A171" s="12" t="n">
        <v>11</v>
      </c>
      <c r="B171" s="39" t="s">
        <v>86</v>
      </c>
      <c r="C171" s="14"/>
      <c r="D171" s="14"/>
      <c r="E171" s="42"/>
      <c r="F171" s="242"/>
    </row>
    <row r="172" customFormat="false" ht="15" hidden="false" customHeight="false" outlineLevel="0" collapsed="false">
      <c r="A172" s="12" t="n">
        <v>12</v>
      </c>
      <c r="B172" s="39" t="s">
        <v>87</v>
      </c>
      <c r="C172" s="14"/>
      <c r="D172" s="14"/>
      <c r="E172" s="42"/>
      <c r="F172" s="242"/>
    </row>
    <row r="173" customFormat="false" ht="15" hidden="false" customHeight="false" outlineLevel="0" collapsed="false">
      <c r="A173" s="35" t="n">
        <v>13</v>
      </c>
      <c r="B173" s="39" t="s">
        <v>90</v>
      </c>
      <c r="C173" s="14"/>
      <c r="D173" s="14"/>
      <c r="E173" s="42"/>
      <c r="F173" s="242"/>
    </row>
    <row r="174" customFormat="false" ht="17.35" hidden="false" customHeight="false" outlineLevel="0" collapsed="false">
      <c r="A174" s="22"/>
      <c r="B174" s="23" t="s">
        <v>21</v>
      </c>
      <c r="C174" s="24" t="n">
        <f aca="false">SUM(C161:C173)</f>
        <v>0</v>
      </c>
      <c r="D174" s="54" t="n">
        <f aca="false">SUM(D161:D173)</f>
        <v>0</v>
      </c>
      <c r="E174" s="26" t="n">
        <f aca="false">SUM(E161:E173)</f>
        <v>0</v>
      </c>
      <c r="F174" s="243"/>
    </row>
    <row r="176" customFormat="false" ht="17.35" hidden="false" customHeight="false" outlineLevel="0" collapsed="false">
      <c r="B176" s="3" t="s">
        <v>0</v>
      </c>
    </row>
    <row r="177" customFormat="false" ht="15" hidden="false" customHeight="false" outlineLevel="0" collapsed="false">
      <c r="A177" s="2"/>
    </row>
    <row r="178" customFormat="false" ht="15" hidden="false" customHeight="false" outlineLevel="0" collapsed="false">
      <c r="A178" s="2"/>
    </row>
    <row r="179" customFormat="false" ht="17.25" hidden="false" customHeight="false" outlineLevel="0" collapsed="false">
      <c r="A179" s="2"/>
      <c r="B179" s="5" t="s">
        <v>91</v>
      </c>
    </row>
    <row r="180" customFormat="false" ht="15" hidden="false" customHeight="false" outlineLevel="0" collapsed="false">
      <c r="A180" s="2"/>
      <c r="E180" s="6" t="s">
        <v>2</v>
      </c>
    </row>
    <row r="181" customFormat="false" ht="15" hidden="false" customHeight="false" outlineLevel="0" collapsed="false">
      <c r="A181" s="2"/>
    </row>
    <row r="182" customFormat="false" ht="15" hidden="false" customHeight="false" outlineLevel="0" collapsed="false">
      <c r="A182" s="7" t="s">
        <v>3</v>
      </c>
      <c r="B182" s="8" t="s">
        <v>4</v>
      </c>
      <c r="C182" s="9" t="s">
        <v>5</v>
      </c>
      <c r="D182" s="10" t="s">
        <v>6</v>
      </c>
      <c r="E182" s="11" t="s">
        <v>7</v>
      </c>
      <c r="F182" s="210" t="s">
        <v>1092</v>
      </c>
    </row>
    <row r="183" customFormat="false" ht="15" hidden="false" customHeight="false" outlineLevel="0" collapsed="false">
      <c r="A183" s="35" t="n">
        <v>1</v>
      </c>
      <c r="B183" s="36" t="s">
        <v>23</v>
      </c>
      <c r="C183" s="14"/>
      <c r="D183" s="14"/>
      <c r="E183" s="42"/>
      <c r="F183" s="240"/>
    </row>
    <row r="184" customFormat="false" ht="15" hidden="false" customHeight="false" outlineLevel="0" collapsed="false">
      <c r="A184" s="35" t="n">
        <v>2</v>
      </c>
      <c r="B184" s="39" t="s">
        <v>92</v>
      </c>
      <c r="C184" s="14"/>
      <c r="D184" s="14"/>
      <c r="E184" s="42"/>
      <c r="F184" s="242"/>
    </row>
    <row r="185" customFormat="false" ht="15" hidden="false" customHeight="false" outlineLevel="0" collapsed="false">
      <c r="A185" s="50" t="n">
        <v>3</v>
      </c>
      <c r="B185" s="39" t="s">
        <v>96</v>
      </c>
      <c r="C185" s="14"/>
      <c r="D185" s="14"/>
      <c r="E185" s="42"/>
      <c r="F185" s="242"/>
    </row>
    <row r="186" customFormat="false" ht="15" hidden="false" customHeight="false" outlineLevel="0" collapsed="false">
      <c r="A186" s="35" t="n">
        <v>4</v>
      </c>
      <c r="B186" s="39" t="s">
        <v>98</v>
      </c>
      <c r="C186" s="14"/>
      <c r="D186" s="14"/>
      <c r="E186" s="42"/>
      <c r="F186" s="242"/>
    </row>
    <row r="187" customFormat="false" ht="15" hidden="false" customHeight="false" outlineLevel="0" collapsed="false">
      <c r="A187" s="35" t="n">
        <v>5</v>
      </c>
      <c r="B187" s="39" t="s">
        <v>100</v>
      </c>
      <c r="C187" s="14"/>
      <c r="D187" s="14"/>
      <c r="E187" s="42"/>
      <c r="F187" s="242"/>
    </row>
    <row r="188" customFormat="false" ht="15" hidden="false" customHeight="false" outlineLevel="0" collapsed="false">
      <c r="A188" s="35" t="n">
        <v>6</v>
      </c>
      <c r="B188" s="39" t="s">
        <v>101</v>
      </c>
      <c r="C188" s="14"/>
      <c r="D188" s="14"/>
      <c r="E188" s="42"/>
      <c r="F188" s="242"/>
    </row>
    <row r="189" customFormat="false" ht="15" hidden="false" customHeight="false" outlineLevel="0" collapsed="false">
      <c r="A189" s="35" t="n">
        <v>7</v>
      </c>
      <c r="B189" s="39" t="s">
        <v>94</v>
      </c>
      <c r="C189" s="14"/>
      <c r="D189" s="14"/>
      <c r="E189" s="42"/>
      <c r="F189" s="242"/>
    </row>
    <row r="190" customFormat="false" ht="15" hidden="false" customHeight="false" outlineLevel="0" collapsed="false">
      <c r="A190" s="35" t="n">
        <v>8</v>
      </c>
      <c r="B190" s="39" t="s">
        <v>102</v>
      </c>
      <c r="C190" s="14"/>
      <c r="D190" s="14"/>
      <c r="E190" s="42"/>
      <c r="F190" s="242"/>
    </row>
    <row r="191" customFormat="false" ht="17.35" hidden="false" customHeight="false" outlineLevel="0" collapsed="false">
      <c r="A191" s="35"/>
      <c r="B191" s="23" t="s">
        <v>21</v>
      </c>
      <c r="C191" s="24" t="n">
        <f aca="false">SUM(C183:C190)</f>
        <v>0</v>
      </c>
      <c r="D191" s="54" t="n">
        <f aca="false">SUM(D183:D190)</f>
        <v>0</v>
      </c>
      <c r="E191" s="26" t="n">
        <f aca="false">SUM(E183:E190)</f>
        <v>0</v>
      </c>
      <c r="F191" s="243"/>
    </row>
    <row r="193" customFormat="false" ht="17.35" hidden="false" customHeight="false" outlineLevel="0" collapsed="false">
      <c r="A193" s="2"/>
      <c r="B193" s="3" t="s">
        <v>0</v>
      </c>
    </row>
    <row r="194" customFormat="false" ht="17.35" hidden="false" customHeight="false" outlineLevel="0" collapsed="false">
      <c r="A194" s="4"/>
    </row>
    <row r="195" customFormat="false" ht="15" hidden="false" customHeight="false" outlineLevel="0" collapsed="false">
      <c r="A195" s="2"/>
    </row>
    <row r="196" customFormat="false" ht="17.25" hidden="false" customHeight="false" outlineLevel="0" collapsed="false">
      <c r="A196" s="2"/>
      <c r="B196" s="5" t="s">
        <v>103</v>
      </c>
    </row>
    <row r="197" customFormat="false" ht="15" hidden="false" customHeight="false" outlineLevel="0" collapsed="false">
      <c r="A197" s="2"/>
      <c r="D197" s="6" t="s">
        <v>2</v>
      </c>
    </row>
    <row r="198" customFormat="false" ht="15" hidden="false" customHeight="false" outlineLevel="0" collapsed="false">
      <c r="A198" s="2"/>
    </row>
    <row r="199" customFormat="false" ht="15" hidden="false" customHeight="false" outlineLevel="0" collapsed="false">
      <c r="A199" s="7" t="s">
        <v>3</v>
      </c>
      <c r="B199" s="8" t="s">
        <v>4</v>
      </c>
      <c r="C199" s="9" t="s">
        <v>5</v>
      </c>
      <c r="D199" s="10" t="s">
        <v>6</v>
      </c>
      <c r="E199" s="11" t="s">
        <v>7</v>
      </c>
      <c r="F199" s="210" t="s">
        <v>1092</v>
      </c>
    </row>
    <row r="200" customFormat="false" ht="15" hidden="false" customHeight="false" outlineLevel="0" collapsed="false">
      <c r="A200" s="35" t="n">
        <v>1</v>
      </c>
      <c r="B200" s="39" t="s">
        <v>105</v>
      </c>
      <c r="C200" s="14"/>
      <c r="D200" s="14"/>
      <c r="E200" s="42"/>
      <c r="F200" s="247"/>
    </row>
    <row r="201" customFormat="false" ht="15" hidden="false" customHeight="false" outlineLevel="0" collapsed="false">
      <c r="A201" s="35" t="n">
        <v>2</v>
      </c>
      <c r="B201" s="20" t="s">
        <v>112</v>
      </c>
      <c r="C201" s="37"/>
      <c r="D201" s="21"/>
      <c r="E201" s="38"/>
      <c r="F201" s="245"/>
    </row>
    <row r="202" customFormat="false" ht="17.35" hidden="false" customHeight="false" outlineLevel="0" collapsed="false">
      <c r="A202" s="22"/>
      <c r="B202" s="23" t="s">
        <v>21</v>
      </c>
      <c r="C202" s="24" t="n">
        <f aca="false">SUM(C200:C201)</f>
        <v>0</v>
      </c>
      <c r="D202" s="54" t="n">
        <f aca="false">SUM(D200:D201)</f>
        <v>0</v>
      </c>
      <c r="E202" s="26" t="n">
        <f aca="false">SUM(E200:E201)</f>
        <v>0</v>
      </c>
      <c r="F202" s="248"/>
    </row>
    <row r="203" customFormat="false" ht="17.35" hidden="false" customHeight="false" outlineLevel="0" collapsed="false">
      <c r="B203" s="28"/>
      <c r="C203" s="29"/>
      <c r="D203" s="208"/>
      <c r="E203" s="31"/>
    </row>
    <row r="204" customFormat="false" ht="17.35" hidden="false" customHeight="false" outlineLevel="0" collapsed="false">
      <c r="A204" s="2"/>
      <c r="B204" s="3" t="s">
        <v>0</v>
      </c>
    </row>
    <row r="205" customFormat="false" ht="17.35" hidden="false" customHeight="false" outlineLevel="0" collapsed="false">
      <c r="A205" s="4"/>
    </row>
    <row r="206" customFormat="false" ht="15" hidden="false" customHeight="false" outlineLevel="0" collapsed="false">
      <c r="A206" s="2"/>
    </row>
    <row r="207" customFormat="false" ht="17.25" hidden="false" customHeight="false" outlineLevel="0" collapsed="false">
      <c r="A207" s="2"/>
      <c r="B207" s="5" t="s">
        <v>113</v>
      </c>
    </row>
    <row r="208" customFormat="false" ht="15" hidden="false" customHeight="false" outlineLevel="0" collapsed="false">
      <c r="A208" s="2"/>
      <c r="D208" s="6" t="s">
        <v>2</v>
      </c>
    </row>
    <row r="209" customFormat="false" ht="15" hidden="false" customHeight="false" outlineLevel="0" collapsed="false">
      <c r="A209" s="2"/>
    </row>
    <row r="210" customFormat="false" ht="15" hidden="false" customHeight="false" outlineLevel="0" collapsed="false">
      <c r="A210" s="7" t="s">
        <v>3</v>
      </c>
      <c r="B210" s="8" t="s">
        <v>4</v>
      </c>
      <c r="C210" s="9" t="s">
        <v>5</v>
      </c>
      <c r="D210" s="10" t="s">
        <v>6</v>
      </c>
      <c r="E210" s="11" t="s">
        <v>7</v>
      </c>
      <c r="F210" s="210" t="s">
        <v>1092</v>
      </c>
    </row>
    <row r="211" customFormat="false" ht="15" hidden="false" customHeight="false" outlineLevel="0" collapsed="false">
      <c r="A211" s="35" t="n">
        <v>1</v>
      </c>
      <c r="B211" s="39" t="s">
        <v>114</v>
      </c>
      <c r="C211" s="14"/>
      <c r="D211" s="14"/>
      <c r="E211" s="42"/>
      <c r="F211" s="240"/>
    </row>
    <row r="212" customFormat="false" ht="15" hidden="false" customHeight="false" outlineLevel="0" collapsed="false">
      <c r="A212" s="12" t="n">
        <v>2</v>
      </c>
      <c r="B212" s="39" t="s">
        <v>115</v>
      </c>
      <c r="C212" s="14"/>
      <c r="D212" s="14"/>
      <c r="E212" s="42"/>
      <c r="F212" s="242"/>
    </row>
    <row r="213" customFormat="false" ht="15" hidden="false" customHeight="false" outlineLevel="0" collapsed="false">
      <c r="A213" s="35" t="n">
        <v>3</v>
      </c>
      <c r="B213" s="75" t="s">
        <v>117</v>
      </c>
      <c r="C213" s="14"/>
      <c r="D213" s="14"/>
      <c r="E213" s="42"/>
      <c r="F213" s="242"/>
    </row>
    <row r="214" customFormat="false" ht="15" hidden="false" customHeight="false" outlineLevel="0" collapsed="false">
      <c r="A214" s="12" t="n">
        <v>4</v>
      </c>
      <c r="B214" s="39" t="s">
        <v>118</v>
      </c>
      <c r="C214" s="14"/>
      <c r="D214" s="14"/>
      <c r="E214" s="42"/>
      <c r="F214" s="242"/>
    </row>
    <row r="215" customFormat="false" ht="15" hidden="false" customHeight="false" outlineLevel="0" collapsed="false">
      <c r="A215" s="12" t="n">
        <v>5</v>
      </c>
      <c r="B215" s="39" t="s">
        <v>119</v>
      </c>
      <c r="C215" s="14"/>
      <c r="D215" s="14"/>
      <c r="E215" s="42"/>
      <c r="F215" s="242"/>
    </row>
    <row r="216" customFormat="false" ht="15" hidden="false" customHeight="false" outlineLevel="0" collapsed="false">
      <c r="A216" s="35" t="n">
        <v>6</v>
      </c>
      <c r="B216" s="39" t="s">
        <v>120</v>
      </c>
      <c r="C216" s="14"/>
      <c r="D216" s="14"/>
      <c r="E216" s="42"/>
      <c r="F216" s="242"/>
    </row>
    <row r="217" customFormat="false" ht="15" hidden="false" customHeight="false" outlineLevel="0" collapsed="false">
      <c r="A217" s="12" t="n">
        <v>7</v>
      </c>
      <c r="B217" s="39" t="s">
        <v>121</v>
      </c>
      <c r="C217" s="14"/>
      <c r="D217" s="14"/>
      <c r="E217" s="42"/>
      <c r="F217" s="242"/>
    </row>
    <row r="218" customFormat="false" ht="15" hidden="false" customHeight="false" outlineLevel="0" collapsed="false">
      <c r="A218" s="35" t="n">
        <v>8</v>
      </c>
      <c r="B218" s="39" t="s">
        <v>122</v>
      </c>
      <c r="C218" s="14"/>
      <c r="D218" s="14"/>
      <c r="E218" s="42"/>
      <c r="F218" s="242"/>
    </row>
    <row r="219" customFormat="false" ht="15" hidden="false" customHeight="false" outlineLevel="0" collapsed="false">
      <c r="A219" s="35" t="n">
        <v>9</v>
      </c>
      <c r="B219" s="39" t="s">
        <v>124</v>
      </c>
      <c r="C219" s="14"/>
      <c r="D219" s="14"/>
      <c r="E219" s="42"/>
      <c r="F219" s="242"/>
    </row>
    <row r="220" customFormat="false" ht="15" hidden="false" customHeight="false" outlineLevel="0" collapsed="false">
      <c r="A220" s="53" t="n">
        <v>10</v>
      </c>
      <c r="B220" s="39" t="s">
        <v>125</v>
      </c>
      <c r="C220" s="14"/>
      <c r="D220" s="14"/>
      <c r="E220" s="42"/>
      <c r="F220" s="242"/>
    </row>
    <row r="221" customFormat="false" ht="15" hidden="false" customHeight="false" outlineLevel="0" collapsed="false">
      <c r="A221" s="12" t="n">
        <v>11</v>
      </c>
      <c r="B221" s="39" t="s">
        <v>126</v>
      </c>
      <c r="C221" s="14"/>
      <c r="D221" s="14"/>
      <c r="E221" s="42"/>
      <c r="F221" s="242"/>
    </row>
    <row r="222" customFormat="false" ht="15" hidden="false" customHeight="false" outlineLevel="0" collapsed="false">
      <c r="A222" s="35" t="n">
        <v>12</v>
      </c>
      <c r="B222" s="39" t="s">
        <v>127</v>
      </c>
      <c r="C222" s="14"/>
      <c r="D222" s="14"/>
      <c r="E222" s="42"/>
      <c r="F222" s="242"/>
    </row>
    <row r="223" customFormat="false" ht="15" hidden="false" customHeight="false" outlineLevel="0" collapsed="false">
      <c r="A223" s="53" t="n">
        <v>13</v>
      </c>
      <c r="B223" s="39" t="s">
        <v>128</v>
      </c>
      <c r="C223" s="14"/>
      <c r="D223" s="14"/>
      <c r="E223" s="42"/>
      <c r="F223" s="242"/>
    </row>
    <row r="224" customFormat="false" ht="15" hidden="false" customHeight="false" outlineLevel="0" collapsed="false">
      <c r="A224" s="53" t="n">
        <v>14</v>
      </c>
      <c r="B224" s="39" t="s">
        <v>129</v>
      </c>
      <c r="C224" s="14"/>
      <c r="D224" s="14"/>
      <c r="E224" s="42"/>
      <c r="F224" s="242"/>
    </row>
    <row r="225" customFormat="false" ht="15" hidden="false" customHeight="false" outlineLevel="0" collapsed="false">
      <c r="A225" s="53" t="n">
        <v>15</v>
      </c>
      <c r="B225" s="39" t="s">
        <v>130</v>
      </c>
      <c r="C225" s="14"/>
      <c r="D225" s="14"/>
      <c r="E225" s="42"/>
      <c r="F225" s="242"/>
    </row>
    <row r="226" customFormat="false" ht="15" hidden="false" customHeight="false" outlineLevel="0" collapsed="false">
      <c r="A226" s="53" t="n">
        <v>16</v>
      </c>
      <c r="B226" s="39" t="s">
        <v>131</v>
      </c>
      <c r="C226" s="14"/>
      <c r="D226" s="14"/>
      <c r="E226" s="42"/>
      <c r="F226" s="242"/>
    </row>
    <row r="227" customFormat="false" ht="15" hidden="false" customHeight="false" outlineLevel="0" collapsed="false">
      <c r="A227" s="53" t="n">
        <v>17</v>
      </c>
      <c r="B227" s="39" t="s">
        <v>132</v>
      </c>
      <c r="C227" s="14"/>
      <c r="D227" s="14"/>
      <c r="E227" s="42"/>
      <c r="F227" s="242"/>
    </row>
    <row r="228" customFormat="false" ht="15" hidden="false" customHeight="false" outlineLevel="0" collapsed="false">
      <c r="A228" s="53" t="n">
        <v>18</v>
      </c>
      <c r="B228" s="39" t="s">
        <v>133</v>
      </c>
      <c r="C228" s="14"/>
      <c r="D228" s="14"/>
      <c r="E228" s="42"/>
      <c r="F228" s="242"/>
    </row>
    <row r="229" customFormat="false" ht="15" hidden="false" customHeight="false" outlineLevel="0" collapsed="false">
      <c r="A229" s="53" t="n">
        <v>19</v>
      </c>
      <c r="B229" s="39" t="s">
        <v>134</v>
      </c>
      <c r="C229" s="14"/>
      <c r="D229" s="14"/>
      <c r="E229" s="42"/>
      <c r="F229" s="242"/>
    </row>
    <row r="230" customFormat="false" ht="15" hidden="false" customHeight="false" outlineLevel="0" collapsed="false">
      <c r="A230" s="53" t="n">
        <v>20</v>
      </c>
      <c r="B230" s="39" t="s">
        <v>135</v>
      </c>
      <c r="C230" s="14"/>
      <c r="D230" s="14"/>
      <c r="E230" s="42"/>
      <c r="F230" s="242"/>
    </row>
    <row r="231" customFormat="false" ht="15" hidden="false" customHeight="false" outlineLevel="0" collapsed="false">
      <c r="A231" s="53" t="n">
        <v>21</v>
      </c>
      <c r="B231" s="39" t="s">
        <v>1097</v>
      </c>
      <c r="C231" s="14"/>
      <c r="D231" s="14"/>
      <c r="E231" s="42"/>
      <c r="F231" s="242"/>
    </row>
    <row r="232" customFormat="false" ht="15" hidden="false" customHeight="false" outlineLevel="0" collapsed="false">
      <c r="A232" s="53" t="n">
        <v>22</v>
      </c>
      <c r="B232" s="39" t="s">
        <v>1098</v>
      </c>
      <c r="C232" s="14"/>
      <c r="D232" s="14"/>
      <c r="E232" s="42"/>
      <c r="F232" s="242"/>
    </row>
    <row r="233" customFormat="false" ht="15" hidden="false" customHeight="false" outlineLevel="0" collapsed="false">
      <c r="A233" s="53" t="n">
        <v>23</v>
      </c>
      <c r="B233" s="39" t="s">
        <v>138</v>
      </c>
      <c r="C233" s="14"/>
      <c r="D233" s="14"/>
      <c r="E233" s="42"/>
      <c r="F233" s="242"/>
    </row>
    <row r="234" customFormat="false" ht="15" hidden="false" customHeight="false" outlineLevel="0" collapsed="false">
      <c r="A234" s="53" t="n">
        <v>24</v>
      </c>
      <c r="B234" s="39" t="s">
        <v>139</v>
      </c>
      <c r="C234" s="14"/>
      <c r="D234" s="14"/>
      <c r="E234" s="42"/>
      <c r="F234" s="242"/>
    </row>
    <row r="235" customFormat="false" ht="15" hidden="false" customHeight="false" outlineLevel="0" collapsed="false">
      <c r="A235" s="53" t="n">
        <v>25</v>
      </c>
      <c r="B235" s="39" t="s">
        <v>141</v>
      </c>
      <c r="C235" s="14"/>
      <c r="D235" s="14"/>
      <c r="E235" s="42"/>
      <c r="F235" s="242"/>
    </row>
    <row r="236" customFormat="false" ht="15" hidden="false" customHeight="false" outlineLevel="0" collapsed="false">
      <c r="A236" s="53" t="n">
        <v>26</v>
      </c>
      <c r="B236" s="39" t="s">
        <v>142</v>
      </c>
      <c r="C236" s="14"/>
      <c r="D236" s="14"/>
      <c r="E236" s="42"/>
      <c r="F236" s="242"/>
    </row>
    <row r="237" customFormat="false" ht="15" hidden="false" customHeight="false" outlineLevel="0" collapsed="false">
      <c r="A237" s="53" t="n">
        <v>27</v>
      </c>
      <c r="B237" s="39" t="s">
        <v>143</v>
      </c>
      <c r="C237" s="14"/>
      <c r="D237" s="14"/>
      <c r="E237" s="42"/>
      <c r="F237" s="242"/>
    </row>
    <row r="238" customFormat="false" ht="15" hidden="false" customHeight="false" outlineLevel="0" collapsed="false">
      <c r="A238" s="53" t="n">
        <v>28</v>
      </c>
      <c r="B238" s="39" t="s">
        <v>144</v>
      </c>
      <c r="C238" s="14"/>
      <c r="D238" s="14"/>
      <c r="E238" s="42"/>
      <c r="F238" s="242"/>
    </row>
    <row r="239" customFormat="false" ht="15" hidden="false" customHeight="false" outlineLevel="0" collapsed="false">
      <c r="A239" s="53" t="n">
        <v>29</v>
      </c>
      <c r="B239" s="39" t="s">
        <v>145</v>
      </c>
      <c r="C239" s="14"/>
      <c r="D239" s="14"/>
      <c r="E239" s="42"/>
      <c r="F239" s="242"/>
    </row>
    <row r="240" customFormat="false" ht="15" hidden="false" customHeight="false" outlineLevel="0" collapsed="false">
      <c r="A240" s="53" t="n">
        <v>30</v>
      </c>
      <c r="B240" s="39" t="s">
        <v>1099</v>
      </c>
      <c r="C240" s="14"/>
      <c r="D240" s="14"/>
      <c r="E240" s="42"/>
      <c r="F240" s="242"/>
    </row>
    <row r="241" customFormat="false" ht="15" hidden="false" customHeight="false" outlineLevel="0" collapsed="false">
      <c r="A241" s="53" t="n">
        <v>31</v>
      </c>
      <c r="B241" s="39" t="s">
        <v>1100</v>
      </c>
      <c r="C241" s="14"/>
      <c r="D241" s="14"/>
      <c r="E241" s="42"/>
      <c r="F241" s="242"/>
    </row>
    <row r="242" customFormat="false" ht="15" hidden="false" customHeight="false" outlineLevel="0" collapsed="false">
      <c r="A242" s="53" t="n">
        <v>32</v>
      </c>
      <c r="B242" s="39" t="s">
        <v>148</v>
      </c>
      <c r="C242" s="14"/>
      <c r="D242" s="14"/>
      <c r="E242" s="42"/>
      <c r="F242" s="242"/>
    </row>
    <row r="243" customFormat="false" ht="15" hidden="false" customHeight="false" outlineLevel="0" collapsed="false">
      <c r="A243" s="53" t="n">
        <v>33</v>
      </c>
      <c r="B243" s="39" t="s">
        <v>149</v>
      </c>
      <c r="C243" s="14"/>
      <c r="D243" s="14"/>
      <c r="E243" s="42"/>
      <c r="F243" s="242"/>
    </row>
    <row r="244" customFormat="false" ht="15" hidden="false" customHeight="false" outlineLevel="0" collapsed="false">
      <c r="A244" s="53" t="n">
        <v>34</v>
      </c>
      <c r="B244" s="39" t="s">
        <v>1101</v>
      </c>
      <c r="C244" s="14"/>
      <c r="D244" s="14"/>
      <c r="E244" s="42"/>
      <c r="F244" s="242"/>
    </row>
    <row r="245" customFormat="false" ht="15" hidden="false" customHeight="false" outlineLevel="0" collapsed="false">
      <c r="A245" s="53" t="n">
        <v>35</v>
      </c>
      <c r="B245" s="39" t="s">
        <v>152</v>
      </c>
      <c r="C245" s="37"/>
      <c r="D245" s="37"/>
      <c r="E245" s="38"/>
      <c r="F245" s="242"/>
    </row>
    <row r="246" customFormat="false" ht="15" hidden="false" customHeight="false" outlineLevel="0" collapsed="false">
      <c r="A246" s="53" t="n">
        <v>36</v>
      </c>
      <c r="B246" s="39" t="s">
        <v>136</v>
      </c>
      <c r="C246" s="14"/>
      <c r="D246" s="14"/>
      <c r="E246" s="42"/>
      <c r="F246" s="242"/>
    </row>
    <row r="247" customFormat="false" ht="15" hidden="false" customHeight="false" outlineLevel="0" collapsed="false">
      <c r="A247" s="53" t="n">
        <v>37</v>
      </c>
      <c r="B247" s="39" t="s">
        <v>154</v>
      </c>
      <c r="C247" s="14"/>
      <c r="D247" s="14"/>
      <c r="E247" s="42"/>
      <c r="F247" s="242"/>
    </row>
    <row r="248" customFormat="false" ht="15" hidden="false" customHeight="false" outlineLevel="0" collapsed="false">
      <c r="A248" s="53" t="n">
        <v>38</v>
      </c>
      <c r="B248" s="39" t="s">
        <v>1102</v>
      </c>
      <c r="C248" s="14"/>
      <c r="D248" s="14"/>
      <c r="E248" s="42"/>
      <c r="F248" s="242"/>
    </row>
    <row r="249" customFormat="false" ht="17.35" hidden="false" customHeight="false" outlineLevel="0" collapsed="false">
      <c r="A249" s="53"/>
      <c r="B249" s="23" t="s">
        <v>21</v>
      </c>
      <c r="C249" s="24" t="n">
        <f aca="false">SUM(C211:C248)</f>
        <v>0</v>
      </c>
      <c r="D249" s="54" t="n">
        <f aca="false">SUM(D211:D248)</f>
        <v>0</v>
      </c>
      <c r="E249" s="26" t="n">
        <f aca="false">SUM(E211:E248)</f>
        <v>0</v>
      </c>
      <c r="F249" s="243"/>
    </row>
    <row r="254" customFormat="false" ht="17.35" hidden="false" customHeight="false" outlineLevel="0" collapsed="false">
      <c r="A254" s="3"/>
      <c r="B254" s="3" t="s">
        <v>0</v>
      </c>
    </row>
    <row r="256" customFormat="false" ht="17.25" hidden="false" customHeight="false" outlineLevel="0" collapsed="false">
      <c r="B256" s="55" t="s">
        <v>159</v>
      </c>
    </row>
    <row r="259" customFormat="false" ht="17.25" hidden="false" customHeight="false" outlineLevel="0" collapsed="false">
      <c r="B259" s="5" t="s">
        <v>160</v>
      </c>
      <c r="D259" s="6" t="s">
        <v>161</v>
      </c>
    </row>
    <row r="261" customFormat="false" ht="15" hidden="false" customHeight="false" outlineLevel="0" collapsed="false">
      <c r="A261" s="7" t="s">
        <v>3</v>
      </c>
      <c r="B261" s="8" t="s">
        <v>4</v>
      </c>
      <c r="C261" s="9" t="s">
        <v>5</v>
      </c>
      <c r="D261" s="10" t="s">
        <v>6</v>
      </c>
      <c r="E261" s="11" t="s">
        <v>7</v>
      </c>
      <c r="F261" s="210" t="s">
        <v>1092</v>
      </c>
    </row>
    <row r="262" customFormat="false" ht="15" hidden="false" customHeight="false" outlineLevel="0" collapsed="false">
      <c r="A262" s="1" t="n">
        <v>1</v>
      </c>
      <c r="B262" s="39" t="s">
        <v>162</v>
      </c>
      <c r="C262" s="14"/>
      <c r="D262" s="14"/>
      <c r="E262" s="42"/>
      <c r="F262" s="240"/>
    </row>
    <row r="263" customFormat="false" ht="15" hidden="false" customHeight="false" outlineLevel="0" collapsed="false">
      <c r="A263" s="35" t="n">
        <v>2</v>
      </c>
      <c r="B263" s="39" t="s">
        <v>164</v>
      </c>
      <c r="C263" s="14"/>
      <c r="D263" s="14"/>
      <c r="E263" s="42"/>
      <c r="F263" s="242"/>
    </row>
    <row r="264" customFormat="false" ht="15" hidden="false" customHeight="false" outlineLevel="0" collapsed="false">
      <c r="A264" s="35" t="n">
        <v>3</v>
      </c>
      <c r="B264" s="39" t="s">
        <v>163</v>
      </c>
      <c r="C264" s="14"/>
      <c r="D264" s="14"/>
      <c r="E264" s="42"/>
      <c r="F264" s="242"/>
    </row>
    <row r="265" customFormat="false" ht="15" hidden="false" customHeight="false" outlineLevel="0" collapsed="false">
      <c r="A265" s="35" t="n">
        <v>4</v>
      </c>
      <c r="B265" s="39" t="s">
        <v>172</v>
      </c>
      <c r="C265" s="14"/>
      <c r="D265" s="14"/>
      <c r="E265" s="42"/>
      <c r="F265" s="242"/>
    </row>
    <row r="266" customFormat="false" ht="17.35" hidden="false" customHeight="false" outlineLevel="0" collapsed="false">
      <c r="A266" s="22"/>
      <c r="B266" s="23" t="s">
        <v>21</v>
      </c>
      <c r="C266" s="24" t="n">
        <f aca="false">SUM(C262:C265)</f>
        <v>0</v>
      </c>
      <c r="D266" s="54" t="n">
        <f aca="false">SUM(D262:D265)</f>
        <v>0</v>
      </c>
      <c r="E266" s="26" t="n">
        <f aca="false">SUM(E262:E265)</f>
        <v>0</v>
      </c>
      <c r="F266" s="243"/>
    </row>
    <row r="271" customFormat="false" ht="17.35" hidden="false" customHeight="false" outlineLevel="0" collapsed="false">
      <c r="A271" s="3"/>
      <c r="B271" s="3" t="s">
        <v>0</v>
      </c>
    </row>
    <row r="273" customFormat="false" ht="17.25" hidden="false" customHeight="false" outlineLevel="0" collapsed="false">
      <c r="B273" s="55" t="s">
        <v>159</v>
      </c>
    </row>
    <row r="276" customFormat="false" ht="17.25" hidden="false" customHeight="false" outlineLevel="0" collapsed="false">
      <c r="B276" s="5" t="s">
        <v>160</v>
      </c>
      <c r="D276" s="6" t="s">
        <v>178</v>
      </c>
    </row>
    <row r="278" customFormat="false" ht="15" hidden="false" customHeight="false" outlineLevel="0" collapsed="false">
      <c r="A278" s="7" t="s">
        <v>3</v>
      </c>
      <c r="B278" s="8" t="s">
        <v>4</v>
      </c>
      <c r="C278" s="9" t="s">
        <v>5</v>
      </c>
      <c r="D278" s="10" t="s">
        <v>6</v>
      </c>
      <c r="E278" s="11" t="s">
        <v>7</v>
      </c>
      <c r="F278" s="210" t="s">
        <v>1092</v>
      </c>
    </row>
    <row r="279" customFormat="false" ht="15" hidden="false" customHeight="false" outlineLevel="0" collapsed="false">
      <c r="A279" s="35" t="n">
        <v>1</v>
      </c>
      <c r="B279" s="39" t="s">
        <v>182</v>
      </c>
      <c r="C279" s="14"/>
      <c r="D279" s="14"/>
      <c r="E279" s="42"/>
      <c r="F279" s="249"/>
    </row>
    <row r="280" customFormat="false" ht="17.35" hidden="false" customHeight="false" outlineLevel="0" collapsed="false">
      <c r="A280" s="22"/>
      <c r="B280" s="23" t="s">
        <v>21</v>
      </c>
      <c r="C280" s="24" t="n">
        <f aca="false">SUM(C279)</f>
        <v>0</v>
      </c>
      <c r="D280" s="54" t="n">
        <f aca="false">SUM(D279)</f>
        <v>0</v>
      </c>
      <c r="E280" s="26" t="n">
        <f aca="false">SUM(E279)</f>
        <v>0</v>
      </c>
      <c r="F280" s="243"/>
    </row>
    <row r="281" customFormat="false" ht="17.35" hidden="false" customHeight="false" outlineLevel="0" collapsed="false">
      <c r="B281" s="28"/>
      <c r="C281" s="29"/>
      <c r="D281" s="208"/>
      <c r="E281" s="31"/>
    </row>
    <row r="282" customFormat="false" ht="17.35" hidden="false" customHeight="false" outlineLevel="0" collapsed="false">
      <c r="B282" s="28"/>
      <c r="C282" s="29"/>
      <c r="D282" s="208"/>
      <c r="E282" s="31"/>
    </row>
    <row r="283" customFormat="false" ht="17.35" hidden="false" customHeight="false" outlineLevel="0" collapsed="false">
      <c r="B283" s="28"/>
      <c r="C283" s="29"/>
      <c r="D283" s="208"/>
      <c r="E283" s="31"/>
    </row>
    <row r="284" customFormat="false" ht="17.35" hidden="false" customHeight="false" outlineLevel="0" collapsed="false">
      <c r="A284" s="2"/>
      <c r="B284" s="3" t="s">
        <v>0</v>
      </c>
    </row>
    <row r="285" customFormat="false" ht="15" hidden="false" customHeight="false" outlineLevel="0" collapsed="false">
      <c r="A285" s="2"/>
    </row>
    <row r="286" customFormat="false" ht="15" hidden="false" customHeight="false" outlineLevel="0" collapsed="false">
      <c r="A286" s="2"/>
    </row>
    <row r="287" customFormat="false" ht="17.25" hidden="false" customHeight="false" outlineLevel="0" collapsed="false">
      <c r="A287" s="2"/>
      <c r="B287" s="5" t="s">
        <v>22</v>
      </c>
      <c r="D287" s="6" t="s">
        <v>191</v>
      </c>
    </row>
    <row r="288" customFormat="false" ht="15" hidden="false" customHeight="false" outlineLevel="0" collapsed="false">
      <c r="A288" s="2"/>
    </row>
    <row r="289" customFormat="false" ht="15" hidden="false" customHeight="false" outlineLevel="0" collapsed="false">
      <c r="A289" s="7" t="s">
        <v>3</v>
      </c>
      <c r="B289" s="8" t="s">
        <v>4</v>
      </c>
      <c r="C289" s="9" t="s">
        <v>5</v>
      </c>
      <c r="D289" s="10" t="s">
        <v>6</v>
      </c>
      <c r="E289" s="105" t="s">
        <v>7</v>
      </c>
      <c r="F289" s="210" t="s">
        <v>1092</v>
      </c>
    </row>
    <row r="290" customFormat="false" ht="15" hidden="false" customHeight="false" outlineLevel="0" collapsed="false">
      <c r="A290" s="35" t="n">
        <v>1</v>
      </c>
      <c r="B290" s="39" t="s">
        <v>194</v>
      </c>
      <c r="C290" s="14"/>
      <c r="D290" s="14"/>
      <c r="E290" s="96"/>
      <c r="F290" s="212"/>
    </row>
    <row r="291" customFormat="false" ht="15" hidden="false" customHeight="false" outlineLevel="0" collapsed="false">
      <c r="A291" s="35" t="n">
        <v>2</v>
      </c>
      <c r="B291" s="39" t="s">
        <v>195</v>
      </c>
      <c r="C291" s="14"/>
      <c r="D291" s="14"/>
      <c r="E291" s="96"/>
      <c r="F291" s="212"/>
    </row>
    <row r="292" customFormat="false" ht="15" hidden="false" customHeight="false" outlineLevel="0" collapsed="false">
      <c r="A292" s="35" t="n">
        <v>3</v>
      </c>
      <c r="B292" s="39" t="s">
        <v>197</v>
      </c>
      <c r="C292" s="14"/>
      <c r="D292" s="14"/>
      <c r="E292" s="96"/>
      <c r="F292" s="212"/>
    </row>
    <row r="293" customFormat="false" ht="15" hidden="false" customHeight="false" outlineLevel="0" collapsed="false">
      <c r="A293" s="35" t="n">
        <v>4</v>
      </c>
      <c r="B293" s="39" t="s">
        <v>198</v>
      </c>
      <c r="C293" s="14"/>
      <c r="D293" s="14"/>
      <c r="E293" s="96"/>
      <c r="F293" s="212"/>
    </row>
    <row r="294" customFormat="false" ht="15" hidden="false" customHeight="false" outlineLevel="0" collapsed="false">
      <c r="A294" s="35" t="n">
        <v>5</v>
      </c>
      <c r="B294" s="39" t="s">
        <v>199</v>
      </c>
      <c r="C294" s="14"/>
      <c r="D294" s="14"/>
      <c r="E294" s="96"/>
      <c r="F294" s="212"/>
    </row>
    <row r="295" customFormat="false" ht="15" hidden="false" customHeight="false" outlineLevel="0" collapsed="false">
      <c r="A295" s="35" t="n">
        <v>6</v>
      </c>
      <c r="B295" s="39" t="s">
        <v>201</v>
      </c>
      <c r="C295" s="14"/>
      <c r="D295" s="14"/>
      <c r="E295" s="96"/>
      <c r="F295" s="212"/>
    </row>
    <row r="296" customFormat="false" ht="15" hidden="false" customHeight="false" outlineLevel="0" collapsed="false">
      <c r="A296" s="35" t="n">
        <v>7</v>
      </c>
      <c r="B296" s="39" t="s">
        <v>203</v>
      </c>
      <c r="C296" s="14"/>
      <c r="D296" s="14"/>
      <c r="E296" s="96"/>
      <c r="F296" s="212"/>
    </row>
    <row r="297" customFormat="false" ht="15" hidden="false" customHeight="false" outlineLevel="0" collapsed="false">
      <c r="A297" s="35" t="n">
        <v>8</v>
      </c>
      <c r="B297" s="39" t="s">
        <v>204</v>
      </c>
      <c r="C297" s="14"/>
      <c r="D297" s="14"/>
      <c r="E297" s="96"/>
      <c r="F297" s="212"/>
    </row>
    <row r="298" customFormat="false" ht="15" hidden="false" customHeight="false" outlineLevel="0" collapsed="false">
      <c r="A298" s="35" t="n">
        <v>9</v>
      </c>
      <c r="B298" s="39" t="s">
        <v>205</v>
      </c>
      <c r="C298" s="14"/>
      <c r="D298" s="14"/>
      <c r="E298" s="96"/>
      <c r="F298" s="212"/>
    </row>
    <row r="299" customFormat="false" ht="15" hidden="false" customHeight="false" outlineLevel="0" collapsed="false">
      <c r="A299" s="35" t="n">
        <v>10</v>
      </c>
      <c r="B299" s="39" t="s">
        <v>206</v>
      </c>
      <c r="C299" s="14"/>
      <c r="D299" s="14"/>
      <c r="E299" s="96"/>
      <c r="F299" s="212"/>
    </row>
    <row r="300" customFormat="false" ht="15" hidden="false" customHeight="false" outlineLevel="0" collapsed="false">
      <c r="A300" s="35" t="n">
        <v>11</v>
      </c>
      <c r="B300" s="17" t="s">
        <v>207</v>
      </c>
      <c r="C300" s="14"/>
      <c r="D300" s="14"/>
      <c r="E300" s="96"/>
      <c r="F300" s="212"/>
    </row>
    <row r="301" customFormat="false" ht="15" hidden="false" customHeight="false" outlineLevel="0" collapsed="false">
      <c r="A301" s="35" t="n">
        <v>12</v>
      </c>
      <c r="B301" s="39" t="s">
        <v>208</v>
      </c>
      <c r="C301" s="14"/>
      <c r="D301" s="14"/>
      <c r="E301" s="96"/>
      <c r="F301" s="212"/>
    </row>
    <row r="302" customFormat="false" ht="15" hidden="false" customHeight="false" outlineLevel="0" collapsed="false">
      <c r="A302" s="35" t="n">
        <v>13</v>
      </c>
      <c r="B302" s="39" t="s">
        <v>209</v>
      </c>
      <c r="C302" s="14"/>
      <c r="D302" s="14"/>
      <c r="E302" s="96"/>
      <c r="F302" s="212"/>
    </row>
    <row r="303" customFormat="false" ht="15" hidden="false" customHeight="false" outlineLevel="0" collapsed="false">
      <c r="A303" s="35" t="n">
        <v>14</v>
      </c>
      <c r="B303" s="20" t="s">
        <v>210</v>
      </c>
      <c r="C303" s="14"/>
      <c r="D303" s="207"/>
      <c r="E303" s="96"/>
      <c r="F303" s="212"/>
    </row>
    <row r="304" customFormat="false" ht="15" hidden="false" customHeight="false" outlineLevel="0" collapsed="false">
      <c r="A304" s="50" t="n">
        <v>15</v>
      </c>
      <c r="B304" s="39" t="s">
        <v>211</v>
      </c>
      <c r="C304" s="37"/>
      <c r="D304" s="37"/>
      <c r="E304" s="69"/>
      <c r="F304" s="212"/>
    </row>
    <row r="305" customFormat="false" ht="15" hidden="false" customHeight="false" outlineLevel="0" collapsed="false">
      <c r="A305" s="50" t="n">
        <v>16</v>
      </c>
      <c r="B305" s="36" t="s">
        <v>212</v>
      </c>
      <c r="C305" s="14"/>
      <c r="D305" s="14"/>
      <c r="E305" s="96"/>
      <c r="F305" s="212"/>
    </row>
    <row r="306" customFormat="false" ht="17.35" hidden="false" customHeight="false" outlineLevel="0" collapsed="false">
      <c r="A306" s="35"/>
      <c r="B306" s="23" t="s">
        <v>21</v>
      </c>
      <c r="C306" s="24" t="n">
        <f aca="false">SUM(C290:C305)</f>
        <v>0</v>
      </c>
      <c r="D306" s="54" t="n">
        <f aca="false">SUM(D290:D305)</f>
        <v>0</v>
      </c>
      <c r="E306" s="111" t="n">
        <f aca="false">C306-D306</f>
        <v>0</v>
      </c>
      <c r="F306" s="214"/>
    </row>
    <row r="307" customFormat="false" ht="17.35" hidden="false" customHeight="false" outlineLevel="0" collapsed="false">
      <c r="B307" s="28"/>
      <c r="C307" s="29"/>
      <c r="D307" s="208"/>
      <c r="E307" s="31"/>
    </row>
    <row r="308" customFormat="false" ht="17.35" hidden="false" customHeight="false" outlineLevel="0" collapsed="false">
      <c r="A308" s="71"/>
      <c r="B308" s="28"/>
      <c r="C308" s="29"/>
      <c r="D308" s="29"/>
      <c r="E308" s="31"/>
    </row>
    <row r="309" customFormat="false" ht="17.35" hidden="false" customHeight="false" outlineLevel="0" collapsed="false">
      <c r="A309" s="2"/>
      <c r="B309" s="3" t="s">
        <v>0</v>
      </c>
    </row>
    <row r="310" customFormat="false" ht="15" hidden="false" customHeight="false" outlineLevel="0" collapsed="false">
      <c r="A310" s="2"/>
      <c r="B310" s="2"/>
      <c r="C310" s="2"/>
      <c r="D310" s="2"/>
      <c r="E310" s="2"/>
    </row>
    <row r="311" customFormat="false" ht="15" hidden="false" customHeight="false" outlineLevel="0" collapsed="false">
      <c r="A311" s="2"/>
    </row>
    <row r="312" customFormat="false" ht="17.25" hidden="false" customHeight="false" outlineLevel="0" collapsed="false">
      <c r="A312" s="2"/>
      <c r="B312" s="5" t="s">
        <v>22</v>
      </c>
      <c r="D312" s="6" t="s">
        <v>161</v>
      </c>
    </row>
    <row r="313" customFormat="false" ht="15" hidden="false" customHeight="false" outlineLevel="0" collapsed="false">
      <c r="A313" s="2"/>
    </row>
    <row r="314" customFormat="false" ht="15" hidden="false" customHeight="false" outlineLevel="0" collapsed="false">
      <c r="A314" s="7" t="s">
        <v>3</v>
      </c>
      <c r="B314" s="8" t="s">
        <v>4</v>
      </c>
      <c r="C314" s="9" t="s">
        <v>5</v>
      </c>
      <c r="D314" s="10" t="s">
        <v>6</v>
      </c>
      <c r="E314" s="105" t="s">
        <v>7</v>
      </c>
      <c r="F314" s="210" t="s">
        <v>1092</v>
      </c>
    </row>
    <row r="315" customFormat="false" ht="15" hidden="false" customHeight="false" outlineLevel="0" collapsed="false">
      <c r="A315" s="12" t="n">
        <v>1</v>
      </c>
      <c r="B315" s="17" t="s">
        <v>213</v>
      </c>
      <c r="C315" s="14"/>
      <c r="D315" s="14"/>
      <c r="E315" s="96"/>
      <c r="F315" s="212"/>
    </row>
    <row r="316" customFormat="false" ht="15" hidden="false" customHeight="false" outlineLevel="0" collapsed="false">
      <c r="A316" s="35" t="n">
        <v>2</v>
      </c>
      <c r="B316" s="39" t="s">
        <v>214</v>
      </c>
      <c r="C316" s="14"/>
      <c r="D316" s="14"/>
      <c r="E316" s="96"/>
      <c r="F316" s="212"/>
    </row>
    <row r="317" customFormat="false" ht="15" hidden="false" customHeight="false" outlineLevel="0" collapsed="false">
      <c r="A317" s="12" t="n">
        <v>3</v>
      </c>
      <c r="B317" s="39" t="s">
        <v>215</v>
      </c>
      <c r="C317" s="14"/>
      <c r="D317" s="14"/>
      <c r="E317" s="96"/>
      <c r="F317" s="212"/>
    </row>
    <row r="318" customFormat="false" ht="15" hidden="false" customHeight="false" outlineLevel="0" collapsed="false">
      <c r="A318" s="1" t="n">
        <v>4</v>
      </c>
      <c r="B318" s="39" t="s">
        <v>216</v>
      </c>
      <c r="C318" s="14"/>
      <c r="D318" s="14"/>
      <c r="E318" s="96"/>
      <c r="F318" s="212"/>
    </row>
    <row r="319" customFormat="false" ht="15" hidden="false" customHeight="false" outlineLevel="0" collapsed="false">
      <c r="A319" s="35" t="n">
        <v>5</v>
      </c>
      <c r="B319" s="39" t="s">
        <v>220</v>
      </c>
      <c r="C319" s="14"/>
      <c r="D319" s="14"/>
      <c r="E319" s="96"/>
      <c r="F319" s="212"/>
    </row>
    <row r="320" customFormat="false" ht="15" hidden="false" customHeight="false" outlineLevel="0" collapsed="false">
      <c r="A320" s="35" t="n">
        <v>6</v>
      </c>
      <c r="B320" s="39" t="s">
        <v>222</v>
      </c>
      <c r="C320" s="14"/>
      <c r="D320" s="14"/>
      <c r="E320" s="96"/>
      <c r="F320" s="212"/>
    </row>
    <row r="321" customFormat="false" ht="15" hidden="false" customHeight="false" outlineLevel="0" collapsed="false">
      <c r="A321" s="35" t="n">
        <v>7</v>
      </c>
      <c r="B321" s="39" t="s">
        <v>224</v>
      </c>
      <c r="C321" s="14"/>
      <c r="D321" s="14"/>
      <c r="E321" s="96"/>
      <c r="F321" s="212"/>
    </row>
    <row r="322" customFormat="false" ht="15" hidden="false" customHeight="false" outlineLevel="0" collapsed="false">
      <c r="A322" s="35" t="n">
        <v>8</v>
      </c>
      <c r="B322" s="39" t="s">
        <v>225</v>
      </c>
      <c r="C322" s="14"/>
      <c r="D322" s="14"/>
      <c r="E322" s="96"/>
      <c r="F322" s="212"/>
    </row>
    <row r="323" customFormat="false" ht="15" hidden="false" customHeight="false" outlineLevel="0" collapsed="false">
      <c r="A323" s="35" t="n">
        <v>9</v>
      </c>
      <c r="B323" s="39" t="s">
        <v>231</v>
      </c>
      <c r="C323" s="14"/>
      <c r="D323" s="14"/>
      <c r="E323" s="96"/>
      <c r="F323" s="212"/>
    </row>
    <row r="324" customFormat="false" ht="15" hidden="false" customHeight="false" outlineLevel="0" collapsed="false">
      <c r="A324" s="35" t="n">
        <v>10</v>
      </c>
      <c r="B324" s="39" t="s">
        <v>237</v>
      </c>
      <c r="C324" s="14"/>
      <c r="D324" s="14"/>
      <c r="E324" s="96"/>
      <c r="F324" s="212"/>
    </row>
    <row r="325" customFormat="false" ht="15" hidden="false" customHeight="false" outlineLevel="0" collapsed="false">
      <c r="A325" s="35" t="n">
        <v>11</v>
      </c>
      <c r="B325" s="39" t="s">
        <v>238</v>
      </c>
      <c r="C325" s="14"/>
      <c r="D325" s="14"/>
      <c r="E325" s="96"/>
      <c r="F325" s="212"/>
    </row>
    <row r="326" customFormat="false" ht="15" hidden="false" customHeight="false" outlineLevel="0" collapsed="false">
      <c r="A326" s="35" t="n">
        <v>12</v>
      </c>
      <c r="B326" s="39" t="s">
        <v>239</v>
      </c>
      <c r="C326" s="14"/>
      <c r="D326" s="14"/>
      <c r="E326" s="96"/>
      <c r="F326" s="212"/>
    </row>
    <row r="327" customFormat="false" ht="15" hidden="false" customHeight="false" outlineLevel="0" collapsed="false">
      <c r="A327" s="35" t="n">
        <v>13</v>
      </c>
      <c r="B327" s="39" t="s">
        <v>242</v>
      </c>
      <c r="C327" s="14"/>
      <c r="D327" s="14"/>
      <c r="E327" s="96"/>
      <c r="F327" s="212"/>
    </row>
    <row r="328" customFormat="false" ht="15" hidden="false" customHeight="false" outlineLevel="0" collapsed="false">
      <c r="A328" s="35" t="n">
        <v>14</v>
      </c>
      <c r="B328" s="39" t="s">
        <v>243</v>
      </c>
      <c r="C328" s="14"/>
      <c r="D328" s="14"/>
      <c r="E328" s="96"/>
      <c r="F328" s="212"/>
    </row>
    <row r="329" customFormat="false" ht="15" hidden="false" customHeight="false" outlineLevel="0" collapsed="false">
      <c r="A329" s="35" t="n">
        <v>15</v>
      </c>
      <c r="B329" s="39" t="s">
        <v>244</v>
      </c>
      <c r="C329" s="14"/>
      <c r="D329" s="14"/>
      <c r="E329" s="96"/>
      <c r="F329" s="212"/>
    </row>
    <row r="330" customFormat="false" ht="15" hidden="false" customHeight="false" outlineLevel="0" collapsed="false">
      <c r="A330" s="35" t="n">
        <v>16</v>
      </c>
      <c r="B330" s="39" t="s">
        <v>245</v>
      </c>
      <c r="C330" s="14"/>
      <c r="D330" s="14"/>
      <c r="E330" s="96"/>
      <c r="F330" s="212"/>
    </row>
    <row r="331" customFormat="false" ht="15" hidden="false" customHeight="false" outlineLevel="0" collapsed="false">
      <c r="A331" s="35" t="n">
        <v>17</v>
      </c>
      <c r="B331" s="39" t="s">
        <v>246</v>
      </c>
      <c r="C331" s="14"/>
      <c r="D331" s="14"/>
      <c r="E331" s="96"/>
      <c r="F331" s="212"/>
    </row>
    <row r="332" customFormat="false" ht="15" hidden="false" customHeight="false" outlineLevel="0" collapsed="false">
      <c r="A332" s="12" t="n">
        <v>18</v>
      </c>
      <c r="B332" s="39" t="s">
        <v>252</v>
      </c>
      <c r="C332" s="14"/>
      <c r="D332" s="14"/>
      <c r="E332" s="96"/>
      <c r="F332" s="212"/>
    </row>
    <row r="333" customFormat="false" ht="15" hidden="false" customHeight="false" outlineLevel="0" collapsed="false">
      <c r="A333" s="12" t="n">
        <v>19</v>
      </c>
      <c r="B333" s="39" t="s">
        <v>253</v>
      </c>
      <c r="C333" s="14"/>
      <c r="D333" s="14"/>
      <c r="E333" s="96"/>
      <c r="F333" s="212"/>
    </row>
    <row r="334" customFormat="false" ht="15" hidden="false" customHeight="false" outlineLevel="0" collapsed="false">
      <c r="A334" s="12" t="n">
        <v>20</v>
      </c>
      <c r="B334" s="39" t="s">
        <v>254</v>
      </c>
      <c r="C334" s="14"/>
      <c r="D334" s="14"/>
      <c r="E334" s="96"/>
      <c r="F334" s="212"/>
    </row>
    <row r="335" customFormat="false" ht="15" hidden="false" customHeight="false" outlineLevel="0" collapsed="false">
      <c r="A335" s="12" t="n">
        <v>21</v>
      </c>
      <c r="B335" s="39" t="s">
        <v>255</v>
      </c>
      <c r="C335" s="14"/>
      <c r="D335" s="14"/>
      <c r="E335" s="96"/>
      <c r="F335" s="212"/>
    </row>
    <row r="336" customFormat="false" ht="15" hidden="false" customHeight="false" outlineLevel="0" collapsed="false">
      <c r="A336" s="12" t="n">
        <v>22</v>
      </c>
      <c r="B336" s="39" t="s">
        <v>256</v>
      </c>
      <c r="C336" s="14"/>
      <c r="D336" s="14"/>
      <c r="E336" s="96"/>
      <c r="F336" s="212"/>
    </row>
    <row r="337" customFormat="false" ht="17.35" hidden="false" customHeight="false" outlineLevel="0" collapsed="false">
      <c r="A337" s="35"/>
      <c r="B337" s="23" t="s">
        <v>21</v>
      </c>
      <c r="C337" s="24" t="n">
        <f aca="false">SUM(C315:C336)</f>
        <v>0</v>
      </c>
      <c r="D337" s="54" t="n">
        <f aca="false">SUM(D315:D336)</f>
        <v>0</v>
      </c>
      <c r="E337" s="111" t="n">
        <f aca="false">C337-D337</f>
        <v>0</v>
      </c>
      <c r="F337" s="214"/>
    </row>
    <row r="338" customFormat="false" ht="15" hidden="false" customHeight="false" outlineLevel="0" collapsed="false">
      <c r="A338" s="2"/>
    </row>
    <row r="339" customFormat="false" ht="15" hidden="false" customHeight="false" outlineLevel="0" collapsed="false">
      <c r="A339" s="2"/>
    </row>
    <row r="340" customFormat="false" ht="15" hidden="false" customHeight="false" outlineLevel="0" collapsed="false">
      <c r="A340" s="2"/>
    </row>
    <row r="341" customFormat="false" ht="15" hidden="false" customHeight="false" outlineLevel="0" collapsed="false">
      <c r="A341" s="2"/>
    </row>
    <row r="342" customFormat="false" ht="15" hidden="false" customHeight="false" outlineLevel="0" collapsed="false">
      <c r="A342" s="2"/>
    </row>
    <row r="343" customFormat="false" ht="17.25" hidden="false" customHeight="false" outlineLevel="0" collapsed="false">
      <c r="A343" s="2"/>
      <c r="B343" s="5" t="s">
        <v>22</v>
      </c>
      <c r="D343" s="6" t="s">
        <v>178</v>
      </c>
    </row>
    <row r="344" customFormat="false" ht="15" hidden="false" customHeight="false" outlineLevel="0" collapsed="false">
      <c r="A344" s="2"/>
    </row>
    <row r="345" customFormat="false" ht="15" hidden="false" customHeight="false" outlineLevel="0" collapsed="false">
      <c r="A345" s="7" t="s">
        <v>3</v>
      </c>
      <c r="B345" s="8" t="s">
        <v>4</v>
      </c>
      <c r="C345" s="9" t="s">
        <v>5</v>
      </c>
      <c r="D345" s="10" t="s">
        <v>6</v>
      </c>
      <c r="E345" s="105" t="s">
        <v>7</v>
      </c>
      <c r="F345" s="210" t="s">
        <v>1092</v>
      </c>
    </row>
    <row r="346" customFormat="false" ht="15" hidden="false" customHeight="false" outlineLevel="0" collapsed="false">
      <c r="A346" s="77" t="n">
        <v>1</v>
      </c>
      <c r="B346" s="39" t="s">
        <v>263</v>
      </c>
      <c r="C346" s="14"/>
      <c r="D346" s="14"/>
      <c r="E346" s="96"/>
      <c r="F346" s="212"/>
    </row>
    <row r="347" customFormat="false" ht="15" hidden="false" customHeight="false" outlineLevel="0" collapsed="false">
      <c r="A347" s="77" t="n">
        <v>2</v>
      </c>
      <c r="B347" s="39" t="s">
        <v>276</v>
      </c>
      <c r="C347" s="14"/>
      <c r="D347" s="14"/>
      <c r="E347" s="96"/>
      <c r="F347" s="212"/>
    </row>
    <row r="348" customFormat="false" ht="17.35" hidden="false" customHeight="false" outlineLevel="0" collapsed="false">
      <c r="A348" s="22"/>
      <c r="B348" s="79" t="s">
        <v>21</v>
      </c>
      <c r="C348" s="24" t="n">
        <f aca="false">SUM(C346:C347)</f>
        <v>0</v>
      </c>
      <c r="D348" s="54" t="n">
        <f aca="false">SUM(D346:D347)</f>
        <v>0</v>
      </c>
      <c r="E348" s="111" t="n">
        <f aca="false">SUM(E346:E347)</f>
        <v>0</v>
      </c>
      <c r="F348" s="214"/>
    </row>
    <row r="349" customFormat="false" ht="17.35" hidden="false" customHeight="false" outlineLevel="0" collapsed="false">
      <c r="A349" s="50"/>
      <c r="B349" s="28"/>
      <c r="C349" s="29"/>
      <c r="D349" s="208"/>
      <c r="E349" s="31"/>
    </row>
    <row r="350" customFormat="false" ht="17.35" hidden="false" customHeight="false" outlineLevel="0" collapsed="false">
      <c r="B350" s="28"/>
      <c r="C350" s="29"/>
      <c r="D350" s="208"/>
      <c r="E350" s="31"/>
    </row>
    <row r="351" customFormat="false" ht="17.35" hidden="false" customHeight="false" outlineLevel="0" collapsed="false">
      <c r="B351" s="28"/>
      <c r="C351" s="29"/>
      <c r="D351" s="208"/>
      <c r="E351" s="31"/>
    </row>
    <row r="352" customFormat="false" ht="17.35" hidden="false" customHeight="false" outlineLevel="0" collapsed="false">
      <c r="B352" s="3" t="s">
        <v>0</v>
      </c>
      <c r="C352" s="3"/>
    </row>
    <row r="354" customFormat="false" ht="15" hidden="false" customHeight="false" outlineLevel="0" collapsed="false">
      <c r="A354" s="2"/>
    </row>
    <row r="355" customFormat="false" ht="17.25" hidden="false" customHeight="false" outlineLevel="0" collapsed="false">
      <c r="A355" s="2"/>
      <c r="B355" s="5" t="s">
        <v>37</v>
      </c>
      <c r="D355" s="6" t="s">
        <v>191</v>
      </c>
    </row>
    <row r="356" customFormat="false" ht="15" hidden="false" customHeight="false" outlineLevel="0" collapsed="false">
      <c r="A356" s="2"/>
    </row>
    <row r="357" customFormat="false" ht="15" hidden="false" customHeight="false" outlineLevel="0" collapsed="false">
      <c r="A357" s="7" t="s">
        <v>3</v>
      </c>
      <c r="B357" s="8" t="s">
        <v>4</v>
      </c>
      <c r="C357" s="9" t="s">
        <v>5</v>
      </c>
      <c r="D357" s="10" t="s">
        <v>6</v>
      </c>
      <c r="E357" s="105" t="s">
        <v>7</v>
      </c>
      <c r="F357" s="210" t="s">
        <v>1092</v>
      </c>
    </row>
    <row r="358" customFormat="false" ht="15" hidden="false" customHeight="false" outlineLevel="0" collapsed="false">
      <c r="A358" s="12" t="n">
        <v>1</v>
      </c>
      <c r="B358" s="20" t="s">
        <v>278</v>
      </c>
      <c r="C358" s="14"/>
      <c r="D358" s="207"/>
      <c r="E358" s="96"/>
      <c r="F358" s="212"/>
    </row>
    <row r="359" customFormat="false" ht="15" hidden="false" customHeight="false" outlineLevel="0" collapsed="false">
      <c r="A359" s="12" t="n">
        <v>2</v>
      </c>
      <c r="B359" s="20" t="s">
        <v>279</v>
      </c>
      <c r="C359" s="14"/>
      <c r="D359" s="207"/>
      <c r="E359" s="96"/>
      <c r="F359" s="212"/>
    </row>
    <row r="360" customFormat="false" ht="15" hidden="false" customHeight="false" outlineLevel="0" collapsed="false">
      <c r="A360" s="35" t="n">
        <v>3</v>
      </c>
      <c r="B360" s="20" t="s">
        <v>280</v>
      </c>
      <c r="C360" s="14"/>
      <c r="D360" s="207"/>
      <c r="E360" s="96"/>
      <c r="F360" s="212"/>
    </row>
    <row r="361" customFormat="false" ht="15" hidden="false" customHeight="false" outlineLevel="0" collapsed="false">
      <c r="A361" s="35" t="n">
        <v>4</v>
      </c>
      <c r="B361" s="20" t="s">
        <v>289</v>
      </c>
      <c r="C361" s="14"/>
      <c r="D361" s="207"/>
      <c r="E361" s="96"/>
      <c r="F361" s="212"/>
    </row>
    <row r="362" customFormat="false" ht="15" hidden="false" customHeight="false" outlineLevel="0" collapsed="false">
      <c r="A362" s="35" t="n">
        <v>5</v>
      </c>
      <c r="B362" s="20" t="s">
        <v>290</v>
      </c>
      <c r="C362" s="14"/>
      <c r="D362" s="207"/>
      <c r="E362" s="96"/>
      <c r="F362" s="212"/>
    </row>
    <row r="363" customFormat="false" ht="15" hidden="false" customHeight="false" outlineLevel="0" collapsed="false">
      <c r="A363" s="35" t="n">
        <v>6</v>
      </c>
      <c r="B363" s="20" t="s">
        <v>292</v>
      </c>
      <c r="C363" s="14"/>
      <c r="D363" s="207"/>
      <c r="E363" s="96"/>
      <c r="F363" s="212"/>
    </row>
    <row r="364" customFormat="false" ht="15" hidden="false" customHeight="false" outlineLevel="0" collapsed="false">
      <c r="A364" s="35" t="n">
        <v>7</v>
      </c>
      <c r="B364" s="20" t="s">
        <v>293</v>
      </c>
      <c r="C364" s="37"/>
      <c r="D364" s="21"/>
      <c r="E364" s="69"/>
      <c r="F364" s="212"/>
    </row>
    <row r="365" customFormat="false" ht="15" hidden="false" customHeight="false" outlineLevel="0" collapsed="false">
      <c r="A365" s="35" t="n">
        <v>8</v>
      </c>
      <c r="B365" s="20" t="s">
        <v>296</v>
      </c>
      <c r="C365" s="14"/>
      <c r="D365" s="207"/>
      <c r="E365" s="96"/>
      <c r="F365" s="212"/>
    </row>
    <row r="366" customFormat="false" ht="15" hidden="false" customHeight="false" outlineLevel="0" collapsed="false">
      <c r="A366" s="35" t="n">
        <v>9</v>
      </c>
      <c r="B366" s="20" t="s">
        <v>297</v>
      </c>
      <c r="C366" s="14"/>
      <c r="D366" s="207"/>
      <c r="E366" s="96"/>
      <c r="F366" s="212"/>
    </row>
    <row r="367" customFormat="false" ht="15" hidden="false" customHeight="false" outlineLevel="0" collapsed="false">
      <c r="A367" s="35" t="n">
        <v>10</v>
      </c>
      <c r="B367" s="20" t="s">
        <v>299</v>
      </c>
      <c r="C367" s="14"/>
      <c r="D367" s="207"/>
      <c r="E367" s="96"/>
      <c r="F367" s="212"/>
    </row>
    <row r="368" customFormat="false" ht="15" hidden="false" customHeight="false" outlineLevel="0" collapsed="false">
      <c r="A368" s="35" t="n">
        <v>11</v>
      </c>
      <c r="B368" s="20" t="s">
        <v>300</v>
      </c>
      <c r="C368" s="14"/>
      <c r="D368" s="207"/>
      <c r="E368" s="96"/>
      <c r="F368" s="212"/>
    </row>
    <row r="369" customFormat="false" ht="15" hidden="false" customHeight="false" outlineLevel="0" collapsed="false">
      <c r="A369" s="35" t="n">
        <v>12</v>
      </c>
      <c r="B369" s="20" t="s">
        <v>305</v>
      </c>
      <c r="C369" s="14"/>
      <c r="D369" s="207"/>
      <c r="E369" s="96"/>
      <c r="F369" s="212"/>
    </row>
    <row r="370" customFormat="false" ht="15" hidden="false" customHeight="false" outlineLevel="0" collapsed="false">
      <c r="A370" s="35" t="n">
        <v>13</v>
      </c>
      <c r="B370" s="20" t="s">
        <v>308</v>
      </c>
      <c r="C370" s="14"/>
      <c r="D370" s="207"/>
      <c r="E370" s="96"/>
      <c r="F370" s="212"/>
    </row>
    <row r="371" customFormat="false" ht="15" hidden="false" customHeight="false" outlineLevel="0" collapsed="false">
      <c r="A371" s="35" t="n">
        <v>14</v>
      </c>
      <c r="B371" s="20" t="s">
        <v>312</v>
      </c>
      <c r="C371" s="14"/>
      <c r="D371" s="207"/>
      <c r="E371" s="96"/>
      <c r="F371" s="212"/>
    </row>
    <row r="372" customFormat="false" ht="15" hidden="false" customHeight="false" outlineLevel="0" collapsed="false">
      <c r="A372" s="35" t="n">
        <v>15</v>
      </c>
      <c r="B372" s="20" t="s">
        <v>288</v>
      </c>
      <c r="C372" s="14"/>
      <c r="D372" s="207"/>
      <c r="E372" s="96"/>
      <c r="F372" s="212"/>
    </row>
    <row r="373" customFormat="false" ht="15" hidden="false" customHeight="false" outlineLevel="0" collapsed="false">
      <c r="A373" s="35" t="n">
        <v>16</v>
      </c>
      <c r="B373" s="20" t="s">
        <v>313</v>
      </c>
      <c r="C373" s="14"/>
      <c r="D373" s="207"/>
      <c r="E373" s="96"/>
      <c r="F373" s="212"/>
    </row>
    <row r="374" customFormat="false" ht="15" hidden="false" customHeight="false" outlineLevel="0" collapsed="false">
      <c r="A374" s="35" t="n">
        <v>17</v>
      </c>
      <c r="B374" s="20" t="s">
        <v>283</v>
      </c>
      <c r="C374" s="14"/>
      <c r="D374" s="207"/>
      <c r="E374" s="96"/>
      <c r="F374" s="212"/>
    </row>
    <row r="375" customFormat="false" ht="15" hidden="false" customHeight="false" outlineLevel="0" collapsed="false">
      <c r="A375" s="35" t="n">
        <v>18</v>
      </c>
      <c r="B375" s="20" t="s">
        <v>285</v>
      </c>
      <c r="C375" s="14"/>
      <c r="D375" s="207"/>
      <c r="E375" s="96"/>
      <c r="F375" s="212"/>
    </row>
    <row r="376" customFormat="false" ht="15" hidden="false" customHeight="false" outlineLevel="0" collapsed="false">
      <c r="A376" s="35" t="n">
        <v>19</v>
      </c>
      <c r="B376" s="20" t="s">
        <v>295</v>
      </c>
      <c r="C376" s="14"/>
      <c r="D376" s="207"/>
      <c r="E376" s="96"/>
      <c r="F376" s="212"/>
    </row>
    <row r="377" customFormat="false" ht="15" hidden="false" customHeight="false" outlineLevel="0" collapsed="false">
      <c r="A377" s="35" t="n">
        <v>20</v>
      </c>
      <c r="B377" s="20" t="s">
        <v>277</v>
      </c>
      <c r="C377" s="14"/>
      <c r="D377" s="207"/>
      <c r="E377" s="96"/>
      <c r="F377" s="212"/>
    </row>
    <row r="378" customFormat="false" ht="15" hidden="false" customHeight="false" outlineLevel="0" collapsed="false">
      <c r="A378" s="35" t="n">
        <v>21</v>
      </c>
      <c r="B378" s="20" t="s">
        <v>286</v>
      </c>
      <c r="C378" s="14"/>
      <c r="D378" s="207"/>
      <c r="E378" s="96"/>
      <c r="F378" s="212"/>
    </row>
    <row r="379" customFormat="false" ht="15" hidden="false" customHeight="false" outlineLevel="0" collapsed="false">
      <c r="A379" s="35" t="n">
        <v>22</v>
      </c>
      <c r="B379" s="20" t="s">
        <v>316</v>
      </c>
      <c r="C379" s="14"/>
      <c r="D379" s="207"/>
      <c r="E379" s="96"/>
      <c r="F379" s="212"/>
    </row>
    <row r="380" customFormat="false" ht="17.35" hidden="false" customHeight="false" outlineLevel="0" collapsed="false">
      <c r="A380" s="35"/>
      <c r="B380" s="23" t="s">
        <v>21</v>
      </c>
      <c r="C380" s="24" t="n">
        <f aca="false">SUM(C358:C379)</f>
        <v>0</v>
      </c>
      <c r="D380" s="54" t="n">
        <f aca="false">SUM(D358:D379)</f>
        <v>0</v>
      </c>
      <c r="E380" s="111" t="n">
        <f aca="false">SUM(E358:E379)</f>
        <v>0</v>
      </c>
      <c r="F380" s="214"/>
    </row>
    <row r="381" customFormat="false" ht="17.35" hidden="false" customHeight="false" outlineLevel="0" collapsed="false">
      <c r="B381" s="28"/>
      <c r="C381" s="29"/>
      <c r="D381" s="208"/>
      <c r="E381" s="31"/>
    </row>
    <row r="382" customFormat="false" ht="17.35" hidden="false" customHeight="false" outlineLevel="0" collapsed="false">
      <c r="B382" s="28"/>
      <c r="C382" s="29"/>
      <c r="D382" s="208"/>
      <c r="E382" s="31"/>
    </row>
    <row r="383" customFormat="false" ht="19.7" hidden="false" customHeight="false" outlineLevel="0" collapsed="false">
      <c r="A383" s="71"/>
      <c r="B383" s="81"/>
      <c r="C383" s="82"/>
      <c r="D383" s="250"/>
      <c r="E383" s="251"/>
    </row>
    <row r="384" customFormat="false" ht="17.35" hidden="false" customHeight="false" outlineLevel="0" collapsed="false">
      <c r="B384" s="3" t="s">
        <v>0</v>
      </c>
      <c r="C384" s="3"/>
    </row>
    <row r="386" customFormat="false" ht="15" hidden="false" customHeight="false" outlineLevel="0" collapsed="false">
      <c r="A386" s="2"/>
    </row>
    <row r="387" customFormat="false" ht="17.25" hidden="false" customHeight="false" outlineLevel="0" collapsed="false">
      <c r="A387" s="2"/>
      <c r="B387" s="5" t="s">
        <v>37</v>
      </c>
      <c r="D387" s="6" t="s">
        <v>161</v>
      </c>
    </row>
    <row r="388" customFormat="false" ht="15" hidden="false" customHeight="false" outlineLevel="0" collapsed="false">
      <c r="A388" s="2"/>
    </row>
    <row r="389" customFormat="false" ht="15" hidden="false" customHeight="false" outlineLevel="0" collapsed="false">
      <c r="A389" s="7" t="s">
        <v>3</v>
      </c>
      <c r="B389" s="8" t="s">
        <v>4</v>
      </c>
      <c r="C389" s="9" t="s">
        <v>5</v>
      </c>
      <c r="D389" s="10" t="s">
        <v>6</v>
      </c>
      <c r="E389" s="105" t="s">
        <v>7</v>
      </c>
      <c r="F389" s="210" t="s">
        <v>1092</v>
      </c>
    </row>
    <row r="390" customFormat="false" ht="15" hidden="false" customHeight="false" outlineLevel="0" collapsed="false">
      <c r="A390" s="35" t="n">
        <v>1</v>
      </c>
      <c r="B390" s="20" t="s">
        <v>334</v>
      </c>
      <c r="C390" s="14"/>
      <c r="D390" s="207"/>
      <c r="E390" s="96"/>
      <c r="F390" s="212"/>
    </row>
    <row r="391" customFormat="false" ht="15" hidden="false" customHeight="false" outlineLevel="0" collapsed="false">
      <c r="A391" s="35" t="n">
        <v>2</v>
      </c>
      <c r="B391" s="20" t="s">
        <v>331</v>
      </c>
      <c r="C391" s="14"/>
      <c r="D391" s="207"/>
      <c r="E391" s="96"/>
      <c r="F391" s="212"/>
    </row>
    <row r="392" customFormat="false" ht="15" hidden="false" customHeight="false" outlineLevel="0" collapsed="false">
      <c r="A392" s="35" t="n">
        <v>3</v>
      </c>
      <c r="B392" s="20" t="s">
        <v>333</v>
      </c>
      <c r="C392" s="14"/>
      <c r="D392" s="207"/>
      <c r="E392" s="96"/>
      <c r="F392" s="212"/>
    </row>
    <row r="393" customFormat="false" ht="15" hidden="false" customHeight="false" outlineLevel="0" collapsed="false">
      <c r="A393" s="35" t="n">
        <v>4</v>
      </c>
      <c r="B393" s="20" t="s">
        <v>330</v>
      </c>
      <c r="C393" s="14"/>
      <c r="D393" s="207"/>
      <c r="E393" s="96"/>
      <c r="F393" s="212"/>
    </row>
    <row r="394" customFormat="false" ht="15" hidden="false" customHeight="false" outlineLevel="0" collapsed="false">
      <c r="A394" s="35" t="n">
        <v>6</v>
      </c>
      <c r="B394" s="20" t="s">
        <v>341</v>
      </c>
      <c r="C394" s="37"/>
      <c r="D394" s="21"/>
      <c r="E394" s="69"/>
      <c r="F394" s="212"/>
    </row>
    <row r="395" customFormat="false" ht="17.35" hidden="false" customHeight="false" outlineLevel="0" collapsed="false">
      <c r="A395" s="35"/>
      <c r="B395" s="23" t="s">
        <v>21</v>
      </c>
      <c r="C395" s="24" t="n">
        <f aca="false">SUM(C390:C394)</f>
        <v>0</v>
      </c>
      <c r="D395" s="54" t="n">
        <f aca="false">SUM(D390:D394)</f>
        <v>0</v>
      </c>
      <c r="E395" s="111" t="n">
        <f aca="false">SUM(E390:E394)</f>
        <v>0</v>
      </c>
      <c r="F395" s="214"/>
    </row>
    <row r="396" customFormat="false" ht="19.7" hidden="false" customHeight="false" outlineLevel="0" collapsed="false">
      <c r="A396" s="71"/>
      <c r="B396" s="81"/>
      <c r="C396" s="82"/>
      <c r="D396" s="250"/>
      <c r="E396" s="251"/>
    </row>
    <row r="399" customFormat="false" ht="17.35" hidden="false" customHeight="false" outlineLevel="0" collapsed="false">
      <c r="B399" s="3" t="s">
        <v>0</v>
      </c>
      <c r="C399" s="3"/>
    </row>
    <row r="401" customFormat="false" ht="15" hidden="false" customHeight="false" outlineLevel="0" collapsed="false">
      <c r="A401" s="2"/>
    </row>
    <row r="402" customFormat="false" ht="17.25" hidden="false" customHeight="false" outlineLevel="0" collapsed="false">
      <c r="A402" s="2"/>
      <c r="B402" s="5" t="s">
        <v>37</v>
      </c>
      <c r="D402" s="6" t="s">
        <v>178</v>
      </c>
    </row>
    <row r="403" customFormat="false" ht="15" hidden="false" customHeight="false" outlineLevel="0" collapsed="false">
      <c r="A403" s="2"/>
    </row>
    <row r="404" customFormat="false" ht="15" hidden="false" customHeight="false" outlineLevel="0" collapsed="false">
      <c r="A404" s="7" t="s">
        <v>3</v>
      </c>
      <c r="B404" s="8" t="s">
        <v>4</v>
      </c>
      <c r="C404" s="9" t="s">
        <v>5</v>
      </c>
      <c r="D404" s="10" t="s">
        <v>6</v>
      </c>
      <c r="E404" s="105" t="s">
        <v>7</v>
      </c>
      <c r="F404" s="210" t="s">
        <v>1092</v>
      </c>
    </row>
    <row r="405" customFormat="false" ht="15" hidden="false" customHeight="false" outlineLevel="0" collapsed="false">
      <c r="A405" s="12" t="n">
        <v>1</v>
      </c>
      <c r="B405" s="20" t="s">
        <v>342</v>
      </c>
      <c r="C405" s="14"/>
      <c r="D405" s="207"/>
      <c r="E405" s="96"/>
      <c r="F405" s="252"/>
    </row>
    <row r="406" customFormat="false" ht="15" hidden="false" customHeight="false" outlineLevel="0" collapsed="false">
      <c r="A406" s="12" t="n">
        <v>2</v>
      </c>
      <c r="B406" s="20" t="s">
        <v>343</v>
      </c>
      <c r="C406" s="14"/>
      <c r="D406" s="207"/>
      <c r="E406" s="96"/>
      <c r="F406" s="252"/>
    </row>
    <row r="407" customFormat="false" ht="15" hidden="false" customHeight="false" outlineLevel="0" collapsed="false">
      <c r="A407" s="35" t="n">
        <v>3</v>
      </c>
      <c r="B407" s="20" t="s">
        <v>344</v>
      </c>
      <c r="C407" s="14"/>
      <c r="D407" s="207"/>
      <c r="E407" s="96"/>
      <c r="F407" s="252"/>
    </row>
    <row r="408" customFormat="false" ht="15" hidden="false" customHeight="false" outlineLevel="0" collapsed="false">
      <c r="A408" s="35" t="n">
        <v>4</v>
      </c>
      <c r="B408" s="20" t="s">
        <v>346</v>
      </c>
      <c r="C408" s="14"/>
      <c r="D408" s="207"/>
      <c r="E408" s="96"/>
      <c r="F408" s="252"/>
    </row>
    <row r="409" customFormat="false" ht="15" hidden="false" customHeight="false" outlineLevel="0" collapsed="false">
      <c r="A409" s="35" t="n">
        <v>5</v>
      </c>
      <c r="B409" s="20" t="s">
        <v>347</v>
      </c>
      <c r="C409" s="14"/>
      <c r="D409" s="207"/>
      <c r="E409" s="96"/>
      <c r="F409" s="252"/>
    </row>
    <row r="410" customFormat="false" ht="15" hidden="false" customHeight="false" outlineLevel="0" collapsed="false">
      <c r="A410" s="35" t="n">
        <v>6</v>
      </c>
      <c r="B410" s="20" t="s">
        <v>351</v>
      </c>
      <c r="C410" s="14"/>
      <c r="D410" s="21"/>
      <c r="E410" s="96"/>
      <c r="F410" s="252"/>
    </row>
    <row r="411" customFormat="false" ht="15" hidden="false" customHeight="false" outlineLevel="0" collapsed="false">
      <c r="A411" s="35" t="n">
        <v>7</v>
      </c>
      <c r="B411" s="20" t="s">
        <v>352</v>
      </c>
      <c r="C411" s="14"/>
      <c r="D411" s="207"/>
      <c r="E411" s="96"/>
      <c r="F411" s="252"/>
    </row>
    <row r="412" customFormat="false" ht="15" hidden="false" customHeight="false" outlineLevel="0" collapsed="false">
      <c r="A412" s="35" t="n">
        <v>8</v>
      </c>
      <c r="B412" s="20" t="s">
        <v>353</v>
      </c>
      <c r="C412" s="14"/>
      <c r="D412" s="207"/>
      <c r="E412" s="96"/>
      <c r="F412" s="252"/>
    </row>
    <row r="413" customFormat="false" ht="15" hidden="false" customHeight="false" outlineLevel="0" collapsed="false">
      <c r="A413" s="35" t="n">
        <v>9</v>
      </c>
      <c r="B413" s="20" t="s">
        <v>356</v>
      </c>
      <c r="C413" s="14"/>
      <c r="D413" s="207"/>
      <c r="E413" s="96"/>
      <c r="F413" s="252"/>
    </row>
    <row r="414" customFormat="false" ht="15" hidden="false" customHeight="false" outlineLevel="0" collapsed="false">
      <c r="A414" s="35" t="n">
        <v>10</v>
      </c>
      <c r="B414" s="20" t="s">
        <v>357</v>
      </c>
      <c r="C414" s="14"/>
      <c r="D414" s="207"/>
      <c r="E414" s="96"/>
      <c r="F414" s="252"/>
    </row>
    <row r="415" customFormat="false" ht="15" hidden="false" customHeight="false" outlineLevel="0" collapsed="false">
      <c r="A415" s="35" t="n">
        <v>11</v>
      </c>
      <c r="B415" s="20" t="s">
        <v>358</v>
      </c>
      <c r="C415" s="37"/>
      <c r="D415" s="21"/>
      <c r="E415" s="69"/>
      <c r="F415" s="252"/>
    </row>
    <row r="416" customFormat="false" ht="15" hidden="false" customHeight="false" outlineLevel="0" collapsed="false">
      <c r="A416" s="35" t="n">
        <v>12</v>
      </c>
      <c r="B416" s="20" t="s">
        <v>360</v>
      </c>
      <c r="C416" s="37"/>
      <c r="D416" s="21"/>
      <c r="E416" s="69"/>
      <c r="F416" s="252"/>
    </row>
    <row r="417" customFormat="false" ht="15" hidden="false" customHeight="false" outlineLevel="0" collapsed="false">
      <c r="A417" s="35" t="n">
        <v>13</v>
      </c>
      <c r="B417" s="20" t="s">
        <v>361</v>
      </c>
      <c r="C417" s="37"/>
      <c r="D417" s="21"/>
      <c r="E417" s="69"/>
      <c r="F417" s="252"/>
    </row>
    <row r="418" customFormat="false" ht="15" hidden="false" customHeight="false" outlineLevel="0" collapsed="false">
      <c r="A418" s="35" t="n">
        <v>14</v>
      </c>
      <c r="B418" s="20" t="s">
        <v>362</v>
      </c>
      <c r="C418" s="14"/>
      <c r="D418" s="207"/>
      <c r="E418" s="96"/>
      <c r="F418" s="252"/>
    </row>
    <row r="419" customFormat="false" ht="17.35" hidden="false" customHeight="false" outlineLevel="0" collapsed="false">
      <c r="A419" s="35"/>
      <c r="B419" s="23" t="s">
        <v>21</v>
      </c>
      <c r="C419" s="24" t="n">
        <f aca="false">SUM(C405:C418)</f>
        <v>0</v>
      </c>
      <c r="D419" s="54" t="n">
        <f aca="false">SUM(D405:D418)</f>
        <v>0</v>
      </c>
      <c r="E419" s="111" t="n">
        <f aca="false">SUM(E405:E418)</f>
        <v>0</v>
      </c>
      <c r="F419" s="253"/>
    </row>
    <row r="420" customFormat="false" ht="17.35" hidden="false" customHeight="false" outlineLevel="0" collapsed="false">
      <c r="B420" s="28"/>
      <c r="C420" s="29"/>
      <c r="D420" s="208"/>
      <c r="E420" s="31"/>
    </row>
    <row r="421" customFormat="false" ht="17.35" hidden="false" customHeight="false" outlineLevel="0" collapsed="false">
      <c r="B421" s="28"/>
      <c r="C421" s="29"/>
      <c r="D421" s="208"/>
      <c r="E421" s="31"/>
    </row>
    <row r="422" customFormat="false" ht="17.35" hidden="false" customHeight="false" outlineLevel="0" collapsed="false">
      <c r="B422" s="28"/>
      <c r="C422" s="29"/>
      <c r="D422" s="208"/>
      <c r="E422" s="31"/>
    </row>
    <row r="423" customFormat="false" ht="17.35" hidden="false" customHeight="false" outlineLevel="0" collapsed="false">
      <c r="A423" s="2"/>
      <c r="B423" s="3" t="s">
        <v>0</v>
      </c>
    </row>
    <row r="424" customFormat="false" ht="17.35" hidden="false" customHeight="false" outlineLevel="0" collapsed="false">
      <c r="A424" s="4"/>
    </row>
    <row r="425" customFormat="false" ht="15" hidden="false" customHeight="false" outlineLevel="0" collapsed="false">
      <c r="A425" s="2"/>
    </row>
    <row r="426" customFormat="false" ht="17.25" hidden="false" customHeight="false" outlineLevel="0" collapsed="false">
      <c r="A426" s="2"/>
      <c r="B426" s="5" t="s">
        <v>75</v>
      </c>
    </row>
    <row r="427" customFormat="false" ht="15" hidden="false" customHeight="false" outlineLevel="0" collapsed="false">
      <c r="A427" s="2"/>
      <c r="D427" s="6" t="s">
        <v>191</v>
      </c>
    </row>
    <row r="428" customFormat="false" ht="15" hidden="false" customHeight="false" outlineLevel="0" collapsed="false">
      <c r="A428" s="2"/>
    </row>
    <row r="429" customFormat="false" ht="15" hidden="false" customHeight="false" outlineLevel="0" collapsed="false">
      <c r="A429" s="7" t="s">
        <v>3</v>
      </c>
      <c r="B429" s="8" t="s">
        <v>4</v>
      </c>
      <c r="C429" s="9" t="s">
        <v>5</v>
      </c>
      <c r="D429" s="10" t="s">
        <v>6</v>
      </c>
      <c r="E429" s="105" t="s">
        <v>7</v>
      </c>
      <c r="F429" s="211" t="s">
        <v>1092</v>
      </c>
    </row>
    <row r="430" customFormat="false" ht="15" hidden="false" customHeight="false" outlineLevel="0" collapsed="false">
      <c r="A430" s="12" t="n">
        <v>1</v>
      </c>
      <c r="B430" s="43" t="s">
        <v>368</v>
      </c>
      <c r="C430" s="14"/>
      <c r="D430" s="14"/>
      <c r="E430" s="96"/>
      <c r="F430" s="212"/>
    </row>
    <row r="431" customFormat="false" ht="15" hidden="false" customHeight="false" outlineLevel="0" collapsed="false">
      <c r="A431" s="12" t="n">
        <v>2</v>
      </c>
      <c r="B431" s="43" t="s">
        <v>369</v>
      </c>
      <c r="C431" s="14"/>
      <c r="D431" s="14"/>
      <c r="E431" s="96"/>
      <c r="F431" s="212"/>
    </row>
    <row r="432" customFormat="false" ht="15" hidden="false" customHeight="false" outlineLevel="0" collapsed="false">
      <c r="A432" s="53" t="n">
        <v>3</v>
      </c>
      <c r="B432" s="39" t="s">
        <v>374</v>
      </c>
      <c r="C432" s="14"/>
      <c r="D432" s="14"/>
      <c r="E432" s="96"/>
      <c r="F432" s="212"/>
    </row>
    <row r="433" customFormat="false" ht="15" hidden="false" customHeight="false" outlineLevel="0" collapsed="false">
      <c r="A433" s="35" t="n">
        <v>4</v>
      </c>
      <c r="B433" s="39" t="s">
        <v>375</v>
      </c>
      <c r="C433" s="14"/>
      <c r="D433" s="14"/>
      <c r="E433" s="96"/>
      <c r="F433" s="212"/>
    </row>
    <row r="434" customFormat="false" ht="15" hidden="false" customHeight="false" outlineLevel="0" collapsed="false">
      <c r="A434" s="53" t="n">
        <v>5</v>
      </c>
      <c r="B434" s="20" t="s">
        <v>388</v>
      </c>
      <c r="C434" s="14"/>
      <c r="D434" s="14"/>
      <c r="E434" s="96"/>
      <c r="F434" s="212"/>
    </row>
    <row r="435" customFormat="false" ht="17.35" hidden="false" customHeight="false" outlineLevel="0" collapsed="false">
      <c r="A435" s="22"/>
      <c r="B435" s="23" t="s">
        <v>21</v>
      </c>
      <c r="C435" s="24" t="n">
        <f aca="false">SUM(C430:C434)</f>
        <v>0</v>
      </c>
      <c r="D435" s="54" t="n">
        <f aca="false">SUM(D430:D434)</f>
        <v>0</v>
      </c>
      <c r="E435" s="111" t="n">
        <f aca="false">SUM(E430:E434)</f>
        <v>0</v>
      </c>
      <c r="F435" s="214"/>
    </row>
    <row r="436" customFormat="false" ht="17.35" hidden="false" customHeight="false" outlineLevel="0" collapsed="false">
      <c r="B436" s="28"/>
      <c r="C436" s="29"/>
      <c r="D436" s="208"/>
      <c r="E436" s="31"/>
    </row>
    <row r="437" customFormat="false" ht="17.35" hidden="false" customHeight="false" outlineLevel="0" collapsed="false">
      <c r="B437" s="85"/>
      <c r="C437" s="82"/>
      <c r="D437" s="250"/>
      <c r="E437" s="251"/>
    </row>
    <row r="438" customFormat="false" ht="17.35" hidden="false" customHeight="false" outlineLevel="0" collapsed="false">
      <c r="A438" s="2"/>
      <c r="B438" s="3" t="s">
        <v>0</v>
      </c>
    </row>
    <row r="439" customFormat="false" ht="17.35" hidden="false" customHeight="false" outlineLevel="0" collapsed="false">
      <c r="A439" s="4"/>
    </row>
    <row r="440" customFormat="false" ht="15" hidden="false" customHeight="false" outlineLevel="0" collapsed="false">
      <c r="A440" s="2"/>
    </row>
    <row r="441" customFormat="false" ht="17.25" hidden="false" customHeight="false" outlineLevel="0" collapsed="false">
      <c r="A441" s="2"/>
      <c r="B441" s="5" t="s">
        <v>75</v>
      </c>
    </row>
    <row r="442" customFormat="false" ht="15" hidden="false" customHeight="false" outlineLevel="0" collapsed="false">
      <c r="A442" s="2"/>
      <c r="D442" s="6" t="s">
        <v>161</v>
      </c>
    </row>
    <row r="443" customFormat="false" ht="15" hidden="false" customHeight="false" outlineLevel="0" collapsed="false">
      <c r="A443" s="2"/>
    </row>
    <row r="444" customFormat="false" ht="15" hidden="false" customHeight="false" outlineLevel="0" collapsed="false">
      <c r="A444" s="7" t="s">
        <v>3</v>
      </c>
      <c r="B444" s="8" t="s">
        <v>4</v>
      </c>
      <c r="C444" s="9" t="s">
        <v>5</v>
      </c>
      <c r="D444" s="10" t="s">
        <v>6</v>
      </c>
      <c r="E444" s="105" t="s">
        <v>7</v>
      </c>
      <c r="F444" s="254" t="s">
        <v>1092</v>
      </c>
    </row>
    <row r="445" customFormat="false" ht="15" hidden="false" customHeight="false" outlineLevel="0" collapsed="false">
      <c r="A445" s="1" t="n">
        <v>1</v>
      </c>
      <c r="B445" s="20" t="s">
        <v>391</v>
      </c>
      <c r="C445" s="37"/>
      <c r="D445" s="37"/>
      <c r="E445" s="69"/>
      <c r="F445" s="212"/>
    </row>
    <row r="446" customFormat="false" ht="15" hidden="false" customHeight="false" outlineLevel="0" collapsed="false">
      <c r="A446" s="35" t="n">
        <v>2</v>
      </c>
      <c r="B446" s="39" t="s">
        <v>392</v>
      </c>
      <c r="C446" s="14"/>
      <c r="D446" s="14"/>
      <c r="E446" s="96"/>
      <c r="F446" s="212"/>
    </row>
    <row r="447" customFormat="false" ht="15" hidden="false" customHeight="false" outlineLevel="0" collapsed="false">
      <c r="A447" s="35" t="n">
        <v>3</v>
      </c>
      <c r="B447" s="20" t="s">
        <v>394</v>
      </c>
      <c r="C447" s="37"/>
      <c r="D447" s="37"/>
      <c r="E447" s="69"/>
      <c r="F447" s="212"/>
    </row>
    <row r="448" customFormat="false" ht="15" hidden="false" customHeight="false" outlineLevel="0" collapsed="false">
      <c r="A448" s="12" t="n">
        <v>4</v>
      </c>
      <c r="B448" s="43" t="s">
        <v>395</v>
      </c>
      <c r="C448" s="14"/>
      <c r="D448" s="14"/>
      <c r="E448" s="96"/>
      <c r="F448" s="212"/>
    </row>
    <row r="449" customFormat="false" ht="15" hidden="false" customHeight="false" outlineLevel="0" collapsed="false">
      <c r="A449" s="35" t="n">
        <v>5</v>
      </c>
      <c r="B449" s="39" t="s">
        <v>399</v>
      </c>
      <c r="C449" s="14"/>
      <c r="D449" s="14"/>
      <c r="E449" s="96"/>
      <c r="F449" s="212"/>
    </row>
    <row r="450" customFormat="false" ht="15" hidden="false" customHeight="false" outlineLevel="0" collapsed="false">
      <c r="A450" s="35" t="n">
        <v>6</v>
      </c>
      <c r="B450" s="39" t="s">
        <v>404</v>
      </c>
      <c r="C450" s="14"/>
      <c r="D450" s="14"/>
      <c r="E450" s="96"/>
      <c r="F450" s="212"/>
    </row>
    <row r="451" customFormat="false" ht="15" hidden="false" customHeight="false" outlineLevel="0" collapsed="false">
      <c r="A451" s="35" t="n">
        <v>7</v>
      </c>
      <c r="B451" s="43" t="s">
        <v>405</v>
      </c>
      <c r="C451" s="14"/>
      <c r="D451" s="14"/>
      <c r="E451" s="96"/>
      <c r="F451" s="212"/>
    </row>
    <row r="452" customFormat="false" ht="15" hidden="false" customHeight="false" outlineLevel="0" collapsed="false">
      <c r="A452" s="35" t="n">
        <v>8</v>
      </c>
      <c r="B452" s="20" t="s">
        <v>407</v>
      </c>
      <c r="C452" s="37"/>
      <c r="D452" s="37"/>
      <c r="E452" s="69"/>
      <c r="F452" s="212"/>
    </row>
    <row r="453" customFormat="false" ht="15" hidden="false" customHeight="false" outlineLevel="0" collapsed="false">
      <c r="A453" s="35" t="n">
        <v>9</v>
      </c>
      <c r="B453" s="20" t="s">
        <v>408</v>
      </c>
      <c r="C453" s="37"/>
      <c r="D453" s="37"/>
      <c r="E453" s="69"/>
      <c r="F453" s="212"/>
    </row>
    <row r="454" customFormat="false" ht="15" hidden="false" customHeight="false" outlineLevel="0" collapsed="false">
      <c r="A454" s="35" t="n">
        <v>10</v>
      </c>
      <c r="B454" s="43" t="s">
        <v>410</v>
      </c>
      <c r="C454" s="14"/>
      <c r="D454" s="14"/>
      <c r="E454" s="96"/>
      <c r="F454" s="212"/>
    </row>
    <row r="455" customFormat="false" ht="17.35" hidden="false" customHeight="false" outlineLevel="0" collapsed="false">
      <c r="A455" s="22"/>
      <c r="B455" s="23" t="s">
        <v>21</v>
      </c>
      <c r="C455" s="24" t="n">
        <f aca="false">SUM(C445:C454)</f>
        <v>0</v>
      </c>
      <c r="D455" s="54" t="n">
        <f aca="false">SUM(D445:D454)</f>
        <v>0</v>
      </c>
      <c r="E455" s="111" t="n">
        <f aca="false">SUM(E445:E454)</f>
        <v>0</v>
      </c>
      <c r="F455" s="214"/>
    </row>
    <row r="456" customFormat="false" ht="17.35" hidden="false" customHeight="false" outlineLevel="0" collapsed="false">
      <c r="B456" s="85"/>
      <c r="C456" s="82"/>
      <c r="D456" s="250"/>
      <c r="E456" s="251"/>
    </row>
    <row r="459" customFormat="false" ht="17.35" hidden="false" customHeight="false" outlineLevel="0" collapsed="false">
      <c r="A459" s="2"/>
      <c r="B459" s="3" t="s">
        <v>0</v>
      </c>
    </row>
    <row r="460" customFormat="false" ht="17.35" hidden="false" customHeight="false" outlineLevel="0" collapsed="false">
      <c r="A460" s="4"/>
    </row>
    <row r="461" customFormat="false" ht="15" hidden="false" customHeight="false" outlineLevel="0" collapsed="false">
      <c r="A461" s="2"/>
    </row>
    <row r="462" customFormat="false" ht="17.25" hidden="false" customHeight="false" outlineLevel="0" collapsed="false">
      <c r="A462" s="2"/>
      <c r="B462" s="5" t="s">
        <v>75</v>
      </c>
    </row>
    <row r="463" customFormat="false" ht="15" hidden="false" customHeight="false" outlineLevel="0" collapsed="false">
      <c r="A463" s="2"/>
      <c r="D463" s="6" t="s">
        <v>178</v>
      </c>
    </row>
    <row r="464" customFormat="false" ht="15" hidden="false" customHeight="false" outlineLevel="0" collapsed="false">
      <c r="A464" s="2"/>
    </row>
    <row r="465" customFormat="false" ht="15" hidden="false" customHeight="false" outlineLevel="0" collapsed="false">
      <c r="A465" s="7" t="s">
        <v>3</v>
      </c>
      <c r="B465" s="8" t="s">
        <v>4</v>
      </c>
      <c r="C465" s="9" t="s">
        <v>5</v>
      </c>
      <c r="D465" s="10" t="s">
        <v>6</v>
      </c>
      <c r="E465" s="105" t="s">
        <v>7</v>
      </c>
      <c r="F465" s="254" t="s">
        <v>1092</v>
      </c>
    </row>
    <row r="466" customFormat="false" ht="15" hidden="false" customHeight="false" outlineLevel="0" collapsed="false">
      <c r="A466" s="53" t="n">
        <v>1</v>
      </c>
      <c r="B466" s="39" t="s">
        <v>418</v>
      </c>
      <c r="C466" s="14"/>
      <c r="D466" s="14"/>
      <c r="E466" s="96"/>
      <c r="F466" s="212"/>
    </row>
    <row r="467" customFormat="false" ht="15" hidden="false" customHeight="false" outlineLevel="0" collapsed="false">
      <c r="A467" s="53" t="n">
        <v>2</v>
      </c>
      <c r="B467" s="39" t="s">
        <v>420</v>
      </c>
      <c r="C467" s="14"/>
      <c r="D467" s="14"/>
      <c r="E467" s="96"/>
      <c r="F467" s="212"/>
    </row>
    <row r="468" customFormat="false" ht="15" hidden="false" customHeight="false" outlineLevel="0" collapsed="false">
      <c r="A468" s="53" t="n">
        <v>3</v>
      </c>
      <c r="B468" s="39" t="s">
        <v>421</v>
      </c>
      <c r="C468" s="14"/>
      <c r="D468" s="14"/>
      <c r="E468" s="96"/>
      <c r="F468" s="212"/>
    </row>
    <row r="469" customFormat="false" ht="15" hidden="false" customHeight="false" outlineLevel="0" collapsed="false">
      <c r="A469" s="35" t="n">
        <v>4</v>
      </c>
      <c r="B469" s="39" t="s">
        <v>422</v>
      </c>
      <c r="C469" s="14"/>
      <c r="D469" s="14"/>
      <c r="E469" s="96"/>
      <c r="F469" s="212"/>
    </row>
    <row r="470" customFormat="false" ht="17.35" hidden="false" customHeight="false" outlineLevel="0" collapsed="false">
      <c r="A470" s="22"/>
      <c r="B470" s="23" t="s">
        <v>21</v>
      </c>
      <c r="C470" s="24" t="n">
        <f aca="false">SUM(C466:C469)</f>
        <v>0</v>
      </c>
      <c r="D470" s="54" t="n">
        <f aca="false">SUM(D466:D469)</f>
        <v>0</v>
      </c>
      <c r="E470" s="111" t="n">
        <f aca="false">SUM(E466:E469)</f>
        <v>0</v>
      </c>
      <c r="F470" s="214"/>
    </row>
    <row r="471" customFormat="false" ht="17.35" hidden="false" customHeight="false" outlineLevel="0" collapsed="false">
      <c r="B471" s="28"/>
      <c r="C471" s="29"/>
      <c r="D471" s="208"/>
      <c r="E471" s="31"/>
    </row>
    <row r="472" customFormat="false" ht="17.35" hidden="false" customHeight="false" outlineLevel="0" collapsed="false">
      <c r="B472" s="28"/>
      <c r="C472" s="29"/>
      <c r="D472" s="208"/>
      <c r="E472" s="31"/>
    </row>
    <row r="473" customFormat="false" ht="17.35" hidden="false" customHeight="false" outlineLevel="0" collapsed="false">
      <c r="B473" s="28"/>
      <c r="C473" s="29"/>
      <c r="D473" s="208"/>
      <c r="E473" s="31"/>
    </row>
    <row r="474" customFormat="false" ht="17.35" hidden="false" customHeight="false" outlineLevel="0" collapsed="false">
      <c r="B474" s="3" t="s">
        <v>0</v>
      </c>
    </row>
    <row r="475" customFormat="false" ht="15" hidden="false" customHeight="false" outlineLevel="0" collapsed="false">
      <c r="A475" s="2"/>
    </row>
    <row r="476" customFormat="false" ht="15" hidden="false" customHeight="false" outlineLevel="0" collapsed="false">
      <c r="A476" s="2"/>
    </row>
    <row r="477" customFormat="false" ht="17.25" hidden="false" customHeight="false" outlineLevel="0" collapsed="false">
      <c r="A477" s="2"/>
      <c r="B477" s="5" t="s">
        <v>91</v>
      </c>
    </row>
    <row r="478" customFormat="false" ht="15" hidden="false" customHeight="false" outlineLevel="0" collapsed="false">
      <c r="A478" s="2"/>
      <c r="E478" s="6" t="s">
        <v>191</v>
      </c>
    </row>
    <row r="479" customFormat="false" ht="15" hidden="false" customHeight="false" outlineLevel="0" collapsed="false">
      <c r="A479" s="2"/>
    </row>
    <row r="480" customFormat="false" ht="15" hidden="false" customHeight="false" outlineLevel="0" collapsed="false">
      <c r="A480" s="7" t="s">
        <v>3</v>
      </c>
      <c r="B480" s="8" t="s">
        <v>4</v>
      </c>
      <c r="C480" s="9" t="s">
        <v>5</v>
      </c>
      <c r="D480" s="10"/>
      <c r="E480" s="105" t="s">
        <v>7</v>
      </c>
      <c r="F480" s="254" t="s">
        <v>1092</v>
      </c>
    </row>
    <row r="481" customFormat="false" ht="15" hidden="false" customHeight="false" outlineLevel="0" collapsed="false">
      <c r="A481" s="35" t="n">
        <v>1</v>
      </c>
      <c r="B481" s="36" t="s">
        <v>426</v>
      </c>
      <c r="C481" s="14"/>
      <c r="D481" s="14"/>
      <c r="E481" s="96"/>
      <c r="F481" s="212"/>
    </row>
    <row r="482" customFormat="false" ht="15" hidden="false" customHeight="false" outlineLevel="0" collapsed="false">
      <c r="A482" s="35" t="n">
        <v>2</v>
      </c>
      <c r="B482" s="39" t="s">
        <v>427</v>
      </c>
      <c r="C482" s="14"/>
      <c r="D482" s="14"/>
      <c r="E482" s="96"/>
      <c r="F482" s="212"/>
    </row>
    <row r="483" customFormat="false" ht="15" hidden="false" customHeight="false" outlineLevel="0" collapsed="false">
      <c r="A483" s="50" t="n">
        <v>3</v>
      </c>
      <c r="B483" s="39" t="s">
        <v>428</v>
      </c>
      <c r="C483" s="14"/>
      <c r="D483" s="14"/>
      <c r="E483" s="96"/>
      <c r="F483" s="212"/>
    </row>
    <row r="484" customFormat="false" ht="15" hidden="false" customHeight="false" outlineLevel="0" collapsed="false">
      <c r="A484" s="35" t="n">
        <v>4</v>
      </c>
      <c r="B484" s="39" t="s">
        <v>429</v>
      </c>
      <c r="C484" s="14"/>
      <c r="D484" s="14"/>
      <c r="E484" s="96"/>
      <c r="F484" s="212"/>
    </row>
    <row r="485" customFormat="false" ht="15" hidden="false" customHeight="false" outlineLevel="0" collapsed="false">
      <c r="A485" s="35" t="n">
        <v>5</v>
      </c>
      <c r="B485" s="39" t="s">
        <v>430</v>
      </c>
      <c r="C485" s="14"/>
      <c r="D485" s="14"/>
      <c r="E485" s="96"/>
      <c r="F485" s="212"/>
    </row>
    <row r="486" customFormat="false" ht="15" hidden="false" customHeight="false" outlineLevel="0" collapsed="false">
      <c r="A486" s="35" t="n">
        <v>6</v>
      </c>
      <c r="B486" s="39" t="s">
        <v>431</v>
      </c>
      <c r="C486" s="14"/>
      <c r="D486" s="14"/>
      <c r="E486" s="96"/>
      <c r="F486" s="212"/>
    </row>
    <row r="487" customFormat="false" ht="15" hidden="false" customHeight="false" outlineLevel="0" collapsed="false">
      <c r="A487" s="35" t="n">
        <v>7</v>
      </c>
      <c r="B487" s="39" t="s">
        <v>432</v>
      </c>
      <c r="C487" s="14"/>
      <c r="D487" s="14"/>
      <c r="E487" s="96"/>
      <c r="F487" s="212"/>
    </row>
    <row r="488" customFormat="false" ht="15" hidden="false" customHeight="false" outlineLevel="0" collapsed="false">
      <c r="A488" s="35" t="n">
        <v>8</v>
      </c>
      <c r="B488" s="39" t="s">
        <v>433</v>
      </c>
      <c r="C488" s="14"/>
      <c r="D488" s="14"/>
      <c r="E488" s="96"/>
      <c r="F488" s="212"/>
    </row>
    <row r="489" customFormat="false" ht="15" hidden="false" customHeight="false" outlineLevel="0" collapsed="false">
      <c r="A489" s="35" t="n">
        <v>9</v>
      </c>
      <c r="B489" s="75" t="s">
        <v>434</v>
      </c>
      <c r="C489" s="14"/>
      <c r="D489" s="92"/>
      <c r="E489" s="96"/>
      <c r="F489" s="212"/>
    </row>
    <row r="490" customFormat="false" ht="15" hidden="false" customHeight="false" outlineLevel="0" collapsed="false">
      <c r="A490" s="35" t="n">
        <v>10</v>
      </c>
      <c r="B490" s="39" t="s">
        <v>435</v>
      </c>
      <c r="C490" s="14"/>
      <c r="D490" s="14"/>
      <c r="E490" s="96"/>
      <c r="F490" s="212"/>
    </row>
    <row r="491" customFormat="false" ht="15" hidden="false" customHeight="false" outlineLevel="0" collapsed="false">
      <c r="A491" s="35" t="n">
        <v>11</v>
      </c>
      <c r="B491" s="75" t="s">
        <v>436</v>
      </c>
      <c r="C491" s="14"/>
      <c r="D491" s="92"/>
      <c r="E491" s="96"/>
      <c r="F491" s="212"/>
    </row>
    <row r="492" customFormat="false" ht="15" hidden="false" customHeight="false" outlineLevel="0" collapsed="false">
      <c r="A492" s="35" t="n">
        <v>12</v>
      </c>
      <c r="B492" s="75" t="s">
        <v>439</v>
      </c>
      <c r="C492" s="14"/>
      <c r="D492" s="92"/>
      <c r="E492" s="96"/>
      <c r="F492" s="212"/>
    </row>
    <row r="493" customFormat="false" ht="15" hidden="false" customHeight="false" outlineLevel="0" collapsed="false">
      <c r="A493" s="35" t="n">
        <v>13</v>
      </c>
      <c r="B493" s="75" t="s">
        <v>440</v>
      </c>
      <c r="C493" s="14"/>
      <c r="D493" s="92"/>
      <c r="E493" s="96"/>
      <c r="F493" s="212"/>
    </row>
    <row r="494" customFormat="false" ht="15" hidden="false" customHeight="false" outlineLevel="0" collapsed="false">
      <c r="A494" s="35" t="n">
        <v>14</v>
      </c>
      <c r="B494" s="39" t="s">
        <v>441</v>
      </c>
      <c r="C494" s="14"/>
      <c r="D494" s="92"/>
      <c r="E494" s="96"/>
      <c r="F494" s="212"/>
    </row>
    <row r="495" customFormat="false" ht="15" hidden="false" customHeight="false" outlineLevel="0" collapsed="false">
      <c r="A495" s="35" t="n">
        <v>15</v>
      </c>
      <c r="B495" s="39" t="s">
        <v>442</v>
      </c>
      <c r="C495" s="14"/>
      <c r="D495" s="14"/>
      <c r="E495" s="96"/>
      <c r="F495" s="212"/>
    </row>
    <row r="496" customFormat="false" ht="15" hidden="false" customHeight="false" outlineLevel="0" collapsed="false">
      <c r="A496" s="35" t="n">
        <v>16</v>
      </c>
      <c r="B496" s="75" t="s">
        <v>443</v>
      </c>
      <c r="C496" s="14"/>
      <c r="D496" s="92"/>
      <c r="E496" s="96"/>
      <c r="F496" s="212"/>
    </row>
    <row r="497" customFormat="false" ht="15" hidden="false" customHeight="false" outlineLevel="0" collapsed="false">
      <c r="A497" s="35" t="n">
        <v>17</v>
      </c>
      <c r="B497" s="91" t="s">
        <v>444</v>
      </c>
      <c r="C497" s="14"/>
      <c r="D497" s="92"/>
      <c r="E497" s="96"/>
      <c r="F497" s="212"/>
    </row>
    <row r="498" customFormat="false" ht="17.35" hidden="false" customHeight="false" outlineLevel="0" collapsed="false">
      <c r="A498" s="35"/>
      <c r="B498" s="23" t="s">
        <v>21</v>
      </c>
      <c r="C498" s="24" t="n">
        <f aca="false">SUM(C481:C497)</f>
        <v>0</v>
      </c>
      <c r="D498" s="54" t="n">
        <f aca="false">SUM(D481:D497)</f>
        <v>0</v>
      </c>
      <c r="E498" s="111" t="n">
        <f aca="false">SUM(E481:E497)</f>
        <v>0</v>
      </c>
      <c r="F498" s="214"/>
    </row>
    <row r="499" customFormat="false" ht="17.35" hidden="false" customHeight="false" outlineLevel="0" collapsed="false">
      <c r="B499" s="28"/>
      <c r="C499" s="29"/>
      <c r="D499" s="208"/>
      <c r="E499" s="31"/>
    </row>
    <row r="500" customFormat="false" ht="17.35" hidden="false" customHeight="false" outlineLevel="0" collapsed="false">
      <c r="B500" s="28"/>
      <c r="C500" s="29"/>
      <c r="D500" s="208"/>
      <c r="E500" s="31"/>
    </row>
    <row r="501" customFormat="false" ht="17.35" hidden="false" customHeight="false" outlineLevel="0" collapsed="false">
      <c r="B501" s="28"/>
      <c r="C501" s="29"/>
      <c r="D501" s="208"/>
      <c r="E501" s="31"/>
    </row>
    <row r="502" customFormat="false" ht="17.35" hidden="false" customHeight="false" outlineLevel="0" collapsed="false">
      <c r="B502" s="3" t="s">
        <v>0</v>
      </c>
    </row>
    <row r="503" customFormat="false" ht="15" hidden="false" customHeight="false" outlineLevel="0" collapsed="false">
      <c r="A503" s="2"/>
    </row>
    <row r="504" customFormat="false" ht="15" hidden="false" customHeight="false" outlineLevel="0" collapsed="false">
      <c r="A504" s="2"/>
    </row>
    <row r="505" customFormat="false" ht="17.25" hidden="false" customHeight="false" outlineLevel="0" collapsed="false">
      <c r="A505" s="2"/>
      <c r="B505" s="5" t="s">
        <v>91</v>
      </c>
    </row>
    <row r="506" customFormat="false" ht="15" hidden="false" customHeight="false" outlineLevel="0" collapsed="false">
      <c r="A506" s="2"/>
      <c r="E506" s="6" t="s">
        <v>161</v>
      </c>
    </row>
    <row r="507" customFormat="false" ht="15" hidden="false" customHeight="false" outlineLevel="0" collapsed="false">
      <c r="A507" s="2"/>
    </row>
    <row r="508" customFormat="false" ht="15" hidden="false" customHeight="false" outlineLevel="0" collapsed="false">
      <c r="A508" s="7" t="s">
        <v>3</v>
      </c>
      <c r="B508" s="8" t="s">
        <v>4</v>
      </c>
      <c r="C508" s="9" t="s">
        <v>5</v>
      </c>
      <c r="D508" s="10" t="s">
        <v>6</v>
      </c>
      <c r="E508" s="105" t="s">
        <v>7</v>
      </c>
      <c r="F508" s="254" t="s">
        <v>1092</v>
      </c>
    </row>
    <row r="509" customFormat="false" ht="15" hidden="false" customHeight="false" outlineLevel="0" collapsed="false">
      <c r="A509" s="35" t="n">
        <v>1</v>
      </c>
      <c r="B509" s="39" t="s">
        <v>445</v>
      </c>
      <c r="C509" s="14"/>
      <c r="D509" s="14"/>
      <c r="E509" s="96"/>
      <c r="F509" s="212"/>
    </row>
    <row r="510" customFormat="false" ht="15" hidden="false" customHeight="false" outlineLevel="0" collapsed="false">
      <c r="A510" s="35" t="n">
        <v>2</v>
      </c>
      <c r="B510" s="39" t="s">
        <v>447</v>
      </c>
      <c r="C510" s="14"/>
      <c r="D510" s="14"/>
      <c r="E510" s="96"/>
      <c r="F510" s="212"/>
    </row>
    <row r="511" customFormat="false" ht="15" hidden="false" customHeight="false" outlineLevel="0" collapsed="false">
      <c r="A511" s="35" t="n">
        <v>3</v>
      </c>
      <c r="B511" s="39" t="s">
        <v>452</v>
      </c>
      <c r="C511" s="14"/>
      <c r="D511" s="14"/>
      <c r="E511" s="96"/>
      <c r="F511" s="212"/>
    </row>
    <row r="512" customFormat="false" ht="15" hidden="false" customHeight="false" outlineLevel="0" collapsed="false">
      <c r="A512" s="35" t="n">
        <v>4</v>
      </c>
      <c r="B512" s="39" t="s">
        <v>453</v>
      </c>
      <c r="C512" s="14"/>
      <c r="D512" s="14"/>
      <c r="E512" s="96"/>
      <c r="F512" s="212"/>
    </row>
    <row r="513" customFormat="false" ht="15" hidden="false" customHeight="false" outlineLevel="0" collapsed="false">
      <c r="A513" s="35" t="n">
        <v>5</v>
      </c>
      <c r="B513" s="91" t="s">
        <v>454</v>
      </c>
      <c r="C513" s="14"/>
      <c r="D513" s="92"/>
      <c r="E513" s="96"/>
      <c r="F513" s="212"/>
    </row>
    <row r="514" customFormat="false" ht="15" hidden="false" customHeight="false" outlineLevel="0" collapsed="false">
      <c r="A514" s="35" t="n">
        <v>6</v>
      </c>
      <c r="B514" s="75" t="s">
        <v>456</v>
      </c>
      <c r="C514" s="14"/>
      <c r="D514" s="92"/>
      <c r="E514" s="96"/>
      <c r="F514" s="212"/>
    </row>
    <row r="515" customFormat="false" ht="15" hidden="false" customHeight="false" outlineLevel="0" collapsed="false">
      <c r="A515" s="35" t="n">
        <v>7</v>
      </c>
      <c r="B515" s="75" t="s">
        <v>458</v>
      </c>
      <c r="C515" s="14"/>
      <c r="D515" s="92"/>
      <c r="E515" s="96"/>
      <c r="F515" s="212"/>
    </row>
    <row r="516" customFormat="false" ht="15" hidden="false" customHeight="false" outlineLevel="0" collapsed="false">
      <c r="A516" s="35" t="n">
        <v>8</v>
      </c>
      <c r="B516" s="75" t="s">
        <v>455</v>
      </c>
      <c r="C516" s="14"/>
      <c r="D516" s="92"/>
      <c r="E516" s="96"/>
      <c r="F516" s="212"/>
    </row>
    <row r="517" customFormat="false" ht="15" hidden="false" customHeight="false" outlineLevel="0" collapsed="false">
      <c r="A517" s="35" t="n">
        <v>9</v>
      </c>
      <c r="B517" s="75" t="s">
        <v>461</v>
      </c>
      <c r="C517" s="14"/>
      <c r="D517" s="92"/>
      <c r="E517" s="96"/>
      <c r="F517" s="212"/>
    </row>
    <row r="518" customFormat="false" ht="17.35" hidden="false" customHeight="false" outlineLevel="0" collapsed="false">
      <c r="A518" s="35"/>
      <c r="B518" s="23" t="s">
        <v>21</v>
      </c>
      <c r="C518" s="24" t="n">
        <f aca="false">SUM(C509:C517)</f>
        <v>0</v>
      </c>
      <c r="D518" s="54" t="n">
        <f aca="false">SUM(D509:D517)</f>
        <v>0</v>
      </c>
      <c r="E518" s="111" t="n">
        <f aca="false">SUM(E509:E517)</f>
        <v>0</v>
      </c>
      <c r="F518" s="214"/>
    </row>
    <row r="519" customFormat="false" ht="17.35" hidden="false" customHeight="false" outlineLevel="0" collapsed="false">
      <c r="B519" s="28"/>
      <c r="C519" s="29"/>
      <c r="D519" s="208"/>
      <c r="E519" s="31"/>
    </row>
    <row r="521" customFormat="false" ht="17.35" hidden="false" customHeight="false" outlineLevel="0" collapsed="false">
      <c r="B521" s="3" t="s">
        <v>0</v>
      </c>
    </row>
    <row r="522" customFormat="false" ht="15" hidden="false" customHeight="false" outlineLevel="0" collapsed="false">
      <c r="A522" s="2"/>
    </row>
    <row r="523" customFormat="false" ht="15" hidden="false" customHeight="false" outlineLevel="0" collapsed="false">
      <c r="A523" s="2"/>
      <c r="B523" s="6" t="s">
        <v>178</v>
      </c>
    </row>
    <row r="524" customFormat="false" ht="17.25" hidden="false" customHeight="false" outlineLevel="0" collapsed="false">
      <c r="A524" s="2"/>
      <c r="B524" s="5" t="s">
        <v>91</v>
      </c>
    </row>
    <row r="525" customFormat="false" ht="15" hidden="false" customHeight="false" outlineLevel="0" collapsed="false">
      <c r="A525" s="2"/>
    </row>
    <row r="526" customFormat="false" ht="15" hidden="false" customHeight="false" outlineLevel="0" collapsed="false">
      <c r="A526" s="2"/>
    </row>
    <row r="527" customFormat="false" ht="15" hidden="false" customHeight="false" outlineLevel="0" collapsed="false">
      <c r="A527" s="7" t="s">
        <v>3</v>
      </c>
      <c r="B527" s="8" t="s">
        <v>4</v>
      </c>
      <c r="C527" s="9" t="s">
        <v>5</v>
      </c>
      <c r="D527" s="10" t="s">
        <v>6</v>
      </c>
      <c r="E527" s="105" t="s">
        <v>7</v>
      </c>
      <c r="F527" s="254" t="s">
        <v>1092</v>
      </c>
    </row>
    <row r="528" customFormat="false" ht="15" hidden="false" customHeight="false" outlineLevel="0" collapsed="false">
      <c r="A528" s="35" t="n">
        <v>1</v>
      </c>
      <c r="B528" s="39" t="s">
        <v>465</v>
      </c>
      <c r="C528" s="14"/>
      <c r="D528" s="14"/>
      <c r="E528" s="96"/>
      <c r="F528" s="212"/>
    </row>
    <row r="529" customFormat="false" ht="15" hidden="false" customHeight="false" outlineLevel="0" collapsed="false">
      <c r="A529" s="35" t="n">
        <v>2</v>
      </c>
      <c r="B529" s="39" t="s">
        <v>467</v>
      </c>
      <c r="C529" s="14"/>
      <c r="D529" s="14"/>
      <c r="E529" s="96"/>
      <c r="F529" s="212"/>
    </row>
    <row r="530" customFormat="false" ht="15" hidden="false" customHeight="false" outlineLevel="0" collapsed="false">
      <c r="A530" s="35" t="n">
        <v>3</v>
      </c>
      <c r="B530" s="39" t="s">
        <v>468</v>
      </c>
      <c r="C530" s="14"/>
      <c r="D530" s="14"/>
      <c r="E530" s="96"/>
      <c r="F530" s="212"/>
    </row>
    <row r="531" customFormat="false" ht="15" hidden="false" customHeight="false" outlineLevel="0" collapsed="false">
      <c r="A531" s="35" t="n">
        <v>4</v>
      </c>
      <c r="B531" s="43" t="s">
        <v>470</v>
      </c>
      <c r="C531" s="14"/>
      <c r="D531" s="14"/>
      <c r="E531" s="96"/>
      <c r="F531" s="212"/>
    </row>
    <row r="532" customFormat="false" ht="15" hidden="false" customHeight="false" outlineLevel="0" collapsed="false">
      <c r="A532" s="35" t="n">
        <v>5</v>
      </c>
      <c r="B532" s="39" t="s">
        <v>472</v>
      </c>
      <c r="C532" s="14"/>
      <c r="D532" s="14"/>
      <c r="E532" s="96"/>
      <c r="F532" s="212"/>
    </row>
    <row r="533" customFormat="false" ht="15" hidden="false" customHeight="false" outlineLevel="0" collapsed="false">
      <c r="A533" s="35" t="n">
        <v>6</v>
      </c>
      <c r="B533" s="39" t="s">
        <v>474</v>
      </c>
      <c r="C533" s="14"/>
      <c r="D533" s="14"/>
      <c r="E533" s="96"/>
      <c r="F533" s="212"/>
    </row>
    <row r="534" customFormat="false" ht="15" hidden="false" customHeight="false" outlineLevel="0" collapsed="false">
      <c r="A534" s="35" t="n">
        <v>7</v>
      </c>
      <c r="B534" s="39" t="s">
        <v>475</v>
      </c>
      <c r="C534" s="14"/>
      <c r="D534" s="14"/>
      <c r="E534" s="96"/>
      <c r="F534" s="212"/>
    </row>
    <row r="535" customFormat="false" ht="15" hidden="false" customHeight="false" outlineLevel="0" collapsed="false">
      <c r="A535" s="35" t="n">
        <v>8</v>
      </c>
      <c r="B535" s="75" t="s">
        <v>477</v>
      </c>
      <c r="C535" s="14"/>
      <c r="D535" s="92"/>
      <c r="E535" s="96"/>
      <c r="F535" s="212"/>
    </row>
    <row r="536" customFormat="false" ht="15" hidden="false" customHeight="false" outlineLevel="0" collapsed="false">
      <c r="A536" s="35" t="n">
        <v>9</v>
      </c>
      <c r="B536" s="75" t="s">
        <v>479</v>
      </c>
      <c r="C536" s="14"/>
      <c r="D536" s="92"/>
      <c r="E536" s="96"/>
      <c r="F536" s="212"/>
    </row>
    <row r="537" customFormat="false" ht="15" hidden="false" customHeight="false" outlineLevel="0" collapsed="false">
      <c r="A537" s="35" t="n">
        <v>10</v>
      </c>
      <c r="B537" s="75" t="s">
        <v>480</v>
      </c>
      <c r="C537" s="14"/>
      <c r="D537" s="92"/>
      <c r="E537" s="96"/>
      <c r="F537" s="212"/>
    </row>
    <row r="538" customFormat="false" ht="15" hidden="false" customHeight="false" outlineLevel="0" collapsed="false">
      <c r="A538" s="35" t="n">
        <v>12</v>
      </c>
      <c r="B538" s="75" t="s">
        <v>481</v>
      </c>
      <c r="C538" s="14"/>
      <c r="D538" s="92"/>
      <c r="E538" s="96"/>
      <c r="F538" s="212"/>
    </row>
    <row r="539" customFormat="false" ht="15" hidden="false" customHeight="false" outlineLevel="0" collapsed="false">
      <c r="A539" s="50" t="n">
        <v>13</v>
      </c>
      <c r="B539" s="75" t="s">
        <v>483</v>
      </c>
      <c r="C539" s="14"/>
      <c r="D539" s="92"/>
      <c r="E539" s="96"/>
      <c r="F539" s="212"/>
    </row>
    <row r="540" customFormat="false" ht="17.35" hidden="false" customHeight="false" outlineLevel="0" collapsed="false">
      <c r="A540" s="50"/>
      <c r="B540" s="23" t="s">
        <v>21</v>
      </c>
      <c r="C540" s="24" t="n">
        <f aca="false">SUM(C528:C539)</f>
        <v>0</v>
      </c>
      <c r="D540" s="54" t="n">
        <f aca="false">SUM(D528:D539)</f>
        <v>0</v>
      </c>
      <c r="E540" s="111" t="n">
        <f aca="false">SUM(E528:E539)</f>
        <v>0</v>
      </c>
      <c r="F540" s="214"/>
    </row>
    <row r="544" customFormat="false" ht="17.35" hidden="false" customHeight="false" outlineLevel="0" collapsed="false">
      <c r="A544" s="2"/>
      <c r="B544" s="3" t="s">
        <v>0</v>
      </c>
    </row>
    <row r="545" customFormat="false" ht="17.35" hidden="false" customHeight="false" outlineLevel="0" collapsed="false">
      <c r="A545" s="4"/>
    </row>
    <row r="546" customFormat="false" ht="15" hidden="false" customHeight="false" outlineLevel="0" collapsed="false">
      <c r="A546" s="2"/>
    </row>
    <row r="547" customFormat="false" ht="17.25" hidden="false" customHeight="false" outlineLevel="0" collapsed="false">
      <c r="A547" s="2"/>
      <c r="B547" s="5" t="s">
        <v>485</v>
      </c>
    </row>
    <row r="548" customFormat="false" ht="15" hidden="false" customHeight="false" outlineLevel="0" collapsed="false">
      <c r="A548" s="2"/>
      <c r="D548" s="6" t="s">
        <v>191</v>
      </c>
    </row>
    <row r="549" customFormat="false" ht="15" hidden="false" customHeight="false" outlineLevel="0" collapsed="false">
      <c r="A549" s="2"/>
    </row>
    <row r="550" customFormat="false" ht="15" hidden="false" customHeight="false" outlineLevel="0" collapsed="false">
      <c r="A550" s="7" t="s">
        <v>3</v>
      </c>
      <c r="B550" s="8" t="s">
        <v>4</v>
      </c>
      <c r="C550" s="9" t="s">
        <v>5</v>
      </c>
      <c r="D550" s="10" t="s">
        <v>6</v>
      </c>
      <c r="E550" s="105" t="s">
        <v>7</v>
      </c>
      <c r="F550" s="254" t="s">
        <v>1092</v>
      </c>
    </row>
    <row r="551" customFormat="false" ht="15" hidden="false" customHeight="false" outlineLevel="0" collapsed="false">
      <c r="A551" s="35" t="n">
        <v>1</v>
      </c>
      <c r="B551" s="39" t="s">
        <v>487</v>
      </c>
      <c r="C551" s="14"/>
      <c r="D551" s="14"/>
      <c r="E551" s="96"/>
      <c r="F551" s="212"/>
    </row>
    <row r="552" customFormat="false" ht="15" hidden="false" customHeight="false" outlineLevel="0" collapsed="false">
      <c r="A552" s="35" t="n">
        <v>2</v>
      </c>
      <c r="B552" s="39" t="s">
        <v>488</v>
      </c>
      <c r="C552" s="14"/>
      <c r="D552" s="14"/>
      <c r="E552" s="96"/>
      <c r="F552" s="212"/>
    </row>
    <row r="553" customFormat="false" ht="15" hidden="false" customHeight="false" outlineLevel="0" collapsed="false">
      <c r="A553" s="12" t="n">
        <v>3</v>
      </c>
      <c r="B553" s="39" t="s">
        <v>489</v>
      </c>
      <c r="C553" s="14"/>
      <c r="D553" s="14"/>
      <c r="E553" s="96"/>
      <c r="F553" s="212"/>
    </row>
    <row r="554" customFormat="false" ht="15" hidden="false" customHeight="false" outlineLevel="0" collapsed="false">
      <c r="A554" s="12" t="n">
        <v>4</v>
      </c>
      <c r="B554" s="39" t="s">
        <v>491</v>
      </c>
      <c r="C554" s="14"/>
      <c r="D554" s="14"/>
      <c r="E554" s="96"/>
      <c r="F554" s="212"/>
    </row>
    <row r="555" customFormat="false" ht="15" hidden="false" customHeight="false" outlineLevel="0" collapsed="false">
      <c r="A555" s="12" t="n">
        <v>5</v>
      </c>
      <c r="B555" s="39" t="s">
        <v>493</v>
      </c>
      <c r="C555" s="14"/>
      <c r="D555" s="14"/>
      <c r="E555" s="96"/>
      <c r="F555" s="212"/>
    </row>
    <row r="556" customFormat="false" ht="15" hidden="false" customHeight="false" outlineLevel="0" collapsed="false">
      <c r="A556" s="35" t="n">
        <v>6</v>
      </c>
      <c r="B556" s="39" t="s">
        <v>495</v>
      </c>
      <c r="C556" s="14"/>
      <c r="D556" s="14"/>
      <c r="E556" s="96"/>
      <c r="F556" s="212"/>
    </row>
    <row r="557" customFormat="false" ht="15" hidden="false" customHeight="false" outlineLevel="0" collapsed="false">
      <c r="A557" s="35" t="n">
        <v>7</v>
      </c>
      <c r="B557" s="39" t="s">
        <v>496</v>
      </c>
      <c r="C557" s="14"/>
      <c r="D557" s="14"/>
      <c r="E557" s="96"/>
      <c r="F557" s="212"/>
    </row>
    <row r="558" customFormat="false" ht="15" hidden="false" customHeight="false" outlineLevel="0" collapsed="false">
      <c r="A558" s="53" t="n">
        <v>8</v>
      </c>
      <c r="B558" s="39" t="s">
        <v>497</v>
      </c>
      <c r="C558" s="14"/>
      <c r="D558" s="14"/>
      <c r="E558" s="96"/>
      <c r="F558" s="212"/>
    </row>
    <row r="559" customFormat="false" ht="15" hidden="false" customHeight="false" outlineLevel="0" collapsed="false">
      <c r="A559" s="53" t="n">
        <v>9</v>
      </c>
      <c r="B559" s="39" t="s">
        <v>498</v>
      </c>
      <c r="C559" s="14"/>
      <c r="D559" s="14"/>
      <c r="E559" s="96"/>
      <c r="F559" s="252"/>
    </row>
    <row r="560" customFormat="false" ht="15" hidden="false" customHeight="false" outlineLevel="0" collapsed="false">
      <c r="A560" s="53" t="n">
        <v>10</v>
      </c>
      <c r="B560" s="39" t="s">
        <v>499</v>
      </c>
      <c r="C560" s="14"/>
      <c r="D560" s="14"/>
      <c r="E560" s="96"/>
      <c r="F560" s="212"/>
    </row>
    <row r="561" customFormat="false" ht="17.35" hidden="false" customHeight="false" outlineLevel="0" collapsed="false">
      <c r="A561" s="22"/>
      <c r="B561" s="23" t="s">
        <v>21</v>
      </c>
      <c r="C561" s="24" t="n">
        <f aca="false">SUM(C551:C560)</f>
        <v>0</v>
      </c>
      <c r="D561" s="54" t="n">
        <f aca="false">SUM(D551:D560)</f>
        <v>0</v>
      </c>
      <c r="E561" s="111" t="n">
        <f aca="false">SUM(E551:E560)</f>
        <v>0</v>
      </c>
      <c r="F561" s="214"/>
    </row>
    <row r="564" customFormat="false" ht="15" hidden="false" customHeight="false" outlineLevel="0" collapsed="false">
      <c r="A564" s="120"/>
    </row>
    <row r="565" customFormat="false" ht="15" hidden="false" customHeight="false" outlineLevel="0" collapsed="false">
      <c r="A565" s="71"/>
    </row>
    <row r="566" customFormat="false" ht="17.35" hidden="false" customHeight="false" outlineLevel="0" collapsed="false">
      <c r="A566" s="2"/>
      <c r="B566" s="3" t="s">
        <v>0</v>
      </c>
    </row>
    <row r="567" customFormat="false" ht="17.35" hidden="false" customHeight="false" outlineLevel="0" collapsed="false">
      <c r="A567" s="4"/>
    </row>
    <row r="568" customFormat="false" ht="15" hidden="false" customHeight="false" outlineLevel="0" collapsed="false">
      <c r="A568" s="2"/>
    </row>
    <row r="569" customFormat="false" ht="17.25" hidden="false" customHeight="false" outlineLevel="0" collapsed="false">
      <c r="A569" s="2"/>
      <c r="B569" s="5" t="s">
        <v>485</v>
      </c>
    </row>
    <row r="570" customFormat="false" ht="15" hidden="false" customHeight="false" outlineLevel="0" collapsed="false">
      <c r="A570" s="2"/>
      <c r="D570" s="6" t="s">
        <v>161</v>
      </c>
    </row>
    <row r="571" customFormat="false" ht="15" hidden="false" customHeight="false" outlineLevel="0" collapsed="false">
      <c r="A571" s="2"/>
    </row>
    <row r="572" customFormat="false" ht="15" hidden="false" customHeight="false" outlineLevel="0" collapsed="false">
      <c r="A572" s="7" t="s">
        <v>3</v>
      </c>
      <c r="B572" s="8" t="s">
        <v>4</v>
      </c>
      <c r="C572" s="9" t="s">
        <v>5</v>
      </c>
      <c r="D572" s="10" t="s">
        <v>6</v>
      </c>
      <c r="E572" s="105" t="s">
        <v>7</v>
      </c>
      <c r="F572" s="254" t="s">
        <v>1092</v>
      </c>
    </row>
    <row r="573" customFormat="false" ht="15" hidden="false" customHeight="false" outlineLevel="0" collapsed="false">
      <c r="A573" s="12" t="n">
        <v>1</v>
      </c>
      <c r="B573" s="39" t="s">
        <v>500</v>
      </c>
      <c r="C573" s="14"/>
      <c r="D573" s="14"/>
      <c r="E573" s="96"/>
      <c r="F573" s="212"/>
    </row>
    <row r="574" customFormat="false" ht="15" hidden="false" customHeight="false" outlineLevel="0" collapsed="false">
      <c r="A574" s="35" t="n">
        <v>2</v>
      </c>
      <c r="B574" s="36" t="s">
        <v>501</v>
      </c>
      <c r="C574" s="14"/>
      <c r="D574" s="14"/>
      <c r="E574" s="96"/>
      <c r="F574" s="212"/>
    </row>
    <row r="575" customFormat="false" ht="15" hidden="false" customHeight="false" outlineLevel="0" collapsed="false">
      <c r="A575" s="35" t="n">
        <v>3</v>
      </c>
      <c r="B575" s="39" t="s">
        <v>502</v>
      </c>
      <c r="C575" s="14"/>
      <c r="D575" s="14"/>
      <c r="E575" s="96"/>
      <c r="F575" s="212"/>
    </row>
    <row r="576" customFormat="false" ht="15" hidden="false" customHeight="false" outlineLevel="0" collapsed="false">
      <c r="A576" s="12" t="n">
        <v>4</v>
      </c>
      <c r="B576" s="39" t="s">
        <v>503</v>
      </c>
      <c r="C576" s="14"/>
      <c r="D576" s="14"/>
      <c r="E576" s="96"/>
      <c r="F576" s="212"/>
    </row>
    <row r="577" customFormat="false" ht="15" hidden="false" customHeight="false" outlineLevel="0" collapsed="false">
      <c r="A577" s="35" t="n">
        <v>5</v>
      </c>
      <c r="B577" s="39" t="s">
        <v>504</v>
      </c>
      <c r="C577" s="14"/>
      <c r="D577" s="14"/>
      <c r="E577" s="96"/>
      <c r="F577" s="212"/>
    </row>
    <row r="578" customFormat="false" ht="15" hidden="false" customHeight="false" outlineLevel="0" collapsed="false">
      <c r="A578" s="12" t="n">
        <v>6</v>
      </c>
      <c r="B578" s="39" t="s">
        <v>505</v>
      </c>
      <c r="C578" s="14"/>
      <c r="D578" s="14"/>
      <c r="E578" s="96"/>
      <c r="F578" s="212"/>
    </row>
    <row r="579" customFormat="false" ht="15" hidden="false" customHeight="false" outlineLevel="0" collapsed="false">
      <c r="A579" s="50" t="n">
        <v>7</v>
      </c>
      <c r="B579" s="39" t="s">
        <v>506</v>
      </c>
      <c r="C579" s="14"/>
      <c r="D579" s="14"/>
      <c r="E579" s="96"/>
      <c r="F579" s="212"/>
    </row>
    <row r="580" customFormat="false" ht="15" hidden="false" customHeight="false" outlineLevel="0" collapsed="false">
      <c r="A580" s="53" t="n">
        <v>8</v>
      </c>
      <c r="B580" s="39" t="s">
        <v>507</v>
      </c>
      <c r="C580" s="14"/>
      <c r="D580" s="14"/>
      <c r="E580" s="96"/>
      <c r="F580" s="212"/>
    </row>
    <row r="581" customFormat="false" ht="15" hidden="false" customHeight="false" outlineLevel="0" collapsed="false">
      <c r="A581" s="12" t="n">
        <v>9</v>
      </c>
      <c r="B581" s="39" t="s">
        <v>508</v>
      </c>
      <c r="C581" s="14"/>
      <c r="D581" s="14"/>
      <c r="E581" s="96"/>
      <c r="F581" s="212"/>
    </row>
    <row r="582" customFormat="false" ht="15" hidden="false" customHeight="false" outlineLevel="0" collapsed="false">
      <c r="A582" s="12" t="n">
        <v>10</v>
      </c>
      <c r="B582" s="36" t="s">
        <v>509</v>
      </c>
      <c r="C582" s="14"/>
      <c r="D582" s="14"/>
      <c r="E582" s="96"/>
      <c r="F582" s="212"/>
    </row>
    <row r="583" customFormat="false" ht="15" hidden="false" customHeight="false" outlineLevel="0" collapsed="false">
      <c r="A583" s="12" t="n">
        <v>11</v>
      </c>
      <c r="B583" s="39" t="s">
        <v>510</v>
      </c>
      <c r="C583" s="14"/>
      <c r="D583" s="14"/>
      <c r="E583" s="96"/>
      <c r="F583" s="212"/>
    </row>
    <row r="584" customFormat="false" ht="15" hidden="false" customHeight="false" outlineLevel="0" collapsed="false">
      <c r="A584" s="35" t="n">
        <v>12</v>
      </c>
      <c r="B584" s="39" t="s">
        <v>512</v>
      </c>
      <c r="C584" s="14"/>
      <c r="D584" s="14"/>
      <c r="E584" s="96"/>
      <c r="F584" s="212"/>
    </row>
    <row r="585" customFormat="false" ht="15" hidden="false" customHeight="false" outlineLevel="0" collapsed="false">
      <c r="A585" s="53" t="n">
        <v>13</v>
      </c>
      <c r="B585" s="39" t="s">
        <v>513</v>
      </c>
      <c r="C585" s="14"/>
      <c r="D585" s="14"/>
      <c r="E585" s="96"/>
      <c r="F585" s="212"/>
    </row>
    <row r="586" customFormat="false" ht="15" hidden="false" customHeight="false" outlineLevel="0" collapsed="false">
      <c r="A586" s="53" t="n">
        <v>14</v>
      </c>
      <c r="B586" s="39" t="s">
        <v>514</v>
      </c>
      <c r="C586" s="14"/>
      <c r="D586" s="14"/>
      <c r="E586" s="96"/>
      <c r="F586" s="212"/>
    </row>
    <row r="587" customFormat="false" ht="15" hidden="false" customHeight="false" outlineLevel="0" collapsed="false">
      <c r="A587" s="53" t="n">
        <v>15</v>
      </c>
      <c r="B587" s="39" t="s">
        <v>515</v>
      </c>
      <c r="C587" s="14"/>
      <c r="D587" s="14"/>
      <c r="E587" s="96"/>
      <c r="F587" s="212"/>
    </row>
    <row r="588" customFormat="false" ht="15" hidden="false" customHeight="false" outlineLevel="0" collapsed="false">
      <c r="A588" s="53" t="n">
        <v>16</v>
      </c>
      <c r="B588" s="39" t="s">
        <v>516</v>
      </c>
      <c r="C588" s="14"/>
      <c r="D588" s="14"/>
      <c r="E588" s="96"/>
      <c r="F588" s="212"/>
    </row>
    <row r="589" customFormat="false" ht="15" hidden="false" customHeight="false" outlineLevel="0" collapsed="false">
      <c r="A589" s="53" t="n">
        <v>17</v>
      </c>
      <c r="B589" s="36" t="s">
        <v>517</v>
      </c>
      <c r="C589" s="14"/>
      <c r="D589" s="14"/>
      <c r="E589" s="96"/>
      <c r="F589" s="212"/>
    </row>
    <row r="590" customFormat="false" ht="15" hidden="false" customHeight="false" outlineLevel="0" collapsed="false">
      <c r="A590" s="53" t="n">
        <v>18</v>
      </c>
      <c r="B590" s="39" t="s">
        <v>518</v>
      </c>
      <c r="C590" s="14"/>
      <c r="D590" s="14"/>
      <c r="E590" s="96"/>
      <c r="F590" s="212"/>
    </row>
    <row r="591" customFormat="false" ht="15" hidden="false" customHeight="false" outlineLevel="0" collapsed="false">
      <c r="A591" s="53" t="n">
        <v>19</v>
      </c>
      <c r="B591" s="39" t="s">
        <v>519</v>
      </c>
      <c r="C591" s="14"/>
      <c r="D591" s="14"/>
      <c r="E591" s="96"/>
      <c r="F591" s="212"/>
    </row>
    <row r="592" customFormat="false" ht="15" hidden="false" customHeight="false" outlineLevel="0" collapsed="false">
      <c r="A592" s="53" t="n">
        <v>20</v>
      </c>
      <c r="B592" s="39" t="s">
        <v>520</v>
      </c>
      <c r="C592" s="14"/>
      <c r="D592" s="14"/>
      <c r="E592" s="96"/>
      <c r="F592" s="212"/>
    </row>
    <row r="593" customFormat="false" ht="15" hidden="false" customHeight="false" outlineLevel="0" collapsed="false">
      <c r="A593" s="53" t="n">
        <v>21</v>
      </c>
      <c r="B593" s="39" t="s">
        <v>521</v>
      </c>
      <c r="C593" s="14"/>
      <c r="D593" s="14"/>
      <c r="E593" s="96"/>
      <c r="F593" s="212"/>
    </row>
    <row r="594" customFormat="false" ht="15" hidden="false" customHeight="false" outlineLevel="0" collapsed="false">
      <c r="A594" s="53" t="n">
        <v>22</v>
      </c>
      <c r="B594" s="36" t="s">
        <v>522</v>
      </c>
      <c r="C594" s="14"/>
      <c r="D594" s="14"/>
      <c r="E594" s="96"/>
      <c r="F594" s="212"/>
    </row>
    <row r="595" customFormat="false" ht="15" hidden="false" customHeight="false" outlineLevel="0" collapsed="false">
      <c r="A595" s="53" t="n">
        <v>23</v>
      </c>
      <c r="B595" s="39" t="s">
        <v>523</v>
      </c>
      <c r="C595" s="14"/>
      <c r="D595" s="14"/>
      <c r="E595" s="96"/>
      <c r="F595" s="212"/>
    </row>
    <row r="596" customFormat="false" ht="15" hidden="false" customHeight="false" outlineLevel="0" collapsed="false">
      <c r="A596" s="35" t="n">
        <v>24</v>
      </c>
      <c r="B596" s="39" t="s">
        <v>524</v>
      </c>
      <c r="C596" s="14"/>
      <c r="D596" s="14"/>
      <c r="E596" s="96"/>
      <c r="F596" s="212"/>
    </row>
    <row r="597" customFormat="false" ht="15" hidden="false" customHeight="false" outlineLevel="0" collapsed="false">
      <c r="A597" s="35" t="n">
        <v>25</v>
      </c>
      <c r="B597" s="39" t="s">
        <v>526</v>
      </c>
      <c r="C597" s="14"/>
      <c r="D597" s="14"/>
      <c r="E597" s="96"/>
      <c r="F597" s="212"/>
    </row>
    <row r="598" customFormat="false" ht="15" hidden="false" customHeight="false" outlineLevel="0" collapsed="false">
      <c r="A598" s="35" t="n">
        <v>26</v>
      </c>
      <c r="B598" s="39" t="s">
        <v>527</v>
      </c>
      <c r="C598" s="14"/>
      <c r="D598" s="14"/>
      <c r="E598" s="96"/>
      <c r="F598" s="212"/>
    </row>
    <row r="599" customFormat="false" ht="15" hidden="false" customHeight="false" outlineLevel="0" collapsed="false">
      <c r="A599" s="35" t="n">
        <v>27</v>
      </c>
      <c r="B599" s="39" t="s">
        <v>529</v>
      </c>
      <c r="C599" s="14"/>
      <c r="D599" s="14"/>
      <c r="E599" s="96"/>
      <c r="F599" s="212"/>
    </row>
    <row r="600" customFormat="false" ht="15" hidden="false" customHeight="false" outlineLevel="0" collapsed="false">
      <c r="A600" s="35" t="n">
        <v>28</v>
      </c>
      <c r="B600" s="39" t="s">
        <v>530</v>
      </c>
      <c r="C600" s="14"/>
      <c r="D600" s="14"/>
      <c r="E600" s="96"/>
      <c r="F600" s="212"/>
    </row>
    <row r="601" customFormat="false" ht="15" hidden="false" customHeight="false" outlineLevel="0" collapsed="false">
      <c r="A601" s="35" t="n">
        <v>29</v>
      </c>
      <c r="B601" s="39" t="s">
        <v>531</v>
      </c>
      <c r="C601" s="14"/>
      <c r="D601" s="14"/>
      <c r="E601" s="96"/>
      <c r="F601" s="212"/>
    </row>
    <row r="602" customFormat="false" ht="15" hidden="false" customHeight="false" outlineLevel="0" collapsed="false">
      <c r="A602" s="35" t="n">
        <v>30</v>
      </c>
      <c r="B602" s="43" t="s">
        <v>532</v>
      </c>
      <c r="C602" s="14"/>
      <c r="D602" s="14"/>
      <c r="E602" s="96"/>
      <c r="F602" s="212"/>
    </row>
    <row r="603" customFormat="false" ht="17.35" hidden="false" customHeight="false" outlineLevel="0" collapsed="false">
      <c r="A603" s="35"/>
      <c r="B603" s="23" t="s">
        <v>21</v>
      </c>
      <c r="C603" s="24" t="n">
        <f aca="false">SUM(C573:C602)</f>
        <v>0</v>
      </c>
      <c r="D603" s="54" t="n">
        <f aca="false">SUM(D573:D602)</f>
        <v>0</v>
      </c>
      <c r="E603" s="111" t="n">
        <f aca="false">SUM(E573:E602)</f>
        <v>0</v>
      </c>
      <c r="F603" s="214"/>
    </row>
    <row r="604" customFormat="false" ht="15" hidden="false" customHeight="false" outlineLevel="0" collapsed="false">
      <c r="A604" s="71"/>
    </row>
    <row r="605" customFormat="false" ht="15" hidden="false" customHeight="false" outlineLevel="0" collapsed="false">
      <c r="A605" s="71"/>
    </row>
    <row r="606" customFormat="false" ht="17.35" hidden="false" customHeight="false" outlineLevel="0" collapsed="false">
      <c r="A606" s="2"/>
      <c r="B606" s="3" t="s">
        <v>0</v>
      </c>
    </row>
    <row r="607" customFormat="false" ht="17.35" hidden="false" customHeight="false" outlineLevel="0" collapsed="false">
      <c r="A607" s="4"/>
    </row>
    <row r="608" customFormat="false" ht="15" hidden="false" customHeight="false" outlineLevel="0" collapsed="false">
      <c r="A608" s="2"/>
    </row>
    <row r="609" customFormat="false" ht="17.25" hidden="false" customHeight="false" outlineLevel="0" collapsed="false">
      <c r="A609" s="2"/>
      <c r="B609" s="5" t="s">
        <v>113</v>
      </c>
    </row>
    <row r="610" customFormat="false" ht="15" hidden="false" customHeight="false" outlineLevel="0" collapsed="false">
      <c r="A610" s="2"/>
      <c r="D610" s="6" t="s">
        <v>191</v>
      </c>
    </row>
    <row r="611" customFormat="false" ht="15" hidden="false" customHeight="false" outlineLevel="0" collapsed="false">
      <c r="A611" s="2"/>
    </row>
    <row r="612" customFormat="false" ht="15" hidden="false" customHeight="false" outlineLevel="0" collapsed="false">
      <c r="A612" s="7" t="s">
        <v>3</v>
      </c>
      <c r="B612" s="8" t="s">
        <v>4</v>
      </c>
      <c r="C612" s="9" t="s">
        <v>5</v>
      </c>
      <c r="D612" s="10" t="s">
        <v>6</v>
      </c>
      <c r="E612" s="105" t="s">
        <v>7</v>
      </c>
      <c r="F612" s="210" t="s">
        <v>1092</v>
      </c>
    </row>
    <row r="613" customFormat="false" ht="15" hidden="false" customHeight="false" outlineLevel="0" collapsed="false">
      <c r="A613" s="35" t="n">
        <v>1</v>
      </c>
      <c r="B613" s="39" t="s">
        <v>533</v>
      </c>
      <c r="C613" s="14"/>
      <c r="D613" s="14"/>
      <c r="E613" s="96"/>
      <c r="F613" s="255"/>
    </row>
    <row r="614" customFormat="false" ht="15" hidden="false" customHeight="false" outlineLevel="0" collapsed="false">
      <c r="A614" s="12" t="n">
        <v>2</v>
      </c>
      <c r="B614" s="39" t="s">
        <v>1103</v>
      </c>
      <c r="C614" s="14"/>
      <c r="D614" s="14"/>
      <c r="E614" s="96"/>
      <c r="F614" s="252"/>
    </row>
    <row r="615" customFormat="false" ht="15" hidden="false" customHeight="false" outlineLevel="0" collapsed="false">
      <c r="A615" s="35" t="n">
        <v>3</v>
      </c>
      <c r="B615" s="39" t="s">
        <v>486</v>
      </c>
      <c r="C615" s="14"/>
      <c r="D615" s="14"/>
      <c r="E615" s="96"/>
      <c r="F615" s="252"/>
    </row>
    <row r="616" customFormat="false" ht="15" hidden="false" customHeight="false" outlineLevel="0" collapsed="false">
      <c r="A616" s="12" t="n">
        <v>4</v>
      </c>
      <c r="B616" s="39" t="s">
        <v>535</v>
      </c>
      <c r="C616" s="14"/>
      <c r="D616" s="14"/>
      <c r="E616" s="96"/>
      <c r="F616" s="252"/>
    </row>
    <row r="617" customFormat="false" ht="15" hidden="false" customHeight="false" outlineLevel="0" collapsed="false">
      <c r="A617" s="12" t="n">
        <v>5</v>
      </c>
      <c r="B617" s="39" t="s">
        <v>536</v>
      </c>
      <c r="C617" s="14"/>
      <c r="D617" s="14"/>
      <c r="E617" s="96"/>
      <c r="F617" s="252"/>
    </row>
    <row r="618" customFormat="false" ht="15" hidden="false" customHeight="false" outlineLevel="0" collapsed="false">
      <c r="A618" s="35" t="n">
        <v>6</v>
      </c>
      <c r="B618" s="39" t="s">
        <v>539</v>
      </c>
      <c r="C618" s="14"/>
      <c r="D618" s="14"/>
      <c r="E618" s="96"/>
      <c r="F618" s="252"/>
    </row>
    <row r="619" customFormat="false" ht="15" hidden="false" customHeight="false" outlineLevel="0" collapsed="false">
      <c r="A619" s="12" t="n">
        <v>7</v>
      </c>
      <c r="B619" s="39" t="s">
        <v>540</v>
      </c>
      <c r="C619" s="14"/>
      <c r="D619" s="14"/>
      <c r="E619" s="96"/>
      <c r="F619" s="252"/>
    </row>
    <row r="620" customFormat="false" ht="15" hidden="false" customHeight="false" outlineLevel="0" collapsed="false">
      <c r="A620" s="53" t="n">
        <v>8</v>
      </c>
      <c r="B620" s="39" t="s">
        <v>542</v>
      </c>
      <c r="C620" s="14"/>
      <c r="D620" s="14"/>
      <c r="E620" s="96"/>
      <c r="F620" s="252"/>
    </row>
    <row r="621" customFormat="false" ht="15" hidden="false" customHeight="false" outlineLevel="0" collapsed="false">
      <c r="A621" s="12" t="n">
        <v>9</v>
      </c>
      <c r="B621" s="39" t="s">
        <v>543</v>
      </c>
      <c r="C621" s="14"/>
      <c r="D621" s="14"/>
      <c r="E621" s="96"/>
      <c r="F621" s="252"/>
    </row>
    <row r="622" customFormat="false" ht="15" hidden="false" customHeight="false" outlineLevel="0" collapsed="false">
      <c r="A622" s="35" t="n">
        <v>10</v>
      </c>
      <c r="B622" s="39" t="s">
        <v>544</v>
      </c>
      <c r="C622" s="14"/>
      <c r="D622" s="14"/>
      <c r="E622" s="96"/>
      <c r="F622" s="252"/>
    </row>
    <row r="623" customFormat="false" ht="15" hidden="false" customHeight="false" outlineLevel="0" collapsed="false">
      <c r="A623" s="53" t="n">
        <v>11</v>
      </c>
      <c r="B623" s="39" t="s">
        <v>545</v>
      </c>
      <c r="C623" s="14"/>
      <c r="D623" s="14"/>
      <c r="E623" s="96"/>
      <c r="F623" s="252"/>
    </row>
    <row r="624" customFormat="false" ht="15" hidden="false" customHeight="false" outlineLevel="0" collapsed="false">
      <c r="A624" s="53" t="n">
        <v>12</v>
      </c>
      <c r="B624" s="39" t="s">
        <v>546</v>
      </c>
      <c r="C624" s="14"/>
      <c r="D624" s="14"/>
      <c r="E624" s="96"/>
      <c r="F624" s="252"/>
    </row>
    <row r="625" customFormat="false" ht="15" hidden="false" customHeight="false" outlineLevel="0" collapsed="false">
      <c r="A625" s="53" t="n">
        <v>13</v>
      </c>
      <c r="B625" s="39" t="s">
        <v>547</v>
      </c>
      <c r="C625" s="14"/>
      <c r="D625" s="14"/>
      <c r="E625" s="96"/>
      <c r="F625" s="252"/>
    </row>
    <row r="626" customFormat="false" ht="15" hidden="false" customHeight="false" outlineLevel="0" collapsed="false">
      <c r="A626" s="53" t="n">
        <v>14</v>
      </c>
      <c r="B626" s="39" t="s">
        <v>548</v>
      </c>
      <c r="C626" s="14"/>
      <c r="D626" s="14"/>
      <c r="E626" s="96"/>
      <c r="F626" s="252"/>
    </row>
    <row r="627" customFormat="false" ht="15" hidden="false" customHeight="false" outlineLevel="0" collapsed="false">
      <c r="A627" s="53" t="n">
        <v>15</v>
      </c>
      <c r="B627" s="39" t="s">
        <v>550</v>
      </c>
      <c r="C627" s="14"/>
      <c r="D627" s="14"/>
      <c r="E627" s="96"/>
      <c r="F627" s="252"/>
    </row>
    <row r="628" customFormat="false" ht="15" hidden="false" customHeight="false" outlineLevel="0" collapsed="false">
      <c r="A628" s="53" t="n">
        <v>16</v>
      </c>
      <c r="B628" s="39" t="s">
        <v>551</v>
      </c>
      <c r="C628" s="14"/>
      <c r="D628" s="14"/>
      <c r="E628" s="96"/>
      <c r="F628" s="252"/>
    </row>
    <row r="629" customFormat="false" ht="15" hidden="false" customHeight="false" outlineLevel="0" collapsed="false">
      <c r="A629" s="53" t="n">
        <v>17</v>
      </c>
      <c r="B629" s="39" t="s">
        <v>554</v>
      </c>
      <c r="C629" s="14"/>
      <c r="D629" s="14"/>
      <c r="E629" s="96"/>
      <c r="F629" s="252"/>
    </row>
    <row r="630" customFormat="false" ht="15" hidden="false" customHeight="false" outlineLevel="0" collapsed="false">
      <c r="A630" s="53" t="n">
        <v>18</v>
      </c>
      <c r="B630" s="39" t="s">
        <v>556</v>
      </c>
      <c r="C630" s="14"/>
      <c r="D630" s="14"/>
      <c r="E630" s="96"/>
      <c r="F630" s="252"/>
    </row>
    <row r="631" customFormat="false" ht="15" hidden="false" customHeight="false" outlineLevel="0" collapsed="false">
      <c r="A631" s="53" t="n">
        <v>19</v>
      </c>
      <c r="B631" s="39" t="s">
        <v>557</v>
      </c>
      <c r="C631" s="14"/>
      <c r="D631" s="14"/>
      <c r="E631" s="96"/>
      <c r="F631" s="252"/>
    </row>
    <row r="632" customFormat="false" ht="15" hidden="false" customHeight="false" outlineLevel="0" collapsed="false">
      <c r="A632" s="53" t="n">
        <v>20</v>
      </c>
      <c r="B632" s="39" t="s">
        <v>558</v>
      </c>
      <c r="C632" s="14"/>
      <c r="D632" s="14"/>
      <c r="E632" s="96"/>
      <c r="F632" s="252"/>
    </row>
    <row r="633" customFormat="false" ht="15" hidden="false" customHeight="false" outlineLevel="0" collapsed="false">
      <c r="A633" s="53" t="n">
        <v>21</v>
      </c>
      <c r="B633" s="39" t="s">
        <v>559</v>
      </c>
      <c r="C633" s="14"/>
      <c r="D633" s="14"/>
      <c r="E633" s="96"/>
      <c r="F633" s="252"/>
    </row>
    <row r="634" customFormat="false" ht="15" hidden="false" customHeight="false" outlineLevel="0" collapsed="false">
      <c r="A634" s="53" t="n">
        <v>22</v>
      </c>
      <c r="B634" s="39" t="s">
        <v>560</v>
      </c>
      <c r="C634" s="14"/>
      <c r="D634" s="14"/>
      <c r="E634" s="96"/>
      <c r="F634" s="252"/>
    </row>
    <row r="635" customFormat="false" ht="15" hidden="false" customHeight="false" outlineLevel="0" collapsed="false">
      <c r="A635" s="53" t="n">
        <v>23</v>
      </c>
      <c r="B635" s="39" t="s">
        <v>561</v>
      </c>
      <c r="C635" s="14"/>
      <c r="D635" s="14"/>
      <c r="E635" s="96"/>
      <c r="F635" s="252"/>
    </row>
    <row r="636" customFormat="false" ht="15" hidden="false" customHeight="false" outlineLevel="0" collapsed="false">
      <c r="A636" s="53" t="n">
        <v>24</v>
      </c>
      <c r="B636" s="39" t="s">
        <v>562</v>
      </c>
      <c r="C636" s="14"/>
      <c r="D636" s="14"/>
      <c r="E636" s="96"/>
      <c r="F636" s="252"/>
    </row>
    <row r="637" customFormat="false" ht="15" hidden="false" customHeight="false" outlineLevel="0" collapsed="false">
      <c r="A637" s="53" t="n">
        <v>25</v>
      </c>
      <c r="B637" s="39" t="s">
        <v>563</v>
      </c>
      <c r="C637" s="14"/>
      <c r="D637" s="14"/>
      <c r="E637" s="96"/>
      <c r="F637" s="252"/>
    </row>
    <row r="638" customFormat="false" ht="15" hidden="false" customHeight="false" outlineLevel="0" collapsed="false">
      <c r="A638" s="53" t="n">
        <v>26</v>
      </c>
      <c r="B638" s="39" t="s">
        <v>564</v>
      </c>
      <c r="C638" s="14"/>
      <c r="D638" s="14"/>
      <c r="E638" s="96"/>
      <c r="F638" s="252"/>
    </row>
    <row r="639" customFormat="false" ht="15" hidden="false" customHeight="false" outlineLevel="0" collapsed="false">
      <c r="A639" s="53" t="n">
        <v>27</v>
      </c>
      <c r="B639" s="39" t="s">
        <v>565</v>
      </c>
      <c r="C639" s="14"/>
      <c r="D639" s="14"/>
      <c r="E639" s="96"/>
      <c r="F639" s="252"/>
    </row>
    <row r="640" customFormat="false" ht="15" hidden="false" customHeight="false" outlineLevel="0" collapsed="false">
      <c r="A640" s="53" t="n">
        <v>28</v>
      </c>
      <c r="B640" s="39" t="s">
        <v>566</v>
      </c>
      <c r="C640" s="14"/>
      <c r="D640" s="14"/>
      <c r="E640" s="96"/>
      <c r="F640" s="252"/>
    </row>
    <row r="641" customFormat="false" ht="15" hidden="false" customHeight="false" outlineLevel="0" collapsed="false">
      <c r="A641" s="53" t="n">
        <v>29</v>
      </c>
      <c r="B641" s="39" t="s">
        <v>567</v>
      </c>
      <c r="C641" s="14"/>
      <c r="D641" s="14"/>
      <c r="E641" s="96"/>
      <c r="F641" s="252"/>
    </row>
    <row r="642" customFormat="false" ht="15" hidden="false" customHeight="false" outlineLevel="0" collapsed="false">
      <c r="A642" s="53" t="n">
        <v>30</v>
      </c>
      <c r="B642" s="39" t="s">
        <v>568</v>
      </c>
      <c r="C642" s="14"/>
      <c r="D642" s="14"/>
      <c r="E642" s="96"/>
      <c r="F642" s="252"/>
    </row>
    <row r="643" customFormat="false" ht="15" hidden="false" customHeight="false" outlineLevel="0" collapsed="false">
      <c r="A643" s="53" t="n">
        <v>31</v>
      </c>
      <c r="B643" s="39" t="s">
        <v>569</v>
      </c>
      <c r="C643" s="14"/>
      <c r="D643" s="14"/>
      <c r="E643" s="96"/>
      <c r="F643" s="252"/>
    </row>
    <row r="644" customFormat="false" ht="15" hidden="false" customHeight="false" outlineLevel="0" collapsed="false">
      <c r="A644" s="53" t="n">
        <v>32</v>
      </c>
      <c r="B644" s="39" t="s">
        <v>570</v>
      </c>
      <c r="C644" s="14"/>
      <c r="D644" s="14"/>
      <c r="E644" s="96"/>
      <c r="F644" s="252"/>
    </row>
    <row r="645" customFormat="false" ht="15" hidden="false" customHeight="false" outlineLevel="0" collapsed="false">
      <c r="A645" s="53" t="n">
        <v>33</v>
      </c>
      <c r="B645" s="39" t="s">
        <v>571</v>
      </c>
      <c r="C645" s="14"/>
      <c r="D645" s="14"/>
      <c r="E645" s="96"/>
      <c r="F645" s="252"/>
    </row>
    <row r="646" customFormat="false" ht="15" hidden="false" customHeight="false" outlineLevel="0" collapsed="false">
      <c r="A646" s="53" t="n">
        <v>34</v>
      </c>
      <c r="B646" s="39" t="s">
        <v>572</v>
      </c>
      <c r="C646" s="14"/>
      <c r="D646" s="14"/>
      <c r="E646" s="96"/>
      <c r="F646" s="252"/>
    </row>
    <row r="647" customFormat="false" ht="15" hidden="false" customHeight="false" outlineLevel="0" collapsed="false">
      <c r="A647" s="53" t="n">
        <v>35</v>
      </c>
      <c r="B647" s="39" t="s">
        <v>573</v>
      </c>
      <c r="C647" s="14"/>
      <c r="D647" s="14"/>
      <c r="E647" s="96"/>
      <c r="F647" s="252"/>
    </row>
    <row r="648" customFormat="false" ht="15" hidden="false" customHeight="false" outlineLevel="0" collapsed="false">
      <c r="A648" s="53" t="n">
        <v>36</v>
      </c>
      <c r="B648" s="39" t="s">
        <v>575</v>
      </c>
      <c r="C648" s="14"/>
      <c r="D648" s="14"/>
      <c r="E648" s="96"/>
      <c r="F648" s="252"/>
    </row>
    <row r="649" customFormat="false" ht="15" hidden="false" customHeight="false" outlineLevel="0" collapsed="false">
      <c r="A649" s="53" t="n">
        <v>37</v>
      </c>
      <c r="B649" s="39" t="s">
        <v>576</v>
      </c>
      <c r="C649" s="14"/>
      <c r="D649" s="14"/>
      <c r="E649" s="96"/>
      <c r="F649" s="252"/>
    </row>
    <row r="650" customFormat="false" ht="15" hidden="false" customHeight="false" outlineLevel="0" collapsed="false">
      <c r="A650" s="53" t="n">
        <v>38</v>
      </c>
      <c r="B650" s="39" t="s">
        <v>577</v>
      </c>
      <c r="C650" s="14"/>
      <c r="D650" s="14"/>
      <c r="E650" s="96"/>
      <c r="F650" s="252"/>
    </row>
    <row r="651" customFormat="false" ht="15" hidden="false" customHeight="false" outlineLevel="0" collapsed="false">
      <c r="A651" s="53" t="n">
        <v>39</v>
      </c>
      <c r="B651" s="39" t="s">
        <v>578</v>
      </c>
      <c r="C651" s="14"/>
      <c r="D651" s="14"/>
      <c r="E651" s="96"/>
      <c r="F651" s="252"/>
    </row>
    <row r="652" customFormat="false" ht="15" hidden="false" customHeight="false" outlineLevel="0" collapsed="false">
      <c r="A652" s="53" t="n">
        <v>40</v>
      </c>
      <c r="B652" s="39" t="s">
        <v>579</v>
      </c>
      <c r="C652" s="14"/>
      <c r="D652" s="14"/>
      <c r="E652" s="96"/>
      <c r="F652" s="252"/>
    </row>
    <row r="653" customFormat="false" ht="15" hidden="false" customHeight="false" outlineLevel="0" collapsed="false">
      <c r="A653" s="53" t="n">
        <v>41</v>
      </c>
      <c r="B653" s="39" t="s">
        <v>580</v>
      </c>
      <c r="C653" s="14"/>
      <c r="D653" s="14"/>
      <c r="E653" s="96"/>
      <c r="F653" s="252"/>
    </row>
    <row r="654" customFormat="false" ht="15" hidden="false" customHeight="false" outlineLevel="0" collapsed="false">
      <c r="A654" s="53" t="n">
        <v>42</v>
      </c>
      <c r="B654" s="39" t="s">
        <v>581</v>
      </c>
      <c r="C654" s="14"/>
      <c r="D654" s="14"/>
      <c r="E654" s="96"/>
      <c r="F654" s="252"/>
    </row>
    <row r="655" customFormat="false" ht="15" hidden="false" customHeight="false" outlineLevel="0" collapsed="false">
      <c r="A655" s="53" t="n">
        <v>43</v>
      </c>
      <c r="B655" s="39" t="s">
        <v>582</v>
      </c>
      <c r="C655" s="14"/>
      <c r="D655" s="14"/>
      <c r="E655" s="96"/>
      <c r="F655" s="252"/>
    </row>
    <row r="656" customFormat="false" ht="15" hidden="false" customHeight="false" outlineLevel="0" collapsed="false">
      <c r="A656" s="53" t="n">
        <v>44</v>
      </c>
      <c r="B656" s="39" t="s">
        <v>583</v>
      </c>
      <c r="C656" s="14"/>
      <c r="D656" s="14"/>
      <c r="E656" s="96"/>
      <c r="F656" s="252"/>
    </row>
    <row r="657" customFormat="false" ht="15" hidden="false" customHeight="false" outlineLevel="0" collapsed="false">
      <c r="A657" s="53" t="n">
        <v>45</v>
      </c>
      <c r="B657" s="39" t="s">
        <v>584</v>
      </c>
      <c r="C657" s="14"/>
      <c r="D657" s="14"/>
      <c r="E657" s="96"/>
      <c r="F657" s="252"/>
    </row>
    <row r="658" customFormat="false" ht="15" hidden="false" customHeight="false" outlineLevel="0" collapsed="false">
      <c r="A658" s="53" t="n">
        <v>46</v>
      </c>
      <c r="B658" s="39" t="s">
        <v>585</v>
      </c>
      <c r="C658" s="14"/>
      <c r="D658" s="14"/>
      <c r="E658" s="96"/>
      <c r="F658" s="252"/>
    </row>
    <row r="659" customFormat="false" ht="15" hidden="false" customHeight="false" outlineLevel="0" collapsed="false">
      <c r="A659" s="53" t="n">
        <v>47</v>
      </c>
      <c r="B659" s="39" t="s">
        <v>586</v>
      </c>
      <c r="C659" s="14"/>
      <c r="D659" s="14"/>
      <c r="E659" s="96"/>
      <c r="F659" s="252"/>
    </row>
    <row r="660" customFormat="false" ht="15" hidden="false" customHeight="false" outlineLevel="0" collapsed="false">
      <c r="A660" s="53" t="n">
        <v>48</v>
      </c>
      <c r="B660" s="39" t="s">
        <v>587</v>
      </c>
      <c r="C660" s="14"/>
      <c r="D660" s="14"/>
      <c r="E660" s="96"/>
      <c r="F660" s="252"/>
    </row>
    <row r="661" customFormat="false" ht="15" hidden="false" customHeight="false" outlineLevel="0" collapsed="false">
      <c r="A661" s="53" t="n">
        <v>49</v>
      </c>
      <c r="B661" s="39" t="s">
        <v>588</v>
      </c>
      <c r="C661" s="14"/>
      <c r="D661" s="14"/>
      <c r="E661" s="96"/>
      <c r="F661" s="252"/>
    </row>
    <row r="662" customFormat="false" ht="15" hidden="false" customHeight="false" outlineLevel="0" collapsed="false">
      <c r="A662" s="53" t="n">
        <v>50</v>
      </c>
      <c r="B662" s="39" t="s">
        <v>589</v>
      </c>
      <c r="C662" s="14"/>
      <c r="D662" s="14"/>
      <c r="E662" s="96"/>
      <c r="F662" s="252"/>
    </row>
    <row r="663" customFormat="false" ht="15" hidden="false" customHeight="false" outlineLevel="0" collapsed="false">
      <c r="A663" s="53" t="n">
        <v>51</v>
      </c>
      <c r="B663" s="75" t="s">
        <v>590</v>
      </c>
      <c r="C663" s="14"/>
      <c r="D663" s="92"/>
      <c r="E663" s="96"/>
      <c r="F663" s="252"/>
    </row>
    <row r="664" customFormat="false" ht="15" hidden="false" customHeight="false" outlineLevel="0" collapsed="false">
      <c r="A664" s="50" t="n">
        <v>52</v>
      </c>
      <c r="B664" s="75" t="s">
        <v>591</v>
      </c>
      <c r="C664" s="14"/>
      <c r="D664" s="92"/>
      <c r="E664" s="96"/>
      <c r="F664" s="252"/>
    </row>
    <row r="665" customFormat="false" ht="17.35" hidden="false" customHeight="false" outlineLevel="0" collapsed="false">
      <c r="A665" s="53"/>
      <c r="B665" s="23" t="s">
        <v>21</v>
      </c>
      <c r="C665" s="24" t="n">
        <f aca="false">SUM(C613:C664)</f>
        <v>0</v>
      </c>
      <c r="D665" s="54" t="n">
        <f aca="false">SUM(D613:D664)</f>
        <v>0</v>
      </c>
      <c r="E665" s="111" t="n">
        <f aca="false">SUM(E613:E664)</f>
        <v>0</v>
      </c>
      <c r="F665" s="253"/>
    </row>
    <row r="666" customFormat="false" ht="15" hidden="false" customHeight="false" outlineLevel="0" collapsed="false">
      <c r="A666" s="71"/>
    </row>
    <row r="667" customFormat="false" ht="15" hidden="false" customHeight="false" outlineLevel="0" collapsed="false">
      <c r="A667" s="71"/>
    </row>
    <row r="668" customFormat="false" ht="15" hidden="false" customHeight="false" outlineLevel="0" collapsed="false">
      <c r="A668" s="71"/>
    </row>
    <row r="669" customFormat="false" ht="17.35" hidden="false" customHeight="false" outlineLevel="0" collapsed="false">
      <c r="A669" s="2"/>
      <c r="B669" s="3" t="s">
        <v>0</v>
      </c>
    </row>
    <row r="670" customFormat="false" ht="17.35" hidden="false" customHeight="false" outlineLevel="0" collapsed="false">
      <c r="A670" s="4"/>
    </row>
    <row r="671" customFormat="false" ht="15" hidden="false" customHeight="false" outlineLevel="0" collapsed="false">
      <c r="A671" s="2"/>
    </row>
    <row r="672" customFormat="false" ht="17.25" hidden="false" customHeight="false" outlineLevel="0" collapsed="false">
      <c r="A672" s="2"/>
      <c r="B672" s="5" t="s">
        <v>113</v>
      </c>
    </row>
    <row r="673" customFormat="false" ht="15" hidden="false" customHeight="false" outlineLevel="0" collapsed="false">
      <c r="A673" s="2"/>
      <c r="D673" s="6" t="s">
        <v>161</v>
      </c>
    </row>
    <row r="674" customFormat="false" ht="15" hidden="false" customHeight="false" outlineLevel="0" collapsed="false">
      <c r="A674" s="2"/>
    </row>
    <row r="675" customFormat="false" ht="15" hidden="false" customHeight="false" outlineLevel="0" collapsed="false">
      <c r="A675" s="7" t="s">
        <v>3</v>
      </c>
      <c r="B675" s="8" t="s">
        <v>4</v>
      </c>
      <c r="C675" s="9" t="s">
        <v>5</v>
      </c>
      <c r="D675" s="10" t="s">
        <v>6</v>
      </c>
      <c r="E675" s="105" t="s">
        <v>7</v>
      </c>
      <c r="F675" s="210" t="s">
        <v>1092</v>
      </c>
    </row>
    <row r="676" customFormat="false" ht="15" hidden="false" customHeight="false" outlineLevel="0" collapsed="false">
      <c r="A676" s="35" t="n">
        <v>1</v>
      </c>
      <c r="B676" s="39" t="s">
        <v>595</v>
      </c>
      <c r="C676" s="14"/>
      <c r="D676" s="14"/>
      <c r="E676" s="96"/>
      <c r="F676" s="212"/>
    </row>
    <row r="677" customFormat="false" ht="15" hidden="false" customHeight="false" outlineLevel="0" collapsed="false">
      <c r="A677" s="12" t="n">
        <v>2</v>
      </c>
      <c r="B677" s="39" t="s">
        <v>596</v>
      </c>
      <c r="C677" s="14"/>
      <c r="D677" s="14"/>
      <c r="E677" s="96"/>
      <c r="F677" s="212"/>
    </row>
    <row r="678" customFormat="false" ht="15" hidden="false" customHeight="false" outlineLevel="0" collapsed="false">
      <c r="A678" s="35" t="n">
        <v>3</v>
      </c>
      <c r="B678" s="39" t="s">
        <v>597</v>
      </c>
      <c r="C678" s="14"/>
      <c r="D678" s="14"/>
      <c r="E678" s="96"/>
      <c r="F678" s="212"/>
    </row>
    <row r="679" customFormat="false" ht="15" hidden="false" customHeight="false" outlineLevel="0" collapsed="false">
      <c r="A679" s="12" t="n">
        <v>4</v>
      </c>
      <c r="B679" s="39" t="s">
        <v>598</v>
      </c>
      <c r="C679" s="14"/>
      <c r="D679" s="14"/>
      <c r="E679" s="96"/>
      <c r="F679" s="212"/>
    </row>
    <row r="680" customFormat="false" ht="15" hidden="false" customHeight="false" outlineLevel="0" collapsed="false">
      <c r="A680" s="35" t="n">
        <v>5</v>
      </c>
      <c r="B680" s="39" t="s">
        <v>599</v>
      </c>
      <c r="C680" s="14"/>
      <c r="D680" s="14"/>
      <c r="E680" s="96"/>
      <c r="F680" s="212"/>
    </row>
    <row r="681" customFormat="false" ht="15" hidden="false" customHeight="false" outlineLevel="0" collapsed="false">
      <c r="A681" s="12" t="n">
        <v>6</v>
      </c>
      <c r="B681" s="39" t="s">
        <v>600</v>
      </c>
      <c r="C681" s="14"/>
      <c r="D681" s="14"/>
      <c r="E681" s="96"/>
      <c r="F681" s="212"/>
    </row>
    <row r="682" customFormat="false" ht="15" hidden="false" customHeight="false" outlineLevel="0" collapsed="false">
      <c r="A682" s="35" t="n">
        <v>7</v>
      </c>
      <c r="B682" s="39" t="s">
        <v>601</v>
      </c>
      <c r="C682" s="14"/>
      <c r="D682" s="14"/>
      <c r="E682" s="96"/>
      <c r="F682" s="212"/>
    </row>
    <row r="683" customFormat="false" ht="15" hidden="false" customHeight="false" outlineLevel="0" collapsed="false">
      <c r="A683" s="12" t="n">
        <v>8</v>
      </c>
      <c r="B683" s="39" t="s">
        <v>602</v>
      </c>
      <c r="C683" s="14"/>
      <c r="D683" s="14"/>
      <c r="E683" s="96"/>
      <c r="F683" s="212"/>
    </row>
    <row r="684" customFormat="false" ht="15" hidden="false" customHeight="false" outlineLevel="0" collapsed="false">
      <c r="A684" s="35" t="n">
        <v>9</v>
      </c>
      <c r="B684" s="39" t="s">
        <v>603</v>
      </c>
      <c r="C684" s="37"/>
      <c r="D684" s="37"/>
      <c r="E684" s="69"/>
      <c r="F684" s="212"/>
    </row>
    <row r="685" customFormat="false" ht="15" hidden="false" customHeight="false" outlineLevel="0" collapsed="false">
      <c r="A685" s="12" t="n">
        <v>10</v>
      </c>
      <c r="B685" s="39" t="s">
        <v>604</v>
      </c>
      <c r="C685" s="14"/>
      <c r="D685" s="14"/>
      <c r="E685" s="96"/>
      <c r="F685" s="212"/>
    </row>
    <row r="686" customFormat="false" ht="15" hidden="false" customHeight="false" outlineLevel="0" collapsed="false">
      <c r="A686" s="35" t="n">
        <v>11</v>
      </c>
      <c r="B686" s="39" t="s">
        <v>605</v>
      </c>
      <c r="C686" s="14"/>
      <c r="D686" s="14"/>
      <c r="E686" s="96"/>
      <c r="F686" s="212"/>
    </row>
    <row r="687" customFormat="false" ht="15" hidden="false" customHeight="false" outlineLevel="0" collapsed="false">
      <c r="A687" s="53" t="n">
        <v>12</v>
      </c>
      <c r="B687" s="39" t="s">
        <v>606</v>
      </c>
      <c r="C687" s="14"/>
      <c r="D687" s="14"/>
      <c r="E687" s="96"/>
      <c r="F687" s="212"/>
    </row>
    <row r="688" customFormat="false" ht="15" hidden="false" customHeight="false" outlineLevel="0" collapsed="false">
      <c r="A688" s="12" t="n">
        <v>13</v>
      </c>
      <c r="B688" s="39" t="s">
        <v>607</v>
      </c>
      <c r="C688" s="14"/>
      <c r="D688" s="14"/>
      <c r="E688" s="96"/>
      <c r="F688" s="212"/>
    </row>
    <row r="689" customFormat="false" ht="15" hidden="false" customHeight="false" outlineLevel="0" collapsed="false">
      <c r="A689" s="35" t="n">
        <v>14</v>
      </c>
      <c r="B689" s="39" t="s">
        <v>608</v>
      </c>
      <c r="C689" s="14"/>
      <c r="D689" s="14"/>
      <c r="E689" s="96"/>
      <c r="F689" s="212"/>
    </row>
    <row r="690" customFormat="false" ht="15" hidden="false" customHeight="false" outlineLevel="0" collapsed="false">
      <c r="A690" s="53" t="n">
        <v>15</v>
      </c>
      <c r="B690" s="39" t="s">
        <v>609</v>
      </c>
      <c r="C690" s="14"/>
      <c r="D690" s="14"/>
      <c r="E690" s="96"/>
      <c r="F690" s="212"/>
    </row>
    <row r="691" customFormat="false" ht="15" hidden="false" customHeight="false" outlineLevel="0" collapsed="false">
      <c r="A691" s="53" t="n">
        <v>16</v>
      </c>
      <c r="B691" s="39" t="s">
        <v>610</v>
      </c>
      <c r="C691" s="14"/>
      <c r="D691" s="14"/>
      <c r="E691" s="96"/>
      <c r="F691" s="212"/>
    </row>
    <row r="692" customFormat="false" ht="15" hidden="false" customHeight="false" outlineLevel="0" collapsed="false">
      <c r="A692" s="53" t="n">
        <v>17</v>
      </c>
      <c r="B692" s="39" t="s">
        <v>611</v>
      </c>
      <c r="C692" s="14"/>
      <c r="D692" s="14"/>
      <c r="E692" s="96"/>
      <c r="F692" s="212"/>
    </row>
    <row r="693" customFormat="false" ht="15" hidden="false" customHeight="false" outlineLevel="0" collapsed="false">
      <c r="A693" s="53" t="n">
        <v>18</v>
      </c>
      <c r="B693" s="39" t="s">
        <v>612</v>
      </c>
      <c r="C693" s="14"/>
      <c r="D693" s="14"/>
      <c r="E693" s="96"/>
      <c r="F693" s="212"/>
    </row>
    <row r="694" customFormat="false" ht="15" hidden="false" customHeight="false" outlineLevel="0" collapsed="false">
      <c r="A694" s="53" t="n">
        <v>19</v>
      </c>
      <c r="B694" s="39" t="s">
        <v>614</v>
      </c>
      <c r="C694" s="14"/>
      <c r="D694" s="14"/>
      <c r="E694" s="96"/>
      <c r="F694" s="212"/>
    </row>
    <row r="695" customFormat="false" ht="15" hidden="false" customHeight="false" outlineLevel="0" collapsed="false">
      <c r="A695" s="53" t="n">
        <v>20</v>
      </c>
      <c r="B695" s="39" t="s">
        <v>615</v>
      </c>
      <c r="C695" s="14"/>
      <c r="D695" s="14"/>
      <c r="E695" s="96"/>
      <c r="F695" s="212"/>
    </row>
    <row r="696" customFormat="false" ht="15" hidden="false" customHeight="false" outlineLevel="0" collapsed="false">
      <c r="A696" s="53" t="n">
        <v>21</v>
      </c>
      <c r="B696" s="39" t="s">
        <v>616</v>
      </c>
      <c r="C696" s="14"/>
      <c r="D696" s="14"/>
      <c r="E696" s="96"/>
      <c r="F696" s="212"/>
    </row>
    <row r="697" customFormat="false" ht="15" hidden="false" customHeight="false" outlineLevel="0" collapsed="false">
      <c r="A697" s="53" t="n">
        <v>22</v>
      </c>
      <c r="B697" s="39" t="s">
        <v>617</v>
      </c>
      <c r="C697" s="14"/>
      <c r="D697" s="14"/>
      <c r="E697" s="96"/>
      <c r="F697" s="212"/>
    </row>
    <row r="698" customFormat="false" ht="15" hidden="false" customHeight="false" outlineLevel="0" collapsed="false">
      <c r="A698" s="53" t="n">
        <v>23</v>
      </c>
      <c r="B698" s="39" t="s">
        <v>618</v>
      </c>
      <c r="C698" s="14"/>
      <c r="D698" s="14"/>
      <c r="E698" s="96"/>
      <c r="F698" s="212"/>
    </row>
    <row r="699" customFormat="false" ht="15" hidden="false" customHeight="false" outlineLevel="0" collapsed="false">
      <c r="A699" s="53" t="n">
        <v>24</v>
      </c>
      <c r="B699" s="39" t="s">
        <v>619</v>
      </c>
      <c r="C699" s="14"/>
      <c r="D699" s="14"/>
      <c r="E699" s="96"/>
      <c r="F699" s="212"/>
    </row>
    <row r="700" customFormat="false" ht="15" hidden="false" customHeight="false" outlineLevel="0" collapsed="false">
      <c r="A700" s="53" t="n">
        <v>25</v>
      </c>
      <c r="B700" s="39" t="s">
        <v>620</v>
      </c>
      <c r="C700" s="14"/>
      <c r="D700" s="14"/>
      <c r="E700" s="96"/>
      <c r="F700" s="212"/>
    </row>
    <row r="701" customFormat="false" ht="17.35" hidden="false" customHeight="false" outlineLevel="0" collapsed="false">
      <c r="A701" s="22"/>
      <c r="B701" s="23" t="s">
        <v>21</v>
      </c>
      <c r="C701" s="24" t="n">
        <f aca="false">SUM(C676:C700)</f>
        <v>0</v>
      </c>
      <c r="D701" s="54" t="n">
        <f aca="false">SUM(D676:D700)</f>
        <v>0</v>
      </c>
      <c r="E701" s="111" t="n">
        <f aca="false">SUM(E676:E700)</f>
        <v>0</v>
      </c>
      <c r="F701" s="214"/>
    </row>
    <row r="702" customFormat="false" ht="15" hidden="false" customHeight="false" outlineLevel="0" collapsed="false">
      <c r="A702" s="71"/>
    </row>
    <row r="704" customFormat="false" ht="17.35" hidden="false" customHeight="false" outlineLevel="0" collapsed="false">
      <c r="B704" s="3" t="s">
        <v>0</v>
      </c>
    </row>
    <row r="705" customFormat="false" ht="15" hidden="false" customHeight="false" outlineLevel="0" collapsed="false">
      <c r="A705" s="2"/>
    </row>
    <row r="706" customFormat="false" ht="15" hidden="false" customHeight="false" outlineLevel="0" collapsed="false">
      <c r="A706" s="2"/>
    </row>
    <row r="707" customFormat="false" ht="17.25" hidden="false" customHeight="false" outlineLevel="0" collapsed="false">
      <c r="A707" s="2"/>
      <c r="B707" s="5" t="s">
        <v>621</v>
      </c>
    </row>
    <row r="708" customFormat="false" ht="15" hidden="false" customHeight="false" outlineLevel="0" collapsed="false">
      <c r="A708" s="2"/>
      <c r="D708" s="6" t="s">
        <v>178</v>
      </c>
    </row>
    <row r="709" customFormat="false" ht="15" hidden="false" customHeight="false" outlineLevel="0" collapsed="false">
      <c r="A709" s="2"/>
    </row>
    <row r="710" customFormat="false" ht="15" hidden="false" customHeight="false" outlineLevel="0" collapsed="false">
      <c r="A710" s="7" t="s">
        <v>3</v>
      </c>
      <c r="B710" s="8" t="s">
        <v>4</v>
      </c>
      <c r="C710" s="9" t="s">
        <v>5</v>
      </c>
      <c r="D710" s="10" t="s">
        <v>6</v>
      </c>
      <c r="E710" s="105" t="s">
        <v>7</v>
      </c>
      <c r="F710" s="210" t="s">
        <v>1092</v>
      </c>
    </row>
    <row r="711" customFormat="false" ht="15" hidden="false" customHeight="false" outlineLevel="0" collapsed="false">
      <c r="A711" s="12" t="n">
        <v>1</v>
      </c>
      <c r="B711" s="13" t="s">
        <v>622</v>
      </c>
      <c r="C711" s="14"/>
      <c r="D711" s="14"/>
      <c r="E711" s="96"/>
      <c r="F711" s="211"/>
    </row>
    <row r="712" customFormat="false" ht="15" hidden="false" customHeight="false" outlineLevel="0" collapsed="false">
      <c r="A712" s="35" t="n">
        <v>2</v>
      </c>
      <c r="B712" s="36" t="s">
        <v>623</v>
      </c>
      <c r="C712" s="14"/>
      <c r="D712" s="14"/>
      <c r="E712" s="96"/>
      <c r="F712" s="212"/>
    </row>
    <row r="713" customFormat="false" ht="15" hidden="false" customHeight="false" outlineLevel="0" collapsed="false">
      <c r="A713" s="12" t="n">
        <v>3</v>
      </c>
      <c r="B713" s="36" t="s">
        <v>624</v>
      </c>
      <c r="C713" s="14"/>
      <c r="D713" s="14"/>
      <c r="E713" s="96"/>
      <c r="F713" s="213"/>
    </row>
    <row r="714" customFormat="false" ht="15" hidden="false" customHeight="false" outlineLevel="0" collapsed="false">
      <c r="A714" s="35" t="n">
        <v>4</v>
      </c>
      <c r="B714" s="36" t="s">
        <v>625</v>
      </c>
      <c r="C714" s="14"/>
      <c r="D714" s="14"/>
      <c r="E714" s="96"/>
      <c r="F714" s="212"/>
    </row>
    <row r="715" customFormat="false" ht="15" hidden="false" customHeight="false" outlineLevel="0" collapsed="false">
      <c r="A715" s="35" t="n">
        <v>5</v>
      </c>
      <c r="B715" s="36" t="s">
        <v>627</v>
      </c>
      <c r="C715" s="14"/>
      <c r="D715" s="14"/>
      <c r="E715" s="96"/>
      <c r="F715" s="212"/>
    </row>
    <row r="716" customFormat="false" ht="15" hidden="false" customHeight="false" outlineLevel="0" collapsed="false">
      <c r="A716" s="12" t="n">
        <v>6</v>
      </c>
      <c r="B716" s="36" t="s">
        <v>628</v>
      </c>
      <c r="C716" s="14"/>
      <c r="D716" s="14"/>
      <c r="E716" s="96"/>
      <c r="F716" s="212"/>
    </row>
    <row r="717" customFormat="false" ht="15" hidden="false" customHeight="false" outlineLevel="0" collapsed="false">
      <c r="A717" s="35" t="n">
        <v>7</v>
      </c>
      <c r="B717" s="36" t="s">
        <v>629</v>
      </c>
      <c r="C717" s="14"/>
      <c r="D717" s="14"/>
      <c r="E717" s="96"/>
      <c r="F717" s="212"/>
    </row>
    <row r="718" customFormat="false" ht="15" hidden="false" customHeight="false" outlineLevel="0" collapsed="false">
      <c r="A718" s="35" t="n">
        <v>8</v>
      </c>
      <c r="B718" s="36" t="s">
        <v>631</v>
      </c>
      <c r="C718" s="14"/>
      <c r="D718" s="14"/>
      <c r="E718" s="96"/>
      <c r="F718" s="212"/>
    </row>
    <row r="719" customFormat="false" ht="15" hidden="false" customHeight="false" outlineLevel="0" collapsed="false">
      <c r="A719" s="35" t="n">
        <v>9</v>
      </c>
      <c r="B719" s="36" t="s">
        <v>632</v>
      </c>
      <c r="C719" s="14"/>
      <c r="D719" s="14"/>
      <c r="E719" s="96"/>
      <c r="F719" s="212"/>
    </row>
    <row r="720" customFormat="false" ht="15" hidden="false" customHeight="false" outlineLevel="0" collapsed="false">
      <c r="A720" s="35" t="n">
        <v>10</v>
      </c>
      <c r="B720" s="36" t="s">
        <v>633</v>
      </c>
      <c r="C720" s="14"/>
      <c r="D720" s="14"/>
      <c r="E720" s="96"/>
      <c r="F720" s="212"/>
    </row>
    <row r="721" customFormat="false" ht="15" hidden="false" customHeight="false" outlineLevel="0" collapsed="false">
      <c r="A721" s="35" t="n">
        <v>11</v>
      </c>
      <c r="B721" s="36" t="s">
        <v>634</v>
      </c>
      <c r="C721" s="14"/>
      <c r="D721" s="14"/>
      <c r="E721" s="96"/>
      <c r="F721" s="212"/>
    </row>
    <row r="722" customFormat="false" ht="15" hidden="false" customHeight="false" outlineLevel="0" collapsed="false">
      <c r="A722" s="35" t="n">
        <v>12</v>
      </c>
      <c r="B722" s="36" t="s">
        <v>635</v>
      </c>
      <c r="C722" s="14"/>
      <c r="D722" s="14"/>
      <c r="E722" s="96"/>
      <c r="F722" s="212"/>
    </row>
    <row r="723" customFormat="false" ht="15" hidden="false" customHeight="false" outlineLevel="0" collapsed="false">
      <c r="A723" s="35" t="n">
        <v>13</v>
      </c>
      <c r="B723" s="36" t="s">
        <v>636</v>
      </c>
      <c r="C723" s="14"/>
      <c r="D723" s="14"/>
      <c r="E723" s="96"/>
      <c r="F723" s="212"/>
    </row>
    <row r="724" customFormat="false" ht="15" hidden="false" customHeight="false" outlineLevel="0" collapsed="false">
      <c r="A724" s="35" t="n">
        <v>14</v>
      </c>
      <c r="B724" s="36" t="s">
        <v>637</v>
      </c>
      <c r="C724" s="14"/>
      <c r="D724" s="14"/>
      <c r="E724" s="96"/>
      <c r="F724" s="212"/>
    </row>
    <row r="725" customFormat="false" ht="15" hidden="false" customHeight="false" outlineLevel="0" collapsed="false">
      <c r="A725" s="35" t="n">
        <v>15</v>
      </c>
      <c r="B725" s="36" t="s">
        <v>638</v>
      </c>
      <c r="C725" s="14"/>
      <c r="D725" s="14"/>
      <c r="E725" s="96"/>
      <c r="F725" s="212"/>
    </row>
    <row r="726" customFormat="false" ht="15" hidden="false" customHeight="false" outlineLevel="0" collapsed="false">
      <c r="A726" s="35" t="n">
        <v>16</v>
      </c>
      <c r="B726" s="36" t="s">
        <v>639</v>
      </c>
      <c r="C726" s="14"/>
      <c r="D726" s="14"/>
      <c r="E726" s="96"/>
      <c r="F726" s="212"/>
    </row>
    <row r="727" customFormat="false" ht="15" hidden="false" customHeight="false" outlineLevel="0" collapsed="false">
      <c r="A727" s="35" t="n">
        <v>17</v>
      </c>
      <c r="B727" s="36" t="s">
        <v>640</v>
      </c>
      <c r="C727" s="14"/>
      <c r="D727" s="14"/>
      <c r="E727" s="96"/>
      <c r="F727" s="212"/>
    </row>
    <row r="728" customFormat="false" ht="15" hidden="false" customHeight="false" outlineLevel="0" collapsed="false">
      <c r="A728" s="35" t="n">
        <v>18</v>
      </c>
      <c r="B728" s="36" t="s">
        <v>641</v>
      </c>
      <c r="C728" s="14"/>
      <c r="D728" s="14"/>
      <c r="E728" s="96"/>
      <c r="F728" s="212"/>
    </row>
    <row r="729" customFormat="false" ht="15" hidden="false" customHeight="false" outlineLevel="0" collapsed="false">
      <c r="A729" s="35" t="n">
        <v>19</v>
      </c>
      <c r="B729" s="36" t="s">
        <v>642</v>
      </c>
      <c r="C729" s="14"/>
      <c r="D729" s="14"/>
      <c r="E729" s="96"/>
      <c r="F729" s="212"/>
    </row>
    <row r="730" customFormat="false" ht="15" hidden="false" customHeight="false" outlineLevel="0" collapsed="false">
      <c r="A730" s="35" t="n">
        <v>20</v>
      </c>
      <c r="B730" s="36" t="s">
        <v>643</v>
      </c>
      <c r="C730" s="14"/>
      <c r="D730" s="14"/>
      <c r="E730" s="96"/>
      <c r="F730" s="212"/>
    </row>
    <row r="731" customFormat="false" ht="15" hidden="false" customHeight="false" outlineLevel="0" collapsed="false">
      <c r="A731" s="35" t="n">
        <v>21</v>
      </c>
      <c r="B731" s="36" t="s">
        <v>644</v>
      </c>
      <c r="C731" s="14"/>
      <c r="D731" s="14"/>
      <c r="E731" s="96"/>
      <c r="F731" s="212"/>
    </row>
    <row r="732" customFormat="false" ht="15" hidden="false" customHeight="false" outlineLevel="0" collapsed="false">
      <c r="A732" s="35" t="n">
        <v>22</v>
      </c>
      <c r="B732" s="36" t="s">
        <v>645</v>
      </c>
      <c r="C732" s="14"/>
      <c r="D732" s="14"/>
      <c r="E732" s="96"/>
      <c r="F732" s="212"/>
    </row>
    <row r="733" customFormat="false" ht="15" hidden="false" customHeight="false" outlineLevel="0" collapsed="false">
      <c r="A733" s="35" t="n">
        <v>23</v>
      </c>
      <c r="B733" s="36" t="s">
        <v>646</v>
      </c>
      <c r="C733" s="14"/>
      <c r="D733" s="14"/>
      <c r="E733" s="96"/>
      <c r="F733" s="212"/>
    </row>
    <row r="734" customFormat="false" ht="15" hidden="false" customHeight="false" outlineLevel="0" collapsed="false">
      <c r="A734" s="35" t="n">
        <v>24</v>
      </c>
      <c r="B734" s="36" t="s">
        <v>647</v>
      </c>
      <c r="C734" s="14"/>
      <c r="D734" s="14"/>
      <c r="E734" s="96"/>
      <c r="F734" s="212"/>
    </row>
    <row r="735" customFormat="false" ht="15" hidden="false" customHeight="false" outlineLevel="0" collapsed="false">
      <c r="A735" s="35" t="n">
        <v>25</v>
      </c>
      <c r="B735" s="36" t="s">
        <v>648</v>
      </c>
      <c r="C735" s="14"/>
      <c r="D735" s="14"/>
      <c r="E735" s="96"/>
      <c r="F735" s="212"/>
    </row>
    <row r="736" customFormat="false" ht="15" hidden="false" customHeight="false" outlineLevel="0" collapsed="false">
      <c r="A736" s="35" t="n">
        <v>26</v>
      </c>
      <c r="B736" s="36" t="s">
        <v>649</v>
      </c>
      <c r="C736" s="14"/>
      <c r="D736" s="14"/>
      <c r="E736" s="96"/>
      <c r="F736" s="212"/>
    </row>
    <row r="737" customFormat="false" ht="15" hidden="false" customHeight="false" outlineLevel="0" collapsed="false">
      <c r="A737" s="35" t="n">
        <v>27</v>
      </c>
      <c r="B737" s="36" t="s">
        <v>651</v>
      </c>
      <c r="C737" s="14"/>
      <c r="D737" s="14"/>
      <c r="E737" s="96"/>
      <c r="F737" s="212"/>
    </row>
    <row r="738" customFormat="false" ht="15" hidden="false" customHeight="false" outlineLevel="0" collapsed="false">
      <c r="A738" s="35" t="n">
        <v>28</v>
      </c>
      <c r="B738" s="36" t="s">
        <v>652</v>
      </c>
      <c r="C738" s="14"/>
      <c r="D738" s="14"/>
      <c r="E738" s="96"/>
      <c r="F738" s="212"/>
    </row>
    <row r="739" customFormat="false" ht="15" hidden="false" customHeight="false" outlineLevel="0" collapsed="false">
      <c r="A739" s="35" t="n">
        <v>29</v>
      </c>
      <c r="B739" s="36" t="s">
        <v>653</v>
      </c>
      <c r="C739" s="14"/>
      <c r="D739" s="14"/>
      <c r="E739" s="96"/>
      <c r="F739" s="213"/>
    </row>
    <row r="740" customFormat="false" ht="15" hidden="false" customHeight="false" outlineLevel="0" collapsed="false">
      <c r="A740" s="35" t="n">
        <v>30</v>
      </c>
      <c r="B740" s="36" t="s">
        <v>654</v>
      </c>
      <c r="C740" s="14"/>
      <c r="D740" s="14"/>
      <c r="E740" s="96"/>
      <c r="F740" s="213"/>
    </row>
    <row r="741" customFormat="false" ht="15" hidden="false" customHeight="false" outlineLevel="0" collapsed="false">
      <c r="A741" s="35" t="n">
        <v>31</v>
      </c>
      <c r="B741" s="36" t="s">
        <v>655</v>
      </c>
      <c r="C741" s="14"/>
      <c r="D741" s="14"/>
      <c r="E741" s="96"/>
      <c r="F741" s="213"/>
    </row>
    <row r="742" customFormat="false" ht="15" hidden="false" customHeight="false" outlineLevel="0" collapsed="false">
      <c r="A742" s="35" t="n">
        <v>32</v>
      </c>
      <c r="B742" s="36" t="s">
        <v>656</v>
      </c>
      <c r="C742" s="14"/>
      <c r="D742" s="14"/>
      <c r="E742" s="96"/>
      <c r="F742" s="213"/>
    </row>
    <row r="743" customFormat="false" ht="15" hidden="false" customHeight="false" outlineLevel="0" collapsed="false">
      <c r="A743" s="35" t="n">
        <v>33</v>
      </c>
      <c r="B743" s="36" t="s">
        <v>658</v>
      </c>
      <c r="C743" s="14"/>
      <c r="D743" s="14"/>
      <c r="E743" s="96"/>
      <c r="F743" s="213"/>
    </row>
    <row r="744" customFormat="false" ht="15" hidden="false" customHeight="false" outlineLevel="0" collapsed="false">
      <c r="A744" s="35" t="n">
        <v>34</v>
      </c>
      <c r="B744" s="36" t="s">
        <v>661</v>
      </c>
      <c r="C744" s="14"/>
      <c r="D744" s="14"/>
      <c r="E744" s="96"/>
      <c r="F744" s="213"/>
    </row>
    <row r="745" customFormat="false" ht="15" hidden="false" customHeight="false" outlineLevel="0" collapsed="false">
      <c r="A745" s="35" t="n">
        <v>35</v>
      </c>
      <c r="B745" s="36" t="s">
        <v>662</v>
      </c>
      <c r="C745" s="14"/>
      <c r="D745" s="14"/>
      <c r="E745" s="96"/>
      <c r="F745" s="212"/>
    </row>
    <row r="746" customFormat="false" ht="15" hidden="false" customHeight="false" outlineLevel="0" collapsed="false">
      <c r="A746" s="35" t="n">
        <v>36</v>
      </c>
      <c r="B746" s="36" t="s">
        <v>663</v>
      </c>
      <c r="C746" s="14"/>
      <c r="D746" s="14"/>
      <c r="E746" s="96"/>
      <c r="F746" s="212"/>
    </row>
    <row r="747" customFormat="false" ht="15" hidden="false" customHeight="false" outlineLevel="0" collapsed="false">
      <c r="A747" s="12" t="n">
        <v>37</v>
      </c>
      <c r="B747" s="36" t="s">
        <v>664</v>
      </c>
      <c r="C747" s="14"/>
      <c r="D747" s="14"/>
      <c r="E747" s="96"/>
      <c r="F747" s="212"/>
    </row>
    <row r="748" customFormat="false" ht="15" hidden="false" customHeight="false" outlineLevel="0" collapsed="false">
      <c r="A748" s="12" t="n">
        <v>38</v>
      </c>
      <c r="B748" s="36" t="s">
        <v>665</v>
      </c>
      <c r="C748" s="14"/>
      <c r="D748" s="14"/>
      <c r="E748" s="96"/>
      <c r="F748" s="212"/>
    </row>
    <row r="749" customFormat="false" ht="15" hidden="false" customHeight="false" outlineLevel="0" collapsed="false">
      <c r="A749" s="12" t="n">
        <v>39</v>
      </c>
      <c r="B749" s="36" t="s">
        <v>666</v>
      </c>
      <c r="C749" s="14"/>
      <c r="D749" s="14"/>
      <c r="E749" s="96"/>
      <c r="F749" s="212"/>
    </row>
    <row r="750" customFormat="false" ht="15" hidden="false" customHeight="false" outlineLevel="0" collapsed="false">
      <c r="A750" s="35" t="n">
        <v>40</v>
      </c>
      <c r="B750" s="36" t="s">
        <v>667</v>
      </c>
      <c r="C750" s="14"/>
      <c r="D750" s="14"/>
      <c r="E750" s="96"/>
      <c r="F750" s="212"/>
    </row>
    <row r="751" customFormat="false" ht="15" hidden="false" customHeight="false" outlineLevel="0" collapsed="false">
      <c r="A751" s="35" t="n">
        <v>41</v>
      </c>
      <c r="B751" s="36" t="s">
        <v>668</v>
      </c>
      <c r="C751" s="14"/>
      <c r="D751" s="14"/>
      <c r="E751" s="96"/>
      <c r="F751" s="212"/>
    </row>
    <row r="752" customFormat="false" ht="15" hidden="false" customHeight="false" outlineLevel="0" collapsed="false">
      <c r="A752" s="35" t="n">
        <v>42</v>
      </c>
      <c r="B752" s="90" t="s">
        <v>669</v>
      </c>
      <c r="C752" s="92"/>
      <c r="D752" s="92"/>
      <c r="E752" s="96"/>
      <c r="F752" s="212"/>
    </row>
    <row r="753" customFormat="false" ht="15" hidden="false" customHeight="false" outlineLevel="0" collapsed="false">
      <c r="A753" s="35" t="n">
        <v>43</v>
      </c>
      <c r="B753" s="36" t="s">
        <v>671</v>
      </c>
      <c r="C753" s="14"/>
      <c r="D753" s="14"/>
      <c r="E753" s="96"/>
      <c r="F753" s="212"/>
    </row>
    <row r="754" customFormat="false" ht="15" hidden="false" customHeight="false" outlineLevel="0" collapsed="false">
      <c r="A754" s="35" t="n">
        <v>44</v>
      </c>
      <c r="B754" s="36" t="s">
        <v>672</v>
      </c>
      <c r="C754" s="14"/>
      <c r="D754" s="14"/>
      <c r="E754" s="96"/>
      <c r="F754" s="212"/>
    </row>
    <row r="755" customFormat="false" ht="15" hidden="false" customHeight="false" outlineLevel="0" collapsed="false">
      <c r="A755" s="53" t="n">
        <v>45</v>
      </c>
      <c r="B755" s="36" t="s">
        <v>673</v>
      </c>
      <c r="C755" s="14"/>
      <c r="D755" s="14"/>
      <c r="E755" s="96"/>
      <c r="F755" s="212"/>
    </row>
    <row r="756" customFormat="false" ht="15" hidden="false" customHeight="false" outlineLevel="0" collapsed="false">
      <c r="A756" s="53" t="n">
        <v>46</v>
      </c>
      <c r="B756" s="36" t="s">
        <v>674</v>
      </c>
      <c r="C756" s="14"/>
      <c r="D756" s="14"/>
      <c r="E756" s="96"/>
      <c r="F756" s="212"/>
    </row>
    <row r="757" customFormat="false" ht="15" hidden="false" customHeight="false" outlineLevel="0" collapsed="false">
      <c r="A757" s="12" t="n">
        <v>47</v>
      </c>
      <c r="B757" s="36" t="s">
        <v>675</v>
      </c>
      <c r="C757" s="14"/>
      <c r="D757" s="14"/>
      <c r="E757" s="96"/>
      <c r="F757" s="212"/>
    </row>
    <row r="758" customFormat="false" ht="15" hidden="false" customHeight="false" outlineLevel="0" collapsed="false">
      <c r="A758" s="35" t="n">
        <v>48</v>
      </c>
      <c r="B758" s="36" t="s">
        <v>676</v>
      </c>
      <c r="C758" s="14"/>
      <c r="D758" s="14"/>
      <c r="E758" s="96"/>
      <c r="F758" s="212"/>
    </row>
    <row r="759" customFormat="false" ht="15" hidden="false" customHeight="false" outlineLevel="0" collapsed="false">
      <c r="A759" s="12" t="n">
        <v>49</v>
      </c>
      <c r="B759" s="36" t="s">
        <v>677</v>
      </c>
      <c r="C759" s="14"/>
      <c r="D759" s="14"/>
      <c r="E759" s="96"/>
      <c r="F759" s="212"/>
    </row>
    <row r="760" customFormat="false" ht="15" hidden="false" customHeight="false" outlineLevel="0" collapsed="false">
      <c r="A760" s="35" t="n">
        <v>50</v>
      </c>
      <c r="B760" s="36" t="s">
        <v>678</v>
      </c>
      <c r="C760" s="14"/>
      <c r="D760" s="14"/>
      <c r="E760" s="96"/>
      <c r="F760" s="212"/>
    </row>
    <row r="761" customFormat="false" ht="15" hidden="false" customHeight="false" outlineLevel="0" collapsed="false">
      <c r="A761" s="12" t="n">
        <v>51</v>
      </c>
      <c r="B761" s="36" t="s">
        <v>679</v>
      </c>
      <c r="C761" s="14"/>
      <c r="D761" s="14"/>
      <c r="E761" s="96"/>
      <c r="F761" s="212"/>
    </row>
    <row r="762" customFormat="false" ht="15" hidden="false" customHeight="false" outlineLevel="0" collapsed="false">
      <c r="A762" s="35" t="n">
        <v>52</v>
      </c>
      <c r="B762" s="36" t="s">
        <v>680</v>
      </c>
      <c r="C762" s="14"/>
      <c r="D762" s="14"/>
      <c r="E762" s="96"/>
      <c r="F762" s="212"/>
    </row>
    <row r="763" customFormat="false" ht="15" hidden="false" customHeight="false" outlineLevel="0" collapsed="false">
      <c r="A763" s="12" t="n">
        <v>53</v>
      </c>
      <c r="B763" s="36" t="s">
        <v>681</v>
      </c>
      <c r="C763" s="14"/>
      <c r="D763" s="14"/>
      <c r="E763" s="96"/>
      <c r="F763" s="212"/>
    </row>
    <row r="764" customFormat="false" ht="15" hidden="false" customHeight="false" outlineLevel="0" collapsed="false">
      <c r="A764" s="35" t="n">
        <v>54</v>
      </c>
      <c r="B764" s="36" t="s">
        <v>682</v>
      </c>
      <c r="C764" s="14"/>
      <c r="D764" s="14"/>
      <c r="E764" s="96"/>
      <c r="F764" s="212"/>
    </row>
    <row r="765" customFormat="false" ht="15" hidden="false" customHeight="false" outlineLevel="0" collapsed="false">
      <c r="A765" s="12" t="n">
        <v>55</v>
      </c>
      <c r="B765" s="36" t="s">
        <v>684</v>
      </c>
      <c r="C765" s="14"/>
      <c r="D765" s="14"/>
      <c r="E765" s="96"/>
      <c r="F765" s="212"/>
    </row>
    <row r="766" customFormat="false" ht="15" hidden="false" customHeight="false" outlineLevel="0" collapsed="false">
      <c r="A766" s="12" t="n">
        <v>56</v>
      </c>
      <c r="B766" s="36" t="s">
        <v>685</v>
      </c>
      <c r="C766" s="14"/>
      <c r="D766" s="14"/>
      <c r="E766" s="96"/>
      <c r="F766" s="212"/>
    </row>
    <row r="767" customFormat="false" ht="15" hidden="false" customHeight="false" outlineLevel="0" collapsed="false">
      <c r="A767" s="12" t="n">
        <v>57</v>
      </c>
      <c r="B767" s="36" t="s">
        <v>686</v>
      </c>
      <c r="C767" s="14"/>
      <c r="D767" s="14"/>
      <c r="E767" s="96"/>
      <c r="F767" s="212"/>
    </row>
    <row r="768" customFormat="false" ht="15" hidden="false" customHeight="false" outlineLevel="0" collapsed="false">
      <c r="A768" s="12" t="n">
        <v>58</v>
      </c>
      <c r="B768" s="36" t="s">
        <v>687</v>
      </c>
      <c r="C768" s="14"/>
      <c r="D768" s="14"/>
      <c r="E768" s="96"/>
      <c r="F768" s="212"/>
    </row>
    <row r="769" customFormat="false" ht="15" hidden="false" customHeight="false" outlineLevel="0" collapsed="false">
      <c r="A769" s="12" t="n">
        <v>59</v>
      </c>
      <c r="B769" s="36" t="s">
        <v>688</v>
      </c>
      <c r="C769" s="14"/>
      <c r="D769" s="14"/>
      <c r="E769" s="96"/>
      <c r="F769" s="212"/>
    </row>
    <row r="770" customFormat="false" ht="15" hidden="false" customHeight="false" outlineLevel="0" collapsed="false">
      <c r="A770" s="12" t="n">
        <v>60</v>
      </c>
      <c r="B770" s="36" t="s">
        <v>689</v>
      </c>
      <c r="C770" s="14"/>
      <c r="D770" s="14"/>
      <c r="E770" s="96"/>
      <c r="F770" s="212"/>
    </row>
    <row r="771" customFormat="false" ht="15" hidden="false" customHeight="false" outlineLevel="0" collapsed="false">
      <c r="A771" s="12" t="n">
        <v>61</v>
      </c>
      <c r="B771" s="36" t="s">
        <v>690</v>
      </c>
      <c r="C771" s="14"/>
      <c r="D771" s="14"/>
      <c r="E771" s="96"/>
      <c r="F771" s="212"/>
    </row>
    <row r="772" customFormat="false" ht="15" hidden="false" customHeight="false" outlineLevel="0" collapsed="false">
      <c r="A772" s="12" t="n">
        <v>62</v>
      </c>
      <c r="B772" s="36" t="s">
        <v>691</v>
      </c>
      <c r="C772" s="14"/>
      <c r="D772" s="14"/>
      <c r="E772" s="69"/>
      <c r="F772" s="212"/>
    </row>
    <row r="773" customFormat="false" ht="15" hidden="false" customHeight="false" outlineLevel="0" collapsed="false">
      <c r="A773" s="12" t="n">
        <v>63</v>
      </c>
      <c r="B773" s="36" t="s">
        <v>692</v>
      </c>
      <c r="C773" s="14"/>
      <c r="D773" s="14"/>
      <c r="E773" s="96"/>
      <c r="F773" s="212"/>
    </row>
    <row r="774" customFormat="false" ht="15" hidden="false" customHeight="false" outlineLevel="0" collapsed="false">
      <c r="A774" s="12" t="n">
        <v>64</v>
      </c>
      <c r="B774" s="36" t="s">
        <v>693</v>
      </c>
      <c r="C774" s="14"/>
      <c r="D774" s="14"/>
      <c r="E774" s="96"/>
      <c r="F774" s="212"/>
    </row>
    <row r="775" customFormat="false" ht="15" hidden="false" customHeight="false" outlineLevel="0" collapsed="false">
      <c r="A775" s="12" t="n">
        <v>65</v>
      </c>
      <c r="B775" s="36" t="s">
        <v>694</v>
      </c>
      <c r="C775" s="14"/>
      <c r="D775" s="14"/>
      <c r="E775" s="96"/>
      <c r="F775" s="212"/>
    </row>
    <row r="776" customFormat="false" ht="15" hidden="false" customHeight="false" outlineLevel="0" collapsed="false">
      <c r="A776" s="12" t="n">
        <v>66</v>
      </c>
      <c r="B776" s="36" t="s">
        <v>695</v>
      </c>
      <c r="C776" s="14"/>
      <c r="D776" s="14"/>
      <c r="E776" s="96"/>
      <c r="F776" s="212"/>
    </row>
    <row r="777" customFormat="false" ht="15" hidden="false" customHeight="false" outlineLevel="0" collapsed="false">
      <c r="A777" s="12" t="n">
        <v>67</v>
      </c>
      <c r="B777" s="36" t="s">
        <v>696</v>
      </c>
      <c r="C777" s="14"/>
      <c r="D777" s="14"/>
      <c r="E777" s="96"/>
      <c r="F777" s="212"/>
    </row>
    <row r="778" customFormat="false" ht="15" hidden="false" customHeight="false" outlineLevel="0" collapsed="false">
      <c r="A778" s="12" t="n">
        <v>68</v>
      </c>
      <c r="B778" s="36" t="s">
        <v>697</v>
      </c>
      <c r="C778" s="14"/>
      <c r="D778" s="14"/>
      <c r="E778" s="96"/>
      <c r="F778" s="212"/>
    </row>
    <row r="779" customFormat="false" ht="15" hidden="false" customHeight="false" outlineLevel="0" collapsed="false">
      <c r="A779" s="12" t="n">
        <v>69</v>
      </c>
      <c r="B779" s="36" t="s">
        <v>698</v>
      </c>
      <c r="C779" s="14"/>
      <c r="D779" s="14"/>
      <c r="E779" s="96"/>
      <c r="F779" s="212"/>
    </row>
    <row r="780" customFormat="false" ht="15" hidden="false" customHeight="false" outlineLevel="0" collapsed="false">
      <c r="A780" s="12" t="n">
        <v>70</v>
      </c>
      <c r="B780" s="36" t="s">
        <v>699</v>
      </c>
      <c r="C780" s="14"/>
      <c r="D780" s="14"/>
      <c r="E780" s="96"/>
      <c r="F780" s="212"/>
    </row>
    <row r="781" customFormat="false" ht="15" hidden="false" customHeight="false" outlineLevel="0" collapsed="false">
      <c r="A781" s="12" t="n">
        <v>71</v>
      </c>
      <c r="B781" s="36" t="s">
        <v>700</v>
      </c>
      <c r="C781" s="14"/>
      <c r="D781" s="14"/>
      <c r="E781" s="96"/>
      <c r="F781" s="212"/>
    </row>
    <row r="782" customFormat="false" ht="15" hidden="false" customHeight="false" outlineLevel="0" collapsed="false">
      <c r="A782" s="12" t="n">
        <v>72</v>
      </c>
      <c r="B782" s="36" t="s">
        <v>701</v>
      </c>
      <c r="C782" s="14"/>
      <c r="D782" s="14"/>
      <c r="E782" s="96"/>
      <c r="F782" s="212"/>
    </row>
    <row r="783" customFormat="false" ht="15" hidden="false" customHeight="false" outlineLevel="0" collapsed="false">
      <c r="A783" s="12" t="n">
        <v>73</v>
      </c>
      <c r="B783" s="36" t="s">
        <v>702</v>
      </c>
      <c r="C783" s="14"/>
      <c r="D783" s="14"/>
      <c r="E783" s="96"/>
      <c r="F783" s="212"/>
    </row>
    <row r="784" customFormat="false" ht="15" hidden="false" customHeight="false" outlineLevel="0" collapsed="false">
      <c r="A784" s="12" t="n">
        <v>74</v>
      </c>
      <c r="B784" s="36" t="s">
        <v>704</v>
      </c>
      <c r="C784" s="14"/>
      <c r="D784" s="14"/>
      <c r="E784" s="96"/>
      <c r="F784" s="212"/>
    </row>
    <row r="785" customFormat="false" ht="15" hidden="false" customHeight="false" outlineLevel="0" collapsed="false">
      <c r="A785" s="12" t="n">
        <v>75</v>
      </c>
      <c r="B785" s="36" t="s">
        <v>705</v>
      </c>
      <c r="C785" s="14"/>
      <c r="D785" s="14"/>
      <c r="E785" s="96"/>
      <c r="F785" s="212"/>
    </row>
    <row r="786" customFormat="false" ht="15" hidden="false" customHeight="false" outlineLevel="0" collapsed="false">
      <c r="A786" s="12" t="n">
        <v>76</v>
      </c>
      <c r="B786" s="90" t="s">
        <v>707</v>
      </c>
      <c r="C786" s="92"/>
      <c r="D786" s="92"/>
      <c r="E786" s="96"/>
      <c r="F786" s="212"/>
    </row>
    <row r="787" customFormat="false" ht="15" hidden="false" customHeight="false" outlineLevel="0" collapsed="false">
      <c r="A787" s="12" t="n">
        <v>77</v>
      </c>
      <c r="B787" s="36" t="s">
        <v>708</v>
      </c>
      <c r="C787" s="14"/>
      <c r="D787" s="14"/>
      <c r="E787" s="96"/>
      <c r="F787" s="212"/>
    </row>
    <row r="788" customFormat="false" ht="15" hidden="false" customHeight="false" outlineLevel="0" collapsed="false">
      <c r="A788" s="12" t="n">
        <v>78</v>
      </c>
      <c r="B788" s="36" t="s">
        <v>709</v>
      </c>
      <c r="C788" s="14"/>
      <c r="D788" s="14"/>
      <c r="E788" s="96"/>
      <c r="F788" s="212"/>
    </row>
    <row r="789" customFormat="false" ht="15" hidden="false" customHeight="false" outlineLevel="0" collapsed="false">
      <c r="A789" s="12" t="n">
        <v>79</v>
      </c>
      <c r="B789" s="36" t="s">
        <v>710</v>
      </c>
      <c r="C789" s="14"/>
      <c r="D789" s="14"/>
      <c r="E789" s="96"/>
      <c r="F789" s="212"/>
    </row>
    <row r="790" customFormat="false" ht="15" hidden="false" customHeight="false" outlineLevel="0" collapsed="false">
      <c r="A790" s="12" t="n">
        <v>80</v>
      </c>
      <c r="B790" s="36" t="s">
        <v>711</v>
      </c>
      <c r="C790" s="14"/>
      <c r="D790" s="14"/>
      <c r="E790" s="96"/>
      <c r="F790" s="212"/>
    </row>
    <row r="791" customFormat="false" ht="15" hidden="false" customHeight="false" outlineLevel="0" collapsed="false">
      <c r="A791" s="12" t="n">
        <v>81</v>
      </c>
      <c r="B791" s="36" t="s">
        <v>713</v>
      </c>
      <c r="C791" s="14"/>
      <c r="D791" s="14"/>
      <c r="E791" s="96"/>
      <c r="F791" s="212"/>
    </row>
    <row r="792" customFormat="false" ht="15" hidden="false" customHeight="false" outlineLevel="0" collapsed="false">
      <c r="A792" s="12" t="n">
        <v>82</v>
      </c>
      <c r="B792" s="36" t="s">
        <v>714</v>
      </c>
      <c r="C792" s="14"/>
      <c r="D792" s="14"/>
      <c r="E792" s="96"/>
      <c r="F792" s="212"/>
    </row>
    <row r="793" customFormat="false" ht="17.35" hidden="false" customHeight="false" outlineLevel="0" collapsed="false">
      <c r="A793" s="93"/>
      <c r="B793" s="23" t="s">
        <v>21</v>
      </c>
      <c r="C793" s="24" t="n">
        <f aca="false">SUM(C711:C792)</f>
        <v>0</v>
      </c>
      <c r="D793" s="54" t="n">
        <f aca="false">SUM(D711:D792)</f>
        <v>0</v>
      </c>
      <c r="E793" s="111" t="n">
        <f aca="false">SUM(E711:E792)</f>
        <v>0</v>
      </c>
      <c r="F793" s="214"/>
    </row>
    <row r="794" customFormat="false" ht="17.35" hidden="false" customHeight="false" outlineLevel="0" collapsed="false">
      <c r="A794" s="49"/>
      <c r="B794" s="28"/>
      <c r="C794" s="29"/>
      <c r="D794" s="208"/>
      <c r="E794" s="31"/>
    </row>
    <row r="795" customFormat="false" ht="17.35" hidden="false" customHeight="false" outlineLevel="0" collapsed="false">
      <c r="A795" s="49"/>
      <c r="B795" s="28"/>
      <c r="C795" s="29"/>
      <c r="D795" s="208"/>
      <c r="E795" s="31"/>
    </row>
    <row r="796" customFormat="false" ht="17.35" hidden="false" customHeight="false" outlineLevel="0" collapsed="false">
      <c r="A796" s="2"/>
      <c r="B796" s="3" t="s">
        <v>0</v>
      </c>
    </row>
    <row r="797" customFormat="false" ht="17.35" hidden="false" customHeight="false" outlineLevel="0" collapsed="false">
      <c r="A797" s="4"/>
    </row>
    <row r="798" customFormat="false" ht="15" hidden="false" customHeight="false" outlineLevel="0" collapsed="false">
      <c r="A798" s="2"/>
    </row>
    <row r="799" customFormat="false" ht="17.25" hidden="false" customHeight="false" outlineLevel="0" collapsed="false">
      <c r="A799" s="2"/>
      <c r="B799" s="5" t="s">
        <v>61</v>
      </c>
    </row>
    <row r="800" customFormat="false" ht="15" hidden="false" customHeight="false" outlineLevel="0" collapsed="false">
      <c r="A800" s="2"/>
      <c r="D800" s="6" t="s">
        <v>161</v>
      </c>
    </row>
    <row r="801" customFormat="false" ht="15" hidden="false" customHeight="false" outlineLevel="0" collapsed="false">
      <c r="A801" s="2"/>
    </row>
    <row r="802" customFormat="false" ht="15" hidden="false" customHeight="false" outlineLevel="0" collapsed="false">
      <c r="A802" s="7" t="s">
        <v>3</v>
      </c>
      <c r="B802" s="8" t="s">
        <v>4</v>
      </c>
      <c r="C802" s="9" t="s">
        <v>5</v>
      </c>
      <c r="D802" s="10" t="s">
        <v>6</v>
      </c>
      <c r="E802" s="105" t="s">
        <v>7</v>
      </c>
      <c r="F802" s="210" t="s">
        <v>1092</v>
      </c>
    </row>
    <row r="803" customFormat="false" ht="15" hidden="false" customHeight="false" outlineLevel="0" collapsed="false">
      <c r="A803" s="51" t="n">
        <v>1</v>
      </c>
      <c r="B803" s="13" t="s">
        <v>715</v>
      </c>
      <c r="C803" s="14"/>
      <c r="D803" s="14"/>
      <c r="E803" s="96"/>
      <c r="F803" s="211"/>
    </row>
    <row r="804" customFormat="false" ht="15" hidden="false" customHeight="false" outlineLevel="0" collapsed="false">
      <c r="A804" s="12" t="n">
        <v>2</v>
      </c>
      <c r="B804" s="39" t="s">
        <v>719</v>
      </c>
      <c r="C804" s="37"/>
      <c r="D804" s="37"/>
      <c r="E804" s="69"/>
      <c r="F804" s="212"/>
    </row>
    <row r="805" customFormat="false" ht="15" hidden="false" customHeight="false" outlineLevel="0" collapsed="false">
      <c r="A805" s="35" t="n">
        <v>3</v>
      </c>
      <c r="B805" s="39" t="s">
        <v>726</v>
      </c>
      <c r="C805" s="14"/>
      <c r="D805" s="14"/>
      <c r="E805" s="96"/>
      <c r="F805" s="212"/>
    </row>
    <row r="806" customFormat="false" ht="17.35" hidden="false" customHeight="false" outlineLevel="0" collapsed="false">
      <c r="A806" s="22"/>
      <c r="B806" s="23" t="s">
        <v>21</v>
      </c>
      <c r="C806" s="24" t="n">
        <f aca="false">SUM(C803:C805)</f>
        <v>0</v>
      </c>
      <c r="D806" s="54" t="n">
        <f aca="false">SUM(D803:D805)</f>
        <v>0</v>
      </c>
      <c r="E806" s="111" t="n">
        <f aca="false">SUM(E803:E805)</f>
        <v>0</v>
      </c>
      <c r="F806" s="214"/>
    </row>
    <row r="807" customFormat="false" ht="17.35" hidden="false" customHeight="false" outlineLevel="0" collapsed="false">
      <c r="A807" s="49"/>
      <c r="B807" s="28"/>
      <c r="C807" s="29"/>
      <c r="D807" s="208"/>
      <c r="E807" s="31"/>
    </row>
    <row r="809" customFormat="false" ht="17.35" hidden="false" customHeight="false" outlineLevel="0" collapsed="false">
      <c r="B809" s="3" t="s">
        <v>0</v>
      </c>
    </row>
    <row r="810" customFormat="false" ht="17.35" hidden="false" customHeight="false" outlineLevel="0" collapsed="false">
      <c r="A810" s="4"/>
    </row>
    <row r="811" customFormat="false" ht="15" hidden="false" customHeight="false" outlineLevel="0" collapsed="false">
      <c r="A811" s="2"/>
    </row>
    <row r="812" customFormat="false" ht="17.25" hidden="false" customHeight="false" outlineLevel="0" collapsed="false">
      <c r="A812" s="2"/>
      <c r="B812" s="5" t="s">
        <v>727</v>
      </c>
    </row>
    <row r="813" customFormat="false" ht="15" hidden="false" customHeight="false" outlineLevel="0" collapsed="false">
      <c r="A813" s="2"/>
      <c r="D813" s="6" t="s">
        <v>178</v>
      </c>
    </row>
    <row r="814" customFormat="false" ht="15" hidden="false" customHeight="false" outlineLevel="0" collapsed="false">
      <c r="A814" s="2"/>
    </row>
    <row r="815" customFormat="false" ht="15" hidden="false" customHeight="false" outlineLevel="0" collapsed="false">
      <c r="A815" s="7" t="s">
        <v>3</v>
      </c>
      <c r="B815" s="8" t="s">
        <v>4</v>
      </c>
      <c r="C815" s="9" t="s">
        <v>5</v>
      </c>
      <c r="D815" s="10" t="s">
        <v>6</v>
      </c>
      <c r="E815" s="105" t="s">
        <v>7</v>
      </c>
      <c r="F815" s="210" t="s">
        <v>1092</v>
      </c>
    </row>
    <row r="816" customFormat="false" ht="15" hidden="false" customHeight="false" outlineLevel="0" collapsed="false">
      <c r="A816" s="35" t="n">
        <v>1</v>
      </c>
      <c r="B816" s="39" t="s">
        <v>728</v>
      </c>
      <c r="C816" s="14"/>
      <c r="D816" s="14"/>
      <c r="E816" s="96"/>
      <c r="F816" s="211"/>
    </row>
    <row r="817" customFormat="false" ht="15" hidden="false" customHeight="false" outlineLevel="0" collapsed="false">
      <c r="A817" s="35" t="n">
        <v>2</v>
      </c>
      <c r="B817" s="20" t="s">
        <v>732</v>
      </c>
      <c r="C817" s="14"/>
      <c r="D817" s="14"/>
      <c r="E817" s="96"/>
      <c r="F817" s="212"/>
    </row>
    <row r="818" customFormat="false" ht="15" hidden="false" customHeight="false" outlineLevel="0" collapsed="false">
      <c r="A818" s="50" t="n">
        <v>3</v>
      </c>
      <c r="B818" s="39" t="s">
        <v>735</v>
      </c>
      <c r="C818" s="14"/>
      <c r="D818" s="14"/>
      <c r="E818" s="96"/>
      <c r="F818" s="212"/>
    </row>
    <row r="819" customFormat="false" ht="15" hidden="false" customHeight="false" outlineLevel="0" collapsed="false">
      <c r="A819" s="35" t="n">
        <v>4</v>
      </c>
      <c r="B819" s="39" t="s">
        <v>736</v>
      </c>
      <c r="C819" s="14"/>
      <c r="D819" s="14"/>
      <c r="E819" s="96"/>
      <c r="F819" s="212"/>
    </row>
    <row r="820" customFormat="false" ht="15" hidden="false" customHeight="false" outlineLevel="0" collapsed="false">
      <c r="A820" s="35" t="n">
        <v>5</v>
      </c>
      <c r="B820" s="39" t="s">
        <v>739</v>
      </c>
      <c r="C820" s="14"/>
      <c r="D820" s="14"/>
      <c r="E820" s="96"/>
      <c r="F820" s="212"/>
    </row>
    <row r="821" customFormat="false" ht="15" hidden="false" customHeight="false" outlineLevel="0" collapsed="false">
      <c r="A821" s="35" t="n">
        <v>6</v>
      </c>
      <c r="B821" s="39" t="s">
        <v>741</v>
      </c>
      <c r="C821" s="14"/>
      <c r="D821" s="14"/>
      <c r="E821" s="96"/>
      <c r="F821" s="212"/>
    </row>
    <row r="822" customFormat="false" ht="17.35" hidden="false" customHeight="false" outlineLevel="0" collapsed="false">
      <c r="A822" s="35"/>
      <c r="B822" s="79" t="s">
        <v>21</v>
      </c>
      <c r="C822" s="24" t="n">
        <f aca="false">SUM(C816:C821)</f>
        <v>0</v>
      </c>
      <c r="D822" s="256" t="n">
        <f aca="false">SUM(D816:D821)</f>
        <v>0</v>
      </c>
      <c r="E822" s="111" t="n">
        <f aca="false">SUM(E816:E821)</f>
        <v>0</v>
      </c>
      <c r="F822" s="214"/>
    </row>
    <row r="823" customFormat="false" ht="15" hidden="false" customHeight="false" outlineLevel="0" collapsed="false">
      <c r="F823" s="32"/>
    </row>
    <row r="827" customFormat="false" ht="17.35" hidden="false" customHeight="false" outlineLevel="0" collapsed="false">
      <c r="A827" s="2"/>
      <c r="B827" s="3" t="s">
        <v>0</v>
      </c>
    </row>
    <row r="828" customFormat="false" ht="17.35" hidden="false" customHeight="false" outlineLevel="0" collapsed="false">
      <c r="A828" s="4"/>
    </row>
    <row r="829" customFormat="false" ht="15" hidden="false" customHeight="false" outlineLevel="0" collapsed="false">
      <c r="A829" s="2"/>
    </row>
    <row r="830" customFormat="false" ht="17.25" hidden="false" customHeight="false" outlineLevel="0" collapsed="false">
      <c r="A830" s="2"/>
      <c r="B830" s="5" t="s">
        <v>103</v>
      </c>
    </row>
    <row r="831" customFormat="false" ht="15" hidden="false" customHeight="false" outlineLevel="0" collapsed="false">
      <c r="A831" s="2"/>
      <c r="D831" s="6" t="s">
        <v>161</v>
      </c>
    </row>
    <row r="832" customFormat="false" ht="15" hidden="false" customHeight="false" outlineLevel="0" collapsed="false">
      <c r="A832" s="2"/>
    </row>
    <row r="833" customFormat="false" ht="15" hidden="false" customHeight="false" outlineLevel="0" collapsed="false">
      <c r="A833" s="7" t="s">
        <v>3</v>
      </c>
      <c r="B833" s="8" t="s">
        <v>4</v>
      </c>
      <c r="C833" s="9" t="s">
        <v>5</v>
      </c>
      <c r="D833" s="10" t="s">
        <v>6</v>
      </c>
      <c r="E833" s="105" t="s">
        <v>7</v>
      </c>
      <c r="F833" s="210" t="s">
        <v>1092</v>
      </c>
    </row>
    <row r="834" customFormat="false" ht="15" hidden="false" customHeight="false" outlineLevel="0" collapsed="false">
      <c r="A834" s="12" t="n">
        <v>1</v>
      </c>
      <c r="B834" s="39" t="s">
        <v>742</v>
      </c>
      <c r="C834" s="14"/>
      <c r="D834" s="14"/>
      <c r="E834" s="96"/>
      <c r="F834" s="211"/>
    </row>
    <row r="835" customFormat="false" ht="15" hidden="false" customHeight="false" outlineLevel="0" collapsed="false">
      <c r="A835" s="12" t="n">
        <v>2</v>
      </c>
      <c r="B835" s="39" t="s">
        <v>745</v>
      </c>
      <c r="C835" s="14"/>
      <c r="D835" s="14"/>
      <c r="E835" s="96"/>
      <c r="F835" s="212"/>
    </row>
    <row r="836" customFormat="false" ht="15" hidden="false" customHeight="false" outlineLevel="0" collapsed="false">
      <c r="A836" s="12" t="n">
        <v>3</v>
      </c>
      <c r="B836" s="39" t="s">
        <v>746</v>
      </c>
      <c r="C836" s="96"/>
      <c r="D836" s="107"/>
      <c r="E836" s="96"/>
      <c r="F836" s="212"/>
    </row>
    <row r="837" customFormat="false" ht="17.35" hidden="false" customHeight="false" outlineLevel="0" collapsed="false">
      <c r="A837" s="22"/>
      <c r="B837" s="23" t="s">
        <v>21</v>
      </c>
      <c r="C837" s="24" t="n">
        <f aca="false">SUM(C834:C836)</f>
        <v>0</v>
      </c>
      <c r="D837" s="54" t="n">
        <f aca="false">SUM(D834:D836)</f>
        <v>0</v>
      </c>
      <c r="E837" s="111" t="n">
        <f aca="false">SUM(E834:E836)</f>
        <v>0</v>
      </c>
      <c r="F837" s="214"/>
    </row>
    <row r="841" customFormat="false" ht="17.35" hidden="false" customHeight="false" outlineLevel="0" collapsed="false">
      <c r="B841" s="3" t="s">
        <v>0</v>
      </c>
    </row>
    <row r="843" customFormat="false" ht="17.25" hidden="false" customHeight="false" outlineLevel="0" collapsed="false">
      <c r="B843" s="55" t="s">
        <v>751</v>
      </c>
    </row>
    <row r="844" customFormat="false" ht="15" hidden="false" customHeight="false" outlineLevel="0" collapsed="false">
      <c r="B844" s="5"/>
      <c r="E844" s="6" t="s">
        <v>178</v>
      </c>
    </row>
    <row r="847" customFormat="false" ht="15" hidden="false" customHeight="false" outlineLevel="0" collapsed="false">
      <c r="A847" s="7" t="s">
        <v>3</v>
      </c>
      <c r="B847" s="8" t="s">
        <v>4</v>
      </c>
      <c r="C847" s="9" t="s">
        <v>5</v>
      </c>
      <c r="D847" s="10" t="s">
        <v>6</v>
      </c>
      <c r="E847" s="105" t="s">
        <v>7</v>
      </c>
      <c r="F847" s="210" t="s">
        <v>1092</v>
      </c>
    </row>
    <row r="848" customFormat="false" ht="15" hidden="false" customHeight="false" outlineLevel="0" collapsed="false">
      <c r="A848" s="12" t="n">
        <v>1</v>
      </c>
      <c r="B848" s="95" t="s">
        <v>752</v>
      </c>
      <c r="C848" s="96"/>
      <c r="D848" s="107"/>
      <c r="E848" s="96"/>
      <c r="F848" s="211"/>
    </row>
    <row r="849" customFormat="false" ht="15" hidden="false" customHeight="false" outlineLevel="0" collapsed="false">
      <c r="A849" s="12" t="n">
        <v>2</v>
      </c>
      <c r="B849" s="95" t="s">
        <v>761</v>
      </c>
      <c r="C849" s="96"/>
      <c r="D849" s="14"/>
      <c r="E849" s="96"/>
      <c r="F849" s="212"/>
    </row>
    <row r="850" customFormat="false" ht="15" hidden="false" customHeight="false" outlineLevel="0" collapsed="false">
      <c r="A850" s="12" t="n">
        <v>3</v>
      </c>
      <c r="B850" s="95" t="s">
        <v>762</v>
      </c>
      <c r="C850" s="96"/>
      <c r="D850" s="14"/>
      <c r="E850" s="96"/>
      <c r="F850" s="212"/>
    </row>
    <row r="851" customFormat="false" ht="15" hidden="false" customHeight="false" outlineLevel="0" collapsed="false">
      <c r="A851" s="35" t="n">
        <v>4</v>
      </c>
      <c r="B851" s="95" t="s">
        <v>764</v>
      </c>
      <c r="C851" s="96"/>
      <c r="D851" s="14"/>
      <c r="E851" s="96"/>
      <c r="F851" s="212"/>
    </row>
    <row r="852" customFormat="false" ht="15" hidden="false" customHeight="false" outlineLevel="0" collapsed="false">
      <c r="A852" s="35" t="n">
        <v>5</v>
      </c>
      <c r="B852" s="95" t="s">
        <v>768</v>
      </c>
      <c r="C852" s="96"/>
      <c r="D852" s="14"/>
      <c r="E852" s="96"/>
      <c r="F852" s="212"/>
    </row>
    <row r="853" customFormat="false" ht="15" hidden="false" customHeight="false" outlineLevel="0" collapsed="false">
      <c r="A853" s="35" t="n">
        <v>6</v>
      </c>
      <c r="B853" s="95" t="s">
        <v>773</v>
      </c>
      <c r="C853" s="96"/>
      <c r="D853" s="14"/>
      <c r="E853" s="96"/>
      <c r="F853" s="212"/>
    </row>
    <row r="854" customFormat="false" ht="15" hidden="false" customHeight="false" outlineLevel="0" collapsed="false">
      <c r="A854" s="35" t="n">
        <v>7</v>
      </c>
      <c r="B854" s="95" t="s">
        <v>774</v>
      </c>
      <c r="C854" s="96"/>
      <c r="D854" s="14"/>
      <c r="E854" s="96"/>
      <c r="F854" s="212"/>
    </row>
    <row r="855" customFormat="false" ht="17.35" hidden="false" customHeight="false" outlineLevel="0" collapsed="false">
      <c r="A855" s="35"/>
      <c r="B855" s="23" t="s">
        <v>21</v>
      </c>
      <c r="C855" s="24" t="n">
        <f aca="false">SUM(C848:C854)</f>
        <v>0</v>
      </c>
      <c r="D855" s="54" t="n">
        <f aca="false">SUM(D848:D854)</f>
        <v>0</v>
      </c>
      <c r="E855" s="111" t="n">
        <f aca="false">SUM(E848:E854)</f>
        <v>0</v>
      </c>
      <c r="F855" s="214"/>
    </row>
    <row r="859" customFormat="false" ht="17.35" hidden="false" customHeight="false" outlineLevel="0" collapsed="false">
      <c r="A859" s="4"/>
      <c r="B859" s="3" t="s">
        <v>0</v>
      </c>
      <c r="C859" s="3"/>
    </row>
    <row r="860" customFormat="false" ht="15" hidden="false" customHeight="false" outlineLevel="0" collapsed="false">
      <c r="A860" s="2"/>
    </row>
    <row r="861" customFormat="false" ht="15" hidden="false" customHeight="false" outlineLevel="0" collapsed="false">
      <c r="A861" s="2"/>
    </row>
    <row r="862" customFormat="false" ht="17.25" hidden="false" customHeight="false" outlineLevel="0" collapsed="false">
      <c r="A862" s="2"/>
      <c r="B862" s="5" t="s">
        <v>776</v>
      </c>
      <c r="D862" s="6" t="s">
        <v>161</v>
      </c>
    </row>
    <row r="863" customFormat="false" ht="15" hidden="false" customHeight="false" outlineLevel="0" collapsed="false">
      <c r="A863" s="2"/>
    </row>
    <row r="864" customFormat="false" ht="15" hidden="false" customHeight="false" outlineLevel="0" collapsed="false">
      <c r="A864" s="7" t="s">
        <v>3</v>
      </c>
      <c r="B864" s="8" t="s">
        <v>4</v>
      </c>
      <c r="C864" s="9" t="s">
        <v>5</v>
      </c>
      <c r="D864" s="10" t="s">
        <v>6</v>
      </c>
      <c r="E864" s="105" t="s">
        <v>7</v>
      </c>
      <c r="F864" s="210" t="s">
        <v>1092</v>
      </c>
    </row>
    <row r="865" customFormat="false" ht="15" hidden="false" customHeight="false" outlineLevel="0" collapsed="false">
      <c r="A865" s="35" t="n">
        <v>1</v>
      </c>
      <c r="B865" s="39" t="s">
        <v>1104</v>
      </c>
      <c r="C865" s="99" t="n">
        <v>416500</v>
      </c>
      <c r="D865" s="99"/>
      <c r="E865" s="101" t="n">
        <f aca="false">C865-D865</f>
        <v>416500</v>
      </c>
      <c r="F865" s="257"/>
    </row>
    <row r="866" customFormat="false" ht="15" hidden="false" customHeight="false" outlineLevel="0" collapsed="false">
      <c r="A866" s="35"/>
      <c r="B866" s="39"/>
      <c r="C866" s="99"/>
      <c r="D866" s="99"/>
      <c r="E866" s="101" t="n">
        <f aca="false">C866-D866</f>
        <v>0</v>
      </c>
      <c r="F866" s="258"/>
    </row>
    <row r="867" customFormat="false" ht="17.35" hidden="false" customHeight="false" outlineLevel="0" collapsed="false">
      <c r="A867" s="22"/>
      <c r="B867" s="23" t="s">
        <v>21</v>
      </c>
      <c r="C867" s="24" t="n">
        <f aca="false">SUM(C865:C866)</f>
        <v>416500</v>
      </c>
      <c r="D867" s="54" t="n">
        <f aca="false">SUM(D865:D866)</f>
        <v>0</v>
      </c>
      <c r="E867" s="111" t="n">
        <f aca="false">SUM(E865:E866)</f>
        <v>416500</v>
      </c>
      <c r="F867" s="259"/>
    </row>
    <row r="873" customFormat="false" ht="17.35" hidden="false" customHeight="false" outlineLevel="0" collapsed="false">
      <c r="A873" s="4"/>
      <c r="B873" s="3" t="s">
        <v>0</v>
      </c>
      <c r="C873" s="3"/>
    </row>
    <row r="874" customFormat="false" ht="15" hidden="false" customHeight="false" outlineLevel="0" collapsed="false">
      <c r="A874" s="2"/>
    </row>
    <row r="875" customFormat="false" ht="15" hidden="false" customHeight="false" outlineLevel="0" collapsed="false">
      <c r="A875" s="2"/>
    </row>
    <row r="876" customFormat="false" ht="17.25" hidden="false" customHeight="false" outlineLevel="0" collapsed="false">
      <c r="A876" s="2"/>
      <c r="B876" s="5" t="s">
        <v>776</v>
      </c>
      <c r="D876" s="6" t="s">
        <v>178</v>
      </c>
    </row>
    <row r="877" customFormat="false" ht="15" hidden="false" customHeight="false" outlineLevel="0" collapsed="false">
      <c r="A877" s="2"/>
    </row>
    <row r="878" customFormat="false" ht="15" hidden="false" customHeight="false" outlineLevel="0" collapsed="false">
      <c r="A878" s="7" t="s">
        <v>3</v>
      </c>
      <c r="B878" s="8" t="s">
        <v>4</v>
      </c>
      <c r="C878" s="9" t="s">
        <v>5</v>
      </c>
      <c r="D878" s="10" t="s">
        <v>6</v>
      </c>
      <c r="E878" s="105" t="s">
        <v>7</v>
      </c>
      <c r="F878" s="210" t="s">
        <v>1092</v>
      </c>
    </row>
    <row r="879" customFormat="false" ht="15" hidden="false" customHeight="false" outlineLevel="0" collapsed="false">
      <c r="A879" s="35" t="n">
        <v>1</v>
      </c>
      <c r="B879" s="39" t="s">
        <v>780</v>
      </c>
      <c r="C879" s="99"/>
      <c r="D879" s="99"/>
      <c r="E879" s="101"/>
      <c r="F879" s="260"/>
    </row>
    <row r="880" customFormat="false" ht="15" hidden="false" customHeight="false" outlineLevel="0" collapsed="false">
      <c r="A880" s="35" t="n">
        <v>2</v>
      </c>
      <c r="B880" s="39" t="s">
        <v>782</v>
      </c>
      <c r="C880" s="99"/>
      <c r="D880" s="99"/>
      <c r="E880" s="101"/>
      <c r="F880" s="260"/>
    </row>
    <row r="881" customFormat="false" ht="17.35" hidden="false" customHeight="false" outlineLevel="0" collapsed="false">
      <c r="A881" s="22"/>
      <c r="B881" s="23" t="s">
        <v>21</v>
      </c>
      <c r="C881" s="24" t="n">
        <f aca="false">SUM(C879:C880)</f>
        <v>0</v>
      </c>
      <c r="D881" s="54" t="n">
        <f aca="false">SUM(D879:D880)</f>
        <v>0</v>
      </c>
      <c r="E881" s="111" t="n">
        <f aca="false">SUM(E879:E880)</f>
        <v>0</v>
      </c>
      <c r="F881" s="261"/>
    </row>
    <row r="890" customFormat="false" ht="17.35" hidden="false" customHeight="false" outlineLevel="0" collapsed="false">
      <c r="A890" s="2"/>
      <c r="B890" s="3" t="s">
        <v>0</v>
      </c>
    </row>
    <row r="891" customFormat="false" ht="17.35" hidden="false" customHeight="false" outlineLevel="0" collapsed="false">
      <c r="A891" s="4"/>
    </row>
    <row r="892" customFormat="false" ht="15" hidden="false" customHeight="false" outlineLevel="0" collapsed="false">
      <c r="A892" s="2"/>
    </row>
    <row r="893" customFormat="false" ht="15" hidden="false" customHeight="false" outlineLevel="0" collapsed="false">
      <c r="A893" s="2"/>
      <c r="B893" s="5" t="s">
        <v>1</v>
      </c>
    </row>
    <row r="894" customFormat="false" ht="15" hidden="false" customHeight="false" outlineLevel="0" collapsed="false">
      <c r="A894" s="2"/>
      <c r="D894" s="6" t="s">
        <v>2</v>
      </c>
    </row>
    <row r="895" customFormat="false" ht="15" hidden="false" customHeight="false" outlineLevel="0" collapsed="false">
      <c r="A895" s="2"/>
    </row>
    <row r="896" customFormat="false" ht="15" hidden="false" customHeight="false" outlineLevel="0" collapsed="false">
      <c r="A896" s="7" t="s">
        <v>3</v>
      </c>
      <c r="B896" s="8" t="s">
        <v>4</v>
      </c>
      <c r="C896" s="9" t="s">
        <v>5</v>
      </c>
      <c r="D896" s="10" t="s">
        <v>6</v>
      </c>
      <c r="E896" s="11" t="s">
        <v>7</v>
      </c>
      <c r="F896" s="210" t="s">
        <v>1092</v>
      </c>
    </row>
    <row r="897" customFormat="false" ht="15" hidden="false" customHeight="false" outlineLevel="0" collapsed="false">
      <c r="A897" s="12" t="n">
        <v>1</v>
      </c>
      <c r="B897" s="13" t="s">
        <v>1093</v>
      </c>
      <c r="C897" s="14"/>
      <c r="D897" s="239"/>
      <c r="E897" s="16"/>
      <c r="F897" s="240"/>
    </row>
    <row r="898" customFormat="false" ht="15" hidden="false" customHeight="false" outlineLevel="0" collapsed="false">
      <c r="A898" s="12" t="n">
        <v>2</v>
      </c>
      <c r="B898" s="13" t="s">
        <v>9</v>
      </c>
      <c r="C898" s="14"/>
      <c r="D898" s="241"/>
      <c r="E898" s="16"/>
      <c r="F898" s="242"/>
    </row>
    <row r="899" customFormat="false" ht="15" hidden="false" customHeight="false" outlineLevel="0" collapsed="false">
      <c r="A899" s="12" t="n">
        <v>3</v>
      </c>
      <c r="B899" s="13" t="s">
        <v>12</v>
      </c>
      <c r="C899" s="14"/>
      <c r="D899" s="241"/>
      <c r="E899" s="16"/>
      <c r="F899" s="242"/>
    </row>
    <row r="900" customFormat="false" ht="15" hidden="false" customHeight="false" outlineLevel="0" collapsed="false">
      <c r="A900" s="12" t="n">
        <v>4</v>
      </c>
      <c r="B900" s="13" t="s">
        <v>13</v>
      </c>
      <c r="C900" s="14"/>
      <c r="D900" s="241"/>
      <c r="E900" s="16"/>
      <c r="F900" s="242"/>
    </row>
    <row r="901" customFormat="false" ht="15" hidden="false" customHeight="false" outlineLevel="0" collapsed="false">
      <c r="A901" s="12" t="n">
        <v>5</v>
      </c>
      <c r="B901" s="13" t="s">
        <v>14</v>
      </c>
      <c r="C901" s="14"/>
      <c r="D901" s="241"/>
      <c r="E901" s="16"/>
      <c r="F901" s="242"/>
    </row>
    <row r="902" customFormat="false" ht="15" hidden="false" customHeight="false" outlineLevel="0" collapsed="false">
      <c r="A902" s="12" t="n">
        <v>6</v>
      </c>
      <c r="B902" s="13" t="s">
        <v>15</v>
      </c>
      <c r="C902" s="14"/>
      <c r="D902" s="241"/>
      <c r="E902" s="16"/>
      <c r="F902" s="242"/>
    </row>
    <row r="903" customFormat="false" ht="15" hidden="false" customHeight="false" outlineLevel="0" collapsed="false">
      <c r="A903" s="12" t="n">
        <v>7</v>
      </c>
      <c r="B903" s="13" t="s">
        <v>17</v>
      </c>
      <c r="C903" s="14"/>
      <c r="D903" s="207"/>
      <c r="E903" s="16"/>
      <c r="F903" s="242"/>
    </row>
    <row r="904" customFormat="false" ht="15" hidden="false" customHeight="false" outlineLevel="0" collapsed="false">
      <c r="A904" s="12" t="n">
        <v>8</v>
      </c>
      <c r="B904" s="13" t="s">
        <v>18</v>
      </c>
      <c r="C904" s="14"/>
      <c r="D904" s="207"/>
      <c r="E904" s="16"/>
      <c r="F904" s="242"/>
    </row>
    <row r="905" customFormat="false" ht="15" hidden="false" customHeight="false" outlineLevel="0" collapsed="false">
      <c r="A905" s="12" t="n">
        <v>9</v>
      </c>
      <c r="B905" s="13" t="s">
        <v>19</v>
      </c>
      <c r="C905" s="14"/>
      <c r="D905" s="207"/>
      <c r="E905" s="16"/>
      <c r="F905" s="242"/>
    </row>
    <row r="906" customFormat="false" ht="15" hidden="false" customHeight="false" outlineLevel="0" collapsed="false">
      <c r="A906" s="12" t="n">
        <v>10</v>
      </c>
      <c r="B906" s="13" t="s">
        <v>16</v>
      </c>
      <c r="C906" s="14"/>
      <c r="D906" s="207"/>
      <c r="E906" s="16"/>
      <c r="F906" s="242"/>
    </row>
    <row r="907" customFormat="false" ht="15" hidden="false" customHeight="false" outlineLevel="0" collapsed="false">
      <c r="A907" s="12" t="n">
        <v>11</v>
      </c>
      <c r="B907" s="13" t="s">
        <v>20</v>
      </c>
      <c r="C907" s="14"/>
      <c r="D907" s="43"/>
      <c r="E907" s="16"/>
      <c r="F907" s="242"/>
    </row>
    <row r="908" customFormat="false" ht="17.35" hidden="false" customHeight="false" outlineLevel="0" collapsed="false">
      <c r="A908" s="22"/>
      <c r="B908" s="23" t="s">
        <v>21</v>
      </c>
      <c r="C908" s="24"/>
      <c r="D908" s="54"/>
      <c r="E908" s="26"/>
      <c r="F908" s="243"/>
    </row>
    <row r="909" customFormat="false" ht="17.35" hidden="false" customHeight="false" outlineLevel="0" collapsed="false">
      <c r="A909" s="209"/>
      <c r="B909" s="28"/>
      <c r="C909" s="29"/>
      <c r="D909" s="208"/>
      <c r="E909" s="31"/>
    </row>
    <row r="915" customFormat="false" ht="15" hidden="false" customHeight="false" outlineLevel="0" collapsed="false">
      <c r="A915" s="0"/>
      <c r="B915" s="0"/>
      <c r="C915" s="0"/>
      <c r="D915" s="0"/>
      <c r="E915" s="0"/>
      <c r="F915" s="0"/>
      <c r="G915" s="0"/>
    </row>
    <row r="916" customFormat="false" ht="15" hidden="false" customHeight="false" outlineLevel="0" collapsed="false">
      <c r="A916" s="0"/>
      <c r="B916" s="0"/>
      <c r="C916" s="0"/>
      <c r="D916" s="0"/>
      <c r="E916" s="0"/>
      <c r="F916" s="0"/>
      <c r="G916" s="0"/>
    </row>
    <row r="917" customFormat="false" ht="15" hidden="false" customHeight="false" outlineLevel="0" collapsed="false">
      <c r="A917" s="0"/>
      <c r="B917" s="0"/>
      <c r="C917" s="0"/>
      <c r="D917" s="0"/>
      <c r="E917" s="0"/>
      <c r="F917" s="0"/>
      <c r="G917" s="0"/>
    </row>
    <row r="918" customFormat="false" ht="15" hidden="false" customHeight="false" outlineLevel="0" collapsed="false">
      <c r="A918" s="0"/>
      <c r="B918" s="0"/>
      <c r="C918" s="0"/>
      <c r="D918" s="0"/>
      <c r="E918" s="0"/>
      <c r="F918" s="0"/>
      <c r="G918" s="0"/>
    </row>
    <row r="919" customFormat="false" ht="15" hidden="false" customHeight="false" outlineLevel="0" collapsed="false">
      <c r="A919" s="0"/>
      <c r="B919" s="0"/>
      <c r="C919" s="0"/>
      <c r="D919" s="0"/>
      <c r="E919" s="0"/>
      <c r="F919" s="0"/>
      <c r="G919" s="0"/>
    </row>
    <row r="920" customFormat="false" ht="15" hidden="false" customHeight="false" outlineLevel="0" collapsed="false">
      <c r="A920" s="0"/>
      <c r="B920" s="0"/>
      <c r="C920" s="0"/>
      <c r="D920" s="0"/>
      <c r="E920" s="0"/>
      <c r="F920" s="0"/>
      <c r="G920" s="0"/>
    </row>
    <row r="921" customFormat="false" ht="15" hidden="false" customHeight="false" outlineLevel="0" collapsed="false">
      <c r="A921" s="0"/>
      <c r="B921" s="0"/>
      <c r="C921" s="0"/>
      <c r="D921" s="0"/>
      <c r="E921" s="0"/>
      <c r="F921" s="0"/>
      <c r="G921" s="0"/>
    </row>
    <row r="922" customFormat="false" ht="15" hidden="false" customHeight="false" outlineLevel="0" collapsed="false">
      <c r="A922" s="0"/>
      <c r="B922" s="0"/>
      <c r="C922" s="0"/>
      <c r="D922" s="0"/>
      <c r="E922" s="0"/>
      <c r="F922" s="0"/>
      <c r="G922" s="0"/>
    </row>
    <row r="923" customFormat="false" ht="15" hidden="false" customHeight="false" outlineLevel="0" collapsed="false">
      <c r="A923" s="0"/>
      <c r="B923" s="0"/>
      <c r="C923" s="0"/>
      <c r="D923" s="0"/>
      <c r="E923" s="0"/>
      <c r="F923" s="0"/>
      <c r="G923" s="0"/>
    </row>
    <row r="924" customFormat="false" ht="15" hidden="false" customHeight="false" outlineLevel="0" collapsed="false">
      <c r="A924" s="0"/>
      <c r="B924" s="0"/>
      <c r="C924" s="0"/>
      <c r="D924" s="0"/>
      <c r="E924" s="0"/>
      <c r="F924" s="0"/>
      <c r="G924" s="0"/>
    </row>
    <row r="925" customFormat="false" ht="15" hidden="false" customHeight="false" outlineLevel="0" collapsed="false">
      <c r="A925" s="0"/>
      <c r="B925" s="0"/>
      <c r="C925" s="0"/>
      <c r="D925" s="0"/>
      <c r="E925" s="0"/>
      <c r="F925" s="0"/>
      <c r="G925" s="0"/>
    </row>
    <row r="926" customFormat="false" ht="15" hidden="false" customHeight="false" outlineLevel="0" collapsed="false">
      <c r="A926" s="0"/>
      <c r="B926" s="0"/>
      <c r="C926" s="0"/>
      <c r="D926" s="0"/>
      <c r="E926" s="0"/>
      <c r="F926" s="0"/>
      <c r="G926" s="0"/>
    </row>
    <row r="927" customFormat="false" ht="15" hidden="false" customHeight="false" outlineLevel="0" collapsed="false">
      <c r="A927" s="0"/>
      <c r="B927" s="0"/>
      <c r="C927" s="0"/>
      <c r="D927" s="0"/>
      <c r="E927" s="0"/>
      <c r="F927" s="0"/>
      <c r="G927" s="0"/>
    </row>
    <row r="928" customFormat="false" ht="15" hidden="false" customHeight="false" outlineLevel="0" collapsed="false">
      <c r="A928" s="0"/>
      <c r="B928" s="0"/>
      <c r="C928" s="0"/>
      <c r="D928" s="0"/>
      <c r="E928" s="0"/>
      <c r="F928" s="0"/>
      <c r="G928" s="0"/>
    </row>
    <row r="929" customFormat="false" ht="15" hidden="false" customHeight="false" outlineLevel="0" collapsed="false">
      <c r="A929" s="0"/>
      <c r="B929" s="0"/>
      <c r="C929" s="0"/>
      <c r="D929" s="0"/>
      <c r="E929" s="0"/>
      <c r="F929" s="0"/>
      <c r="G929" s="0"/>
    </row>
    <row r="930" customFormat="false" ht="15" hidden="false" customHeight="false" outlineLevel="0" collapsed="false">
      <c r="A930" s="0"/>
      <c r="B930" s="0"/>
      <c r="C930" s="0"/>
      <c r="D930" s="0"/>
      <c r="E930" s="0"/>
      <c r="F930" s="0"/>
      <c r="G930" s="0"/>
    </row>
    <row r="931" customFormat="false" ht="15" hidden="false" customHeight="false" outlineLevel="0" collapsed="false">
      <c r="A931" s="0"/>
      <c r="B931" s="0"/>
      <c r="C931" s="0"/>
      <c r="D931" s="0"/>
      <c r="E931" s="0"/>
      <c r="F931" s="0"/>
      <c r="G931" s="0"/>
    </row>
    <row r="932" customFormat="false" ht="15" hidden="false" customHeight="false" outlineLevel="0" collapsed="false">
      <c r="A932" s="0"/>
      <c r="B932" s="0"/>
      <c r="C932" s="0"/>
      <c r="D932" s="0"/>
      <c r="E932" s="0"/>
      <c r="F932" s="0"/>
      <c r="G932" s="0"/>
    </row>
    <row r="933" customFormat="false" ht="15" hidden="false" customHeight="false" outlineLevel="0" collapsed="false">
      <c r="A933" s="0"/>
      <c r="B933" s="0"/>
      <c r="C933" s="0"/>
      <c r="D933" s="0"/>
      <c r="E933" s="0"/>
      <c r="F933" s="0"/>
      <c r="G933" s="0"/>
    </row>
    <row r="934" customFormat="false" ht="15" hidden="false" customHeight="false" outlineLevel="0" collapsed="false">
      <c r="A934" s="0"/>
      <c r="B934" s="0"/>
      <c r="C934" s="0"/>
      <c r="D934" s="0"/>
      <c r="E934" s="0"/>
      <c r="F934" s="0"/>
      <c r="G934" s="0"/>
    </row>
    <row r="935" customFormat="false" ht="15" hidden="false" customHeight="false" outlineLevel="0" collapsed="false">
      <c r="A935" s="0"/>
      <c r="B935" s="0"/>
      <c r="C935" s="0"/>
      <c r="D935" s="0"/>
      <c r="E935" s="0"/>
      <c r="F935" s="0"/>
      <c r="G935" s="0"/>
    </row>
    <row r="936" customFormat="false" ht="15" hidden="false" customHeight="false" outlineLevel="0" collapsed="false">
      <c r="A936" s="0"/>
      <c r="B936" s="0"/>
      <c r="C936" s="0"/>
      <c r="D936" s="0"/>
      <c r="E936" s="0"/>
      <c r="F936" s="0"/>
      <c r="G936" s="0"/>
    </row>
  </sheetData>
  <hyperlinks>
    <hyperlink ref="D10" r:id="rId1" display="ezkadjov@gmail.com"/>
    <hyperlink ref="D11" r:id="rId2" display="afouda96fabice@gmail.com"/>
    <hyperlink ref="D12" r:id="rId3" display="finagnonb@yahoo.fr"/>
    <hyperlink ref="D14" r:id="rId4" display="rodrigue.allognon@yahoo.fr "/>
    <hyperlink ref="D15" r:id="rId5" display="allocop1@gmail.com"/>
    <hyperlink ref="D16" r:id="rId6" display="prudencioamoussou@gmail.com"/>
    <hyperlink ref="D18" r:id="rId7" display="setchegbee1@yahoo.fr"/>
    <hyperlink ref="D19" r:id="rId8" display="atcédric.91@gmail.com"/>
    <hyperlink ref="D20" r:id="rId9" display="oscar.bokovo@yahoo.fr"/>
    <hyperlink ref="D21" r:id="rId10" display="lapatmail@yahoo.fr"/>
    <hyperlink ref="D22" r:id="rId11" display="abnahel@yahoo.fr"/>
    <hyperlink ref="D24" r:id="rId12" display="djoertho@gmail.com"/>
    <hyperlink ref="D28" r:id="rId13" display="ditoudogiovanni@gmail.com"/>
    <hyperlink ref="D30" r:id="rId14" display="heric1981@yahoo.fr"/>
    <hyperlink ref="D32" r:id="rId15" display="KahoRhode@gmail.com"/>
    <hyperlink ref="D35" r:id="rId16" display="madjeedkoto@yahoo.fr"/>
    <hyperlink ref="D36" r:id="rId17" display="jkoudjedon@gmail.com"/>
    <hyperlink ref="D37" r:id="rId18" display="barbaritalino@gmail.com"/>
    <hyperlink ref="D39" r:id="rId19" display="abelnegomensah@gmail.com"/>
    <hyperlink ref="D40" r:id="rId20" display="metodakouherbert@outlook.fr"/>
    <hyperlink ref="D45" r:id="rId21" display="paficama@gmail.com"/>
    <hyperlink ref="D46" r:id="rId22" display="aiejotechno@yahoo.fr"/>
    <hyperlink ref="D52" r:id="rId23" display="htoffa@yahoo.fr"/>
    <hyperlink ref="D54" r:id="rId24" display="herpoly@2000yahoo.f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1" width="31.16"/>
    <col collapsed="false" customWidth="true" hidden="false" outlineLevel="0" max="4" min="3" style="1" width="13.86"/>
    <col collapsed="false" customWidth="true" hidden="false" outlineLevel="0" max="5" min="5" style="1" width="12.29"/>
    <col collapsed="false" customWidth="true" hidden="false" outlineLevel="0" max="16384" min="16374" style="0" width="11.53"/>
  </cols>
  <sheetData>
    <row r="6" customFormat="false" ht="17.35" hidden="false" customHeight="false" outlineLevel="0" collapsed="false">
      <c r="A6" s="3"/>
      <c r="B6" s="102" t="s">
        <v>1105</v>
      </c>
      <c r="C6" s="103"/>
      <c r="D6" s="103"/>
      <c r="E6" s="103"/>
    </row>
    <row r="8" customFormat="false" ht="15" hidden="false" customHeight="false" outlineLevel="0" collapsed="false">
      <c r="B8" s="104" t="s">
        <v>1106</v>
      </c>
    </row>
    <row r="10" customFormat="false" ht="15" hidden="false" customHeight="false" outlineLevel="0" collapsed="false">
      <c r="A10" s="112" t="s">
        <v>3</v>
      </c>
      <c r="B10" s="262" t="s">
        <v>4</v>
      </c>
      <c r="C10" s="9" t="s">
        <v>5</v>
      </c>
      <c r="D10" s="114" t="s">
        <v>6</v>
      </c>
      <c r="E10" s="11" t="s">
        <v>7</v>
      </c>
    </row>
    <row r="11" customFormat="false" ht="15" hidden="false" customHeight="false" outlineLevel="0" collapsed="false">
      <c r="A11" s="77" t="n">
        <v>1</v>
      </c>
      <c r="B11" s="78" t="s">
        <v>1107</v>
      </c>
      <c r="C11" s="115" t="n">
        <v>815000</v>
      </c>
      <c r="D11" s="115" t="n">
        <f aca="false">451200+364000</f>
        <v>815200</v>
      </c>
      <c r="E11" s="263" t="n">
        <f aca="false">C11-D11</f>
        <v>-200</v>
      </c>
    </row>
    <row r="12" customFormat="false" ht="15" hidden="false" customHeight="false" outlineLevel="0" collapsed="false">
      <c r="A12" s="77" t="n">
        <v>2</v>
      </c>
      <c r="B12" s="78" t="s">
        <v>1108</v>
      </c>
      <c r="C12" s="115" t="n">
        <v>815000</v>
      </c>
      <c r="D12" s="115" t="n">
        <f aca="false">451200+364000</f>
        <v>815200</v>
      </c>
      <c r="E12" s="263" t="n">
        <f aca="false">C12-D12</f>
        <v>-200</v>
      </c>
    </row>
    <row r="13" customFormat="false" ht="15" hidden="false" customHeight="false" outlineLevel="0" collapsed="false">
      <c r="A13" s="77" t="n">
        <v>3</v>
      </c>
      <c r="B13" s="78" t="s">
        <v>1109</v>
      </c>
      <c r="C13" s="115" t="n">
        <v>815000</v>
      </c>
      <c r="D13" s="115" t="n">
        <f aca="false">451200+360000+3800</f>
        <v>815000</v>
      </c>
      <c r="E13" s="263" t="n">
        <f aca="false">C13-D13</f>
        <v>0</v>
      </c>
    </row>
    <row r="14" customFormat="false" ht="15" hidden="false" customHeight="false" outlineLevel="0" collapsed="false">
      <c r="A14" s="77" t="n">
        <v>4</v>
      </c>
      <c r="B14" s="78" t="s">
        <v>1110</v>
      </c>
      <c r="C14" s="115" t="n">
        <v>815000</v>
      </c>
      <c r="D14" s="115" t="n">
        <f aca="false">451200+363800</f>
        <v>815000</v>
      </c>
      <c r="E14" s="263" t="n">
        <f aca="false">C14-D14</f>
        <v>0</v>
      </c>
    </row>
    <row r="15" customFormat="false" ht="15" hidden="false" customHeight="false" outlineLevel="0" collapsed="false">
      <c r="A15" s="77" t="n">
        <v>5</v>
      </c>
      <c r="B15" s="78" t="s">
        <v>1111</v>
      </c>
      <c r="C15" s="115" t="n">
        <v>815000</v>
      </c>
      <c r="D15" s="115" t="n">
        <f aca="false">400000+51200+363800</f>
        <v>815000</v>
      </c>
      <c r="E15" s="263" t="n">
        <f aca="false">C15-D15</f>
        <v>0</v>
      </c>
    </row>
    <row r="16" customFormat="false" ht="15" hidden="false" customHeight="false" outlineLevel="0" collapsed="false">
      <c r="A16" s="77" t="n">
        <v>6</v>
      </c>
      <c r="B16" s="57" t="s">
        <v>1112</v>
      </c>
      <c r="C16" s="116" t="n">
        <v>1235000</v>
      </c>
      <c r="D16" s="116" t="n">
        <f aca="false">735000+500000</f>
        <v>1235000</v>
      </c>
      <c r="E16" s="264" t="n">
        <f aca="false">C16-D16</f>
        <v>0</v>
      </c>
    </row>
    <row r="17" customFormat="false" ht="15" hidden="false" customHeight="false" outlineLevel="0" collapsed="false">
      <c r="A17" s="77" t="n">
        <v>7</v>
      </c>
      <c r="B17" s="78" t="s">
        <v>1113</v>
      </c>
      <c r="C17" s="115" t="n">
        <v>815000</v>
      </c>
      <c r="D17" s="115" t="n">
        <f aca="false">400000+51200+100000+63800+100000+100000</f>
        <v>815000</v>
      </c>
      <c r="E17" s="263" t="n">
        <f aca="false">C17-D17</f>
        <v>0</v>
      </c>
    </row>
    <row r="18" customFormat="false" ht="15" hidden="false" customHeight="false" outlineLevel="0" collapsed="false">
      <c r="A18" s="77" t="n">
        <v>8</v>
      </c>
      <c r="B18" s="78" t="s">
        <v>1114</v>
      </c>
      <c r="C18" s="115" t="n">
        <v>815000</v>
      </c>
      <c r="D18" s="115" t="n">
        <f aca="false">400000+400000+15200</f>
        <v>815200</v>
      </c>
      <c r="E18" s="263" t="n">
        <f aca="false">C18-D18</f>
        <v>-200</v>
      </c>
    </row>
    <row r="19" customFormat="false" ht="15" hidden="false" customHeight="false" outlineLevel="0" collapsed="false">
      <c r="A19" s="77" t="n">
        <v>9</v>
      </c>
      <c r="B19" s="78" t="s">
        <v>1115</v>
      </c>
      <c r="C19" s="115" t="n">
        <v>815000</v>
      </c>
      <c r="D19" s="115" t="n">
        <f aca="false">451200+134000+230000</f>
        <v>815200</v>
      </c>
      <c r="E19" s="263" t="n">
        <f aca="false">C19-D19</f>
        <v>-200</v>
      </c>
    </row>
    <row r="20" customFormat="false" ht="15" hidden="false" customHeight="false" outlineLevel="0" collapsed="false">
      <c r="A20" s="77" t="n">
        <v>10</v>
      </c>
      <c r="B20" s="78" t="s">
        <v>1116</v>
      </c>
      <c r="C20" s="115" t="n">
        <v>815000</v>
      </c>
      <c r="D20" s="115" t="n">
        <f aca="false">452000+363000</f>
        <v>815000</v>
      </c>
      <c r="E20" s="263" t="n">
        <f aca="false">C20-D20</f>
        <v>0</v>
      </c>
    </row>
    <row r="21" customFormat="false" ht="15" hidden="false" customHeight="false" outlineLevel="0" collapsed="false">
      <c r="A21" s="77" t="n">
        <v>11</v>
      </c>
      <c r="B21" s="78" t="s">
        <v>1117</v>
      </c>
      <c r="C21" s="115" t="n">
        <v>815000</v>
      </c>
      <c r="D21" s="115" t="n">
        <f aca="false">445000+6200+300000+64000</f>
        <v>815200</v>
      </c>
      <c r="E21" s="263" t="n">
        <f aca="false">C21-D21</f>
        <v>-200</v>
      </c>
    </row>
    <row r="22" customFormat="false" ht="15" hidden="false" customHeight="false" outlineLevel="0" collapsed="false">
      <c r="A22" s="77" t="n">
        <v>12</v>
      </c>
      <c r="B22" s="78" t="s">
        <v>1118</v>
      </c>
      <c r="C22" s="115" t="n">
        <v>815000</v>
      </c>
      <c r="D22" s="115" t="n">
        <f aca="false">451200+364000</f>
        <v>815200</v>
      </c>
      <c r="E22" s="263" t="n">
        <f aca="false">C22-D22</f>
        <v>-200</v>
      </c>
    </row>
    <row r="23" customFormat="false" ht="15" hidden="false" customHeight="false" outlineLevel="0" collapsed="false">
      <c r="A23" s="77" t="n">
        <v>13</v>
      </c>
      <c r="B23" s="78" t="s">
        <v>1119</v>
      </c>
      <c r="C23" s="115" t="n">
        <v>815000</v>
      </c>
      <c r="D23" s="115" t="n">
        <f aca="false">451100+350000+13900</f>
        <v>815000</v>
      </c>
      <c r="E23" s="263" t="n">
        <f aca="false">C23-D23</f>
        <v>0</v>
      </c>
    </row>
    <row r="24" customFormat="false" ht="15" hidden="false" customHeight="false" outlineLevel="0" collapsed="false">
      <c r="A24" s="77" t="n">
        <v>14</v>
      </c>
      <c r="B24" s="78" t="s">
        <v>1120</v>
      </c>
      <c r="C24" s="115" t="n">
        <v>815000</v>
      </c>
      <c r="D24" s="115" t="n">
        <f aca="false">851200</f>
        <v>851200</v>
      </c>
      <c r="E24" s="263" t="n">
        <f aca="false">C24-D24</f>
        <v>-36200</v>
      </c>
    </row>
    <row r="25" customFormat="false" ht="15" hidden="false" customHeight="false" outlineLevel="0" collapsed="false">
      <c r="A25" s="77" t="n">
        <v>15</v>
      </c>
      <c r="B25" s="57" t="s">
        <v>1121</v>
      </c>
      <c r="C25" s="116" t="n">
        <v>815000</v>
      </c>
      <c r="D25" s="116" t="n">
        <f aca="false">451200+200000+150000+15000</f>
        <v>816200</v>
      </c>
      <c r="E25" s="264" t="n">
        <f aca="false">C25-D25</f>
        <v>-1200</v>
      </c>
    </row>
    <row r="26" customFormat="false" ht="15" hidden="false" customHeight="false" outlineLevel="0" collapsed="false">
      <c r="A26" s="77" t="n">
        <v>16</v>
      </c>
      <c r="B26" s="57" t="s">
        <v>1122</v>
      </c>
      <c r="C26" s="116" t="n">
        <v>351200</v>
      </c>
      <c r="D26" s="116"/>
      <c r="E26" s="264" t="n">
        <f aca="false">C26-D26</f>
        <v>351200</v>
      </c>
    </row>
    <row r="27" customFormat="false" ht="15" hidden="false" customHeight="false" outlineLevel="0" collapsed="false">
      <c r="A27" s="77" t="n">
        <v>17</v>
      </c>
      <c r="B27" s="78" t="s">
        <v>1123</v>
      </c>
      <c r="C27" s="115" t="n">
        <v>815000</v>
      </c>
      <c r="D27" s="115" t="n">
        <v>815000</v>
      </c>
      <c r="E27" s="263" t="n">
        <f aca="false">C27-D27</f>
        <v>0</v>
      </c>
    </row>
    <row r="28" customFormat="false" ht="15" hidden="false" customHeight="false" outlineLevel="0" collapsed="false">
      <c r="A28" s="77" t="n">
        <v>18</v>
      </c>
      <c r="B28" s="78" t="s">
        <v>1124</v>
      </c>
      <c r="C28" s="115" t="n">
        <v>815000</v>
      </c>
      <c r="D28" s="115"/>
      <c r="E28" s="263" t="n">
        <f aca="false">C28-D28</f>
        <v>815000</v>
      </c>
    </row>
    <row r="29" customFormat="false" ht="15" hidden="false" customHeight="false" outlineLevel="0" collapsed="false">
      <c r="A29" s="77" t="n">
        <v>19</v>
      </c>
      <c r="B29" s="78" t="s">
        <v>1125</v>
      </c>
      <c r="C29" s="115" t="n">
        <v>815000</v>
      </c>
      <c r="D29" s="115" t="n">
        <v>815000</v>
      </c>
      <c r="E29" s="263" t="n">
        <f aca="false">C29-D29</f>
        <v>0</v>
      </c>
    </row>
    <row r="30" customFormat="false" ht="19.7" hidden="false" customHeight="false" outlineLevel="0" collapsed="false">
      <c r="A30" s="120"/>
      <c r="B30" s="121" t="s">
        <v>21</v>
      </c>
      <c r="C30" s="122" t="n">
        <f aca="false">SUM(C11:C29)</f>
        <v>15441200</v>
      </c>
      <c r="D30" s="123" t="n">
        <f aca="false">SUM(D11:D29)</f>
        <v>14313600</v>
      </c>
      <c r="E30" s="265" t="n">
        <f aca="false">SUM(E11:E29)</f>
        <v>1127600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E559"/>
  <sheetViews>
    <sheetView showFormulas="false" showGridLines="true" showRowColHeaders="true" showZeros="true" rightToLeft="false" tabSelected="true" showOutlineSymbols="true" defaultGridColor="true" view="normal" topLeftCell="A510" colorId="64" zoomScale="100" zoomScaleNormal="100" zoomScalePageLayoutView="100" workbookViewId="0">
      <selection pane="topLeft" activeCell="K419" activeCellId="0" sqref="K419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31.29"/>
    <col collapsed="false" customWidth="true" hidden="false" outlineLevel="0" max="3" min="3" style="1" width="15.29"/>
    <col collapsed="false" customWidth="true" hidden="false" outlineLevel="0" max="4" min="4" style="1" width="12.86"/>
  </cols>
  <sheetData>
    <row r="4" customFormat="false" ht="17.35" hidden="false" customHeight="false" outlineLevel="0" collapsed="false">
      <c r="A4" s="3"/>
      <c r="B4" s="3" t="s">
        <v>0</v>
      </c>
    </row>
    <row r="5" customFormat="false" ht="15" hidden="false" customHeight="false" outlineLevel="0" collapsed="false">
      <c r="A5" s="1" t="s">
        <v>158</v>
      </c>
    </row>
    <row r="6" customFormat="false" ht="17.25" hidden="false" customHeight="false" outlineLevel="0" collapsed="false">
      <c r="B6" s="55" t="s">
        <v>159</v>
      </c>
    </row>
    <row r="9" customFormat="false" ht="17.25" hidden="false" customHeight="false" outlineLevel="0" collapsed="false">
      <c r="B9" s="5" t="s">
        <v>160</v>
      </c>
      <c r="D9" s="6" t="s">
        <v>161</v>
      </c>
    </row>
    <row r="11" customFormat="false" ht="15" hidden="false" customHeight="false" outlineLevel="0" collapsed="false">
      <c r="A11" s="7" t="s">
        <v>3</v>
      </c>
      <c r="B11" s="8" t="s">
        <v>4</v>
      </c>
      <c r="C11" s="9" t="s">
        <v>5</v>
      </c>
      <c r="D11" s="10" t="s">
        <v>6</v>
      </c>
      <c r="E11" s="68" t="s">
        <v>7</v>
      </c>
    </row>
    <row r="12" customFormat="false" ht="15" hidden="false" customHeight="false" outlineLevel="0" collapsed="false">
      <c r="A12" s="1" t="n">
        <v>1</v>
      </c>
      <c r="B12" s="39" t="s">
        <v>162</v>
      </c>
      <c r="C12" s="14" t="n">
        <v>416500</v>
      </c>
      <c r="D12" s="37" t="n">
        <f aca="false">100000+316000</f>
        <v>416000</v>
      </c>
      <c r="E12" s="69" t="n">
        <f aca="false">C12-D12</f>
        <v>500</v>
      </c>
    </row>
    <row r="13" customFormat="false" ht="15" hidden="false" customHeight="false" outlineLevel="0" collapsed="false">
      <c r="A13" s="35" t="n">
        <v>2</v>
      </c>
      <c r="B13" s="39" t="s">
        <v>163</v>
      </c>
      <c r="C13" s="14" t="n">
        <v>416500</v>
      </c>
      <c r="D13" s="37" t="n">
        <f aca="false">216500+50000+100000+140000</f>
        <v>506500</v>
      </c>
      <c r="E13" s="69" t="n">
        <f aca="false">C13-D13</f>
        <v>-90000</v>
      </c>
    </row>
    <row r="14" customFormat="false" ht="15" hidden="false" customHeight="false" outlineLevel="0" collapsed="false">
      <c r="A14" s="35" t="n">
        <v>3</v>
      </c>
      <c r="B14" s="39" t="s">
        <v>164</v>
      </c>
      <c r="C14" s="14" t="n">
        <v>416500</v>
      </c>
      <c r="D14" s="37" t="n">
        <f aca="false">216500+200000</f>
        <v>416500</v>
      </c>
      <c r="E14" s="69" t="n">
        <f aca="false">C14-D14</f>
        <v>0</v>
      </c>
    </row>
    <row r="15" customFormat="false" ht="15" hidden="false" customHeight="false" outlineLevel="0" collapsed="false">
      <c r="A15" s="35" t="n">
        <v>4</v>
      </c>
      <c r="B15" s="39" t="s">
        <v>165</v>
      </c>
      <c r="C15" s="14" t="n">
        <v>416500</v>
      </c>
      <c r="D15" s="37"/>
      <c r="E15" s="69" t="n">
        <f aca="false">C15-D15</f>
        <v>416500</v>
      </c>
    </row>
    <row r="16" customFormat="false" ht="15" hidden="false" customHeight="false" outlineLevel="0" collapsed="false">
      <c r="A16" s="35" t="n">
        <v>5</v>
      </c>
      <c r="B16" s="57" t="s">
        <v>166</v>
      </c>
      <c r="C16" s="14" t="n">
        <v>416500</v>
      </c>
      <c r="D16" s="37"/>
      <c r="E16" s="69" t="n">
        <f aca="false">C16-D16</f>
        <v>416500</v>
      </c>
    </row>
    <row r="17" customFormat="false" ht="15" hidden="false" customHeight="false" outlineLevel="0" collapsed="false">
      <c r="A17" s="35" t="n">
        <v>6</v>
      </c>
      <c r="B17" s="39" t="s">
        <v>167</v>
      </c>
      <c r="C17" s="14" t="n">
        <v>416500</v>
      </c>
      <c r="D17" s="37"/>
      <c r="E17" s="69" t="n">
        <f aca="false">C17-D17</f>
        <v>416500</v>
      </c>
    </row>
    <row r="18" customFormat="false" ht="15" hidden="false" customHeight="false" outlineLevel="0" collapsed="false">
      <c r="A18" s="35" t="n">
        <v>7</v>
      </c>
      <c r="B18" s="39" t="s">
        <v>168</v>
      </c>
      <c r="C18" s="14" t="n">
        <v>416500</v>
      </c>
      <c r="D18" s="37"/>
      <c r="E18" s="69" t="n">
        <f aca="false">C18-D18</f>
        <v>416500</v>
      </c>
    </row>
    <row r="19" customFormat="false" ht="15" hidden="false" customHeight="false" outlineLevel="0" collapsed="false">
      <c r="A19" s="35" t="n">
        <v>8</v>
      </c>
      <c r="B19" s="39" t="s">
        <v>169</v>
      </c>
      <c r="C19" s="14" t="n">
        <v>416500</v>
      </c>
      <c r="D19" s="37"/>
      <c r="E19" s="69" t="n">
        <f aca="false">C19-D19</f>
        <v>416500</v>
      </c>
    </row>
    <row r="20" customFormat="false" ht="15" hidden="false" customHeight="false" outlineLevel="0" collapsed="false">
      <c r="A20" s="35" t="n">
        <v>9</v>
      </c>
      <c r="B20" s="39" t="s">
        <v>170</v>
      </c>
      <c r="C20" s="14" t="n">
        <v>416500</v>
      </c>
      <c r="D20" s="37" t="n">
        <f aca="false">270000+30000</f>
        <v>300000</v>
      </c>
      <c r="E20" s="69" t="n">
        <f aca="false">C20-D20</f>
        <v>116500</v>
      </c>
    </row>
    <row r="21" customFormat="false" ht="15" hidden="false" customHeight="false" outlineLevel="0" collapsed="false">
      <c r="A21" s="35" t="n">
        <v>10</v>
      </c>
      <c r="B21" s="39" t="s">
        <v>171</v>
      </c>
      <c r="C21" s="14" t="n">
        <v>416500</v>
      </c>
      <c r="D21" s="37"/>
      <c r="E21" s="69" t="n">
        <f aca="false">C21-D21</f>
        <v>416500</v>
      </c>
    </row>
    <row r="22" customFormat="false" ht="15" hidden="false" customHeight="false" outlineLevel="0" collapsed="false">
      <c r="A22" s="35" t="n">
        <v>11</v>
      </c>
      <c r="B22" s="39" t="s">
        <v>172</v>
      </c>
      <c r="C22" s="14" t="n">
        <v>416500</v>
      </c>
      <c r="D22" s="37" t="n">
        <f aca="false">200000+16500+50000+30000+120000</f>
        <v>416500</v>
      </c>
      <c r="E22" s="69" t="n">
        <f aca="false">C22-D22</f>
        <v>0</v>
      </c>
    </row>
    <row r="23" customFormat="false" ht="15" hidden="false" customHeight="false" outlineLevel="0" collapsed="false">
      <c r="A23" s="35" t="n">
        <v>12</v>
      </c>
      <c r="B23" s="39" t="s">
        <v>173</v>
      </c>
      <c r="C23" s="14" t="n">
        <v>416500</v>
      </c>
      <c r="D23" s="37"/>
      <c r="E23" s="69" t="n">
        <f aca="false">C23-D23</f>
        <v>416500</v>
      </c>
    </row>
    <row r="24" customFormat="false" ht="15" hidden="false" customHeight="false" outlineLevel="0" collapsed="false">
      <c r="A24" s="35" t="n">
        <v>13</v>
      </c>
      <c r="B24" s="39" t="s">
        <v>174</v>
      </c>
      <c r="C24" s="14" t="n">
        <v>416500</v>
      </c>
      <c r="D24" s="37" t="n">
        <f aca="false">100000</f>
        <v>100000</v>
      </c>
      <c r="E24" s="69" t="n">
        <f aca="false">C24-D24</f>
        <v>316500</v>
      </c>
    </row>
    <row r="25" customFormat="false" ht="15" hidden="false" customHeight="false" outlineLevel="0" collapsed="false">
      <c r="A25" s="35" t="n">
        <v>14</v>
      </c>
      <c r="B25" s="39" t="s">
        <v>175</v>
      </c>
      <c r="C25" s="14" t="n">
        <v>416500</v>
      </c>
      <c r="D25" s="37" t="n">
        <f aca="false">58500</f>
        <v>58500</v>
      </c>
      <c r="E25" s="69" t="n">
        <f aca="false">C25-D25</f>
        <v>358000</v>
      </c>
    </row>
    <row r="26" customFormat="false" ht="15" hidden="false" customHeight="false" outlineLevel="0" collapsed="false">
      <c r="A26" s="35" t="n">
        <v>15</v>
      </c>
      <c r="B26" s="39" t="s">
        <v>176</v>
      </c>
      <c r="C26" s="14" t="n">
        <v>416500</v>
      </c>
      <c r="D26" s="37"/>
      <c r="E26" s="69" t="n">
        <f aca="false">C26-D26</f>
        <v>416500</v>
      </c>
    </row>
    <row r="27" customFormat="false" ht="15" hidden="false" customHeight="false" outlineLevel="0" collapsed="false">
      <c r="A27" s="35" t="n">
        <v>16</v>
      </c>
      <c r="B27" s="39" t="s">
        <v>177</v>
      </c>
      <c r="C27" s="14" t="n">
        <v>416500</v>
      </c>
      <c r="D27" s="37"/>
      <c r="E27" s="69" t="n">
        <f aca="false">C27-D27</f>
        <v>416500</v>
      </c>
    </row>
    <row r="28" customFormat="false" ht="17.35" hidden="false" customHeight="false" outlineLevel="0" collapsed="false">
      <c r="A28" s="22"/>
      <c r="B28" s="23" t="s">
        <v>21</v>
      </c>
      <c r="C28" s="24" t="n">
        <f aca="false">SUM(C12:C27)</f>
        <v>6664000</v>
      </c>
      <c r="D28" s="25" t="n">
        <f aca="false">SUM(D12:D27)</f>
        <v>2214000</v>
      </c>
      <c r="E28" s="70" t="n">
        <f aca="false">SUM(E12:E27)</f>
        <v>4450000</v>
      </c>
    </row>
    <row r="29" customFormat="false" ht="15" hidden="false" customHeight="false" outlineLevel="0" collapsed="false">
      <c r="D29" s="32"/>
      <c r="E29" s="32"/>
    </row>
    <row r="30" customFormat="false" ht="15" hidden="false" customHeight="false" outlineLevel="0" collapsed="false">
      <c r="D30" s="32"/>
      <c r="E30" s="32"/>
    </row>
    <row r="31" customFormat="false" ht="15" hidden="false" customHeight="false" outlineLevel="0" collapsed="false">
      <c r="D31" s="32"/>
      <c r="E31" s="32"/>
    </row>
    <row r="32" customFormat="false" ht="17.35" hidden="false" customHeight="false" outlineLevel="0" collapsed="false">
      <c r="B32" s="28"/>
      <c r="C32" s="29"/>
      <c r="D32" s="30"/>
      <c r="E32" s="67"/>
    </row>
    <row r="33" customFormat="false" ht="17.35" hidden="false" customHeight="false" outlineLevel="0" collapsed="false">
      <c r="A33" s="2"/>
      <c r="B33" s="3" t="s">
        <v>0</v>
      </c>
      <c r="D33" s="32"/>
      <c r="E33" s="32"/>
    </row>
    <row r="34" customFormat="false" ht="15" hidden="false" customHeight="false" outlineLevel="0" collapsed="false">
      <c r="A34" s="2"/>
      <c r="D34" s="32"/>
      <c r="E34" s="32"/>
    </row>
    <row r="35" customFormat="false" ht="15" hidden="false" customHeight="false" outlineLevel="0" collapsed="false">
      <c r="A35" s="2"/>
      <c r="D35" s="32"/>
      <c r="E35" s="32"/>
    </row>
    <row r="36" customFormat="false" ht="17.25" hidden="false" customHeight="false" outlineLevel="0" collapsed="false">
      <c r="A36" s="2"/>
      <c r="B36" s="5" t="s">
        <v>22</v>
      </c>
      <c r="D36" s="33" t="s">
        <v>191</v>
      </c>
      <c r="E36" s="32"/>
    </row>
    <row r="37" customFormat="false" ht="15" hidden="false" customHeight="false" outlineLevel="0" collapsed="false">
      <c r="A37" s="2"/>
      <c r="D37" s="32"/>
      <c r="E37" s="32"/>
    </row>
    <row r="38" customFormat="false" ht="15" hidden="false" customHeight="false" outlineLevel="0" collapsed="false">
      <c r="A38" s="7" t="s">
        <v>3</v>
      </c>
      <c r="B38" s="8" t="s">
        <v>4</v>
      </c>
      <c r="C38" s="9" t="s">
        <v>5</v>
      </c>
      <c r="D38" s="34" t="s">
        <v>6</v>
      </c>
      <c r="E38" s="68" t="s">
        <v>7</v>
      </c>
    </row>
    <row r="39" customFormat="false" ht="15" hidden="false" customHeight="false" outlineLevel="0" collapsed="false">
      <c r="A39" s="35" t="n">
        <v>1</v>
      </c>
      <c r="B39" s="17" t="s">
        <v>192</v>
      </c>
      <c r="C39" s="14" t="n">
        <v>416500</v>
      </c>
      <c r="D39" s="37" t="n">
        <f aca="false">250000</f>
        <v>250000</v>
      </c>
      <c r="E39" s="69" t="n">
        <f aca="false">C39-D39</f>
        <v>166500</v>
      </c>
    </row>
    <row r="40" customFormat="false" ht="15" hidden="false" customHeight="false" outlineLevel="0" collapsed="false">
      <c r="A40" s="35" t="n">
        <v>2</v>
      </c>
      <c r="B40" s="39" t="s">
        <v>193</v>
      </c>
      <c r="C40" s="14" t="n">
        <v>416500</v>
      </c>
      <c r="D40" s="37" t="n">
        <f aca="false">150000+200000</f>
        <v>350000</v>
      </c>
      <c r="E40" s="69" t="n">
        <f aca="false">C40-D40</f>
        <v>66500</v>
      </c>
    </row>
    <row r="41" customFormat="false" ht="15" hidden="false" customHeight="false" outlineLevel="0" collapsed="false">
      <c r="A41" s="35" t="n">
        <v>3</v>
      </c>
      <c r="B41" s="39" t="s">
        <v>194</v>
      </c>
      <c r="C41" s="14" t="n">
        <v>416500</v>
      </c>
      <c r="D41" s="37" t="n">
        <f aca="false">199500+17000+200000</f>
        <v>416500</v>
      </c>
      <c r="E41" s="69" t="n">
        <f aca="false">C41-D41</f>
        <v>0</v>
      </c>
    </row>
    <row r="42" customFormat="false" ht="15" hidden="false" customHeight="false" outlineLevel="0" collapsed="false">
      <c r="A42" s="35" t="n">
        <v>4</v>
      </c>
      <c r="B42" s="39" t="s">
        <v>195</v>
      </c>
      <c r="C42" s="14" t="n">
        <v>416500</v>
      </c>
      <c r="D42" s="37" t="n">
        <f aca="false">100000+116000+200000</f>
        <v>416000</v>
      </c>
      <c r="E42" s="69" t="n">
        <f aca="false">C42-D42</f>
        <v>500</v>
      </c>
    </row>
    <row r="43" customFormat="false" ht="15" hidden="false" customHeight="false" outlineLevel="0" collapsed="false">
      <c r="A43" s="35" t="n">
        <v>5</v>
      </c>
      <c r="B43" s="39" t="s">
        <v>196</v>
      </c>
      <c r="C43" s="14" t="n">
        <v>416500</v>
      </c>
      <c r="D43" s="37"/>
      <c r="E43" s="69" t="n">
        <f aca="false">C43-D43</f>
        <v>416500</v>
      </c>
    </row>
    <row r="44" customFormat="false" ht="15" hidden="false" customHeight="false" outlineLevel="0" collapsed="false">
      <c r="A44" s="35" t="n">
        <v>6</v>
      </c>
      <c r="B44" s="39" t="s">
        <v>197</v>
      </c>
      <c r="C44" s="14" t="n">
        <v>416500</v>
      </c>
      <c r="D44" s="37" t="n">
        <f aca="false">200000</f>
        <v>200000</v>
      </c>
      <c r="E44" s="69" t="n">
        <f aca="false">C44-D44</f>
        <v>216500</v>
      </c>
    </row>
    <row r="45" customFormat="false" ht="15" hidden="false" customHeight="false" outlineLevel="0" collapsed="false">
      <c r="A45" s="35" t="n">
        <v>7</v>
      </c>
      <c r="B45" s="39" t="s">
        <v>198</v>
      </c>
      <c r="C45" s="14" t="n">
        <v>416500</v>
      </c>
      <c r="D45" s="37" t="n">
        <f aca="false">100000+116000+120000</f>
        <v>336000</v>
      </c>
      <c r="E45" s="69" t="n">
        <f aca="false">C45-D45</f>
        <v>80500</v>
      </c>
    </row>
    <row r="46" customFormat="false" ht="15" hidden="false" customHeight="false" outlineLevel="0" collapsed="false">
      <c r="A46" s="35" t="n">
        <v>8</v>
      </c>
      <c r="B46" s="39" t="s">
        <v>199</v>
      </c>
      <c r="C46" s="14" t="n">
        <v>416500</v>
      </c>
      <c r="D46" s="37" t="n">
        <f aca="false">150000+70000</f>
        <v>220000</v>
      </c>
      <c r="E46" s="69" t="n">
        <f aca="false">C46-D46</f>
        <v>196500</v>
      </c>
    </row>
    <row r="47" customFormat="false" ht="15" hidden="false" customHeight="false" outlineLevel="0" collapsed="false">
      <c r="A47" s="35" t="n">
        <v>9</v>
      </c>
      <c r="B47" s="39" t="s">
        <v>200</v>
      </c>
      <c r="C47" s="14" t="n">
        <v>416500</v>
      </c>
      <c r="D47" s="37"/>
      <c r="E47" s="69" t="n">
        <f aca="false">C47-D47</f>
        <v>416500</v>
      </c>
    </row>
    <row r="48" customFormat="false" ht="15" hidden="false" customHeight="false" outlineLevel="0" collapsed="false">
      <c r="A48" s="35" t="n">
        <v>10</v>
      </c>
      <c r="B48" s="39" t="s">
        <v>201</v>
      </c>
      <c r="C48" s="14" t="n">
        <v>416500</v>
      </c>
      <c r="D48" s="37" t="n">
        <f aca="false">200000+216500</f>
        <v>416500</v>
      </c>
      <c r="E48" s="69" t="n">
        <f aca="false">C48-D48</f>
        <v>0</v>
      </c>
    </row>
    <row r="49" customFormat="false" ht="15" hidden="false" customHeight="false" outlineLevel="0" collapsed="false">
      <c r="A49" s="35" t="n">
        <v>11</v>
      </c>
      <c r="B49" s="39" t="s">
        <v>202</v>
      </c>
      <c r="C49" s="14" t="n">
        <v>416500</v>
      </c>
      <c r="D49" s="37" t="n">
        <f aca="false">60500</f>
        <v>60500</v>
      </c>
      <c r="E49" s="69" t="n">
        <f aca="false">C49-D49</f>
        <v>356000</v>
      </c>
    </row>
    <row r="50" customFormat="false" ht="15" hidden="false" customHeight="false" outlineLevel="0" collapsed="false">
      <c r="A50" s="35" t="n">
        <v>12</v>
      </c>
      <c r="B50" s="39" t="s">
        <v>203</v>
      </c>
      <c r="C50" s="14" t="n">
        <v>416500</v>
      </c>
      <c r="D50" s="37" t="n">
        <f aca="false">200000+140000+76500</f>
        <v>416500</v>
      </c>
      <c r="E50" s="69" t="n">
        <f aca="false">C50-D50</f>
        <v>0</v>
      </c>
    </row>
    <row r="51" customFormat="false" ht="15" hidden="false" customHeight="false" outlineLevel="0" collapsed="false">
      <c r="A51" s="35" t="n">
        <v>13</v>
      </c>
      <c r="B51" s="39" t="s">
        <v>204</v>
      </c>
      <c r="C51" s="14" t="n">
        <v>416500</v>
      </c>
      <c r="D51" s="37" t="n">
        <f aca="false">100000+100000+200000+16500</f>
        <v>416500</v>
      </c>
      <c r="E51" s="69" t="n">
        <f aca="false">C51-D51</f>
        <v>0</v>
      </c>
    </row>
    <row r="52" customFormat="false" ht="15" hidden="false" customHeight="false" outlineLevel="0" collapsed="false">
      <c r="A52" s="35" t="n">
        <v>14</v>
      </c>
      <c r="B52" s="39" t="s">
        <v>205</v>
      </c>
      <c r="C52" s="14" t="n">
        <v>416500</v>
      </c>
      <c r="D52" s="37" t="n">
        <f aca="false">199500</f>
        <v>199500</v>
      </c>
      <c r="E52" s="69" t="n">
        <f aca="false">C52-D52</f>
        <v>217000</v>
      </c>
    </row>
    <row r="53" customFormat="false" ht="15" hidden="false" customHeight="false" outlineLevel="0" collapsed="false">
      <c r="A53" s="35" t="n">
        <v>15</v>
      </c>
      <c r="B53" s="39" t="s">
        <v>206</v>
      </c>
      <c r="C53" s="14" t="n">
        <v>416500</v>
      </c>
      <c r="D53" s="37" t="n">
        <f aca="false">50000+50000+100000+50000+30000+136000+500</f>
        <v>416500</v>
      </c>
      <c r="E53" s="69" t="n">
        <f aca="false">C53-D53</f>
        <v>0</v>
      </c>
    </row>
    <row r="54" customFormat="false" ht="15" hidden="false" customHeight="false" outlineLevel="0" collapsed="false">
      <c r="A54" s="35" t="n">
        <v>16</v>
      </c>
      <c r="B54" s="17" t="s">
        <v>207</v>
      </c>
      <c r="C54" s="14" t="n">
        <v>416500</v>
      </c>
      <c r="D54" s="37" t="n">
        <f aca="false">200000+150000+66500</f>
        <v>416500</v>
      </c>
      <c r="E54" s="69" t="n">
        <f aca="false">C54-D54</f>
        <v>0</v>
      </c>
    </row>
    <row r="55" customFormat="false" ht="15" hidden="false" customHeight="false" outlineLevel="0" collapsed="false">
      <c r="A55" s="35" t="n">
        <v>17</v>
      </c>
      <c r="B55" s="39" t="s">
        <v>208</v>
      </c>
      <c r="C55" s="14" t="n">
        <v>416500</v>
      </c>
      <c r="D55" s="37" t="n">
        <f aca="false">150000+66500+200000</f>
        <v>416500</v>
      </c>
      <c r="E55" s="69" t="n">
        <f aca="false">C55-D55</f>
        <v>0</v>
      </c>
    </row>
    <row r="56" customFormat="false" ht="15" hidden="false" customHeight="false" outlineLevel="0" collapsed="false">
      <c r="A56" s="35" t="n">
        <v>18</v>
      </c>
      <c r="B56" s="39" t="s">
        <v>209</v>
      </c>
      <c r="C56" s="14" t="n">
        <v>416500</v>
      </c>
      <c r="D56" s="37" t="n">
        <f aca="false">9500+209000+200000</f>
        <v>418500</v>
      </c>
      <c r="E56" s="69" t="n">
        <f aca="false">C56-D56</f>
        <v>-2000</v>
      </c>
    </row>
    <row r="57" customFormat="false" ht="15" hidden="false" customHeight="false" outlineLevel="0" collapsed="false">
      <c r="A57" s="35" t="n">
        <v>19</v>
      </c>
      <c r="B57" s="20" t="s">
        <v>210</v>
      </c>
      <c r="C57" s="14" t="n">
        <v>416500</v>
      </c>
      <c r="D57" s="21" t="n">
        <f aca="false">216000+200500</f>
        <v>416500</v>
      </c>
      <c r="E57" s="69" t="n">
        <f aca="false">C57-D57</f>
        <v>0</v>
      </c>
    </row>
    <row r="58" customFormat="false" ht="15" hidden="false" customHeight="false" outlineLevel="0" collapsed="false">
      <c r="A58" s="50" t="n">
        <v>20</v>
      </c>
      <c r="B58" s="39" t="s">
        <v>211</v>
      </c>
      <c r="C58" s="37" t="n">
        <v>416500</v>
      </c>
      <c r="D58" s="37" t="n">
        <f aca="false">9500+70500</f>
        <v>80000</v>
      </c>
      <c r="E58" s="69" t="n">
        <f aca="false">C58-D58</f>
        <v>336500</v>
      </c>
    </row>
    <row r="59" customFormat="false" ht="15" hidden="false" customHeight="false" outlineLevel="0" collapsed="false">
      <c r="A59" s="50" t="n">
        <v>21</v>
      </c>
      <c r="B59" s="36" t="s">
        <v>212</v>
      </c>
      <c r="C59" s="14" t="n">
        <v>416500</v>
      </c>
      <c r="D59" s="37" t="n">
        <f aca="false">416500</f>
        <v>416500</v>
      </c>
      <c r="E59" s="69" t="n">
        <f aca="false">C59-D59</f>
        <v>0</v>
      </c>
    </row>
    <row r="60" customFormat="false" ht="17.35" hidden="false" customHeight="false" outlineLevel="0" collapsed="false">
      <c r="A60" s="35"/>
      <c r="B60" s="23" t="s">
        <v>21</v>
      </c>
      <c r="C60" s="24" t="n">
        <f aca="false">SUM(C39:C59)</f>
        <v>8746500</v>
      </c>
      <c r="D60" s="25" t="n">
        <f aca="false">SUM(D39:D59)</f>
        <v>6279000</v>
      </c>
      <c r="E60" s="70" t="n">
        <f aca="false">C60-D60</f>
        <v>2467500</v>
      </c>
    </row>
    <row r="61" customFormat="false" ht="17.35" hidden="false" customHeight="false" outlineLevel="0" collapsed="false">
      <c r="B61" s="28"/>
      <c r="C61" s="29"/>
      <c r="D61" s="30"/>
      <c r="E61" s="67"/>
    </row>
    <row r="62" customFormat="false" ht="17.35" hidden="false" customHeight="false" outlineLevel="0" collapsed="false">
      <c r="A62" s="71"/>
      <c r="B62" s="28"/>
      <c r="C62" s="29"/>
      <c r="D62" s="72"/>
      <c r="E62" s="67"/>
    </row>
    <row r="63" customFormat="false" ht="17.35" hidden="false" customHeight="false" outlineLevel="0" collapsed="false">
      <c r="A63" s="2"/>
      <c r="B63" s="3" t="s">
        <v>0</v>
      </c>
      <c r="D63" s="32"/>
      <c r="E63" s="32"/>
    </row>
    <row r="64" customFormat="false" ht="15" hidden="false" customHeight="false" outlineLevel="0" collapsed="false">
      <c r="A64" s="2"/>
      <c r="B64" s="2"/>
      <c r="C64" s="2"/>
      <c r="D64" s="73"/>
      <c r="E64" s="73"/>
    </row>
    <row r="65" customFormat="false" ht="15" hidden="false" customHeight="false" outlineLevel="0" collapsed="false">
      <c r="A65" s="2"/>
      <c r="D65" s="32"/>
      <c r="E65" s="32"/>
    </row>
    <row r="66" customFormat="false" ht="17.25" hidden="false" customHeight="false" outlineLevel="0" collapsed="false">
      <c r="A66" s="2"/>
      <c r="B66" s="5" t="s">
        <v>22</v>
      </c>
      <c r="D66" s="33" t="s">
        <v>161</v>
      </c>
      <c r="E66" s="32"/>
    </row>
    <row r="67" customFormat="false" ht="15" hidden="false" customHeight="false" outlineLevel="0" collapsed="false">
      <c r="A67" s="2"/>
      <c r="D67" s="32"/>
      <c r="E67" s="32"/>
    </row>
    <row r="68" customFormat="false" ht="15" hidden="false" customHeight="false" outlineLevel="0" collapsed="false">
      <c r="A68" s="7" t="s">
        <v>3</v>
      </c>
      <c r="B68" s="8" t="s">
        <v>4</v>
      </c>
      <c r="C68" s="9" t="s">
        <v>5</v>
      </c>
      <c r="D68" s="34" t="s">
        <v>6</v>
      </c>
      <c r="E68" s="68" t="s">
        <v>7</v>
      </c>
    </row>
    <row r="69" customFormat="false" ht="15" hidden="false" customHeight="false" outlineLevel="0" collapsed="false">
      <c r="A69" s="12" t="n">
        <v>1</v>
      </c>
      <c r="B69" s="17" t="s">
        <v>213</v>
      </c>
      <c r="C69" s="14" t="n">
        <v>416500</v>
      </c>
      <c r="D69" s="37" t="n">
        <f aca="false">216500</f>
        <v>216500</v>
      </c>
      <c r="E69" s="69" t="n">
        <f aca="false">C69-D69</f>
        <v>200000</v>
      </c>
    </row>
    <row r="70" customFormat="false" ht="15" hidden="false" customHeight="false" outlineLevel="0" collapsed="false">
      <c r="A70" s="35" t="n">
        <v>2</v>
      </c>
      <c r="B70" s="39" t="s">
        <v>214</v>
      </c>
      <c r="C70" s="14" t="n">
        <v>416500</v>
      </c>
      <c r="D70" s="37" t="n">
        <f aca="false">300000+116500</f>
        <v>416500</v>
      </c>
      <c r="E70" s="69" t="n">
        <f aca="false">C70-D70</f>
        <v>0</v>
      </c>
    </row>
    <row r="71" customFormat="false" ht="15" hidden="false" customHeight="false" outlineLevel="0" collapsed="false">
      <c r="A71" s="12" t="n">
        <v>3</v>
      </c>
      <c r="B71" s="39" t="s">
        <v>215</v>
      </c>
      <c r="C71" s="14" t="n">
        <v>416500</v>
      </c>
      <c r="D71" s="37" t="n">
        <f aca="false">216500+200000</f>
        <v>416500</v>
      </c>
      <c r="E71" s="69" t="n">
        <f aca="false">C71-D71</f>
        <v>0</v>
      </c>
    </row>
    <row r="72" customFormat="false" ht="15" hidden="false" customHeight="false" outlineLevel="0" collapsed="false">
      <c r="A72" s="1" t="n">
        <v>4</v>
      </c>
      <c r="B72" s="39" t="s">
        <v>216</v>
      </c>
      <c r="C72" s="14" t="n">
        <v>416500</v>
      </c>
      <c r="D72" s="37" t="n">
        <f aca="false">220000+100000+96500</f>
        <v>416500</v>
      </c>
      <c r="E72" s="69" t="n">
        <f aca="false">C72-D72</f>
        <v>0</v>
      </c>
    </row>
    <row r="73" customFormat="false" ht="15" hidden="false" customHeight="false" outlineLevel="0" collapsed="false">
      <c r="A73" s="12" t="n">
        <v>5</v>
      </c>
      <c r="B73" s="39" t="s">
        <v>217</v>
      </c>
      <c r="C73" s="14" t="n">
        <v>416500</v>
      </c>
      <c r="D73" s="37" t="n">
        <f aca="false">150000</f>
        <v>150000</v>
      </c>
      <c r="E73" s="69" t="n">
        <f aca="false">C73-D73</f>
        <v>266500</v>
      </c>
    </row>
    <row r="74" customFormat="false" ht="15" hidden="false" customHeight="false" outlineLevel="0" collapsed="false">
      <c r="A74" s="35" t="n">
        <v>6</v>
      </c>
      <c r="B74" s="39" t="s">
        <v>218</v>
      </c>
      <c r="C74" s="14" t="n">
        <v>416500</v>
      </c>
      <c r="D74" s="37" t="n">
        <f aca="false">100000</f>
        <v>100000</v>
      </c>
      <c r="E74" s="69" t="n">
        <f aca="false">C74-D74</f>
        <v>316500</v>
      </c>
    </row>
    <row r="75" customFormat="false" ht="15" hidden="false" customHeight="false" outlineLevel="0" collapsed="false">
      <c r="A75" s="12" t="n">
        <v>7</v>
      </c>
      <c r="B75" s="39" t="s">
        <v>219</v>
      </c>
      <c r="C75" s="14" t="n">
        <v>416500</v>
      </c>
      <c r="D75" s="37" t="n">
        <f aca="false">200000</f>
        <v>200000</v>
      </c>
      <c r="E75" s="69" t="n">
        <f aca="false">C75-D75</f>
        <v>216500</v>
      </c>
    </row>
    <row r="76" customFormat="false" ht="15" hidden="false" customHeight="false" outlineLevel="0" collapsed="false">
      <c r="A76" s="35" t="n">
        <v>8</v>
      </c>
      <c r="B76" s="39" t="s">
        <v>220</v>
      </c>
      <c r="C76" s="14" t="n">
        <v>416500</v>
      </c>
      <c r="D76" s="37" t="n">
        <f aca="false">150000+50000+200000+16500</f>
        <v>416500</v>
      </c>
      <c r="E76" s="69" t="n">
        <f aca="false">C76-D76</f>
        <v>0</v>
      </c>
    </row>
    <row r="77" customFormat="false" ht="15" hidden="false" customHeight="false" outlineLevel="0" collapsed="false">
      <c r="A77" s="12" t="n">
        <v>9</v>
      </c>
      <c r="B77" s="39" t="s">
        <v>221</v>
      </c>
      <c r="C77" s="14" t="n">
        <v>416500</v>
      </c>
      <c r="D77" s="37"/>
      <c r="E77" s="69" t="n">
        <f aca="false">C77-D77</f>
        <v>416500</v>
      </c>
    </row>
    <row r="78" customFormat="false" ht="15" hidden="false" customHeight="false" outlineLevel="0" collapsed="false">
      <c r="A78" s="1" t="n">
        <v>10</v>
      </c>
      <c r="B78" s="39" t="s">
        <v>222</v>
      </c>
      <c r="C78" s="14" t="n">
        <v>416500</v>
      </c>
      <c r="D78" s="37" t="n">
        <f aca="false">199500+217000</f>
        <v>416500</v>
      </c>
      <c r="E78" s="69" t="n">
        <f aca="false">C78-D78</f>
        <v>0</v>
      </c>
    </row>
    <row r="79" customFormat="false" ht="15" hidden="false" customHeight="false" outlineLevel="0" collapsed="false">
      <c r="A79" s="12" t="n">
        <v>11</v>
      </c>
      <c r="B79" s="39" t="s">
        <v>223</v>
      </c>
      <c r="C79" s="14" t="n">
        <v>416500</v>
      </c>
      <c r="D79" s="37" t="n">
        <f aca="false">100500</f>
        <v>100500</v>
      </c>
      <c r="E79" s="69" t="n">
        <f aca="false">C79-D79</f>
        <v>316000</v>
      </c>
    </row>
    <row r="80" customFormat="false" ht="15" hidden="false" customHeight="false" outlineLevel="0" collapsed="false">
      <c r="A80" s="35" t="n">
        <v>12</v>
      </c>
      <c r="B80" s="39" t="s">
        <v>224</v>
      </c>
      <c r="C80" s="14" t="n">
        <v>416500</v>
      </c>
      <c r="D80" s="37" t="n">
        <v>416500</v>
      </c>
      <c r="E80" s="69" t="n">
        <f aca="false">C80-D80</f>
        <v>0</v>
      </c>
    </row>
    <row r="81" customFormat="false" ht="15" hidden="false" customHeight="false" outlineLevel="0" collapsed="false">
      <c r="A81" s="12" t="n">
        <v>13</v>
      </c>
      <c r="B81" s="39" t="s">
        <v>225</v>
      </c>
      <c r="C81" s="14" t="n">
        <v>416500</v>
      </c>
      <c r="D81" s="37" t="n">
        <f aca="false">416500</f>
        <v>416500</v>
      </c>
      <c r="E81" s="69" t="n">
        <f aca="false">C81-D81</f>
        <v>0</v>
      </c>
    </row>
    <row r="82" customFormat="false" ht="15" hidden="false" customHeight="false" outlineLevel="0" collapsed="false">
      <c r="A82" s="35" t="n">
        <v>14</v>
      </c>
      <c r="B82" s="39" t="s">
        <v>226</v>
      </c>
      <c r="C82" s="14" t="n">
        <v>416500</v>
      </c>
      <c r="D82" s="37"/>
      <c r="E82" s="69" t="n">
        <f aca="false">C82-D82</f>
        <v>416500</v>
      </c>
    </row>
    <row r="83" customFormat="false" ht="15" hidden="false" customHeight="false" outlineLevel="0" collapsed="false">
      <c r="A83" s="12" t="n">
        <v>15</v>
      </c>
      <c r="B83" s="74" t="s">
        <v>227</v>
      </c>
      <c r="C83" s="14" t="n">
        <v>416500</v>
      </c>
      <c r="D83" s="37"/>
      <c r="E83" s="69" t="n">
        <f aca="false">C83-D83</f>
        <v>416500</v>
      </c>
    </row>
    <row r="84" customFormat="false" ht="15" hidden="false" customHeight="false" outlineLevel="0" collapsed="false">
      <c r="A84" s="1" t="n">
        <v>16</v>
      </c>
      <c r="B84" s="39" t="s">
        <v>228</v>
      </c>
      <c r="C84" s="14" t="n">
        <v>416500</v>
      </c>
      <c r="D84" s="37"/>
      <c r="E84" s="69" t="n">
        <f aca="false">C84-D84</f>
        <v>416500</v>
      </c>
    </row>
    <row r="85" customFormat="false" ht="15" hidden="false" customHeight="false" outlineLevel="0" collapsed="false">
      <c r="A85" s="12" t="n">
        <v>17</v>
      </c>
      <c r="B85" s="39" t="s">
        <v>229</v>
      </c>
      <c r="C85" s="14" t="n">
        <v>416500</v>
      </c>
      <c r="D85" s="37"/>
      <c r="E85" s="69" t="n">
        <f aca="false">C85-D85</f>
        <v>416500</v>
      </c>
    </row>
    <row r="86" customFormat="false" ht="15" hidden="false" customHeight="false" outlineLevel="0" collapsed="false">
      <c r="A86" s="35" t="n">
        <v>18</v>
      </c>
      <c r="B86" s="39" t="s">
        <v>230</v>
      </c>
      <c r="C86" s="14" t="n">
        <v>416500</v>
      </c>
      <c r="D86" s="37" t="n">
        <f aca="false">100000+200000</f>
        <v>300000</v>
      </c>
      <c r="E86" s="69" t="n">
        <f aca="false">C86-D86</f>
        <v>116500</v>
      </c>
    </row>
    <row r="87" customFormat="false" ht="15" hidden="false" customHeight="false" outlineLevel="0" collapsed="false">
      <c r="A87" s="12" t="n">
        <v>19</v>
      </c>
      <c r="B87" s="39" t="s">
        <v>231</v>
      </c>
      <c r="C87" s="14" t="n">
        <v>416500</v>
      </c>
      <c r="D87" s="37" t="n">
        <f aca="false">216500+120000+80000</f>
        <v>416500</v>
      </c>
      <c r="E87" s="69" t="n">
        <f aca="false">C87-D87</f>
        <v>0</v>
      </c>
    </row>
    <row r="88" customFormat="false" ht="15" hidden="false" customHeight="false" outlineLevel="0" collapsed="false">
      <c r="A88" s="35" t="n">
        <v>20</v>
      </c>
      <c r="B88" s="39" t="s">
        <v>232</v>
      </c>
      <c r="C88" s="14" t="n">
        <v>416500</v>
      </c>
      <c r="D88" s="37"/>
      <c r="E88" s="69" t="n">
        <f aca="false">C88-D88</f>
        <v>416500</v>
      </c>
    </row>
    <row r="89" customFormat="false" ht="15" hidden="false" customHeight="false" outlineLevel="0" collapsed="false">
      <c r="A89" s="12" t="n">
        <v>21</v>
      </c>
      <c r="B89" s="39" t="s">
        <v>233</v>
      </c>
      <c r="C89" s="14" t="n">
        <v>416500</v>
      </c>
      <c r="D89" s="37" t="n">
        <f aca="false">100000</f>
        <v>100000</v>
      </c>
      <c r="E89" s="69" t="n">
        <f aca="false">C89-D89</f>
        <v>316500</v>
      </c>
    </row>
    <row r="90" customFormat="false" ht="15" hidden="false" customHeight="false" outlineLevel="0" collapsed="false">
      <c r="A90" s="1" t="n">
        <v>22</v>
      </c>
      <c r="B90" s="39" t="s">
        <v>234</v>
      </c>
      <c r="C90" s="14" t="n">
        <v>416500</v>
      </c>
      <c r="D90" s="37"/>
      <c r="E90" s="69" t="n">
        <f aca="false">C90-D90</f>
        <v>416500</v>
      </c>
    </row>
    <row r="91" customFormat="false" ht="15" hidden="false" customHeight="false" outlineLevel="0" collapsed="false">
      <c r="A91" s="12" t="n">
        <v>23</v>
      </c>
      <c r="B91" s="39" t="s">
        <v>235</v>
      </c>
      <c r="C91" s="14" t="n">
        <v>416500</v>
      </c>
      <c r="D91" s="37"/>
      <c r="E91" s="69" t="n">
        <f aca="false">C91-D91</f>
        <v>416500</v>
      </c>
    </row>
    <row r="92" customFormat="false" ht="15" hidden="false" customHeight="false" outlineLevel="0" collapsed="false">
      <c r="A92" s="35" t="n">
        <v>24</v>
      </c>
      <c r="B92" s="39" t="s">
        <v>236</v>
      </c>
      <c r="C92" s="14" t="n">
        <v>416500</v>
      </c>
      <c r="D92" s="37" t="n">
        <f aca="false">66500</f>
        <v>66500</v>
      </c>
      <c r="E92" s="69" t="n">
        <f aca="false">C92-D92</f>
        <v>350000</v>
      </c>
    </row>
    <row r="93" customFormat="false" ht="15" hidden="false" customHeight="false" outlineLevel="0" collapsed="false">
      <c r="A93" s="12" t="n">
        <v>25</v>
      </c>
      <c r="B93" s="39" t="s">
        <v>237</v>
      </c>
      <c r="C93" s="14" t="n">
        <v>416500</v>
      </c>
      <c r="D93" s="37" t="n">
        <f aca="false">190000+56500+50000</f>
        <v>296500</v>
      </c>
      <c r="E93" s="69" t="n">
        <f aca="false">C93-D93</f>
        <v>120000</v>
      </c>
    </row>
    <row r="94" customFormat="false" ht="15" hidden="false" customHeight="false" outlineLevel="0" collapsed="false">
      <c r="A94" s="35" t="n">
        <v>26</v>
      </c>
      <c r="B94" s="39" t="s">
        <v>238</v>
      </c>
      <c r="C94" s="14" t="n">
        <v>416500</v>
      </c>
      <c r="D94" s="37" t="n">
        <f aca="false">200000+85000+131500</f>
        <v>416500</v>
      </c>
      <c r="E94" s="69" t="n">
        <f aca="false">C94-D94</f>
        <v>0</v>
      </c>
    </row>
    <row r="95" customFormat="false" ht="15" hidden="false" customHeight="false" outlineLevel="0" collapsed="false">
      <c r="A95" s="12" t="n">
        <v>27</v>
      </c>
      <c r="B95" s="39" t="s">
        <v>239</v>
      </c>
      <c r="C95" s="14" t="n">
        <v>416500</v>
      </c>
      <c r="D95" s="37" t="n">
        <f aca="false">200000+216500</f>
        <v>416500</v>
      </c>
      <c r="E95" s="69" t="n">
        <f aca="false">C95-D95</f>
        <v>0</v>
      </c>
    </row>
    <row r="96" customFormat="false" ht="15" hidden="false" customHeight="false" outlineLevel="0" collapsed="false">
      <c r="A96" s="1" t="n">
        <v>28</v>
      </c>
      <c r="B96" s="39" t="s">
        <v>240</v>
      </c>
      <c r="C96" s="14" t="n">
        <v>416500</v>
      </c>
      <c r="D96" s="37"/>
      <c r="E96" s="69" t="n">
        <f aca="false">C96-D96</f>
        <v>416500</v>
      </c>
    </row>
    <row r="97" customFormat="false" ht="15" hidden="false" customHeight="false" outlineLevel="0" collapsed="false">
      <c r="A97" s="12" t="n">
        <v>29</v>
      </c>
      <c r="B97" s="39" t="s">
        <v>241</v>
      </c>
      <c r="C97" s="14" t="n">
        <v>416500</v>
      </c>
      <c r="D97" s="37"/>
      <c r="E97" s="69" t="n">
        <f aca="false">C97-D97</f>
        <v>416500</v>
      </c>
    </row>
    <row r="98" customFormat="false" ht="15" hidden="false" customHeight="false" outlineLevel="0" collapsed="false">
      <c r="A98" s="35" t="n">
        <v>30</v>
      </c>
      <c r="B98" s="39" t="s">
        <v>242</v>
      </c>
      <c r="C98" s="14" t="n">
        <v>416500</v>
      </c>
      <c r="D98" s="37" t="n">
        <f aca="false">202000+214500</f>
        <v>416500</v>
      </c>
      <c r="E98" s="69" t="n">
        <f aca="false">C98-D98</f>
        <v>0</v>
      </c>
    </row>
    <row r="99" customFormat="false" ht="15" hidden="false" customHeight="false" outlineLevel="0" collapsed="false">
      <c r="A99" s="12" t="n">
        <v>31</v>
      </c>
      <c r="B99" s="39" t="s">
        <v>243</v>
      </c>
      <c r="C99" s="14" t="n">
        <v>416500</v>
      </c>
      <c r="D99" s="37" t="n">
        <f aca="false">416500</f>
        <v>416500</v>
      </c>
      <c r="E99" s="69" t="n">
        <f aca="false">C99-D99</f>
        <v>0</v>
      </c>
    </row>
    <row r="100" customFormat="false" ht="15" hidden="false" customHeight="false" outlineLevel="0" collapsed="false">
      <c r="A100" s="35" t="n">
        <v>32</v>
      </c>
      <c r="B100" s="39" t="s">
        <v>244</v>
      </c>
      <c r="C100" s="14" t="n">
        <v>416500</v>
      </c>
      <c r="D100" s="37" t="n">
        <f aca="false">200000+100000+116500</f>
        <v>416500</v>
      </c>
      <c r="E100" s="69" t="n">
        <f aca="false">C100-D100</f>
        <v>0</v>
      </c>
    </row>
    <row r="101" customFormat="false" ht="15" hidden="false" customHeight="false" outlineLevel="0" collapsed="false">
      <c r="A101" s="12" t="n">
        <v>33</v>
      </c>
      <c r="B101" s="39" t="s">
        <v>245</v>
      </c>
      <c r="C101" s="14" t="n">
        <v>416500</v>
      </c>
      <c r="D101" s="37" t="n">
        <f aca="false">108500+100000</f>
        <v>208500</v>
      </c>
      <c r="E101" s="69" t="n">
        <f aca="false">C101-D101</f>
        <v>208000</v>
      </c>
    </row>
    <row r="102" customFormat="false" ht="15" hidden="false" customHeight="false" outlineLevel="0" collapsed="false">
      <c r="A102" s="1" t="n">
        <v>34</v>
      </c>
      <c r="B102" s="39" t="s">
        <v>246</v>
      </c>
      <c r="C102" s="14" t="n">
        <v>416500</v>
      </c>
      <c r="D102" s="37" t="n">
        <f aca="false">216500+200000</f>
        <v>416500</v>
      </c>
      <c r="E102" s="69" t="n">
        <f aca="false">C102-D102</f>
        <v>0</v>
      </c>
    </row>
    <row r="103" customFormat="false" ht="15" hidden="false" customHeight="false" outlineLevel="0" collapsed="false">
      <c r="A103" s="12" t="n">
        <v>35</v>
      </c>
      <c r="B103" s="39" t="s">
        <v>247</v>
      </c>
      <c r="C103" s="14" t="n">
        <v>416500</v>
      </c>
      <c r="D103" s="37"/>
      <c r="E103" s="69" t="n">
        <f aca="false">C103-D103</f>
        <v>416500</v>
      </c>
    </row>
    <row r="104" customFormat="false" ht="15" hidden="false" customHeight="false" outlineLevel="0" collapsed="false">
      <c r="A104" s="35" t="n">
        <v>36</v>
      </c>
      <c r="B104" s="39" t="s">
        <v>248</v>
      </c>
      <c r="C104" s="37" t="n">
        <v>416500</v>
      </c>
      <c r="D104" s="37"/>
      <c r="E104" s="69" t="n">
        <f aca="false">C104-D104</f>
        <v>416500</v>
      </c>
    </row>
    <row r="105" customFormat="false" ht="15" hidden="false" customHeight="false" outlineLevel="0" collapsed="false">
      <c r="A105" s="12" t="n">
        <v>37</v>
      </c>
      <c r="B105" s="39" t="s">
        <v>249</v>
      </c>
      <c r="C105" s="14" t="n">
        <v>416500</v>
      </c>
      <c r="D105" s="37"/>
      <c r="E105" s="69" t="n">
        <f aca="false">C105-D105</f>
        <v>416500</v>
      </c>
    </row>
    <row r="106" customFormat="false" ht="15" hidden="false" customHeight="false" outlineLevel="0" collapsed="false">
      <c r="A106" s="35" t="n">
        <v>38</v>
      </c>
      <c r="B106" s="39" t="s">
        <v>250</v>
      </c>
      <c r="C106" s="14" t="n">
        <v>416500</v>
      </c>
      <c r="D106" s="37"/>
      <c r="E106" s="69" t="n">
        <f aca="false">C106-D106</f>
        <v>416500</v>
      </c>
    </row>
    <row r="107" customFormat="false" ht="15" hidden="false" customHeight="false" outlineLevel="0" collapsed="false">
      <c r="A107" s="12" t="n">
        <v>39</v>
      </c>
      <c r="B107" s="75" t="s">
        <v>251</v>
      </c>
      <c r="C107" s="14" t="n">
        <v>416500</v>
      </c>
      <c r="D107" s="76"/>
      <c r="E107" s="69" t="n">
        <f aca="false">C107-D107</f>
        <v>416500</v>
      </c>
    </row>
    <row r="108" customFormat="false" ht="15" hidden="false" customHeight="false" outlineLevel="0" collapsed="false">
      <c r="A108" s="1" t="n">
        <v>40</v>
      </c>
      <c r="B108" s="39" t="s">
        <v>252</v>
      </c>
      <c r="C108" s="14" t="n">
        <v>416500</v>
      </c>
      <c r="D108" s="37" t="n">
        <f aca="false">216000+201000</f>
        <v>417000</v>
      </c>
      <c r="E108" s="69" t="n">
        <f aca="false">C108-D108</f>
        <v>-500</v>
      </c>
    </row>
    <row r="109" customFormat="false" ht="15" hidden="false" customHeight="false" outlineLevel="0" collapsed="false">
      <c r="A109" s="12" t="n">
        <v>41</v>
      </c>
      <c r="B109" s="39" t="s">
        <v>253</v>
      </c>
      <c r="C109" s="14" t="n">
        <v>416500</v>
      </c>
      <c r="D109" s="37" t="n">
        <f aca="false">228500</f>
        <v>228500</v>
      </c>
      <c r="E109" s="69" t="n">
        <f aca="false">C109-D109</f>
        <v>188000</v>
      </c>
    </row>
    <row r="110" customFormat="false" ht="15" hidden="false" customHeight="false" outlineLevel="0" collapsed="false">
      <c r="A110" s="35" t="n">
        <v>42</v>
      </c>
      <c r="B110" s="39" t="s">
        <v>254</v>
      </c>
      <c r="C110" s="14" t="n">
        <v>416500</v>
      </c>
      <c r="D110" s="37" t="n">
        <f aca="false">216500</f>
        <v>216500</v>
      </c>
      <c r="E110" s="69" t="n">
        <f aca="false">C110-D110</f>
        <v>200000</v>
      </c>
    </row>
    <row r="111" customFormat="false" ht="15" hidden="false" customHeight="false" outlineLevel="0" collapsed="false">
      <c r="A111" s="12" t="n">
        <v>43</v>
      </c>
      <c r="B111" s="39" t="s">
        <v>255</v>
      </c>
      <c r="C111" s="14" t="n">
        <v>416500</v>
      </c>
      <c r="D111" s="37" t="n">
        <f aca="false">120000</f>
        <v>120000</v>
      </c>
      <c r="E111" s="69" t="n">
        <f aca="false">C111-D111</f>
        <v>296500</v>
      </c>
    </row>
    <row r="112" customFormat="false" ht="15" hidden="false" customHeight="false" outlineLevel="0" collapsed="false">
      <c r="A112" s="35" t="n">
        <v>44</v>
      </c>
      <c r="B112" s="39" t="s">
        <v>256</v>
      </c>
      <c r="C112" s="14" t="n">
        <v>416500</v>
      </c>
      <c r="D112" s="37" t="n">
        <v>416500</v>
      </c>
      <c r="E112" s="69" t="n">
        <f aca="false">C112-D112</f>
        <v>0</v>
      </c>
    </row>
    <row r="113" customFormat="false" ht="17.35" hidden="false" customHeight="false" outlineLevel="0" collapsed="false">
      <c r="A113" s="35"/>
      <c r="B113" s="23" t="s">
        <v>21</v>
      </c>
      <c r="C113" s="24" t="n">
        <f aca="false">SUM(C69:C112)</f>
        <v>18326000</v>
      </c>
      <c r="D113" s="25" t="n">
        <f aca="false">SUM(D69:D112)</f>
        <v>8968000</v>
      </c>
      <c r="E113" s="70" t="n">
        <f aca="false">C113-D113</f>
        <v>9358000</v>
      </c>
    </row>
    <row r="114" customFormat="false" ht="15" hidden="false" customHeight="false" outlineLevel="0" collapsed="false">
      <c r="A114" s="2"/>
      <c r="D114" s="32"/>
      <c r="E114" s="32"/>
    </row>
    <row r="115" customFormat="false" ht="15" hidden="false" customHeight="false" outlineLevel="0" collapsed="false">
      <c r="A115" s="2"/>
      <c r="D115" s="32"/>
      <c r="E115" s="32"/>
    </row>
    <row r="116" customFormat="false" ht="15" hidden="false" customHeight="false" outlineLevel="0" collapsed="false">
      <c r="A116" s="2"/>
      <c r="D116" s="32"/>
      <c r="E116" s="32"/>
    </row>
    <row r="117" customFormat="false" ht="15" hidden="false" customHeight="false" outlineLevel="0" collapsed="false">
      <c r="A117" s="2"/>
      <c r="D117" s="32"/>
      <c r="E117" s="32"/>
    </row>
    <row r="118" customFormat="false" ht="17.35" hidden="false" customHeight="false" outlineLevel="0" collapsed="false">
      <c r="B118" s="28"/>
      <c r="C118" s="29"/>
      <c r="D118" s="30"/>
      <c r="E118" s="67"/>
    </row>
    <row r="119" customFormat="false" ht="17.35" hidden="false" customHeight="false" outlineLevel="0" collapsed="false">
      <c r="B119" s="28"/>
      <c r="C119" s="29"/>
      <c r="D119" s="30"/>
      <c r="E119" s="67"/>
    </row>
    <row r="120" customFormat="false" ht="17.35" hidden="false" customHeight="false" outlineLevel="0" collapsed="false">
      <c r="B120" s="3" t="s">
        <v>0</v>
      </c>
      <c r="C120" s="3"/>
      <c r="D120" s="32"/>
      <c r="E120" s="32"/>
    </row>
    <row r="121" customFormat="false" ht="15" hidden="false" customHeight="false" outlineLevel="0" collapsed="false">
      <c r="D121" s="32"/>
      <c r="E121" s="32"/>
    </row>
    <row r="122" customFormat="false" ht="15" hidden="false" customHeight="false" outlineLevel="0" collapsed="false">
      <c r="A122" s="2"/>
      <c r="D122" s="32"/>
      <c r="E122" s="32"/>
    </row>
    <row r="123" customFormat="false" ht="17.25" hidden="false" customHeight="false" outlineLevel="0" collapsed="false">
      <c r="A123" s="2"/>
      <c r="B123" s="5" t="s">
        <v>37</v>
      </c>
      <c r="D123" s="33" t="s">
        <v>191</v>
      </c>
      <c r="E123" s="32"/>
    </row>
    <row r="124" customFormat="false" ht="15" hidden="false" customHeight="false" outlineLevel="0" collapsed="false">
      <c r="A124" s="2"/>
      <c r="D124" s="32"/>
      <c r="E124" s="32"/>
    </row>
    <row r="125" customFormat="false" ht="15" hidden="false" customHeight="false" outlineLevel="0" collapsed="false">
      <c r="A125" s="7" t="s">
        <v>3</v>
      </c>
      <c r="B125" s="8" t="s">
        <v>4</v>
      </c>
      <c r="C125" s="9" t="s">
        <v>5</v>
      </c>
      <c r="D125" s="34" t="s">
        <v>6</v>
      </c>
      <c r="E125" s="68" t="s">
        <v>7</v>
      </c>
    </row>
    <row r="126" customFormat="false" ht="15" hidden="false" customHeight="false" outlineLevel="0" collapsed="false">
      <c r="A126" s="12" t="n">
        <v>1</v>
      </c>
      <c r="B126" s="20" t="s">
        <v>277</v>
      </c>
      <c r="C126" s="14" t="n">
        <v>416500</v>
      </c>
      <c r="D126" s="21" t="n">
        <f aca="false">175000+41500</f>
        <v>216500</v>
      </c>
      <c r="E126" s="69" t="n">
        <f aca="false">C126-D126</f>
        <v>200000</v>
      </c>
    </row>
    <row r="127" customFormat="false" ht="15" hidden="false" customHeight="false" outlineLevel="0" collapsed="false">
      <c r="A127" s="12" t="n">
        <v>2</v>
      </c>
      <c r="B127" s="20" t="s">
        <v>278</v>
      </c>
      <c r="C127" s="14" t="n">
        <v>416500</v>
      </c>
      <c r="D127" s="21" t="n">
        <f aca="false">249500+60000+107000</f>
        <v>416500</v>
      </c>
      <c r="E127" s="69" t="n">
        <f aca="false">C127-D127</f>
        <v>0</v>
      </c>
    </row>
    <row r="128" customFormat="false" ht="15" hidden="false" customHeight="false" outlineLevel="0" collapsed="false">
      <c r="A128" s="35" t="n">
        <v>3</v>
      </c>
      <c r="B128" s="20" t="s">
        <v>279</v>
      </c>
      <c r="C128" s="14" t="n">
        <v>416500</v>
      </c>
      <c r="D128" s="21" t="n">
        <f aca="false">100000+100000+216000+500</f>
        <v>416500</v>
      </c>
      <c r="E128" s="69" t="n">
        <f aca="false">C128-D128</f>
        <v>0</v>
      </c>
    </row>
    <row r="129" customFormat="false" ht="15" hidden="false" customHeight="false" outlineLevel="0" collapsed="false">
      <c r="A129" s="35" t="n">
        <v>4</v>
      </c>
      <c r="B129" s="20" t="s">
        <v>280</v>
      </c>
      <c r="C129" s="14" t="n">
        <v>416500</v>
      </c>
      <c r="D129" s="21" t="n">
        <f aca="false">200000+100000+100000+16500</f>
        <v>416500</v>
      </c>
      <c r="E129" s="69" t="n">
        <f aca="false">C129-D129</f>
        <v>0</v>
      </c>
    </row>
    <row r="130" customFormat="false" ht="15" hidden="false" customHeight="false" outlineLevel="0" collapsed="false">
      <c r="A130" s="35" t="n">
        <v>5</v>
      </c>
      <c r="B130" s="20" t="s">
        <v>281</v>
      </c>
      <c r="C130" s="14" t="n">
        <v>416500</v>
      </c>
      <c r="D130" s="21"/>
      <c r="E130" s="69" t="n">
        <f aca="false">C130-D130</f>
        <v>416500</v>
      </c>
    </row>
    <row r="131" customFormat="false" ht="15" hidden="false" customHeight="false" outlineLevel="0" collapsed="false">
      <c r="A131" s="35" t="n">
        <v>6</v>
      </c>
      <c r="B131" s="20" t="s">
        <v>282</v>
      </c>
      <c r="C131" s="14" t="n">
        <v>416500</v>
      </c>
      <c r="D131" s="21" t="n">
        <f aca="false">50000+50000+100000+50000</f>
        <v>250000</v>
      </c>
      <c r="E131" s="69" t="n">
        <f aca="false">C131-D131</f>
        <v>166500</v>
      </c>
    </row>
    <row r="132" customFormat="false" ht="15" hidden="false" customHeight="false" outlineLevel="0" collapsed="false">
      <c r="A132" s="12" t="n">
        <v>7</v>
      </c>
      <c r="B132" s="20" t="s">
        <v>283</v>
      </c>
      <c r="C132" s="14" t="n">
        <v>416500</v>
      </c>
      <c r="D132" s="21" t="n">
        <f aca="false">216500+200500</f>
        <v>417000</v>
      </c>
      <c r="E132" s="69" t="n">
        <f aca="false">C132-D132</f>
        <v>-500</v>
      </c>
    </row>
    <row r="133" customFormat="false" ht="15" hidden="false" customHeight="false" outlineLevel="0" collapsed="false">
      <c r="A133" s="12" t="n">
        <v>8</v>
      </c>
      <c r="B133" s="20" t="s">
        <v>284</v>
      </c>
      <c r="C133" s="14" t="n">
        <v>416500</v>
      </c>
      <c r="D133" s="21" t="n">
        <f aca="false">216000+100000</f>
        <v>316000</v>
      </c>
      <c r="E133" s="69" t="n">
        <f aca="false">C133-D133</f>
        <v>100500</v>
      </c>
    </row>
    <row r="134" customFormat="false" ht="15" hidden="false" customHeight="false" outlineLevel="0" collapsed="false">
      <c r="A134" s="35" t="n">
        <v>9</v>
      </c>
      <c r="B134" s="20" t="s">
        <v>285</v>
      </c>
      <c r="C134" s="14" t="n">
        <v>416500</v>
      </c>
      <c r="D134" s="21" t="n">
        <f aca="false">260000+156500</f>
        <v>416500</v>
      </c>
      <c r="E134" s="69" t="n">
        <f aca="false">C134-D134</f>
        <v>0</v>
      </c>
    </row>
    <row r="135" customFormat="false" ht="15" hidden="false" customHeight="false" outlineLevel="0" collapsed="false">
      <c r="A135" s="35" t="n">
        <v>10</v>
      </c>
      <c r="B135" s="20" t="s">
        <v>286</v>
      </c>
      <c r="C135" s="14" t="n">
        <v>416500</v>
      </c>
      <c r="D135" s="21" t="n">
        <f aca="false">216000+200500</f>
        <v>416500</v>
      </c>
      <c r="E135" s="69" t="n">
        <f aca="false">C135-D135</f>
        <v>0</v>
      </c>
    </row>
    <row r="136" customFormat="false" ht="15" hidden="false" customHeight="false" outlineLevel="0" collapsed="false">
      <c r="A136" s="35" t="n">
        <v>11</v>
      </c>
      <c r="B136" s="20" t="s">
        <v>287</v>
      </c>
      <c r="C136" s="14" t="n">
        <v>416500</v>
      </c>
      <c r="D136" s="21" t="n">
        <f aca="false">216500+200000</f>
        <v>416500</v>
      </c>
      <c r="E136" s="69" t="n">
        <f aca="false">C136-D136</f>
        <v>0</v>
      </c>
    </row>
    <row r="137" customFormat="false" ht="15" hidden="false" customHeight="false" outlineLevel="0" collapsed="false">
      <c r="A137" s="35" t="n">
        <v>12</v>
      </c>
      <c r="B137" s="20" t="s">
        <v>288</v>
      </c>
      <c r="C137" s="14" t="n">
        <v>416500</v>
      </c>
      <c r="D137" s="21" t="n">
        <f aca="false">216500+200000</f>
        <v>416500</v>
      </c>
      <c r="E137" s="69" t="n">
        <f aca="false">C137-D137</f>
        <v>0</v>
      </c>
    </row>
    <row r="138" customFormat="false" ht="15" hidden="false" customHeight="false" outlineLevel="0" collapsed="false">
      <c r="A138" s="12" t="n">
        <v>13</v>
      </c>
      <c r="B138" s="20" t="s">
        <v>289</v>
      </c>
      <c r="C138" s="14" t="n">
        <v>416500</v>
      </c>
      <c r="D138" s="21" t="n">
        <f aca="false">216500+150000+50000</f>
        <v>416500</v>
      </c>
      <c r="E138" s="69" t="n">
        <f aca="false">C138-D138</f>
        <v>0</v>
      </c>
    </row>
    <row r="139" customFormat="false" ht="15" hidden="false" customHeight="false" outlineLevel="0" collapsed="false">
      <c r="A139" s="12" t="n">
        <v>14</v>
      </c>
      <c r="B139" s="20" t="s">
        <v>290</v>
      </c>
      <c r="C139" s="14" t="n">
        <v>416500</v>
      </c>
      <c r="D139" s="21" t="n">
        <f aca="false">116500+200000</f>
        <v>316500</v>
      </c>
      <c r="E139" s="69" t="n">
        <f aca="false">C139-D139</f>
        <v>100000</v>
      </c>
    </row>
    <row r="140" customFormat="false" ht="15" hidden="false" customHeight="false" outlineLevel="0" collapsed="false">
      <c r="A140" s="35" t="n">
        <v>15</v>
      </c>
      <c r="B140" s="20" t="s">
        <v>291</v>
      </c>
      <c r="C140" s="14" t="n">
        <v>416500</v>
      </c>
      <c r="D140" s="21"/>
      <c r="E140" s="69" t="n">
        <f aca="false">C140-D140</f>
        <v>416500</v>
      </c>
    </row>
    <row r="141" customFormat="false" ht="15" hidden="false" customHeight="false" outlineLevel="0" collapsed="false">
      <c r="A141" s="35" t="n">
        <v>16</v>
      </c>
      <c r="B141" s="20" t="s">
        <v>292</v>
      </c>
      <c r="C141" s="14" t="n">
        <v>416500</v>
      </c>
      <c r="D141" s="21" t="n">
        <f aca="false">186500+200000</f>
        <v>386500</v>
      </c>
      <c r="E141" s="69" t="n">
        <f aca="false">C141-D141</f>
        <v>30000</v>
      </c>
    </row>
    <row r="142" customFormat="false" ht="15" hidden="false" customHeight="false" outlineLevel="0" collapsed="false">
      <c r="A142" s="35" t="n">
        <v>17</v>
      </c>
      <c r="B142" s="20" t="s">
        <v>293</v>
      </c>
      <c r="C142" s="37" t="n">
        <v>225000</v>
      </c>
      <c r="D142" s="21" t="n">
        <f aca="false">50000+65000+50000+50000+10000</f>
        <v>225000</v>
      </c>
      <c r="E142" s="69" t="n">
        <f aca="false">C142-D142</f>
        <v>0</v>
      </c>
    </row>
    <row r="143" customFormat="false" ht="15" hidden="false" customHeight="false" outlineLevel="0" collapsed="false">
      <c r="A143" s="35" t="n">
        <v>18</v>
      </c>
      <c r="B143" s="20" t="s">
        <v>294</v>
      </c>
      <c r="C143" s="14" t="n">
        <v>416500</v>
      </c>
      <c r="D143" s="21" t="n">
        <f aca="false">300000</f>
        <v>300000</v>
      </c>
      <c r="E143" s="69" t="n">
        <f aca="false">C143-D143</f>
        <v>116500</v>
      </c>
    </row>
    <row r="144" customFormat="false" ht="15" hidden="false" customHeight="false" outlineLevel="0" collapsed="false">
      <c r="A144" s="12" t="n">
        <v>19</v>
      </c>
      <c r="B144" s="20" t="s">
        <v>295</v>
      </c>
      <c r="C144" s="14" t="n">
        <v>416500</v>
      </c>
      <c r="D144" s="21" t="n">
        <v>416500</v>
      </c>
      <c r="E144" s="69" t="n">
        <f aca="false">C144-D144</f>
        <v>0</v>
      </c>
    </row>
    <row r="145" customFormat="false" ht="15" hidden="false" customHeight="false" outlineLevel="0" collapsed="false">
      <c r="A145" s="12" t="n">
        <v>20</v>
      </c>
      <c r="B145" s="20" t="s">
        <v>296</v>
      </c>
      <c r="C145" s="14" t="n">
        <v>416500</v>
      </c>
      <c r="D145" s="21" t="n">
        <f aca="false">200000+100000+116500</f>
        <v>416500</v>
      </c>
      <c r="E145" s="69" t="n">
        <f aca="false">C145-D145</f>
        <v>0</v>
      </c>
    </row>
    <row r="146" customFormat="false" ht="15" hidden="false" customHeight="false" outlineLevel="0" collapsed="false">
      <c r="A146" s="35" t="n">
        <v>21</v>
      </c>
      <c r="B146" s="20" t="s">
        <v>297</v>
      </c>
      <c r="C146" s="14" t="n">
        <v>416500</v>
      </c>
      <c r="D146" s="21" t="n">
        <f aca="false">216500+200000</f>
        <v>416500</v>
      </c>
      <c r="E146" s="69" t="n">
        <f aca="false">C146-D146</f>
        <v>0</v>
      </c>
    </row>
    <row r="147" customFormat="false" ht="15" hidden="false" customHeight="false" outlineLevel="0" collapsed="false">
      <c r="A147" s="35" t="n">
        <v>22</v>
      </c>
      <c r="B147" s="20" t="s">
        <v>298</v>
      </c>
      <c r="C147" s="14" t="n">
        <v>416500</v>
      </c>
      <c r="D147" s="21"/>
      <c r="E147" s="69" t="n">
        <f aca="false">C147-D147</f>
        <v>416500</v>
      </c>
    </row>
    <row r="148" customFormat="false" ht="15" hidden="false" customHeight="false" outlineLevel="0" collapsed="false">
      <c r="A148" s="35" t="n">
        <v>23</v>
      </c>
      <c r="B148" s="20" t="s">
        <v>299</v>
      </c>
      <c r="C148" s="14" t="n">
        <v>416500</v>
      </c>
      <c r="D148" s="21" t="n">
        <f aca="false">150000+61500+100000+100000+5000</f>
        <v>416500</v>
      </c>
      <c r="E148" s="69" t="n">
        <f aca="false">C148-D148</f>
        <v>0</v>
      </c>
    </row>
    <row r="149" customFormat="false" ht="15" hidden="false" customHeight="false" outlineLevel="0" collapsed="false">
      <c r="A149" s="35" t="n">
        <v>24</v>
      </c>
      <c r="B149" s="20" t="s">
        <v>300</v>
      </c>
      <c r="C149" s="14" t="n">
        <v>416500</v>
      </c>
      <c r="D149" s="21" t="n">
        <f aca="false">143500+70000</f>
        <v>213500</v>
      </c>
      <c r="E149" s="69" t="n">
        <f aca="false">C149-D149</f>
        <v>203000</v>
      </c>
    </row>
    <row r="150" customFormat="false" ht="15" hidden="false" customHeight="false" outlineLevel="0" collapsed="false">
      <c r="A150" s="12" t="n">
        <v>25</v>
      </c>
      <c r="B150" s="20" t="s">
        <v>301</v>
      </c>
      <c r="C150" s="14" t="n">
        <v>416500</v>
      </c>
      <c r="D150" s="21" t="n">
        <f aca="false">150000</f>
        <v>150000</v>
      </c>
      <c r="E150" s="69" t="n">
        <f aca="false">C150-D150</f>
        <v>266500</v>
      </c>
    </row>
    <row r="151" customFormat="false" ht="15" hidden="false" customHeight="false" outlineLevel="0" collapsed="false">
      <c r="A151" s="12" t="n">
        <v>26</v>
      </c>
      <c r="B151" s="20" t="s">
        <v>302</v>
      </c>
      <c r="C151" s="14" t="n">
        <v>416500</v>
      </c>
      <c r="D151" s="21"/>
      <c r="E151" s="69" t="n">
        <f aca="false">C151-D151</f>
        <v>416500</v>
      </c>
    </row>
    <row r="152" customFormat="false" ht="15" hidden="false" customHeight="false" outlineLevel="0" collapsed="false">
      <c r="A152" s="35" t="n">
        <v>27</v>
      </c>
      <c r="B152" s="20" t="s">
        <v>303</v>
      </c>
      <c r="C152" s="14" t="n">
        <v>416500</v>
      </c>
      <c r="D152" s="21" t="n">
        <f aca="false">200000+100000</f>
        <v>300000</v>
      </c>
      <c r="E152" s="69" t="n">
        <f aca="false">C152-D152</f>
        <v>116500</v>
      </c>
    </row>
    <row r="153" customFormat="false" ht="15" hidden="false" customHeight="false" outlineLevel="0" collapsed="false">
      <c r="A153" s="35" t="n">
        <v>28</v>
      </c>
      <c r="B153" s="20" t="s">
        <v>304</v>
      </c>
      <c r="C153" s="14" t="n">
        <v>416500</v>
      </c>
      <c r="D153" s="21" t="n">
        <f aca="false">151500+100000+165000</f>
        <v>416500</v>
      </c>
      <c r="E153" s="69" t="n">
        <f aca="false">C153-D153</f>
        <v>0</v>
      </c>
    </row>
    <row r="154" customFormat="false" ht="15" hidden="false" customHeight="false" outlineLevel="0" collapsed="false">
      <c r="A154" s="35" t="n">
        <v>29</v>
      </c>
      <c r="B154" s="20" t="s">
        <v>305</v>
      </c>
      <c r="C154" s="14" t="n">
        <v>416500</v>
      </c>
      <c r="D154" s="21" t="n">
        <f aca="false">90000</f>
        <v>90000</v>
      </c>
      <c r="E154" s="69" t="n">
        <f aca="false">C154-D154</f>
        <v>326500</v>
      </c>
    </row>
    <row r="155" customFormat="false" ht="15" hidden="false" customHeight="false" outlineLevel="0" collapsed="false">
      <c r="A155" s="35" t="n">
        <v>30</v>
      </c>
      <c r="B155" s="20" t="s">
        <v>306</v>
      </c>
      <c r="C155" s="14" t="n">
        <v>416500</v>
      </c>
      <c r="D155" s="21"/>
      <c r="E155" s="69" t="n">
        <f aca="false">C155-D155</f>
        <v>416500</v>
      </c>
    </row>
    <row r="156" customFormat="false" ht="15" hidden="false" customHeight="false" outlineLevel="0" collapsed="false">
      <c r="A156" s="12" t="n">
        <v>31</v>
      </c>
      <c r="B156" s="20" t="s">
        <v>307</v>
      </c>
      <c r="C156" s="14" t="n">
        <v>416500</v>
      </c>
      <c r="D156" s="21"/>
      <c r="E156" s="69" t="n">
        <f aca="false">C156-D156</f>
        <v>416500</v>
      </c>
    </row>
    <row r="157" customFormat="false" ht="15" hidden="false" customHeight="false" outlineLevel="0" collapsed="false">
      <c r="A157" s="12" t="n">
        <v>32</v>
      </c>
      <c r="B157" s="80" t="s">
        <v>308</v>
      </c>
      <c r="C157" s="14" t="n">
        <v>416500</v>
      </c>
      <c r="D157" s="21" t="n">
        <f aca="false">100000+50000</f>
        <v>150000</v>
      </c>
      <c r="E157" s="69" t="n">
        <f aca="false">C157-D157</f>
        <v>266500</v>
      </c>
    </row>
    <row r="158" customFormat="false" ht="15" hidden="false" customHeight="false" outlineLevel="0" collapsed="false">
      <c r="A158" s="35" t="n">
        <v>33</v>
      </c>
      <c r="B158" s="20" t="s">
        <v>309</v>
      </c>
      <c r="C158" s="14" t="n">
        <v>416500</v>
      </c>
      <c r="D158" s="21"/>
      <c r="E158" s="69" t="n">
        <f aca="false">C158-D158</f>
        <v>416500</v>
      </c>
    </row>
    <row r="159" customFormat="false" ht="15" hidden="false" customHeight="false" outlineLevel="0" collapsed="false">
      <c r="A159" s="35" t="n">
        <v>34</v>
      </c>
      <c r="B159" s="20" t="s">
        <v>310</v>
      </c>
      <c r="C159" s="14" t="n">
        <v>416500</v>
      </c>
      <c r="D159" s="21"/>
      <c r="E159" s="69" t="n">
        <f aca="false">C159-D159</f>
        <v>416500</v>
      </c>
    </row>
    <row r="160" customFormat="false" ht="15" hidden="false" customHeight="false" outlineLevel="0" collapsed="false">
      <c r="A160" s="35" t="n">
        <v>35</v>
      </c>
      <c r="B160" s="20" t="s">
        <v>311</v>
      </c>
      <c r="C160" s="14" t="n">
        <v>416500</v>
      </c>
      <c r="D160" s="21"/>
      <c r="E160" s="69" t="n">
        <f aca="false">C160-D160</f>
        <v>416500</v>
      </c>
    </row>
    <row r="161" customFormat="false" ht="15" hidden="false" customHeight="false" outlineLevel="0" collapsed="false">
      <c r="A161" s="35" t="n">
        <v>36</v>
      </c>
      <c r="B161" s="20" t="s">
        <v>312</v>
      </c>
      <c r="C161" s="14" t="n">
        <v>416500</v>
      </c>
      <c r="D161" s="21" t="n">
        <f aca="false">200000+100000</f>
        <v>300000</v>
      </c>
      <c r="E161" s="69" t="n">
        <f aca="false">C161-D161</f>
        <v>116500</v>
      </c>
    </row>
    <row r="162" customFormat="false" ht="15" hidden="false" customHeight="false" outlineLevel="0" collapsed="false">
      <c r="A162" s="12" t="n">
        <v>37</v>
      </c>
      <c r="B162" s="20" t="s">
        <v>313</v>
      </c>
      <c r="C162" s="14" t="n">
        <v>616500</v>
      </c>
      <c r="D162" s="21" t="n">
        <v>616500</v>
      </c>
      <c r="E162" s="69" t="n">
        <f aca="false">C162-D162</f>
        <v>0</v>
      </c>
    </row>
    <row r="163" customFormat="false" ht="15" hidden="false" customHeight="false" outlineLevel="0" collapsed="false">
      <c r="A163" s="12" t="n">
        <v>38</v>
      </c>
      <c r="B163" s="20" t="s">
        <v>314</v>
      </c>
      <c r="C163" s="14" t="n">
        <v>416500</v>
      </c>
      <c r="D163" s="21"/>
      <c r="E163" s="69" t="n">
        <f aca="false">C163-D163</f>
        <v>416500</v>
      </c>
    </row>
    <row r="164" customFormat="false" ht="15" hidden="false" customHeight="false" outlineLevel="0" collapsed="false">
      <c r="A164" s="35" t="n">
        <v>39</v>
      </c>
      <c r="B164" s="20" t="s">
        <v>315</v>
      </c>
      <c r="C164" s="14" t="n">
        <v>416500</v>
      </c>
      <c r="D164" s="21"/>
      <c r="E164" s="69" t="n">
        <f aca="false">C164-D164</f>
        <v>416500</v>
      </c>
    </row>
    <row r="165" customFormat="false" ht="15" hidden="false" customHeight="false" outlineLevel="0" collapsed="false">
      <c r="A165" s="35" t="n">
        <v>40</v>
      </c>
      <c r="B165" s="20" t="s">
        <v>316</v>
      </c>
      <c r="C165" s="14" t="n">
        <v>416500</v>
      </c>
      <c r="D165" s="21" t="n">
        <f aca="false">133500+80000+100000</f>
        <v>313500</v>
      </c>
      <c r="E165" s="69" t="n">
        <f aca="false">C165-D165</f>
        <v>103000</v>
      </c>
    </row>
    <row r="166" customFormat="false" ht="17.35" hidden="false" customHeight="false" outlineLevel="0" collapsed="false">
      <c r="A166" s="35"/>
      <c r="B166" s="23" t="s">
        <v>21</v>
      </c>
      <c r="C166" s="24" t="n">
        <f aca="false">SUM(C126:C165)</f>
        <v>16668500</v>
      </c>
      <c r="D166" s="25" t="n">
        <f aca="false">SUM(D126:D165)</f>
        <v>9975500</v>
      </c>
      <c r="E166" s="70" t="n">
        <f aca="false">SUM(E126:E165)</f>
        <v>6693000</v>
      </c>
    </row>
    <row r="167" customFormat="false" ht="17.35" hidden="false" customHeight="false" outlineLevel="0" collapsed="false">
      <c r="B167" s="28"/>
      <c r="C167" s="29"/>
      <c r="D167" s="30"/>
      <c r="E167" s="67"/>
    </row>
    <row r="168" customFormat="false" ht="17.35" hidden="false" customHeight="false" outlineLevel="0" collapsed="false">
      <c r="B168" s="28"/>
      <c r="C168" s="29"/>
      <c r="D168" s="30"/>
      <c r="E168" s="67"/>
    </row>
    <row r="169" customFormat="false" ht="19.7" hidden="false" customHeight="false" outlineLevel="0" collapsed="false">
      <c r="A169" s="71"/>
      <c r="B169" s="81"/>
      <c r="C169" s="82"/>
      <c r="D169" s="83"/>
      <c r="E169" s="84"/>
    </row>
    <row r="170" customFormat="false" ht="17.35" hidden="false" customHeight="false" outlineLevel="0" collapsed="false">
      <c r="B170" s="3" t="s">
        <v>0</v>
      </c>
      <c r="C170" s="3"/>
      <c r="D170" s="32"/>
      <c r="E170" s="32"/>
    </row>
    <row r="171" customFormat="false" ht="15" hidden="false" customHeight="false" outlineLevel="0" collapsed="false">
      <c r="D171" s="32"/>
      <c r="E171" s="32"/>
    </row>
    <row r="172" customFormat="false" ht="15" hidden="false" customHeight="false" outlineLevel="0" collapsed="false">
      <c r="A172" s="2"/>
      <c r="D172" s="32"/>
      <c r="E172" s="32"/>
    </row>
    <row r="173" customFormat="false" ht="17.25" hidden="false" customHeight="false" outlineLevel="0" collapsed="false">
      <c r="A173" s="2"/>
      <c r="B173" s="5" t="s">
        <v>37</v>
      </c>
      <c r="D173" s="33" t="s">
        <v>161</v>
      </c>
      <c r="E173" s="32"/>
    </row>
    <row r="174" customFormat="false" ht="15" hidden="false" customHeight="false" outlineLevel="0" collapsed="false">
      <c r="A174" s="2"/>
      <c r="D174" s="32"/>
      <c r="E174" s="32"/>
    </row>
    <row r="175" customFormat="false" ht="15" hidden="false" customHeight="false" outlineLevel="0" collapsed="false">
      <c r="A175" s="7" t="s">
        <v>3</v>
      </c>
      <c r="B175" s="8" t="s">
        <v>4</v>
      </c>
      <c r="C175" s="9" t="s">
        <v>5</v>
      </c>
      <c r="D175" s="34" t="s">
        <v>6</v>
      </c>
      <c r="E175" s="68" t="s">
        <v>7</v>
      </c>
    </row>
    <row r="176" customFormat="false" ht="15" hidden="false" customHeight="false" outlineLevel="0" collapsed="false">
      <c r="A176" s="35" t="n">
        <v>1</v>
      </c>
      <c r="B176" s="20" t="s">
        <v>317</v>
      </c>
      <c r="C176" s="14" t="n">
        <v>416500</v>
      </c>
      <c r="D176" s="21" t="n">
        <f aca="false">216500</f>
        <v>216500</v>
      </c>
      <c r="E176" s="69" t="n">
        <f aca="false">C176-D176</f>
        <v>200000</v>
      </c>
    </row>
    <row r="177" customFormat="false" ht="15" hidden="false" customHeight="false" outlineLevel="0" collapsed="false">
      <c r="A177" s="35" t="n">
        <v>2</v>
      </c>
      <c r="B177" s="20" t="s">
        <v>318</v>
      </c>
      <c r="C177" s="14" t="s">
        <v>11</v>
      </c>
      <c r="D177" s="21" t="s">
        <v>11</v>
      </c>
      <c r="E177" s="69" t="s">
        <v>11</v>
      </c>
    </row>
    <row r="178" customFormat="false" ht="15" hidden="false" customHeight="false" outlineLevel="0" collapsed="false">
      <c r="A178" s="35" t="n">
        <v>3</v>
      </c>
      <c r="B178" s="20" t="s">
        <v>319</v>
      </c>
      <c r="C178" s="14" t="n">
        <v>416500</v>
      </c>
      <c r="D178" s="21" t="n">
        <f aca="false">80000+80000</f>
        <v>160000</v>
      </c>
      <c r="E178" s="69" t="n">
        <f aca="false">C178-D178</f>
        <v>256500</v>
      </c>
    </row>
    <row r="179" customFormat="false" ht="15" hidden="false" customHeight="false" outlineLevel="0" collapsed="false">
      <c r="A179" s="35" t="n">
        <v>4</v>
      </c>
      <c r="B179" s="20" t="s">
        <v>320</v>
      </c>
      <c r="C179" s="37" t="n">
        <v>416500</v>
      </c>
      <c r="D179" s="21"/>
      <c r="E179" s="69" t="n">
        <f aca="false">C179-D179</f>
        <v>416500</v>
      </c>
    </row>
    <row r="180" customFormat="false" ht="15" hidden="false" customHeight="false" outlineLevel="0" collapsed="false">
      <c r="A180" s="35" t="n">
        <v>5</v>
      </c>
      <c r="B180" s="20" t="s">
        <v>321</v>
      </c>
      <c r="C180" s="14" t="n">
        <v>416500</v>
      </c>
      <c r="D180" s="21"/>
      <c r="E180" s="69" t="n">
        <f aca="false">C180-D180</f>
        <v>416500</v>
      </c>
    </row>
    <row r="181" customFormat="false" ht="15" hidden="false" customHeight="false" outlineLevel="0" collapsed="false">
      <c r="A181" s="35" t="n">
        <v>6</v>
      </c>
      <c r="B181" s="20" t="s">
        <v>322</v>
      </c>
      <c r="C181" s="14" t="n">
        <v>416500</v>
      </c>
      <c r="D181" s="21"/>
      <c r="E181" s="69" t="n">
        <f aca="false">C181-D181</f>
        <v>416500</v>
      </c>
    </row>
    <row r="182" customFormat="false" ht="15" hidden="false" customHeight="false" outlineLevel="0" collapsed="false">
      <c r="A182" s="35" t="n">
        <v>7</v>
      </c>
      <c r="B182" s="20" t="s">
        <v>323</v>
      </c>
      <c r="C182" s="14" t="n">
        <v>416500</v>
      </c>
      <c r="D182" s="21"/>
      <c r="E182" s="69" t="n">
        <f aca="false">C182-D182</f>
        <v>416500</v>
      </c>
    </row>
    <row r="183" customFormat="false" ht="15" hidden="false" customHeight="false" outlineLevel="0" collapsed="false">
      <c r="A183" s="35" t="n">
        <v>8</v>
      </c>
      <c r="B183" s="20" t="s">
        <v>324</v>
      </c>
      <c r="C183" s="14" t="n">
        <v>416500</v>
      </c>
      <c r="D183" s="21" t="n">
        <f aca="false">150000+266500</f>
        <v>416500</v>
      </c>
      <c r="E183" s="69" t="n">
        <f aca="false">C183-D183</f>
        <v>0</v>
      </c>
    </row>
    <row r="184" customFormat="false" ht="15" hidden="false" customHeight="false" outlineLevel="0" collapsed="false">
      <c r="A184" s="35" t="n">
        <v>9</v>
      </c>
      <c r="B184" s="20" t="s">
        <v>325</v>
      </c>
      <c r="C184" s="14" t="n">
        <v>416500</v>
      </c>
      <c r="D184" s="21" t="n">
        <f aca="false">150000+150000+116500</f>
        <v>416500</v>
      </c>
      <c r="E184" s="69" t="n">
        <f aca="false">C184-D184</f>
        <v>0</v>
      </c>
    </row>
    <row r="185" customFormat="false" ht="15" hidden="false" customHeight="false" outlineLevel="0" collapsed="false">
      <c r="A185" s="35" t="n">
        <v>10</v>
      </c>
      <c r="B185" s="20" t="s">
        <v>326</v>
      </c>
      <c r="C185" s="14" t="s">
        <v>11</v>
      </c>
      <c r="D185" s="21" t="s">
        <v>11</v>
      </c>
      <c r="E185" s="69" t="s">
        <v>11</v>
      </c>
    </row>
    <row r="186" customFormat="false" ht="15" hidden="false" customHeight="false" outlineLevel="0" collapsed="false">
      <c r="A186" s="35" t="n">
        <v>11</v>
      </c>
      <c r="B186" s="20" t="s">
        <v>327</v>
      </c>
      <c r="C186" s="14" t="n">
        <v>416500</v>
      </c>
      <c r="D186" s="21"/>
      <c r="E186" s="69" t="n">
        <f aca="false">C186-D186</f>
        <v>416500</v>
      </c>
    </row>
    <row r="187" customFormat="false" ht="15" hidden="false" customHeight="false" outlineLevel="0" collapsed="false">
      <c r="A187" s="35" t="n">
        <v>12</v>
      </c>
      <c r="B187" s="20" t="s">
        <v>328</v>
      </c>
      <c r="C187" s="14" t="n">
        <v>416500</v>
      </c>
      <c r="D187" s="21" t="n">
        <f aca="false">150000</f>
        <v>150000</v>
      </c>
      <c r="E187" s="69" t="n">
        <f aca="false">C187-D187</f>
        <v>266500</v>
      </c>
    </row>
    <row r="188" customFormat="false" ht="15" hidden="false" customHeight="false" outlineLevel="0" collapsed="false">
      <c r="A188" s="35" t="n">
        <v>13</v>
      </c>
      <c r="B188" s="20" t="s">
        <v>329</v>
      </c>
      <c r="C188" s="14" t="n">
        <v>416500</v>
      </c>
      <c r="D188" s="21"/>
      <c r="E188" s="69" t="n">
        <f aca="false">C188-D188</f>
        <v>416500</v>
      </c>
    </row>
    <row r="189" customFormat="false" ht="15" hidden="false" customHeight="false" outlineLevel="0" collapsed="false">
      <c r="A189" s="35" t="n">
        <v>14</v>
      </c>
      <c r="B189" s="20" t="s">
        <v>330</v>
      </c>
      <c r="C189" s="14" t="n">
        <v>416500</v>
      </c>
      <c r="D189" s="21" t="n">
        <f aca="false">216500+100000+100000</f>
        <v>416500</v>
      </c>
      <c r="E189" s="69" t="n">
        <f aca="false">C189-D189</f>
        <v>0</v>
      </c>
    </row>
    <row r="190" customFormat="false" ht="15" hidden="false" customHeight="false" outlineLevel="0" collapsed="false">
      <c r="A190" s="35" t="n">
        <v>15</v>
      </c>
      <c r="B190" s="20" t="s">
        <v>331</v>
      </c>
      <c r="C190" s="14" t="n">
        <v>416500</v>
      </c>
      <c r="D190" s="21" t="n">
        <v>416500</v>
      </c>
      <c r="E190" s="69" t="n">
        <f aca="false">C190-D190</f>
        <v>0</v>
      </c>
    </row>
    <row r="191" customFormat="false" ht="15" hidden="false" customHeight="false" outlineLevel="0" collapsed="false">
      <c r="A191" s="35" t="n">
        <v>16</v>
      </c>
      <c r="B191" s="20" t="s">
        <v>332</v>
      </c>
      <c r="C191" s="14" t="n">
        <v>416500</v>
      </c>
      <c r="D191" s="21" t="n">
        <f aca="false">200000+150000</f>
        <v>350000</v>
      </c>
      <c r="E191" s="69" t="n">
        <f aca="false">C191-D191</f>
        <v>66500</v>
      </c>
    </row>
    <row r="192" customFormat="false" ht="15" hidden="false" customHeight="false" outlineLevel="0" collapsed="false">
      <c r="A192" s="35" t="n">
        <v>17</v>
      </c>
      <c r="B192" s="20" t="s">
        <v>333</v>
      </c>
      <c r="C192" s="14" t="n">
        <v>416500</v>
      </c>
      <c r="D192" s="21" t="n">
        <f aca="false">216500</f>
        <v>216500</v>
      </c>
      <c r="E192" s="69" t="n">
        <f aca="false">C192-D192</f>
        <v>200000</v>
      </c>
    </row>
    <row r="193" customFormat="false" ht="15" hidden="false" customHeight="false" outlineLevel="0" collapsed="false">
      <c r="A193" s="35" t="n">
        <v>18</v>
      </c>
      <c r="B193" s="20" t="s">
        <v>334</v>
      </c>
      <c r="C193" s="14" t="n">
        <v>416500</v>
      </c>
      <c r="D193" s="21" t="n">
        <f aca="false">216500</f>
        <v>216500</v>
      </c>
      <c r="E193" s="69" t="n">
        <f aca="false">C193-D193</f>
        <v>200000</v>
      </c>
    </row>
    <row r="194" customFormat="false" ht="15" hidden="false" customHeight="false" outlineLevel="0" collapsed="false">
      <c r="A194" s="35" t="n">
        <v>19</v>
      </c>
      <c r="B194" s="20" t="s">
        <v>335</v>
      </c>
      <c r="C194" s="14" t="n">
        <v>416500</v>
      </c>
      <c r="D194" s="21"/>
      <c r="E194" s="69" t="n">
        <f aca="false">C194-D194</f>
        <v>416500</v>
      </c>
    </row>
    <row r="195" customFormat="false" ht="15" hidden="false" customHeight="false" outlineLevel="0" collapsed="false">
      <c r="A195" s="35" t="n">
        <v>20</v>
      </c>
      <c r="B195" s="20" t="s">
        <v>336</v>
      </c>
      <c r="C195" s="14" t="s">
        <v>11</v>
      </c>
      <c r="D195" s="21" t="s">
        <v>11</v>
      </c>
      <c r="E195" s="69" t="s">
        <v>11</v>
      </c>
    </row>
    <row r="196" customFormat="false" ht="15" hidden="false" customHeight="false" outlineLevel="0" collapsed="false">
      <c r="A196" s="35" t="n">
        <v>21</v>
      </c>
      <c r="B196" s="20" t="s">
        <v>337</v>
      </c>
      <c r="C196" s="14" t="n">
        <v>416500</v>
      </c>
      <c r="D196" s="21" t="n">
        <f aca="false">300000+116500</f>
        <v>416500</v>
      </c>
      <c r="E196" s="69" t="n">
        <f aca="false">C196-D196</f>
        <v>0</v>
      </c>
    </row>
    <row r="197" customFormat="false" ht="15" hidden="false" customHeight="false" outlineLevel="0" collapsed="false">
      <c r="A197" s="35" t="n">
        <v>22</v>
      </c>
      <c r="B197" s="20" t="s">
        <v>338</v>
      </c>
      <c r="C197" s="14" t="n">
        <v>416500</v>
      </c>
      <c r="D197" s="21" t="n">
        <f aca="false">173500</f>
        <v>173500</v>
      </c>
      <c r="E197" s="69" t="n">
        <f aca="false">C197-D197</f>
        <v>243000</v>
      </c>
    </row>
    <row r="198" customFormat="false" ht="15" hidden="false" customHeight="false" outlineLevel="0" collapsed="false">
      <c r="A198" s="35" t="n">
        <v>23</v>
      </c>
      <c r="B198" s="20" t="s">
        <v>339</v>
      </c>
      <c r="C198" s="14" t="n">
        <v>416500</v>
      </c>
      <c r="D198" s="21" t="n">
        <f aca="false">250000</f>
        <v>250000</v>
      </c>
      <c r="E198" s="69" t="n">
        <f aca="false">C198-D198</f>
        <v>166500</v>
      </c>
    </row>
    <row r="199" customFormat="false" ht="15" hidden="false" customHeight="false" outlineLevel="0" collapsed="false">
      <c r="A199" s="35" t="n">
        <v>24</v>
      </c>
      <c r="B199" s="20" t="s">
        <v>340</v>
      </c>
      <c r="C199" s="14" t="n">
        <v>416500</v>
      </c>
      <c r="D199" s="21"/>
      <c r="E199" s="69" t="n">
        <f aca="false">C199-D199</f>
        <v>416500</v>
      </c>
    </row>
    <row r="200" customFormat="false" ht="15" hidden="false" customHeight="false" outlineLevel="0" collapsed="false">
      <c r="A200" s="35" t="n">
        <v>25</v>
      </c>
      <c r="B200" s="20" t="s">
        <v>341</v>
      </c>
      <c r="C200" s="37" t="n">
        <v>416500</v>
      </c>
      <c r="D200" s="21" t="n">
        <f aca="false">160000+100000+60000+50000+46500</f>
        <v>416500</v>
      </c>
      <c r="E200" s="69" t="n">
        <f aca="false">C200-D200</f>
        <v>0</v>
      </c>
    </row>
    <row r="201" customFormat="false" ht="17.35" hidden="false" customHeight="false" outlineLevel="0" collapsed="false">
      <c r="A201" s="35"/>
      <c r="B201" s="23" t="s">
        <v>21</v>
      </c>
      <c r="C201" s="24" t="n">
        <f aca="false">SUM(C176:C200)</f>
        <v>9163000</v>
      </c>
      <c r="D201" s="25" t="n">
        <f aca="false">SUM(D176:D200)</f>
        <v>4232000</v>
      </c>
      <c r="E201" s="70" t="n">
        <f aca="false">SUM(E176:E200)</f>
        <v>4931000</v>
      </c>
    </row>
    <row r="202" customFormat="false" ht="19.7" hidden="false" customHeight="false" outlineLevel="0" collapsed="false">
      <c r="A202" s="71"/>
      <c r="B202" s="81"/>
      <c r="C202" s="82"/>
      <c r="D202" s="83"/>
      <c r="E202" s="84"/>
    </row>
    <row r="203" customFormat="false" ht="15" hidden="false" customHeight="false" outlineLevel="0" collapsed="false">
      <c r="D203" s="32"/>
      <c r="E203" s="32"/>
    </row>
    <row r="204" customFormat="false" ht="15" hidden="false" customHeight="false" outlineLevel="0" collapsed="false">
      <c r="D204" s="32"/>
      <c r="E204" s="32"/>
    </row>
    <row r="205" customFormat="false" ht="17.35" hidden="false" customHeight="false" outlineLevel="0" collapsed="false">
      <c r="B205" s="28"/>
      <c r="C205" s="29"/>
      <c r="D205" s="30"/>
      <c r="E205" s="67"/>
    </row>
    <row r="206" customFormat="false" ht="17.35" hidden="false" customHeight="false" outlineLevel="0" collapsed="false">
      <c r="B206" s="28"/>
      <c r="C206" s="29"/>
      <c r="D206" s="30"/>
      <c r="E206" s="67"/>
    </row>
    <row r="207" customFormat="false" ht="17.35" hidden="false" customHeight="false" outlineLevel="0" collapsed="false">
      <c r="A207" s="2"/>
      <c r="B207" s="3" t="s">
        <v>0</v>
      </c>
      <c r="D207" s="32"/>
      <c r="E207" s="32"/>
    </row>
    <row r="208" customFormat="false" ht="17.35" hidden="false" customHeight="false" outlineLevel="0" collapsed="false">
      <c r="A208" s="4"/>
      <c r="D208" s="32"/>
      <c r="E208" s="32"/>
    </row>
    <row r="209" customFormat="false" ht="15" hidden="false" customHeight="false" outlineLevel="0" collapsed="false">
      <c r="A209" s="2"/>
      <c r="D209" s="32"/>
      <c r="E209" s="32"/>
    </row>
    <row r="210" customFormat="false" ht="17.25" hidden="false" customHeight="false" outlineLevel="0" collapsed="false">
      <c r="A210" s="2"/>
      <c r="B210" s="5" t="s">
        <v>75</v>
      </c>
      <c r="D210" s="32"/>
      <c r="E210" s="32"/>
    </row>
    <row r="211" customFormat="false" ht="15" hidden="false" customHeight="false" outlineLevel="0" collapsed="false">
      <c r="A211" s="2"/>
      <c r="D211" s="33" t="s">
        <v>191</v>
      </c>
      <c r="E211" s="32"/>
    </row>
    <row r="212" customFormat="false" ht="15" hidden="false" customHeight="false" outlineLevel="0" collapsed="false">
      <c r="A212" s="2"/>
      <c r="D212" s="32"/>
      <c r="E212" s="32"/>
    </row>
    <row r="213" customFormat="false" ht="15" hidden="false" customHeight="false" outlineLevel="0" collapsed="false">
      <c r="A213" s="7" t="s">
        <v>3</v>
      </c>
      <c r="B213" s="8" t="s">
        <v>4</v>
      </c>
      <c r="C213" s="9" t="s">
        <v>5</v>
      </c>
      <c r="D213" s="34" t="s">
        <v>6</v>
      </c>
      <c r="E213" s="68" t="s">
        <v>7</v>
      </c>
    </row>
    <row r="214" customFormat="false" ht="15" hidden="false" customHeight="false" outlineLevel="0" collapsed="false">
      <c r="A214" s="35" t="n">
        <v>1</v>
      </c>
      <c r="B214" s="39" t="s">
        <v>363</v>
      </c>
      <c r="C214" s="14" t="n">
        <v>416500</v>
      </c>
      <c r="D214" s="37" t="n">
        <f aca="false">200000+100000</f>
        <v>300000</v>
      </c>
      <c r="E214" s="69" t="n">
        <f aca="false">C214-D214</f>
        <v>116500</v>
      </c>
    </row>
    <row r="215" customFormat="false" ht="15" hidden="false" customHeight="false" outlineLevel="0" collapsed="false">
      <c r="A215" s="53" t="n">
        <v>2</v>
      </c>
      <c r="B215" s="39" t="s">
        <v>1126</v>
      </c>
      <c r="C215" s="14" t="n">
        <v>416500</v>
      </c>
      <c r="D215" s="37" t="n">
        <f aca="false">220000</f>
        <v>220000</v>
      </c>
      <c r="E215" s="69" t="n">
        <f aca="false">C215-D215</f>
        <v>196500</v>
      </c>
    </row>
    <row r="216" customFormat="false" ht="15" hidden="false" customHeight="false" outlineLevel="0" collapsed="false">
      <c r="A216" s="35" t="n">
        <v>3</v>
      </c>
      <c r="B216" s="39" t="s">
        <v>365</v>
      </c>
      <c r="C216" s="14" t="n">
        <v>416500</v>
      </c>
      <c r="D216" s="37"/>
      <c r="E216" s="69" t="n">
        <f aca="false">C216-D216</f>
        <v>416500</v>
      </c>
    </row>
    <row r="217" customFormat="false" ht="15" hidden="false" customHeight="false" outlineLevel="0" collapsed="false">
      <c r="A217" s="12" t="n">
        <v>4</v>
      </c>
      <c r="B217" s="20" t="s">
        <v>366</v>
      </c>
      <c r="C217" s="14" t="n">
        <v>416500</v>
      </c>
      <c r="D217" s="21" t="n">
        <f aca="false">300000</f>
        <v>300000</v>
      </c>
      <c r="E217" s="69" t="n">
        <f aca="false">C217-D217</f>
        <v>116500</v>
      </c>
    </row>
    <row r="218" customFormat="false" ht="15" hidden="false" customHeight="false" outlineLevel="0" collapsed="false">
      <c r="A218" s="35" t="n">
        <v>5</v>
      </c>
      <c r="B218" s="39" t="s">
        <v>367</v>
      </c>
      <c r="C218" s="14" t="n">
        <v>416500</v>
      </c>
      <c r="D218" s="37" t="n">
        <f aca="false">216000</f>
        <v>216000</v>
      </c>
      <c r="E218" s="69" t="n">
        <f aca="false">C218-D218</f>
        <v>200500</v>
      </c>
    </row>
    <row r="219" customFormat="false" ht="15" hidden="false" customHeight="false" outlineLevel="0" collapsed="false">
      <c r="A219" s="35" t="n">
        <v>6</v>
      </c>
      <c r="B219" s="43" t="s">
        <v>368</v>
      </c>
      <c r="C219" s="14" t="n">
        <v>416500</v>
      </c>
      <c r="D219" s="37" t="n">
        <f aca="false">100000+116500+50000+150000</f>
        <v>416500</v>
      </c>
      <c r="E219" s="69" t="n">
        <f aca="false">C219-D219</f>
        <v>0</v>
      </c>
    </row>
    <row r="220" customFormat="false" ht="15" hidden="false" customHeight="false" outlineLevel="0" collapsed="false">
      <c r="A220" s="53" t="n">
        <v>7</v>
      </c>
      <c r="B220" s="43" t="s">
        <v>369</v>
      </c>
      <c r="C220" s="14" t="n">
        <v>416500</v>
      </c>
      <c r="D220" s="37" t="n">
        <f aca="false">215500</f>
        <v>215500</v>
      </c>
      <c r="E220" s="69" t="n">
        <f aca="false">C220-D220</f>
        <v>201000</v>
      </c>
    </row>
    <row r="221" customFormat="false" ht="15" hidden="false" customHeight="false" outlineLevel="0" collapsed="false">
      <c r="A221" s="35" t="n">
        <v>8</v>
      </c>
      <c r="B221" s="39" t="s">
        <v>370</v>
      </c>
      <c r="C221" s="14" t="n">
        <v>416500</v>
      </c>
      <c r="D221" s="37"/>
      <c r="E221" s="69" t="n">
        <f aca="false">C221-D221</f>
        <v>416500</v>
      </c>
    </row>
    <row r="222" customFormat="false" ht="15" hidden="false" customHeight="false" outlineLevel="0" collapsed="false">
      <c r="A222" s="12" t="n">
        <v>9</v>
      </c>
      <c r="B222" s="39" t="s">
        <v>371</v>
      </c>
      <c r="C222" s="14" t="n">
        <v>416500</v>
      </c>
      <c r="D222" s="37" t="n">
        <f aca="false">150000</f>
        <v>150000</v>
      </c>
      <c r="E222" s="69" t="n">
        <f aca="false">C222-D222</f>
        <v>266500</v>
      </c>
    </row>
    <row r="223" customFormat="false" ht="15" hidden="false" customHeight="false" outlineLevel="0" collapsed="false">
      <c r="A223" s="35" t="n">
        <v>10</v>
      </c>
      <c r="B223" s="39" t="s">
        <v>372</v>
      </c>
      <c r="C223" s="14" t="n">
        <v>416500</v>
      </c>
      <c r="D223" s="37"/>
      <c r="E223" s="69" t="n">
        <f aca="false">C223-D223</f>
        <v>416500</v>
      </c>
    </row>
    <row r="224" customFormat="false" ht="15" hidden="false" customHeight="false" outlineLevel="0" collapsed="false">
      <c r="A224" s="35" t="n">
        <v>11</v>
      </c>
      <c r="B224" s="39" t="s">
        <v>373</v>
      </c>
      <c r="C224" s="14" t="n">
        <v>416500</v>
      </c>
      <c r="D224" s="37"/>
      <c r="E224" s="69" t="n">
        <f aca="false">C224-D224</f>
        <v>416500</v>
      </c>
    </row>
    <row r="225" customFormat="false" ht="15" hidden="false" customHeight="false" outlineLevel="0" collapsed="false">
      <c r="A225" s="53" t="n">
        <v>12</v>
      </c>
      <c r="B225" s="39" t="s">
        <v>374</v>
      </c>
      <c r="C225" s="14" t="n">
        <v>416500</v>
      </c>
      <c r="D225" s="37" t="n">
        <f aca="false">216000+150500+50000</f>
        <v>416500</v>
      </c>
      <c r="E225" s="69" t="n">
        <f aca="false">C225-D225</f>
        <v>0</v>
      </c>
    </row>
    <row r="226" customFormat="false" ht="15" hidden="false" customHeight="false" outlineLevel="0" collapsed="false">
      <c r="A226" s="35" t="n">
        <v>13</v>
      </c>
      <c r="B226" s="39" t="s">
        <v>375</v>
      </c>
      <c r="C226" s="14" t="n">
        <v>416500</v>
      </c>
      <c r="D226" s="37" t="n">
        <f aca="false">100000</f>
        <v>100000</v>
      </c>
      <c r="E226" s="69" t="n">
        <f aca="false">C226-D226</f>
        <v>316500</v>
      </c>
    </row>
    <row r="227" customFormat="false" ht="15" hidden="false" customHeight="false" outlineLevel="0" collapsed="false">
      <c r="A227" s="12" t="n">
        <v>14</v>
      </c>
      <c r="B227" s="39" t="s">
        <v>376</v>
      </c>
      <c r="C227" s="14" t="n">
        <v>416500</v>
      </c>
      <c r="D227" s="37" t="n">
        <f aca="false">200000</f>
        <v>200000</v>
      </c>
      <c r="E227" s="69" t="n">
        <f aca="false">C227-D227</f>
        <v>216500</v>
      </c>
    </row>
    <row r="228" customFormat="false" ht="15" hidden="false" customHeight="false" outlineLevel="0" collapsed="false">
      <c r="A228" s="35" t="n">
        <v>15</v>
      </c>
      <c r="B228" s="39" t="s">
        <v>377</v>
      </c>
      <c r="C228" s="14" t="n">
        <v>416500</v>
      </c>
      <c r="D228" s="37"/>
      <c r="E228" s="69" t="n">
        <f aca="false">C228-D228</f>
        <v>416500</v>
      </c>
    </row>
    <row r="229" customFormat="false" ht="15" hidden="false" customHeight="false" outlineLevel="0" collapsed="false">
      <c r="A229" s="35" t="n">
        <v>16</v>
      </c>
      <c r="B229" s="39" t="s">
        <v>378</v>
      </c>
      <c r="C229" s="14" t="n">
        <v>416500</v>
      </c>
      <c r="D229" s="37" t="n">
        <f aca="false">100000</f>
        <v>100000</v>
      </c>
      <c r="E229" s="69" t="n">
        <f aca="false">C229-D229</f>
        <v>316500</v>
      </c>
    </row>
    <row r="230" customFormat="false" ht="15" hidden="false" customHeight="false" outlineLevel="0" collapsed="false">
      <c r="A230" s="53" t="n">
        <v>17</v>
      </c>
      <c r="B230" s="39" t="s">
        <v>379</v>
      </c>
      <c r="C230" s="14" t="n">
        <v>416500</v>
      </c>
      <c r="D230" s="37"/>
      <c r="E230" s="69" t="n">
        <f aca="false">C230-D230</f>
        <v>416500</v>
      </c>
    </row>
    <row r="231" customFormat="false" ht="15" hidden="false" customHeight="false" outlineLevel="0" collapsed="false">
      <c r="A231" s="35" t="n">
        <v>18</v>
      </c>
      <c r="B231" s="39" t="s">
        <v>380</v>
      </c>
      <c r="C231" s="14" t="n">
        <v>416500</v>
      </c>
      <c r="D231" s="37" t="n">
        <f aca="false">100000+100000+216500</f>
        <v>416500</v>
      </c>
      <c r="E231" s="69" t="n">
        <f aca="false">C231-D231</f>
        <v>0</v>
      </c>
    </row>
    <row r="232" customFormat="false" ht="15" hidden="false" customHeight="false" outlineLevel="0" collapsed="false">
      <c r="A232" s="12" t="n">
        <v>19</v>
      </c>
      <c r="B232" s="39" t="s">
        <v>381</v>
      </c>
      <c r="C232" s="14" t="n">
        <v>416500</v>
      </c>
      <c r="D232" s="37" t="s">
        <v>11</v>
      </c>
      <c r="E232" s="69" t="s">
        <v>11</v>
      </c>
    </row>
    <row r="233" customFormat="false" ht="15" hidden="false" customHeight="false" outlineLevel="0" collapsed="false">
      <c r="A233" s="35" t="n">
        <v>20</v>
      </c>
      <c r="B233" s="39" t="s">
        <v>382</v>
      </c>
      <c r="C233" s="14" t="n">
        <v>416500</v>
      </c>
      <c r="D233" s="37" t="s">
        <v>11</v>
      </c>
      <c r="E233" s="69" t="s">
        <v>11</v>
      </c>
    </row>
    <row r="234" customFormat="false" ht="15" hidden="false" customHeight="false" outlineLevel="0" collapsed="false">
      <c r="A234" s="35" t="n">
        <v>21</v>
      </c>
      <c r="B234" s="43" t="s">
        <v>383</v>
      </c>
      <c r="C234" s="14" t="n">
        <v>416500</v>
      </c>
      <c r="D234" s="37" t="s">
        <v>11</v>
      </c>
      <c r="E234" s="69" t="s">
        <v>11</v>
      </c>
    </row>
    <row r="235" customFormat="false" ht="15" hidden="false" customHeight="false" outlineLevel="0" collapsed="false">
      <c r="A235" s="53" t="n">
        <v>22</v>
      </c>
      <c r="B235" s="39" t="s">
        <v>384</v>
      </c>
      <c r="C235" s="14" t="n">
        <v>416500</v>
      </c>
      <c r="D235" s="37" t="s">
        <v>11</v>
      </c>
      <c r="E235" s="69" t="s">
        <v>11</v>
      </c>
    </row>
    <row r="236" customFormat="false" ht="15" hidden="false" customHeight="false" outlineLevel="0" collapsed="false">
      <c r="A236" s="35" t="n">
        <v>23</v>
      </c>
      <c r="B236" s="39" t="s">
        <v>385</v>
      </c>
      <c r="C236" s="14" t="n">
        <v>416500</v>
      </c>
      <c r="D236" s="37" t="n">
        <f aca="false">100000+90000</f>
        <v>190000</v>
      </c>
      <c r="E236" s="69" t="n">
        <f aca="false">C236-D236</f>
        <v>226500</v>
      </c>
    </row>
    <row r="237" customFormat="false" ht="15" hidden="false" customHeight="false" outlineLevel="0" collapsed="false">
      <c r="A237" s="12" t="n">
        <v>24</v>
      </c>
      <c r="B237" s="39" t="s">
        <v>386</v>
      </c>
      <c r="C237" s="14" t="n">
        <v>416500</v>
      </c>
      <c r="D237" s="37" t="n">
        <f aca="false">170000</f>
        <v>170000</v>
      </c>
      <c r="E237" s="69" t="n">
        <f aca="false">C237-D237</f>
        <v>246500</v>
      </c>
    </row>
    <row r="238" customFormat="false" ht="15" hidden="false" customHeight="false" outlineLevel="0" collapsed="false">
      <c r="A238" s="35" t="n">
        <v>25</v>
      </c>
      <c r="B238" s="20" t="s">
        <v>387</v>
      </c>
      <c r="C238" s="14" t="n">
        <v>416500</v>
      </c>
      <c r="D238" s="37"/>
      <c r="E238" s="69" t="n">
        <f aca="false">C238-D238</f>
        <v>416500</v>
      </c>
    </row>
    <row r="239" customFormat="false" ht="15" hidden="false" customHeight="false" outlineLevel="0" collapsed="false">
      <c r="A239" s="35" t="n">
        <v>26</v>
      </c>
      <c r="B239" s="20" t="s">
        <v>388</v>
      </c>
      <c r="C239" s="14" t="n">
        <v>416500</v>
      </c>
      <c r="D239" s="37" t="n">
        <f aca="false">200000</f>
        <v>200000</v>
      </c>
      <c r="E239" s="69" t="s">
        <v>11</v>
      </c>
    </row>
    <row r="240" customFormat="false" ht="15" hidden="false" customHeight="false" outlineLevel="0" collapsed="false">
      <c r="A240" s="53" t="n">
        <v>27</v>
      </c>
      <c r="B240" s="39" t="s">
        <v>389</v>
      </c>
      <c r="C240" s="14" t="n">
        <v>416500</v>
      </c>
      <c r="D240" s="37" t="n">
        <f aca="false">13500</f>
        <v>13500</v>
      </c>
      <c r="E240" s="69" t="n">
        <f aca="false">C240-D240</f>
        <v>403000</v>
      </c>
    </row>
    <row r="241" customFormat="false" ht="17.35" hidden="false" customHeight="false" outlineLevel="0" collapsed="false">
      <c r="A241" s="22"/>
      <c r="B241" s="23" t="s">
        <v>21</v>
      </c>
      <c r="C241" s="24" t="n">
        <f aca="false">SUM(C214:C240)</f>
        <v>11245500</v>
      </c>
      <c r="D241" s="25" t="n">
        <f aca="false">SUM(D214:D240)</f>
        <v>3624500</v>
      </c>
      <c r="E241" s="70" t="n">
        <f aca="false">SUM(E214:E240)</f>
        <v>5738500</v>
      </c>
    </row>
    <row r="242" customFormat="false" ht="17.35" hidden="false" customHeight="false" outlineLevel="0" collapsed="false">
      <c r="B242" s="28"/>
      <c r="C242" s="29"/>
      <c r="D242" s="30"/>
      <c r="E242" s="67"/>
    </row>
    <row r="243" customFormat="false" ht="17.35" hidden="false" customHeight="false" outlineLevel="0" collapsed="false">
      <c r="B243" s="85"/>
      <c r="C243" s="82"/>
      <c r="D243" s="83"/>
      <c r="E243" s="84"/>
    </row>
    <row r="244" customFormat="false" ht="17.35" hidden="false" customHeight="false" outlineLevel="0" collapsed="false">
      <c r="A244" s="2"/>
      <c r="B244" s="3" t="s">
        <v>0</v>
      </c>
      <c r="D244" s="32"/>
      <c r="E244" s="32"/>
    </row>
    <row r="245" customFormat="false" ht="17.35" hidden="false" customHeight="false" outlineLevel="0" collapsed="false">
      <c r="A245" s="4"/>
      <c r="D245" s="32"/>
      <c r="E245" s="32"/>
    </row>
    <row r="246" customFormat="false" ht="15" hidden="false" customHeight="false" outlineLevel="0" collapsed="false">
      <c r="A246" s="2"/>
      <c r="D246" s="32"/>
      <c r="E246" s="32"/>
    </row>
    <row r="247" customFormat="false" ht="17.25" hidden="false" customHeight="false" outlineLevel="0" collapsed="false">
      <c r="A247" s="2"/>
      <c r="B247" s="5" t="s">
        <v>75</v>
      </c>
      <c r="D247" s="32"/>
      <c r="E247" s="32"/>
    </row>
    <row r="248" customFormat="false" ht="15" hidden="false" customHeight="false" outlineLevel="0" collapsed="false">
      <c r="A248" s="2"/>
      <c r="D248" s="33" t="s">
        <v>161</v>
      </c>
      <c r="E248" s="32"/>
    </row>
    <row r="249" customFormat="false" ht="15" hidden="false" customHeight="false" outlineLevel="0" collapsed="false">
      <c r="A249" s="2"/>
      <c r="D249" s="32"/>
      <c r="E249" s="32"/>
    </row>
    <row r="250" customFormat="false" ht="15" hidden="false" customHeight="false" outlineLevel="0" collapsed="false">
      <c r="A250" s="7" t="s">
        <v>3</v>
      </c>
      <c r="B250" s="8" t="s">
        <v>4</v>
      </c>
      <c r="C250" s="9" t="s">
        <v>5</v>
      </c>
      <c r="D250" s="34" t="s">
        <v>6</v>
      </c>
      <c r="E250" s="68" t="s">
        <v>7</v>
      </c>
    </row>
    <row r="251" customFormat="false" ht="15" hidden="false" customHeight="false" outlineLevel="0" collapsed="false">
      <c r="A251" s="86" t="n">
        <v>1</v>
      </c>
      <c r="B251" s="20" t="s">
        <v>391</v>
      </c>
      <c r="C251" s="37" t="n">
        <v>416500</v>
      </c>
      <c r="D251" s="37" t="n">
        <f aca="false">220000+100000+90000</f>
        <v>410000</v>
      </c>
      <c r="E251" s="69" t="n">
        <f aca="false">C251-D251</f>
        <v>6500</v>
      </c>
    </row>
    <row r="252" customFormat="false" ht="15" hidden="false" customHeight="false" outlineLevel="0" collapsed="false">
      <c r="A252" s="35" t="n">
        <v>2</v>
      </c>
      <c r="B252" s="39" t="s">
        <v>392</v>
      </c>
      <c r="C252" s="14" t="n">
        <v>416500</v>
      </c>
      <c r="D252" s="37" t="n">
        <f aca="false">60000+150000+120000+90000</f>
        <v>420000</v>
      </c>
      <c r="E252" s="69" t="n">
        <f aca="false">C252-D252</f>
        <v>-3500</v>
      </c>
    </row>
    <row r="253" customFormat="false" ht="15" hidden="false" customHeight="false" outlineLevel="0" collapsed="false">
      <c r="A253" s="12" t="n">
        <v>3</v>
      </c>
      <c r="B253" s="39" t="s">
        <v>393</v>
      </c>
      <c r="C253" s="14" t="n">
        <v>416500</v>
      </c>
      <c r="D253" s="37" t="n">
        <f aca="false">150000+50000+16500+110000+35000+55000</f>
        <v>416500</v>
      </c>
      <c r="E253" s="69" t="n">
        <f aca="false">C253-D253</f>
        <v>0</v>
      </c>
    </row>
    <row r="254" customFormat="false" ht="15" hidden="false" customHeight="false" outlineLevel="0" collapsed="false">
      <c r="A254" s="35" t="n">
        <v>4</v>
      </c>
      <c r="B254" s="20" t="s">
        <v>394</v>
      </c>
      <c r="C254" s="37" t="n">
        <v>416500</v>
      </c>
      <c r="D254" s="37" t="n">
        <f aca="false">216500+200000</f>
        <v>416500</v>
      </c>
      <c r="E254" s="69" t="n">
        <f aca="false">C254-D254</f>
        <v>0</v>
      </c>
    </row>
    <row r="255" customFormat="false" ht="15" hidden="false" customHeight="false" outlineLevel="0" collapsed="false">
      <c r="A255" s="50" t="n">
        <v>5</v>
      </c>
      <c r="B255" s="43" t="s">
        <v>395</v>
      </c>
      <c r="C255" s="14" t="n">
        <v>416500</v>
      </c>
      <c r="D255" s="37" t="n">
        <f aca="false">200000+16500+50000+40000+20000+90000</f>
        <v>416500</v>
      </c>
      <c r="E255" s="69" t="n">
        <f aca="false">C255-D255</f>
        <v>0</v>
      </c>
    </row>
    <row r="256" customFormat="false" ht="15" hidden="false" customHeight="false" outlineLevel="0" collapsed="false">
      <c r="A256" s="35" t="n">
        <v>6</v>
      </c>
      <c r="B256" s="43" t="s">
        <v>396</v>
      </c>
      <c r="C256" s="14" t="n">
        <v>416500</v>
      </c>
      <c r="D256" s="37" t="n">
        <f aca="false">200000+216500</f>
        <v>416500</v>
      </c>
      <c r="E256" s="69" t="n">
        <f aca="false">C256-D256</f>
        <v>0</v>
      </c>
    </row>
    <row r="257" customFormat="false" ht="15" hidden="false" customHeight="false" outlineLevel="0" collapsed="false">
      <c r="A257" s="12" t="n">
        <v>7</v>
      </c>
      <c r="B257" s="39" t="s">
        <v>397</v>
      </c>
      <c r="C257" s="14" t="n">
        <v>416500</v>
      </c>
      <c r="D257" s="37" t="n">
        <f aca="false">217000+200000</f>
        <v>417000</v>
      </c>
      <c r="E257" s="69" t="n">
        <f aca="false">C257-D257</f>
        <v>-500</v>
      </c>
    </row>
    <row r="258" customFormat="false" ht="15" hidden="false" customHeight="false" outlineLevel="0" collapsed="false">
      <c r="A258" s="35" t="n">
        <v>8</v>
      </c>
      <c r="B258" s="39" t="s">
        <v>398</v>
      </c>
      <c r="C258" s="14" t="n">
        <v>416500</v>
      </c>
      <c r="D258" s="37"/>
      <c r="E258" s="69" t="n">
        <f aca="false">C258-D258</f>
        <v>416500</v>
      </c>
    </row>
    <row r="259" customFormat="false" ht="15" hidden="false" customHeight="false" outlineLevel="0" collapsed="false">
      <c r="A259" s="50" t="n">
        <v>9</v>
      </c>
      <c r="B259" s="39" t="s">
        <v>399</v>
      </c>
      <c r="C259" s="14" t="n">
        <v>416500</v>
      </c>
      <c r="D259" s="37" t="n">
        <f aca="false">216500+200000</f>
        <v>416500</v>
      </c>
      <c r="E259" s="69" t="n">
        <f aca="false">C259-D259</f>
        <v>0</v>
      </c>
    </row>
    <row r="260" customFormat="false" ht="15" hidden="false" customHeight="false" outlineLevel="0" collapsed="false">
      <c r="A260" s="35" t="n">
        <v>10</v>
      </c>
      <c r="B260" s="39" t="s">
        <v>400</v>
      </c>
      <c r="C260" s="14" t="n">
        <v>416500</v>
      </c>
      <c r="D260" s="37"/>
      <c r="E260" s="69" t="n">
        <f aca="false">C260-D260</f>
        <v>416500</v>
      </c>
    </row>
    <row r="261" customFormat="false" ht="15" hidden="false" customHeight="false" outlineLevel="0" collapsed="false">
      <c r="A261" s="12" t="n">
        <v>11</v>
      </c>
      <c r="B261" s="39" t="s">
        <v>401</v>
      </c>
      <c r="C261" s="14" t="n">
        <v>416500</v>
      </c>
      <c r="D261" s="37"/>
      <c r="E261" s="69" t="n">
        <f aca="false">C261-D261</f>
        <v>416500</v>
      </c>
    </row>
    <row r="262" customFormat="false" ht="15" hidden="false" customHeight="false" outlineLevel="0" collapsed="false">
      <c r="A262" s="35" t="n">
        <v>12</v>
      </c>
      <c r="B262" s="39" t="s">
        <v>402</v>
      </c>
      <c r="C262" s="14" t="n">
        <v>416500</v>
      </c>
      <c r="D262" s="37" t="n">
        <f aca="false">99500+90000</f>
        <v>189500</v>
      </c>
      <c r="E262" s="69" t="n">
        <f aca="false">C262-D262</f>
        <v>227000</v>
      </c>
    </row>
    <row r="263" customFormat="false" ht="15" hidden="false" customHeight="false" outlineLevel="0" collapsed="false">
      <c r="A263" s="50" t="n">
        <v>13</v>
      </c>
      <c r="B263" s="39" t="s">
        <v>403</v>
      </c>
      <c r="C263" s="14" t="n">
        <v>416500</v>
      </c>
      <c r="D263" s="37"/>
      <c r="E263" s="69" t="n">
        <f aca="false">C263-D263</f>
        <v>416500</v>
      </c>
    </row>
    <row r="264" customFormat="false" ht="15" hidden="false" customHeight="false" outlineLevel="0" collapsed="false">
      <c r="A264" s="35" t="n">
        <v>14</v>
      </c>
      <c r="B264" s="39" t="s">
        <v>404</v>
      </c>
      <c r="C264" s="14" t="n">
        <v>416500</v>
      </c>
      <c r="D264" s="37" t="n">
        <f aca="false">189000+27500+200000</f>
        <v>416500</v>
      </c>
      <c r="E264" s="69" t="n">
        <f aca="false">C264-D264</f>
        <v>0</v>
      </c>
    </row>
    <row r="265" customFormat="false" ht="15" hidden="false" customHeight="false" outlineLevel="0" collapsed="false">
      <c r="A265" s="12" t="n">
        <v>15</v>
      </c>
      <c r="B265" s="43" t="s">
        <v>405</v>
      </c>
      <c r="C265" s="14" t="n">
        <v>416500</v>
      </c>
      <c r="D265" s="37" t="n">
        <f aca="false">130000+20000+30000+36000+20000+30000+34000+500+66000+50000</f>
        <v>416500</v>
      </c>
      <c r="E265" s="69" t="n">
        <f aca="false">C265-D265</f>
        <v>0</v>
      </c>
    </row>
    <row r="266" customFormat="false" ht="15" hidden="false" customHeight="false" outlineLevel="0" collapsed="false">
      <c r="A266" s="35" t="n">
        <v>16</v>
      </c>
      <c r="B266" s="39" t="s">
        <v>406</v>
      </c>
      <c r="C266" s="14" t="n">
        <v>416500</v>
      </c>
      <c r="D266" s="37" t="n">
        <v>416500</v>
      </c>
      <c r="E266" s="69" t="n">
        <f aca="false">C266-D266</f>
        <v>0</v>
      </c>
    </row>
    <row r="267" customFormat="false" ht="15" hidden="false" customHeight="false" outlineLevel="0" collapsed="false">
      <c r="A267" s="50" t="n">
        <v>17</v>
      </c>
      <c r="B267" s="20" t="s">
        <v>407</v>
      </c>
      <c r="C267" s="37" t="n">
        <v>416500</v>
      </c>
      <c r="D267" s="37" t="n">
        <f aca="false">100000+100000+216500</f>
        <v>416500</v>
      </c>
      <c r="E267" s="69" t="n">
        <f aca="false">C267-D267</f>
        <v>0</v>
      </c>
    </row>
    <row r="268" customFormat="false" ht="15" hidden="false" customHeight="false" outlineLevel="0" collapsed="false">
      <c r="A268" s="35" t="n">
        <v>18</v>
      </c>
      <c r="B268" s="20" t="s">
        <v>408</v>
      </c>
      <c r="C268" s="37" t="n">
        <v>416500</v>
      </c>
      <c r="D268" s="37" t="n">
        <f aca="false">100000+117000+150000+49500</f>
        <v>416500</v>
      </c>
      <c r="E268" s="69" t="n">
        <f aca="false">C268-D268</f>
        <v>0</v>
      </c>
    </row>
    <row r="269" customFormat="false" ht="15" hidden="false" customHeight="false" outlineLevel="0" collapsed="false">
      <c r="A269" s="12" t="n">
        <v>19</v>
      </c>
      <c r="B269" s="43" t="s">
        <v>409</v>
      </c>
      <c r="C269" s="14" t="n">
        <v>416500</v>
      </c>
      <c r="D269" s="37"/>
      <c r="E269" s="69" t="n">
        <f aca="false">C269-D269</f>
        <v>416500</v>
      </c>
    </row>
    <row r="270" customFormat="false" ht="15" hidden="false" customHeight="false" outlineLevel="0" collapsed="false">
      <c r="A270" s="35" t="n">
        <v>20</v>
      </c>
      <c r="B270" s="43" t="s">
        <v>410</v>
      </c>
      <c r="C270" s="14" t="n">
        <v>416500</v>
      </c>
      <c r="D270" s="37" t="n">
        <f aca="false">216500</f>
        <v>216500</v>
      </c>
      <c r="E270" s="69" t="n">
        <f aca="false">C270-D270</f>
        <v>200000</v>
      </c>
    </row>
    <row r="271" customFormat="false" ht="15" hidden="false" customHeight="false" outlineLevel="0" collapsed="false">
      <c r="A271" s="50" t="n">
        <v>21</v>
      </c>
      <c r="B271" s="39" t="s">
        <v>411</v>
      </c>
      <c r="C271" s="14" t="n">
        <v>416500</v>
      </c>
      <c r="D271" s="37"/>
      <c r="E271" s="69" t="n">
        <f aca="false">C271-D271</f>
        <v>416500</v>
      </c>
    </row>
    <row r="272" customFormat="false" ht="17.35" hidden="false" customHeight="false" outlineLevel="0" collapsed="false">
      <c r="A272" s="22"/>
      <c r="B272" s="23" t="s">
        <v>21</v>
      </c>
      <c r="C272" s="24" t="n">
        <f aca="false">SUM(C251:C271)</f>
        <v>8746500</v>
      </c>
      <c r="D272" s="25" t="n">
        <f aca="false">SUM(D251:D271)</f>
        <v>5818000</v>
      </c>
      <c r="E272" s="70" t="n">
        <f aca="false">SUM(E251:E271)</f>
        <v>2928500</v>
      </c>
    </row>
    <row r="273" customFormat="false" ht="17.35" hidden="false" customHeight="false" outlineLevel="0" collapsed="false">
      <c r="B273" s="85"/>
      <c r="C273" s="82"/>
      <c r="D273" s="83"/>
      <c r="E273" s="84"/>
    </row>
    <row r="274" customFormat="false" ht="15" hidden="false" customHeight="false" outlineLevel="0" collapsed="false">
      <c r="D274" s="32"/>
      <c r="E274" s="32"/>
    </row>
    <row r="275" customFormat="false" ht="15" hidden="false" customHeight="false" outlineLevel="0" collapsed="false">
      <c r="D275" s="32"/>
      <c r="E275" s="32"/>
    </row>
    <row r="276" customFormat="false" ht="17.35" hidden="false" customHeight="false" outlineLevel="0" collapsed="false">
      <c r="B276" s="28"/>
      <c r="C276" s="29"/>
      <c r="D276" s="30"/>
      <c r="E276" s="67"/>
    </row>
    <row r="277" customFormat="false" ht="17.35" hidden="false" customHeight="false" outlineLevel="0" collapsed="false">
      <c r="B277" s="3" t="s">
        <v>0</v>
      </c>
      <c r="D277" s="32"/>
      <c r="E277" s="32"/>
    </row>
    <row r="278" customFormat="false" ht="15" hidden="false" customHeight="false" outlineLevel="0" collapsed="false">
      <c r="A278" s="2"/>
      <c r="D278" s="32"/>
      <c r="E278" s="32"/>
    </row>
    <row r="279" customFormat="false" ht="15" hidden="false" customHeight="false" outlineLevel="0" collapsed="false">
      <c r="A279" s="2"/>
      <c r="D279" s="32"/>
      <c r="E279" s="32"/>
    </row>
    <row r="280" customFormat="false" ht="17.25" hidden="false" customHeight="false" outlineLevel="0" collapsed="false">
      <c r="A280" s="2"/>
      <c r="B280" s="5" t="s">
        <v>91</v>
      </c>
      <c r="D280" s="32"/>
      <c r="E280" s="32"/>
    </row>
    <row r="281" customFormat="false" ht="15" hidden="false" customHeight="false" outlineLevel="0" collapsed="false">
      <c r="A281" s="2"/>
      <c r="D281" s="32"/>
      <c r="E281" s="33" t="s">
        <v>191</v>
      </c>
    </row>
    <row r="282" customFormat="false" ht="15" hidden="false" customHeight="false" outlineLevel="0" collapsed="false">
      <c r="A282" s="2"/>
      <c r="D282" s="32"/>
      <c r="E282" s="32"/>
    </row>
    <row r="283" customFormat="false" ht="15" hidden="false" customHeight="false" outlineLevel="0" collapsed="false">
      <c r="A283" s="7" t="s">
        <v>3</v>
      </c>
      <c r="B283" s="8" t="s">
        <v>4</v>
      </c>
      <c r="C283" s="9" t="s">
        <v>5</v>
      </c>
      <c r="D283" s="34" t="s">
        <v>6</v>
      </c>
      <c r="E283" s="68" t="s">
        <v>7</v>
      </c>
    </row>
    <row r="284" customFormat="false" ht="15" hidden="false" customHeight="false" outlineLevel="0" collapsed="false">
      <c r="A284" s="35" t="n">
        <v>1</v>
      </c>
      <c r="B284" s="36" t="s">
        <v>426</v>
      </c>
      <c r="C284" s="14" t="n">
        <v>416500</v>
      </c>
      <c r="D284" s="37" t="n">
        <f aca="false">216500+200000</f>
        <v>416500</v>
      </c>
      <c r="E284" s="69" t="n">
        <f aca="false">C284-D284</f>
        <v>0</v>
      </c>
    </row>
    <row r="285" customFormat="false" ht="15" hidden="false" customHeight="false" outlineLevel="0" collapsed="false">
      <c r="A285" s="35" t="n">
        <v>2</v>
      </c>
      <c r="B285" s="39" t="s">
        <v>427</v>
      </c>
      <c r="C285" s="14" t="n">
        <v>416500</v>
      </c>
      <c r="D285" s="37" t="n">
        <f aca="false">216500+100000</f>
        <v>316500</v>
      </c>
      <c r="E285" s="69" t="n">
        <f aca="false">C285-D285</f>
        <v>100000</v>
      </c>
    </row>
    <row r="286" customFormat="false" ht="15" hidden="false" customHeight="false" outlineLevel="0" collapsed="false">
      <c r="A286" s="50" t="n">
        <v>3</v>
      </c>
      <c r="B286" s="39" t="s">
        <v>428</v>
      </c>
      <c r="C286" s="14" t="n">
        <v>416500</v>
      </c>
      <c r="D286" s="37" t="n">
        <f aca="false">200000+16500+100000+100000</f>
        <v>416500</v>
      </c>
      <c r="E286" s="69" t="n">
        <f aca="false">C286-D286</f>
        <v>0</v>
      </c>
    </row>
    <row r="287" customFormat="false" ht="15" hidden="false" customHeight="false" outlineLevel="0" collapsed="false">
      <c r="A287" s="35" t="n">
        <v>4</v>
      </c>
      <c r="B287" s="39" t="s">
        <v>429</v>
      </c>
      <c r="C287" s="14" t="n">
        <v>416500</v>
      </c>
      <c r="D287" s="37" t="n">
        <f aca="false">216500+200000</f>
        <v>416500</v>
      </c>
      <c r="E287" s="69" t="n">
        <f aca="false">C287-D287</f>
        <v>0</v>
      </c>
    </row>
    <row r="288" customFormat="false" ht="15" hidden="false" customHeight="false" outlineLevel="0" collapsed="false">
      <c r="A288" s="35" t="n">
        <v>5</v>
      </c>
      <c r="B288" s="39" t="s">
        <v>430</v>
      </c>
      <c r="C288" s="14" t="n">
        <v>416500</v>
      </c>
      <c r="D288" s="37" t="n">
        <f aca="false">216500+200000</f>
        <v>416500</v>
      </c>
      <c r="E288" s="69" t="n">
        <f aca="false">C288-D288</f>
        <v>0</v>
      </c>
    </row>
    <row r="289" customFormat="false" ht="15" hidden="false" customHeight="false" outlineLevel="0" collapsed="false">
      <c r="A289" s="35" t="n">
        <v>6</v>
      </c>
      <c r="B289" s="39" t="s">
        <v>431</v>
      </c>
      <c r="C289" s="14" t="n">
        <v>416500</v>
      </c>
      <c r="D289" s="37" t="n">
        <f aca="false">250000+165500+1000</f>
        <v>416500</v>
      </c>
      <c r="E289" s="69" t="n">
        <f aca="false">C289-D289</f>
        <v>0</v>
      </c>
    </row>
    <row r="290" customFormat="false" ht="15" hidden="false" customHeight="false" outlineLevel="0" collapsed="false">
      <c r="A290" s="50" t="n">
        <v>7</v>
      </c>
      <c r="B290" s="39" t="s">
        <v>432</v>
      </c>
      <c r="C290" s="14" t="n">
        <v>416500</v>
      </c>
      <c r="D290" s="37" t="n">
        <f aca="false">100000+100000+216500</f>
        <v>416500</v>
      </c>
      <c r="E290" s="69" t="n">
        <f aca="false">C290-D290</f>
        <v>0</v>
      </c>
    </row>
    <row r="291" customFormat="false" ht="15" hidden="false" customHeight="false" outlineLevel="0" collapsed="false">
      <c r="A291" s="35" t="n">
        <v>8</v>
      </c>
      <c r="B291" s="39" t="s">
        <v>433</v>
      </c>
      <c r="C291" s="14" t="n">
        <v>416500</v>
      </c>
      <c r="D291" s="37" t="n">
        <f aca="false">200000+16500+200000</f>
        <v>416500</v>
      </c>
      <c r="E291" s="69" t="n">
        <f aca="false">C291-D291</f>
        <v>0</v>
      </c>
    </row>
    <row r="292" customFormat="false" ht="15" hidden="false" customHeight="false" outlineLevel="0" collapsed="false">
      <c r="A292" s="35" t="n">
        <v>9</v>
      </c>
      <c r="B292" s="75" t="s">
        <v>434</v>
      </c>
      <c r="C292" s="14" t="n">
        <v>416500</v>
      </c>
      <c r="D292" s="76" t="n">
        <f aca="false">216500+200000</f>
        <v>416500</v>
      </c>
      <c r="E292" s="69" t="n">
        <f aca="false">C292-D292</f>
        <v>0</v>
      </c>
    </row>
    <row r="293" customFormat="false" ht="15" hidden="false" customHeight="false" outlineLevel="0" collapsed="false">
      <c r="A293" s="35" t="n">
        <v>10</v>
      </c>
      <c r="B293" s="39" t="s">
        <v>435</v>
      </c>
      <c r="C293" s="14" t="n">
        <v>416500</v>
      </c>
      <c r="D293" s="37" t="n">
        <f aca="false">100000+50000+100000</f>
        <v>250000</v>
      </c>
      <c r="E293" s="69" t="n">
        <f aca="false">C293-D293</f>
        <v>166500</v>
      </c>
    </row>
    <row r="294" customFormat="false" ht="15" hidden="false" customHeight="false" outlineLevel="0" collapsed="false">
      <c r="A294" s="50" t="n">
        <v>11</v>
      </c>
      <c r="B294" s="75" t="s">
        <v>436</v>
      </c>
      <c r="C294" s="14" t="n">
        <v>416500</v>
      </c>
      <c r="D294" s="76" t="n">
        <f aca="false">216500+200000</f>
        <v>416500</v>
      </c>
      <c r="E294" s="69" t="n">
        <f aca="false">C294-D294</f>
        <v>0</v>
      </c>
    </row>
    <row r="295" customFormat="false" ht="15" hidden="false" customHeight="false" outlineLevel="0" collapsed="false">
      <c r="A295" s="35" t="n">
        <v>12</v>
      </c>
      <c r="B295" s="90" t="s">
        <v>437</v>
      </c>
      <c r="C295" s="14" t="s">
        <v>11</v>
      </c>
      <c r="D295" s="76" t="s">
        <v>11</v>
      </c>
      <c r="E295" s="69" t="s">
        <v>11</v>
      </c>
    </row>
    <row r="296" customFormat="false" ht="15" hidden="false" customHeight="false" outlineLevel="0" collapsed="false">
      <c r="A296" s="35" t="n">
        <v>13</v>
      </c>
      <c r="B296" s="75" t="s">
        <v>438</v>
      </c>
      <c r="C296" s="14" t="n">
        <v>416500</v>
      </c>
      <c r="D296" s="76" t="n">
        <f aca="false">150000+150000+116500</f>
        <v>416500</v>
      </c>
      <c r="E296" s="69" t="n">
        <f aca="false">C296-D296</f>
        <v>0</v>
      </c>
    </row>
    <row r="297" customFormat="false" ht="15" hidden="false" customHeight="false" outlineLevel="0" collapsed="false">
      <c r="A297" s="35" t="n">
        <v>14</v>
      </c>
      <c r="B297" s="75" t="s">
        <v>439</v>
      </c>
      <c r="C297" s="14" t="n">
        <v>416500</v>
      </c>
      <c r="D297" s="76" t="n">
        <f aca="false">100000+100000+152000+64500</f>
        <v>416500</v>
      </c>
      <c r="E297" s="69" t="n">
        <f aca="false">C297-D297</f>
        <v>0</v>
      </c>
    </row>
    <row r="298" customFormat="false" ht="15" hidden="false" customHeight="false" outlineLevel="0" collapsed="false">
      <c r="A298" s="50" t="n">
        <v>15</v>
      </c>
      <c r="B298" s="75" t="s">
        <v>440</v>
      </c>
      <c r="C298" s="14" t="n">
        <v>416500</v>
      </c>
      <c r="D298" s="76" t="n">
        <f aca="false">216500+200000</f>
        <v>416500</v>
      </c>
      <c r="E298" s="69" t="n">
        <f aca="false">C298-D298</f>
        <v>0</v>
      </c>
    </row>
    <row r="299" customFormat="false" ht="15" hidden="false" customHeight="false" outlineLevel="0" collapsed="false">
      <c r="A299" s="35" t="n">
        <v>16</v>
      </c>
      <c r="B299" s="39" t="s">
        <v>441</v>
      </c>
      <c r="C299" s="14" t="n">
        <v>416500</v>
      </c>
      <c r="D299" s="76" t="n">
        <f aca="false">216500+85000+90000+25000</f>
        <v>416500</v>
      </c>
      <c r="E299" s="69" t="n">
        <f aca="false">C299-D299</f>
        <v>0</v>
      </c>
    </row>
    <row r="300" customFormat="false" ht="15" hidden="false" customHeight="false" outlineLevel="0" collapsed="false">
      <c r="A300" s="35" t="n">
        <v>17</v>
      </c>
      <c r="B300" s="39" t="s">
        <v>442</v>
      </c>
      <c r="C300" s="14" t="n">
        <v>416500</v>
      </c>
      <c r="D300" s="37" t="n">
        <f aca="false">200000+100000</f>
        <v>300000</v>
      </c>
      <c r="E300" s="69" t="n">
        <f aca="false">C300-D300</f>
        <v>116500</v>
      </c>
    </row>
    <row r="301" customFormat="false" ht="15" hidden="false" customHeight="false" outlineLevel="0" collapsed="false">
      <c r="A301" s="35" t="n">
        <v>18</v>
      </c>
      <c r="B301" s="75" t="s">
        <v>443</v>
      </c>
      <c r="C301" s="14" t="n">
        <v>416500</v>
      </c>
      <c r="D301" s="76" t="n">
        <f aca="false">216500+200000</f>
        <v>416500</v>
      </c>
      <c r="E301" s="69" t="n">
        <f aca="false">C301-D301</f>
        <v>0</v>
      </c>
    </row>
    <row r="302" customFormat="false" ht="15" hidden="false" customHeight="false" outlineLevel="0" collapsed="false">
      <c r="A302" s="50" t="n">
        <v>19</v>
      </c>
      <c r="B302" s="91" t="s">
        <v>444</v>
      </c>
      <c r="C302" s="14" t="n">
        <v>416500</v>
      </c>
      <c r="D302" s="76" t="n">
        <f aca="false">100000</f>
        <v>100000</v>
      </c>
      <c r="E302" s="69" t="n">
        <f aca="false">C302-D302</f>
        <v>316500</v>
      </c>
    </row>
    <row r="303" customFormat="false" ht="17.35" hidden="false" customHeight="false" outlineLevel="0" collapsed="false">
      <c r="A303" s="35"/>
      <c r="B303" s="23" t="s">
        <v>21</v>
      </c>
      <c r="C303" s="24" t="n">
        <f aca="false">SUM(C284:C302)</f>
        <v>7497000</v>
      </c>
      <c r="D303" s="25" t="n">
        <f aca="false">SUM(D284:D302)</f>
        <v>6797500</v>
      </c>
      <c r="E303" s="70" t="n">
        <f aca="false">SUM(E284:E302)</f>
        <v>699500</v>
      </c>
    </row>
    <row r="304" customFormat="false" ht="17.35" hidden="false" customHeight="false" outlineLevel="0" collapsed="false">
      <c r="B304" s="28"/>
      <c r="C304" s="29"/>
      <c r="D304" s="30"/>
      <c r="E304" s="67"/>
    </row>
    <row r="305" customFormat="false" ht="17.35" hidden="false" customHeight="false" outlineLevel="0" collapsed="false">
      <c r="B305" s="28"/>
      <c r="C305" s="29"/>
      <c r="D305" s="30"/>
      <c r="E305" s="67"/>
    </row>
    <row r="306" customFormat="false" ht="17.35" hidden="false" customHeight="false" outlineLevel="0" collapsed="false">
      <c r="B306" s="28"/>
      <c r="C306" s="29"/>
      <c r="D306" s="30"/>
      <c r="E306" s="67"/>
    </row>
    <row r="307" customFormat="false" ht="17.35" hidden="false" customHeight="false" outlineLevel="0" collapsed="false">
      <c r="B307" s="3" t="s">
        <v>0</v>
      </c>
      <c r="D307" s="32"/>
      <c r="E307" s="32"/>
    </row>
    <row r="308" customFormat="false" ht="15" hidden="false" customHeight="false" outlineLevel="0" collapsed="false">
      <c r="A308" s="2"/>
      <c r="D308" s="32"/>
      <c r="E308" s="32"/>
    </row>
    <row r="309" customFormat="false" ht="15" hidden="false" customHeight="false" outlineLevel="0" collapsed="false">
      <c r="A309" s="2"/>
      <c r="D309" s="32"/>
      <c r="E309" s="32"/>
    </row>
    <row r="310" customFormat="false" ht="17.25" hidden="false" customHeight="false" outlineLevel="0" collapsed="false">
      <c r="A310" s="2"/>
      <c r="B310" s="5" t="s">
        <v>91</v>
      </c>
      <c r="D310" s="32"/>
      <c r="E310" s="32"/>
    </row>
    <row r="311" customFormat="false" ht="15" hidden="false" customHeight="false" outlineLevel="0" collapsed="false">
      <c r="A311" s="2"/>
      <c r="D311" s="32"/>
      <c r="E311" s="33" t="s">
        <v>161</v>
      </c>
    </row>
    <row r="312" customFormat="false" ht="15" hidden="false" customHeight="false" outlineLevel="0" collapsed="false">
      <c r="A312" s="2"/>
      <c r="D312" s="32"/>
      <c r="E312" s="32"/>
    </row>
    <row r="313" customFormat="false" ht="15" hidden="false" customHeight="false" outlineLevel="0" collapsed="false">
      <c r="A313" s="7" t="s">
        <v>3</v>
      </c>
      <c r="B313" s="8" t="s">
        <v>4</v>
      </c>
      <c r="C313" s="9" t="s">
        <v>5</v>
      </c>
      <c r="D313" s="34" t="s">
        <v>6</v>
      </c>
      <c r="E313" s="68" t="s">
        <v>7</v>
      </c>
    </row>
    <row r="314" customFormat="false" ht="15" hidden="false" customHeight="false" outlineLevel="0" collapsed="false">
      <c r="A314" s="35" t="n">
        <v>1</v>
      </c>
      <c r="B314" s="39" t="s">
        <v>445</v>
      </c>
      <c r="C314" s="14" t="n">
        <v>416500</v>
      </c>
      <c r="D314" s="37" t="n">
        <f aca="false">216500+200000</f>
        <v>416500</v>
      </c>
      <c r="E314" s="69" t="n">
        <f aca="false">C314-D314</f>
        <v>0</v>
      </c>
    </row>
    <row r="315" customFormat="false" ht="15" hidden="false" customHeight="false" outlineLevel="0" collapsed="false">
      <c r="A315" s="35" t="n">
        <v>2</v>
      </c>
      <c r="B315" s="39" t="s">
        <v>446</v>
      </c>
      <c r="C315" s="14" t="s">
        <v>11</v>
      </c>
      <c r="D315" s="37" t="s">
        <v>11</v>
      </c>
      <c r="E315" s="69" t="s">
        <v>11</v>
      </c>
    </row>
    <row r="316" customFormat="false" ht="15" hidden="false" customHeight="false" outlineLevel="0" collapsed="false">
      <c r="A316" s="35" t="n">
        <v>3</v>
      </c>
      <c r="B316" s="39" t="s">
        <v>447</v>
      </c>
      <c r="C316" s="14" t="n">
        <v>416500</v>
      </c>
      <c r="D316" s="37" t="n">
        <f aca="false">216500+200000</f>
        <v>416500</v>
      </c>
      <c r="E316" s="69" t="n">
        <f aca="false">C316-D316</f>
        <v>0</v>
      </c>
    </row>
    <row r="317" customFormat="false" ht="15" hidden="false" customHeight="false" outlineLevel="0" collapsed="false">
      <c r="A317" s="35" t="n">
        <v>4</v>
      </c>
      <c r="B317" s="39" t="s">
        <v>448</v>
      </c>
      <c r="C317" s="14" t="n">
        <v>416500</v>
      </c>
      <c r="D317" s="37" t="n">
        <v>215000</v>
      </c>
      <c r="E317" s="69" t="n">
        <f aca="false">C317-D317</f>
        <v>201500</v>
      </c>
    </row>
    <row r="318" customFormat="false" ht="15" hidden="false" customHeight="false" outlineLevel="0" collapsed="false">
      <c r="A318" s="35" t="n">
        <v>5</v>
      </c>
      <c r="B318" s="39" t="s">
        <v>449</v>
      </c>
      <c r="C318" s="37" t="n">
        <v>416500</v>
      </c>
      <c r="D318" s="37"/>
      <c r="E318" s="69" t="n">
        <f aca="false">C318-D318</f>
        <v>416500</v>
      </c>
    </row>
    <row r="319" customFormat="false" ht="15" hidden="false" customHeight="false" outlineLevel="0" collapsed="false">
      <c r="A319" s="35" t="n">
        <v>6</v>
      </c>
      <c r="B319" s="39" t="s">
        <v>450</v>
      </c>
      <c r="C319" s="14" t="n">
        <v>416500</v>
      </c>
      <c r="D319" s="37" t="n">
        <f aca="false">200000+116500+100000</f>
        <v>416500</v>
      </c>
      <c r="E319" s="69" t="n">
        <f aca="false">C319-D319</f>
        <v>0</v>
      </c>
    </row>
    <row r="320" customFormat="false" ht="15" hidden="false" customHeight="false" outlineLevel="0" collapsed="false">
      <c r="A320" s="35" t="n">
        <v>7</v>
      </c>
      <c r="B320" s="39" t="s">
        <v>451</v>
      </c>
      <c r="C320" s="14" t="n">
        <v>416500</v>
      </c>
      <c r="D320" s="37"/>
      <c r="E320" s="69" t="n">
        <f aca="false">C320-D320</f>
        <v>416500</v>
      </c>
    </row>
    <row r="321" customFormat="false" ht="15" hidden="false" customHeight="false" outlineLevel="0" collapsed="false">
      <c r="A321" s="35" t="n">
        <v>8</v>
      </c>
      <c r="B321" s="39" t="s">
        <v>452</v>
      </c>
      <c r="C321" s="14" t="n">
        <v>416500</v>
      </c>
      <c r="D321" s="37" t="n">
        <f aca="false">200000+417000</f>
        <v>617000</v>
      </c>
      <c r="E321" s="69" t="n">
        <f aca="false">C321-D321</f>
        <v>-200500</v>
      </c>
    </row>
    <row r="322" customFormat="false" ht="15" hidden="false" customHeight="false" outlineLevel="0" collapsed="false">
      <c r="A322" s="35" t="n">
        <v>9</v>
      </c>
      <c r="B322" s="39" t="s">
        <v>453</v>
      </c>
      <c r="C322" s="14" t="n">
        <v>416500</v>
      </c>
      <c r="D322" s="37" t="n">
        <f aca="false">100000</f>
        <v>100000</v>
      </c>
      <c r="E322" s="69" t="n">
        <f aca="false">C322-D322</f>
        <v>316500</v>
      </c>
    </row>
    <row r="323" customFormat="false" ht="15" hidden="false" customHeight="false" outlineLevel="0" collapsed="false">
      <c r="A323" s="35" t="n">
        <v>10</v>
      </c>
      <c r="B323" s="91" t="s">
        <v>454</v>
      </c>
      <c r="C323" s="14" t="n">
        <v>416500</v>
      </c>
      <c r="D323" s="76" t="n">
        <f aca="false">216000+200500</f>
        <v>416500</v>
      </c>
      <c r="E323" s="69" t="n">
        <f aca="false">C323-D323</f>
        <v>0</v>
      </c>
    </row>
    <row r="324" customFormat="false" ht="15" hidden="false" customHeight="false" outlineLevel="0" collapsed="false">
      <c r="A324" s="35" t="n">
        <v>11</v>
      </c>
      <c r="B324" s="75" t="s">
        <v>455</v>
      </c>
      <c r="C324" s="14" t="n">
        <v>416500</v>
      </c>
      <c r="D324" s="76" t="n">
        <f aca="false">150000</f>
        <v>150000</v>
      </c>
      <c r="E324" s="69" t="n">
        <f aca="false">C324-D324</f>
        <v>266500</v>
      </c>
    </row>
    <row r="325" customFormat="false" ht="15" hidden="false" customHeight="false" outlineLevel="0" collapsed="false">
      <c r="A325" s="35" t="n">
        <v>12</v>
      </c>
      <c r="B325" s="75" t="s">
        <v>456</v>
      </c>
      <c r="C325" s="14" t="n">
        <v>416500</v>
      </c>
      <c r="D325" s="76" t="n">
        <f aca="false">66500+50000+100000+200000</f>
        <v>416500</v>
      </c>
      <c r="E325" s="69" t="n">
        <f aca="false">C325-D325</f>
        <v>0</v>
      </c>
    </row>
    <row r="326" customFormat="false" ht="15" hidden="false" customHeight="false" outlineLevel="0" collapsed="false">
      <c r="A326" s="35" t="n">
        <v>13</v>
      </c>
      <c r="B326" s="90" t="s">
        <v>457</v>
      </c>
      <c r="C326" s="14" t="n">
        <v>416500</v>
      </c>
      <c r="D326" s="76"/>
      <c r="E326" s="69" t="n">
        <f aca="false">C326-D326</f>
        <v>416500</v>
      </c>
    </row>
    <row r="327" customFormat="false" ht="15" hidden="false" customHeight="false" outlineLevel="0" collapsed="false">
      <c r="A327" s="35" t="n">
        <v>14</v>
      </c>
      <c r="B327" s="75" t="s">
        <v>458</v>
      </c>
      <c r="C327" s="14" t="n">
        <v>416500</v>
      </c>
      <c r="D327" s="76" t="n">
        <f aca="false">216500+200000</f>
        <v>416500</v>
      </c>
      <c r="E327" s="69" t="n">
        <f aca="false">C327-D327</f>
        <v>0</v>
      </c>
    </row>
    <row r="328" customFormat="false" ht="15" hidden="false" customHeight="false" outlineLevel="0" collapsed="false">
      <c r="A328" s="35" t="n">
        <v>15</v>
      </c>
      <c r="B328" s="39" t="s">
        <v>459</v>
      </c>
      <c r="C328" s="14" t="n">
        <v>416500</v>
      </c>
      <c r="D328" s="76" t="n">
        <f aca="false">250000+120000+46500</f>
        <v>416500</v>
      </c>
      <c r="E328" s="69" t="n">
        <f aca="false">C328-D328</f>
        <v>0</v>
      </c>
    </row>
    <row r="329" customFormat="false" ht="15" hidden="false" customHeight="false" outlineLevel="0" collapsed="false">
      <c r="A329" s="35" t="n">
        <v>16</v>
      </c>
      <c r="B329" s="75" t="s">
        <v>460</v>
      </c>
      <c r="C329" s="14" t="n">
        <v>416500</v>
      </c>
      <c r="D329" s="76" t="n">
        <f aca="false">233000+183500</f>
        <v>416500</v>
      </c>
      <c r="E329" s="69" t="n">
        <f aca="false">C329-D329</f>
        <v>0</v>
      </c>
    </row>
    <row r="330" customFormat="false" ht="15" hidden="false" customHeight="false" outlineLevel="0" collapsed="false">
      <c r="A330" s="35" t="n">
        <v>17</v>
      </c>
      <c r="B330" s="75" t="s">
        <v>461</v>
      </c>
      <c r="C330" s="14" t="n">
        <v>416500</v>
      </c>
      <c r="D330" s="76" t="n">
        <f aca="false">216500+200000</f>
        <v>416500</v>
      </c>
      <c r="E330" s="69" t="n">
        <f aca="false">C330-D330</f>
        <v>0</v>
      </c>
    </row>
    <row r="331" customFormat="false" ht="17.35" hidden="false" customHeight="false" outlineLevel="0" collapsed="false">
      <c r="A331" s="35"/>
      <c r="B331" s="23" t="s">
        <v>21</v>
      </c>
      <c r="C331" s="24" t="n">
        <f aca="false">SUM(C314:C330)</f>
        <v>6664000</v>
      </c>
      <c r="D331" s="25" t="n">
        <f aca="false">SUM(D314:D330)</f>
        <v>4830500</v>
      </c>
      <c r="E331" s="70" t="n">
        <f aca="false">SUM(E314:E330)</f>
        <v>1833500</v>
      </c>
    </row>
    <row r="332" customFormat="false" ht="17.35" hidden="false" customHeight="false" outlineLevel="0" collapsed="false">
      <c r="B332" s="28"/>
      <c r="C332" s="29"/>
      <c r="D332" s="30"/>
      <c r="E332" s="67"/>
    </row>
    <row r="333" customFormat="false" ht="15" hidden="false" customHeight="false" outlineLevel="0" collapsed="false">
      <c r="D333" s="32"/>
      <c r="E333" s="32"/>
    </row>
    <row r="334" customFormat="false" ht="15" hidden="false" customHeight="false" outlineLevel="0" collapsed="false">
      <c r="D334" s="32"/>
      <c r="E334" s="32"/>
    </row>
    <row r="335" customFormat="false" ht="17.35" hidden="false" customHeight="false" outlineLevel="0" collapsed="false">
      <c r="A335" s="2"/>
      <c r="B335" s="3" t="s">
        <v>0</v>
      </c>
      <c r="D335" s="32"/>
      <c r="E335" s="32"/>
    </row>
    <row r="336" customFormat="false" ht="17.35" hidden="false" customHeight="false" outlineLevel="0" collapsed="false">
      <c r="A336" s="4"/>
      <c r="D336" s="32"/>
      <c r="E336" s="32"/>
    </row>
    <row r="337" customFormat="false" ht="15" hidden="false" customHeight="false" outlineLevel="0" collapsed="false">
      <c r="A337" s="2"/>
      <c r="D337" s="32"/>
      <c r="E337" s="32"/>
    </row>
    <row r="338" customFormat="false" ht="17.25" hidden="false" customHeight="false" outlineLevel="0" collapsed="false">
      <c r="A338" s="2"/>
      <c r="B338" s="5" t="s">
        <v>485</v>
      </c>
      <c r="D338" s="32"/>
      <c r="E338" s="32"/>
    </row>
    <row r="339" customFormat="false" ht="15" hidden="false" customHeight="false" outlineLevel="0" collapsed="false">
      <c r="A339" s="2"/>
      <c r="D339" s="33" t="s">
        <v>191</v>
      </c>
      <c r="E339" s="32"/>
    </row>
    <row r="340" customFormat="false" ht="15" hidden="false" customHeight="false" outlineLevel="0" collapsed="false">
      <c r="A340" s="2"/>
      <c r="D340" s="32"/>
      <c r="E340" s="32"/>
    </row>
    <row r="341" customFormat="false" ht="15" hidden="false" customHeight="false" outlineLevel="0" collapsed="false">
      <c r="A341" s="7" t="s">
        <v>3</v>
      </c>
      <c r="B341" s="8" t="s">
        <v>4</v>
      </c>
      <c r="C341" s="9" t="s">
        <v>5</v>
      </c>
      <c r="D341" s="34" t="s">
        <v>6</v>
      </c>
      <c r="E341" s="68" t="s">
        <v>7</v>
      </c>
    </row>
    <row r="342" customFormat="false" ht="15" hidden="false" customHeight="false" outlineLevel="0" collapsed="false">
      <c r="A342" s="51" t="n">
        <v>1</v>
      </c>
      <c r="B342" s="39" t="s">
        <v>486</v>
      </c>
      <c r="C342" s="14" t="n">
        <v>215000</v>
      </c>
      <c r="D342" s="37"/>
      <c r="E342" s="69" t="n">
        <v>215000</v>
      </c>
    </row>
    <row r="343" customFormat="false" ht="15" hidden="false" customHeight="false" outlineLevel="0" collapsed="false">
      <c r="A343" s="35" t="n">
        <v>2</v>
      </c>
      <c r="B343" s="39" t="s">
        <v>487</v>
      </c>
      <c r="C343" s="14" t="n">
        <v>416500</v>
      </c>
      <c r="D343" s="37" t="n">
        <f aca="false">216000+200500</f>
        <v>416500</v>
      </c>
      <c r="E343" s="69" t="n">
        <f aca="false">C343-D343</f>
        <v>0</v>
      </c>
    </row>
    <row r="344" customFormat="false" ht="15" hidden="false" customHeight="false" outlineLevel="0" collapsed="false">
      <c r="A344" s="35" t="n">
        <v>3</v>
      </c>
      <c r="B344" s="39" t="s">
        <v>488</v>
      </c>
      <c r="C344" s="14" t="n">
        <v>416500</v>
      </c>
      <c r="D344" s="37" t="n">
        <f aca="false">200000+216500</f>
        <v>416500</v>
      </c>
      <c r="E344" s="69" t="n">
        <f aca="false">C344-D344</f>
        <v>0</v>
      </c>
    </row>
    <row r="345" customFormat="false" ht="15" hidden="false" customHeight="false" outlineLevel="0" collapsed="false">
      <c r="A345" s="51" t="n">
        <v>4</v>
      </c>
      <c r="B345" s="39" t="s">
        <v>489</v>
      </c>
      <c r="C345" s="14" t="n">
        <v>416500</v>
      </c>
      <c r="D345" s="37" t="n">
        <f aca="false">200000+216500</f>
        <v>416500</v>
      </c>
      <c r="E345" s="69" t="n">
        <f aca="false">C345-D345</f>
        <v>0</v>
      </c>
    </row>
    <row r="346" customFormat="false" ht="15" hidden="false" customHeight="false" outlineLevel="0" collapsed="false">
      <c r="A346" s="35" t="n">
        <v>5</v>
      </c>
      <c r="B346" s="39" t="s">
        <v>490</v>
      </c>
      <c r="C346" s="14" t="n">
        <v>416500</v>
      </c>
      <c r="D346" s="37"/>
      <c r="E346" s="69" t="n">
        <f aca="false">C346-D346</f>
        <v>416500</v>
      </c>
    </row>
    <row r="347" customFormat="false" ht="15" hidden="false" customHeight="false" outlineLevel="0" collapsed="false">
      <c r="A347" s="35" t="n">
        <v>6</v>
      </c>
      <c r="B347" s="39" t="s">
        <v>491</v>
      </c>
      <c r="C347" s="14" t="n">
        <v>416500</v>
      </c>
      <c r="D347" s="37" t="n">
        <f aca="false">216500+200000</f>
        <v>416500</v>
      </c>
      <c r="E347" s="69" t="n">
        <f aca="false">C347-D347</f>
        <v>0</v>
      </c>
    </row>
    <row r="348" customFormat="false" ht="15" hidden="false" customHeight="false" outlineLevel="0" collapsed="false">
      <c r="A348" s="51" t="n">
        <v>7</v>
      </c>
      <c r="B348" s="39" t="s">
        <v>492</v>
      </c>
      <c r="C348" s="14" t="n">
        <v>416500</v>
      </c>
      <c r="D348" s="37" t="n">
        <f aca="false">200000</f>
        <v>200000</v>
      </c>
      <c r="E348" s="69" t="n">
        <f aca="false">C348-D348</f>
        <v>216500</v>
      </c>
    </row>
    <row r="349" customFormat="false" ht="15" hidden="false" customHeight="false" outlineLevel="0" collapsed="false">
      <c r="A349" s="35" t="n">
        <v>8</v>
      </c>
      <c r="B349" s="39" t="s">
        <v>493</v>
      </c>
      <c r="C349" s="14" t="n">
        <v>416500</v>
      </c>
      <c r="D349" s="37" t="n">
        <f aca="false">216500+200000</f>
        <v>416500</v>
      </c>
      <c r="E349" s="69" t="n">
        <f aca="false">C349-D349</f>
        <v>0</v>
      </c>
    </row>
    <row r="350" customFormat="false" ht="15" hidden="false" customHeight="false" outlineLevel="0" collapsed="false">
      <c r="A350" s="35" t="n">
        <v>9</v>
      </c>
      <c r="B350" s="39" t="s">
        <v>494</v>
      </c>
      <c r="C350" s="14" t="n">
        <v>416500</v>
      </c>
      <c r="D350" s="37" t="n">
        <f aca="false">200000</f>
        <v>200000</v>
      </c>
      <c r="E350" s="69" t="n">
        <f aca="false">C350-D350</f>
        <v>216500</v>
      </c>
    </row>
    <row r="351" customFormat="false" ht="15" hidden="false" customHeight="false" outlineLevel="0" collapsed="false">
      <c r="A351" s="51" t="n">
        <v>10</v>
      </c>
      <c r="B351" s="39" t="s">
        <v>495</v>
      </c>
      <c r="C351" s="14" t="n">
        <v>416500</v>
      </c>
      <c r="D351" s="37" t="n">
        <f aca="false">220000+100000+96500</f>
        <v>416500</v>
      </c>
      <c r="E351" s="69" t="n">
        <f aca="false">C351-D351</f>
        <v>0</v>
      </c>
    </row>
    <row r="352" customFormat="false" ht="15" hidden="false" customHeight="false" outlineLevel="0" collapsed="false">
      <c r="A352" s="35" t="n">
        <v>11</v>
      </c>
      <c r="B352" s="39" t="s">
        <v>496</v>
      </c>
      <c r="C352" s="14" t="n">
        <v>416500</v>
      </c>
      <c r="D352" s="37" t="n">
        <f aca="false">416500</f>
        <v>416500</v>
      </c>
      <c r="E352" s="69" t="n">
        <f aca="false">C352-D352</f>
        <v>0</v>
      </c>
    </row>
    <row r="353" customFormat="false" ht="15" hidden="false" customHeight="false" outlineLevel="0" collapsed="false">
      <c r="A353" s="35" t="n">
        <v>12</v>
      </c>
      <c r="B353" s="39" t="s">
        <v>497</v>
      </c>
      <c r="C353" s="14" t="n">
        <v>416500</v>
      </c>
      <c r="D353" s="37" t="n">
        <f aca="false">216500+125000+75000</f>
        <v>416500</v>
      </c>
      <c r="E353" s="69" t="n">
        <f aca="false">C353-D353</f>
        <v>0</v>
      </c>
    </row>
    <row r="354" customFormat="false" ht="15" hidden="false" customHeight="false" outlineLevel="0" collapsed="false">
      <c r="A354" s="51" t="n">
        <v>13</v>
      </c>
      <c r="B354" s="39" t="s">
        <v>498</v>
      </c>
      <c r="C354" s="14" t="n">
        <v>416500</v>
      </c>
      <c r="D354" s="37" t="n">
        <f aca="false">316500+50000+50000</f>
        <v>416500</v>
      </c>
      <c r="E354" s="69" t="n">
        <f aca="false">C354-D354</f>
        <v>0</v>
      </c>
    </row>
    <row r="355" customFormat="false" ht="15" hidden="false" customHeight="false" outlineLevel="0" collapsed="false">
      <c r="A355" s="35" t="n">
        <v>14</v>
      </c>
      <c r="B355" s="39" t="s">
        <v>499</v>
      </c>
      <c r="C355" s="14" t="n">
        <v>416500</v>
      </c>
      <c r="D355" s="37" t="n">
        <f aca="false">216500+200000</f>
        <v>416500</v>
      </c>
      <c r="E355" s="69" t="n">
        <f aca="false">C355-D355</f>
        <v>0</v>
      </c>
    </row>
    <row r="356" customFormat="false" ht="17.35" hidden="false" customHeight="false" outlineLevel="0" collapsed="false">
      <c r="A356" s="22"/>
      <c r="B356" s="23" t="s">
        <v>21</v>
      </c>
      <c r="C356" s="24" t="n">
        <f aca="false">SUM(C343:C355)</f>
        <v>5414500</v>
      </c>
      <c r="D356" s="25" t="n">
        <f aca="false">SUM(D343:D355)</f>
        <v>4565000</v>
      </c>
      <c r="E356" s="70" t="n">
        <f aca="false">SUM(E343:E355)</f>
        <v>849500</v>
      </c>
    </row>
    <row r="357" customFormat="false" ht="15" hidden="false" customHeight="false" outlineLevel="0" collapsed="false">
      <c r="D357" s="32"/>
      <c r="E357" s="32"/>
    </row>
    <row r="358" customFormat="false" ht="15" hidden="false" customHeight="false" outlineLevel="0" collapsed="false">
      <c r="D358" s="32"/>
      <c r="E358" s="32"/>
    </row>
    <row r="359" customFormat="false" ht="15" hidden="false" customHeight="false" outlineLevel="0" collapsed="false">
      <c r="A359" s="71"/>
      <c r="D359" s="32"/>
      <c r="E359" s="32"/>
    </row>
    <row r="360" customFormat="false" ht="15" hidden="false" customHeight="false" outlineLevel="0" collapsed="false">
      <c r="A360" s="71"/>
      <c r="D360" s="32"/>
      <c r="E360" s="32"/>
    </row>
    <row r="361" customFormat="false" ht="17.35" hidden="false" customHeight="false" outlineLevel="0" collapsed="false">
      <c r="A361" s="2"/>
      <c r="B361" s="3" t="s">
        <v>0</v>
      </c>
      <c r="D361" s="32"/>
      <c r="E361" s="32"/>
    </row>
    <row r="362" customFormat="false" ht="17.35" hidden="false" customHeight="false" outlineLevel="0" collapsed="false">
      <c r="A362" s="4"/>
      <c r="D362" s="32"/>
      <c r="E362" s="32"/>
    </row>
    <row r="363" customFormat="false" ht="15" hidden="false" customHeight="false" outlineLevel="0" collapsed="false">
      <c r="A363" s="2"/>
      <c r="D363" s="32"/>
      <c r="E363" s="32"/>
    </row>
    <row r="364" customFormat="false" ht="17.25" hidden="false" customHeight="false" outlineLevel="0" collapsed="false">
      <c r="A364" s="2"/>
      <c r="B364" s="5" t="s">
        <v>485</v>
      </c>
      <c r="D364" s="32"/>
      <c r="E364" s="32"/>
    </row>
    <row r="365" customFormat="false" ht="15" hidden="false" customHeight="false" outlineLevel="0" collapsed="false">
      <c r="A365" s="2"/>
      <c r="D365" s="33" t="s">
        <v>161</v>
      </c>
      <c r="E365" s="32"/>
    </row>
    <row r="366" customFormat="false" ht="15" hidden="false" customHeight="false" outlineLevel="0" collapsed="false">
      <c r="A366" s="2"/>
      <c r="D366" s="32"/>
      <c r="E366" s="32"/>
    </row>
    <row r="367" customFormat="false" ht="15" hidden="false" customHeight="false" outlineLevel="0" collapsed="false">
      <c r="A367" s="7" t="s">
        <v>3</v>
      </c>
      <c r="B367" s="8" t="s">
        <v>4</v>
      </c>
      <c r="C367" s="9" t="s">
        <v>5</v>
      </c>
      <c r="D367" s="34" t="s">
        <v>6</v>
      </c>
      <c r="E367" s="68" t="s">
        <v>7</v>
      </c>
    </row>
    <row r="368" customFormat="false" ht="15" hidden="false" customHeight="false" outlineLevel="0" collapsed="false">
      <c r="A368" s="12" t="n">
        <v>1</v>
      </c>
      <c r="B368" s="39" t="s">
        <v>500</v>
      </c>
      <c r="C368" s="14" t="n">
        <v>416500</v>
      </c>
      <c r="D368" s="37" t="n">
        <f aca="false">200000+16500+100000+100000</f>
        <v>416500</v>
      </c>
      <c r="E368" s="69" t="n">
        <f aca="false">C368-D368</f>
        <v>0</v>
      </c>
    </row>
    <row r="369" customFormat="false" ht="15" hidden="false" customHeight="false" outlineLevel="0" collapsed="false">
      <c r="A369" s="35" t="n">
        <v>2</v>
      </c>
      <c r="B369" s="36" t="s">
        <v>501</v>
      </c>
      <c r="C369" s="14" t="n">
        <v>416500</v>
      </c>
      <c r="D369" s="37" t="n">
        <f aca="false">216500+200000</f>
        <v>416500</v>
      </c>
      <c r="E369" s="69" t="n">
        <f aca="false">C369-D369</f>
        <v>0</v>
      </c>
    </row>
    <row r="370" customFormat="false" ht="15" hidden="false" customHeight="false" outlineLevel="0" collapsed="false">
      <c r="A370" s="35" t="n">
        <v>3</v>
      </c>
      <c r="B370" s="39" t="s">
        <v>502</v>
      </c>
      <c r="C370" s="14" t="n">
        <v>416500</v>
      </c>
      <c r="D370" s="37" t="n">
        <f aca="false">100000</f>
        <v>100000</v>
      </c>
      <c r="E370" s="69" t="n">
        <f aca="false">C370-D370</f>
        <v>316500</v>
      </c>
    </row>
    <row r="371" customFormat="false" ht="15" hidden="false" customHeight="false" outlineLevel="0" collapsed="false">
      <c r="A371" s="12" t="n">
        <v>4</v>
      </c>
      <c r="B371" s="39" t="s">
        <v>503</v>
      </c>
      <c r="C371" s="14" t="n">
        <v>416500</v>
      </c>
      <c r="D371" s="37" t="n">
        <f aca="false">216500+200000</f>
        <v>416500</v>
      </c>
      <c r="E371" s="69" t="n">
        <f aca="false">C371-D371</f>
        <v>0</v>
      </c>
    </row>
    <row r="372" customFormat="false" ht="15" hidden="false" customHeight="false" outlineLevel="0" collapsed="false">
      <c r="A372" s="35" t="n">
        <v>5</v>
      </c>
      <c r="B372" s="39" t="s">
        <v>504</v>
      </c>
      <c r="C372" s="14" t="n">
        <v>416500</v>
      </c>
      <c r="D372" s="37" t="n">
        <f aca="false">200000+16500+200000</f>
        <v>416500</v>
      </c>
      <c r="E372" s="69" t="n">
        <f aca="false">C372-D372</f>
        <v>0</v>
      </c>
    </row>
    <row r="373" customFormat="false" ht="15" hidden="false" customHeight="false" outlineLevel="0" collapsed="false">
      <c r="A373" s="12" t="n">
        <v>6</v>
      </c>
      <c r="B373" s="39" t="s">
        <v>505</v>
      </c>
      <c r="C373" s="14" t="n">
        <v>416500</v>
      </c>
      <c r="D373" s="37" t="n">
        <f aca="false">216500+200000</f>
        <v>416500</v>
      </c>
      <c r="E373" s="69" t="n">
        <f aca="false">C373-D373</f>
        <v>0</v>
      </c>
    </row>
    <row r="374" customFormat="false" ht="15" hidden="false" customHeight="false" outlineLevel="0" collapsed="false">
      <c r="A374" s="50" t="n">
        <v>7</v>
      </c>
      <c r="B374" s="39" t="s">
        <v>506</v>
      </c>
      <c r="C374" s="14" t="n">
        <v>416500</v>
      </c>
      <c r="D374" s="37" t="n">
        <f aca="false">250000+166500</f>
        <v>416500</v>
      </c>
      <c r="E374" s="69" t="n">
        <f aca="false">C374-D374</f>
        <v>0</v>
      </c>
    </row>
    <row r="375" customFormat="false" ht="15" hidden="false" customHeight="false" outlineLevel="0" collapsed="false">
      <c r="A375" s="53" t="n">
        <v>8</v>
      </c>
      <c r="B375" s="39" t="s">
        <v>507</v>
      </c>
      <c r="C375" s="14" t="n">
        <v>416500</v>
      </c>
      <c r="D375" s="37" t="n">
        <f aca="false">216500+200000</f>
        <v>416500</v>
      </c>
      <c r="E375" s="69" t="n">
        <f aca="false">C375-D375</f>
        <v>0</v>
      </c>
    </row>
    <row r="376" customFormat="false" ht="15" hidden="false" customHeight="false" outlineLevel="0" collapsed="false">
      <c r="A376" s="12" t="n">
        <v>9</v>
      </c>
      <c r="B376" s="39" t="s">
        <v>508</v>
      </c>
      <c r="C376" s="14" t="n">
        <v>416500</v>
      </c>
      <c r="D376" s="37" t="n">
        <f aca="false">226500+190000</f>
        <v>416500</v>
      </c>
      <c r="E376" s="69" t="n">
        <f aca="false">C376-D376</f>
        <v>0</v>
      </c>
    </row>
    <row r="377" customFormat="false" ht="15" hidden="false" customHeight="false" outlineLevel="0" collapsed="false">
      <c r="A377" s="12" t="n">
        <v>10</v>
      </c>
      <c r="B377" s="36" t="s">
        <v>509</v>
      </c>
      <c r="C377" s="14" t="n">
        <v>416500</v>
      </c>
      <c r="D377" s="37" t="n">
        <f aca="false">416500</f>
        <v>416500</v>
      </c>
      <c r="E377" s="69" t="n">
        <f aca="false">C377-D377</f>
        <v>0</v>
      </c>
    </row>
    <row r="378" customFormat="false" ht="15" hidden="false" customHeight="false" outlineLevel="0" collapsed="false">
      <c r="A378" s="12" t="n">
        <v>11</v>
      </c>
      <c r="B378" s="39" t="s">
        <v>510</v>
      </c>
      <c r="C378" s="14" t="n">
        <v>416500</v>
      </c>
      <c r="D378" s="37" t="n">
        <f aca="false">216500+200000</f>
        <v>416500</v>
      </c>
      <c r="E378" s="69" t="n">
        <f aca="false">C378-D378</f>
        <v>0</v>
      </c>
    </row>
    <row r="379" customFormat="false" ht="15" hidden="false" customHeight="false" outlineLevel="0" collapsed="false">
      <c r="A379" s="35" t="n">
        <v>12</v>
      </c>
      <c r="B379" s="39" t="s">
        <v>511</v>
      </c>
      <c r="C379" s="14" t="n">
        <v>225000</v>
      </c>
      <c r="D379" s="37" t="n">
        <f aca="false">99500+125000</f>
        <v>224500</v>
      </c>
      <c r="E379" s="69" t="n">
        <f aca="false">C379-D379</f>
        <v>500</v>
      </c>
    </row>
    <row r="380" customFormat="false" ht="15" hidden="false" customHeight="false" outlineLevel="0" collapsed="false">
      <c r="A380" s="35" t="n">
        <v>13</v>
      </c>
      <c r="B380" s="39" t="s">
        <v>512</v>
      </c>
      <c r="C380" s="14" t="n">
        <v>416500</v>
      </c>
      <c r="D380" s="37" t="n">
        <f aca="false">220000+196500</f>
        <v>416500</v>
      </c>
      <c r="E380" s="69" t="n">
        <f aca="false">C380-D380</f>
        <v>0</v>
      </c>
    </row>
    <row r="381" customFormat="false" ht="15" hidden="false" customHeight="false" outlineLevel="0" collapsed="false">
      <c r="A381" s="53" t="n">
        <v>14</v>
      </c>
      <c r="B381" s="39" t="s">
        <v>513</v>
      </c>
      <c r="C381" s="14" t="n">
        <v>416500</v>
      </c>
      <c r="D381" s="37" t="n">
        <f aca="false">216500+200000</f>
        <v>416500</v>
      </c>
      <c r="E381" s="69" t="n">
        <f aca="false">C381-D381</f>
        <v>0</v>
      </c>
    </row>
    <row r="382" customFormat="false" ht="15" hidden="false" customHeight="false" outlineLevel="0" collapsed="false">
      <c r="A382" s="53" t="n">
        <v>15</v>
      </c>
      <c r="B382" s="39" t="s">
        <v>514</v>
      </c>
      <c r="C382" s="14" t="n">
        <v>416500</v>
      </c>
      <c r="D382" s="37" t="n">
        <f aca="false">216500+150000</f>
        <v>366500</v>
      </c>
      <c r="E382" s="69" t="n">
        <f aca="false">C382-D382</f>
        <v>50000</v>
      </c>
    </row>
    <row r="383" customFormat="false" ht="15" hidden="false" customHeight="false" outlineLevel="0" collapsed="false">
      <c r="A383" s="53" t="n">
        <v>16</v>
      </c>
      <c r="B383" s="39" t="s">
        <v>515</v>
      </c>
      <c r="C383" s="14" t="n">
        <v>416500</v>
      </c>
      <c r="D383" s="37" t="n">
        <f aca="false">116500+100000+100000+100000</f>
        <v>416500</v>
      </c>
      <c r="E383" s="69" t="n">
        <f aca="false">C383-D383</f>
        <v>0</v>
      </c>
    </row>
    <row r="384" customFormat="false" ht="15" hidden="false" customHeight="false" outlineLevel="0" collapsed="false">
      <c r="A384" s="53" t="n">
        <v>17</v>
      </c>
      <c r="B384" s="39" t="s">
        <v>516</v>
      </c>
      <c r="C384" s="14" t="n">
        <v>416500</v>
      </c>
      <c r="D384" s="37" t="n">
        <f aca="false">216500+100000+100000</f>
        <v>416500</v>
      </c>
      <c r="E384" s="69" t="n">
        <f aca="false">C384-D384</f>
        <v>0</v>
      </c>
    </row>
    <row r="385" customFormat="false" ht="15" hidden="false" customHeight="false" outlineLevel="0" collapsed="false">
      <c r="A385" s="53" t="n">
        <v>18</v>
      </c>
      <c r="B385" s="36" t="s">
        <v>517</v>
      </c>
      <c r="C385" s="14" t="n">
        <v>416500</v>
      </c>
      <c r="D385" s="37" t="n">
        <f aca="false">220000+196500</f>
        <v>416500</v>
      </c>
      <c r="E385" s="69" t="n">
        <f aca="false">C385-D385</f>
        <v>0</v>
      </c>
    </row>
    <row r="386" customFormat="false" ht="15" hidden="false" customHeight="false" outlineLevel="0" collapsed="false">
      <c r="A386" s="53" t="n">
        <v>19</v>
      </c>
      <c r="B386" s="39" t="s">
        <v>518</v>
      </c>
      <c r="C386" s="14" t="n">
        <v>416500</v>
      </c>
      <c r="D386" s="37" t="n">
        <f aca="false">16500+200000+200000</f>
        <v>416500</v>
      </c>
      <c r="E386" s="69" t="n">
        <f aca="false">C386-D386</f>
        <v>0</v>
      </c>
    </row>
    <row r="387" customFormat="false" ht="15" hidden="false" customHeight="false" outlineLevel="0" collapsed="false">
      <c r="A387" s="53" t="n">
        <v>20</v>
      </c>
      <c r="B387" s="39" t="s">
        <v>519</v>
      </c>
      <c r="C387" s="14" t="n">
        <v>416500</v>
      </c>
      <c r="D387" s="37" t="n">
        <f aca="false">216500+150000+50000</f>
        <v>416500</v>
      </c>
      <c r="E387" s="69" t="n">
        <f aca="false">C387-D387</f>
        <v>0</v>
      </c>
    </row>
    <row r="388" customFormat="false" ht="15" hidden="false" customHeight="false" outlineLevel="0" collapsed="false">
      <c r="A388" s="53" t="n">
        <v>21</v>
      </c>
      <c r="B388" s="39" t="s">
        <v>520</v>
      </c>
      <c r="C388" s="14" t="n">
        <v>416500</v>
      </c>
      <c r="D388" s="37" t="n">
        <f aca="false">216500</f>
        <v>216500</v>
      </c>
      <c r="E388" s="69" t="n">
        <f aca="false">C388-D388</f>
        <v>200000</v>
      </c>
    </row>
    <row r="389" customFormat="false" ht="15" hidden="false" customHeight="false" outlineLevel="0" collapsed="false">
      <c r="A389" s="53" t="n">
        <v>22</v>
      </c>
      <c r="B389" s="39" t="s">
        <v>521</v>
      </c>
      <c r="C389" s="14" t="n">
        <v>416500</v>
      </c>
      <c r="D389" s="37" t="n">
        <f aca="false">416500</f>
        <v>416500</v>
      </c>
      <c r="E389" s="69" t="n">
        <f aca="false">C389-D389</f>
        <v>0</v>
      </c>
    </row>
    <row r="390" customFormat="false" ht="15" hidden="false" customHeight="false" outlineLevel="0" collapsed="false">
      <c r="A390" s="53" t="n">
        <v>23</v>
      </c>
      <c r="B390" s="36" t="s">
        <v>522</v>
      </c>
      <c r="C390" s="14" t="n">
        <v>416500</v>
      </c>
      <c r="D390" s="37" t="n">
        <f aca="false">220000</f>
        <v>220000</v>
      </c>
      <c r="E390" s="69" t="n">
        <f aca="false">C390-D390</f>
        <v>196500</v>
      </c>
    </row>
    <row r="391" customFormat="false" ht="15" hidden="false" customHeight="false" outlineLevel="0" collapsed="false">
      <c r="A391" s="53" t="n">
        <v>24</v>
      </c>
      <c r="B391" s="39" t="s">
        <v>523</v>
      </c>
      <c r="C391" s="14" t="n">
        <v>416500</v>
      </c>
      <c r="D391" s="37" t="n">
        <f aca="false">216500+150000+50000</f>
        <v>416500</v>
      </c>
      <c r="E391" s="69" t="n">
        <f aca="false">C391-D391</f>
        <v>0</v>
      </c>
    </row>
    <row r="392" customFormat="false" ht="15" hidden="false" customHeight="false" outlineLevel="0" collapsed="false">
      <c r="A392" s="35" t="n">
        <v>25</v>
      </c>
      <c r="B392" s="39" t="s">
        <v>524</v>
      </c>
      <c r="C392" s="14" t="n">
        <v>416500</v>
      </c>
      <c r="D392" s="37" t="n">
        <f aca="false">200000+16500+200000</f>
        <v>416500</v>
      </c>
      <c r="E392" s="69" t="n">
        <f aca="false">C392-D392</f>
        <v>0</v>
      </c>
    </row>
    <row r="393" customFormat="false" ht="15" hidden="false" customHeight="false" outlineLevel="0" collapsed="false">
      <c r="A393" s="35" t="n">
        <v>26</v>
      </c>
      <c r="B393" s="39" t="s">
        <v>525</v>
      </c>
      <c r="C393" s="37" t="n">
        <v>416500</v>
      </c>
      <c r="D393" s="37" t="n">
        <v>416500</v>
      </c>
      <c r="E393" s="69" t="n">
        <f aca="false">C393-D393</f>
        <v>0</v>
      </c>
    </row>
    <row r="394" customFormat="false" ht="15" hidden="false" customHeight="false" outlineLevel="0" collapsed="false">
      <c r="A394" s="35" t="n">
        <v>27</v>
      </c>
      <c r="B394" s="39" t="s">
        <v>526</v>
      </c>
      <c r="C394" s="14" t="n">
        <v>416500</v>
      </c>
      <c r="D394" s="37" t="n">
        <f aca="false">216500+200000</f>
        <v>416500</v>
      </c>
      <c r="E394" s="69" t="n">
        <f aca="false">C394-D394</f>
        <v>0</v>
      </c>
    </row>
    <row r="395" customFormat="false" ht="15" hidden="false" customHeight="false" outlineLevel="0" collapsed="false">
      <c r="A395" s="35" t="n">
        <v>28</v>
      </c>
      <c r="B395" s="39" t="s">
        <v>527</v>
      </c>
      <c r="C395" s="14" t="n">
        <v>416500</v>
      </c>
      <c r="D395" s="37" t="n">
        <f aca="false">216500+200000</f>
        <v>416500</v>
      </c>
      <c r="E395" s="69" t="n">
        <f aca="false">C395-D395</f>
        <v>0</v>
      </c>
    </row>
    <row r="396" customFormat="false" ht="15" hidden="false" customHeight="false" outlineLevel="0" collapsed="false">
      <c r="A396" s="35" t="n">
        <v>29</v>
      </c>
      <c r="B396" s="39" t="s">
        <v>528</v>
      </c>
      <c r="C396" s="14" t="n">
        <v>416500</v>
      </c>
      <c r="D396" s="37" t="n">
        <f aca="false">60500+100000+256000</f>
        <v>416500</v>
      </c>
      <c r="E396" s="69" t="n">
        <f aca="false">C396-D396</f>
        <v>0</v>
      </c>
    </row>
    <row r="397" customFormat="false" ht="15" hidden="false" customHeight="false" outlineLevel="0" collapsed="false">
      <c r="A397" s="35" t="n">
        <v>30</v>
      </c>
      <c r="B397" s="39" t="s">
        <v>529</v>
      </c>
      <c r="C397" s="14" t="n">
        <v>416500</v>
      </c>
      <c r="D397" s="37" t="n">
        <f aca="false">217500+200000</f>
        <v>417500</v>
      </c>
      <c r="E397" s="69" t="n">
        <f aca="false">C397-D397</f>
        <v>-1000</v>
      </c>
    </row>
    <row r="398" customFormat="false" ht="15" hidden="false" customHeight="false" outlineLevel="0" collapsed="false">
      <c r="A398" s="35" t="n">
        <v>31</v>
      </c>
      <c r="B398" s="39" t="s">
        <v>530</v>
      </c>
      <c r="C398" s="14" t="n">
        <v>416500</v>
      </c>
      <c r="D398" s="37" t="n">
        <f aca="false">216500+200000</f>
        <v>416500</v>
      </c>
      <c r="E398" s="69" t="n">
        <f aca="false">C398-D398</f>
        <v>0</v>
      </c>
    </row>
    <row r="399" customFormat="false" ht="15" hidden="false" customHeight="false" outlineLevel="0" collapsed="false">
      <c r="A399" s="35" t="n">
        <v>32</v>
      </c>
      <c r="B399" s="39" t="s">
        <v>531</v>
      </c>
      <c r="C399" s="14" t="n">
        <v>416500</v>
      </c>
      <c r="D399" s="37" t="n">
        <v>416500</v>
      </c>
      <c r="E399" s="69" t="n">
        <f aca="false">C399-D399</f>
        <v>0</v>
      </c>
    </row>
    <row r="400" customFormat="false" ht="15" hidden="false" customHeight="false" outlineLevel="0" collapsed="false">
      <c r="A400" s="35" t="n">
        <v>33</v>
      </c>
      <c r="B400" s="43" t="s">
        <v>532</v>
      </c>
      <c r="C400" s="14" t="n">
        <v>416500</v>
      </c>
      <c r="D400" s="37" t="n">
        <f aca="false">216500+200000</f>
        <v>416500</v>
      </c>
      <c r="E400" s="69" t="n">
        <f aca="false">C400-D400</f>
        <v>0</v>
      </c>
    </row>
    <row r="401" customFormat="false" ht="17.35" hidden="false" customHeight="false" outlineLevel="0" collapsed="false">
      <c r="A401" s="35"/>
      <c r="B401" s="23" t="s">
        <v>21</v>
      </c>
      <c r="C401" s="24" t="n">
        <f aca="false">SUM(C368:C400)</f>
        <v>13553000</v>
      </c>
      <c r="D401" s="25" t="n">
        <f aca="false">SUM(D368:D400)</f>
        <v>12790500</v>
      </c>
      <c r="E401" s="70" t="n">
        <f aca="false">SUM(E368:E400)</f>
        <v>762500</v>
      </c>
    </row>
    <row r="402" customFormat="false" ht="15" hidden="false" customHeight="false" outlineLevel="0" collapsed="false">
      <c r="A402" s="71"/>
      <c r="D402" s="32"/>
      <c r="E402" s="32"/>
    </row>
    <row r="403" customFormat="false" ht="15" hidden="false" customHeight="false" outlineLevel="0" collapsed="false">
      <c r="A403" s="71"/>
      <c r="D403" s="32"/>
      <c r="E403" s="32"/>
    </row>
    <row r="404" customFormat="false" ht="17.35" hidden="false" customHeight="false" outlineLevel="0" collapsed="false">
      <c r="A404" s="2"/>
      <c r="B404" s="3" t="s">
        <v>0</v>
      </c>
      <c r="D404" s="32"/>
      <c r="E404" s="32"/>
    </row>
    <row r="405" customFormat="false" ht="17.35" hidden="false" customHeight="false" outlineLevel="0" collapsed="false">
      <c r="A405" s="4"/>
      <c r="D405" s="32"/>
      <c r="E405" s="32"/>
    </row>
    <row r="406" customFormat="false" ht="15" hidden="false" customHeight="false" outlineLevel="0" collapsed="false">
      <c r="A406" s="2"/>
      <c r="D406" s="32"/>
      <c r="E406" s="32"/>
    </row>
    <row r="407" customFormat="false" ht="17.25" hidden="false" customHeight="false" outlineLevel="0" collapsed="false">
      <c r="A407" s="2"/>
      <c r="B407" s="5" t="s">
        <v>113</v>
      </c>
      <c r="D407" s="32"/>
      <c r="E407" s="32"/>
    </row>
    <row r="408" customFormat="false" ht="15" hidden="false" customHeight="false" outlineLevel="0" collapsed="false">
      <c r="A408" s="2"/>
      <c r="D408" s="33" t="s">
        <v>191</v>
      </c>
      <c r="E408" s="32"/>
    </row>
    <row r="409" customFormat="false" ht="15" hidden="false" customHeight="false" outlineLevel="0" collapsed="false">
      <c r="A409" s="2"/>
      <c r="D409" s="32"/>
      <c r="E409" s="32"/>
    </row>
    <row r="410" customFormat="false" ht="15" hidden="false" customHeight="false" outlineLevel="0" collapsed="false">
      <c r="A410" s="7" t="s">
        <v>3</v>
      </c>
      <c r="B410" s="8" t="s">
        <v>4</v>
      </c>
      <c r="C410" s="9" t="s">
        <v>5</v>
      </c>
      <c r="D410" s="34" t="s">
        <v>6</v>
      </c>
      <c r="E410" s="68" t="s">
        <v>7</v>
      </c>
    </row>
    <row r="411" customFormat="false" ht="15" hidden="false" customHeight="false" outlineLevel="0" collapsed="false">
      <c r="A411" s="35" t="n">
        <v>1</v>
      </c>
      <c r="B411" s="39" t="s">
        <v>533</v>
      </c>
      <c r="C411" s="14" t="n">
        <v>416500</v>
      </c>
      <c r="D411" s="37" t="n">
        <f aca="false">216500+200000</f>
        <v>416500</v>
      </c>
      <c r="E411" s="69" t="n">
        <f aca="false">C411-D411</f>
        <v>0</v>
      </c>
    </row>
    <row r="412" customFormat="false" ht="15" hidden="false" customHeight="false" outlineLevel="0" collapsed="false">
      <c r="A412" s="12" t="n">
        <v>2</v>
      </c>
      <c r="B412" s="39" t="s">
        <v>534</v>
      </c>
      <c r="C412" s="14" t="n">
        <v>416500</v>
      </c>
      <c r="D412" s="37" t="n">
        <f aca="false">200000+16500+100000+100000</f>
        <v>416500</v>
      </c>
      <c r="E412" s="69" t="n">
        <f aca="false">C412-D412</f>
        <v>0</v>
      </c>
    </row>
    <row r="413" customFormat="false" ht="15" hidden="false" customHeight="false" outlineLevel="0" collapsed="false">
      <c r="A413" s="12" t="n">
        <v>3</v>
      </c>
      <c r="B413" s="39" t="s">
        <v>535</v>
      </c>
      <c r="C413" s="14" t="n">
        <v>416500</v>
      </c>
      <c r="D413" s="37" t="n">
        <f aca="false">215000+201500</f>
        <v>416500</v>
      </c>
      <c r="E413" s="69" t="n">
        <f aca="false">C413-D413</f>
        <v>0</v>
      </c>
    </row>
    <row r="414" customFormat="false" ht="15" hidden="false" customHeight="false" outlineLevel="0" collapsed="false">
      <c r="A414" s="35" t="n">
        <v>4</v>
      </c>
      <c r="B414" s="39" t="s">
        <v>536</v>
      </c>
      <c r="C414" s="14" t="n">
        <v>416500</v>
      </c>
      <c r="D414" s="37" t="n">
        <f aca="false">216500+100000+100000</f>
        <v>416500</v>
      </c>
      <c r="E414" s="69" t="n">
        <f aca="false">C414-D414</f>
        <v>0</v>
      </c>
    </row>
    <row r="415" customFormat="false" ht="15" hidden="false" customHeight="false" outlineLevel="0" collapsed="false">
      <c r="A415" s="12" t="n">
        <v>5</v>
      </c>
      <c r="B415" s="39" t="s">
        <v>537</v>
      </c>
      <c r="C415" s="14" t="n">
        <v>416500</v>
      </c>
      <c r="D415" s="37"/>
      <c r="E415" s="69" t="n">
        <f aca="false">C415-D415</f>
        <v>416500</v>
      </c>
    </row>
    <row r="416" customFormat="false" ht="15" hidden="false" customHeight="false" outlineLevel="0" collapsed="false">
      <c r="A416" s="12" t="n">
        <v>6</v>
      </c>
      <c r="B416" s="39" t="s">
        <v>538</v>
      </c>
      <c r="C416" s="14" t="n">
        <v>416500</v>
      </c>
      <c r="D416" s="37" t="n">
        <f aca="false">217000+199500</f>
        <v>416500</v>
      </c>
      <c r="E416" s="69" t="n">
        <f aca="false">C416-D416</f>
        <v>0</v>
      </c>
    </row>
    <row r="417" customFormat="false" ht="15" hidden="false" customHeight="false" outlineLevel="0" collapsed="false">
      <c r="A417" s="35" t="n">
        <v>7</v>
      </c>
      <c r="B417" s="39" t="s">
        <v>539</v>
      </c>
      <c r="C417" s="14" t="n">
        <v>416500</v>
      </c>
      <c r="D417" s="37" t="n">
        <f aca="false">215500+200500</f>
        <v>416000</v>
      </c>
      <c r="E417" s="69" t="n">
        <f aca="false">C417-D417</f>
        <v>500</v>
      </c>
    </row>
    <row r="418" customFormat="false" ht="15" hidden="false" customHeight="false" outlineLevel="0" collapsed="false">
      <c r="A418" s="12" t="n">
        <v>8</v>
      </c>
      <c r="B418" s="39" t="s">
        <v>540</v>
      </c>
      <c r="C418" s="14" t="n">
        <v>416500</v>
      </c>
      <c r="D418" s="37" t="n">
        <f aca="false">216500+200000</f>
        <v>416500</v>
      </c>
      <c r="E418" s="69" t="n">
        <f aca="false">C418-D418</f>
        <v>0</v>
      </c>
    </row>
    <row r="419" customFormat="false" ht="15" hidden="false" customHeight="false" outlineLevel="0" collapsed="false">
      <c r="A419" s="12" t="n">
        <v>9</v>
      </c>
      <c r="B419" s="39" t="s">
        <v>541</v>
      </c>
      <c r="C419" s="14" t="n">
        <v>416500</v>
      </c>
      <c r="D419" s="37" t="n">
        <f aca="false">316500</f>
        <v>316500</v>
      </c>
      <c r="E419" s="69" t="n">
        <f aca="false">C419-D419</f>
        <v>100000</v>
      </c>
    </row>
    <row r="420" customFormat="false" ht="15" hidden="false" customHeight="false" outlineLevel="0" collapsed="false">
      <c r="A420" s="35" t="n">
        <v>10</v>
      </c>
      <c r="B420" s="39" t="s">
        <v>542</v>
      </c>
      <c r="C420" s="14" t="n">
        <v>416500</v>
      </c>
      <c r="D420" s="37" t="n">
        <v>416500</v>
      </c>
      <c r="E420" s="69" t="n">
        <f aca="false">C420-D420</f>
        <v>0</v>
      </c>
    </row>
    <row r="421" customFormat="false" ht="15" hidden="false" customHeight="false" outlineLevel="0" collapsed="false">
      <c r="A421" s="12" t="n">
        <v>11</v>
      </c>
      <c r="B421" s="39" t="s">
        <v>543</v>
      </c>
      <c r="C421" s="14" t="n">
        <v>416500</v>
      </c>
      <c r="D421" s="37" t="n">
        <f aca="false">220000+196500</f>
        <v>416500</v>
      </c>
      <c r="E421" s="69" t="n">
        <f aca="false">C421-D421</f>
        <v>0</v>
      </c>
    </row>
    <row r="422" customFormat="false" ht="15" hidden="false" customHeight="false" outlineLevel="0" collapsed="false">
      <c r="A422" s="12" t="n">
        <v>12</v>
      </c>
      <c r="B422" s="39" t="s">
        <v>544</v>
      </c>
      <c r="C422" s="14" t="n">
        <v>416500</v>
      </c>
      <c r="D422" s="37" t="n">
        <f aca="false">216500</f>
        <v>216500</v>
      </c>
      <c r="E422" s="69" t="n">
        <f aca="false">C422-D422</f>
        <v>200000</v>
      </c>
    </row>
    <row r="423" customFormat="false" ht="15" hidden="false" customHeight="false" outlineLevel="0" collapsed="false">
      <c r="A423" s="35" t="n">
        <v>13</v>
      </c>
      <c r="B423" s="39" t="s">
        <v>545</v>
      </c>
      <c r="C423" s="14" t="n">
        <v>416500</v>
      </c>
      <c r="D423" s="37" t="n">
        <f aca="false">217000</f>
        <v>217000</v>
      </c>
      <c r="E423" s="69" t="n">
        <f aca="false">C423-D423</f>
        <v>199500</v>
      </c>
    </row>
    <row r="424" customFormat="false" ht="15" hidden="false" customHeight="false" outlineLevel="0" collapsed="false">
      <c r="A424" s="12" t="n">
        <v>14</v>
      </c>
      <c r="B424" s="39" t="s">
        <v>546</v>
      </c>
      <c r="C424" s="14" t="n">
        <v>416500</v>
      </c>
      <c r="D424" s="37" t="n">
        <f aca="false">216000</f>
        <v>216000</v>
      </c>
      <c r="E424" s="69" t="n">
        <f aca="false">C424-D424</f>
        <v>200500</v>
      </c>
    </row>
    <row r="425" customFormat="false" ht="15" hidden="false" customHeight="false" outlineLevel="0" collapsed="false">
      <c r="A425" s="12" t="n">
        <v>15</v>
      </c>
      <c r="B425" s="39" t="s">
        <v>547</v>
      </c>
      <c r="C425" s="14" t="n">
        <v>416500</v>
      </c>
      <c r="D425" s="37" t="n">
        <f aca="false">250000+166500</f>
        <v>416500</v>
      </c>
      <c r="E425" s="69" t="n">
        <f aca="false">C425-D425</f>
        <v>0</v>
      </c>
    </row>
    <row r="426" customFormat="false" ht="15" hidden="false" customHeight="false" outlineLevel="0" collapsed="false">
      <c r="A426" s="35" t="n">
        <v>16</v>
      </c>
      <c r="B426" s="39" t="s">
        <v>548</v>
      </c>
      <c r="C426" s="14" t="n">
        <v>416500</v>
      </c>
      <c r="D426" s="37" t="n">
        <f aca="false">200000+100000+116500</f>
        <v>416500</v>
      </c>
      <c r="E426" s="69" t="n">
        <f aca="false">C426-D426</f>
        <v>0</v>
      </c>
    </row>
    <row r="427" customFormat="false" ht="15" hidden="false" customHeight="false" outlineLevel="0" collapsed="false">
      <c r="A427" s="12" t="n">
        <v>17</v>
      </c>
      <c r="B427" s="39" t="s">
        <v>549</v>
      </c>
      <c r="C427" s="14" t="n">
        <v>416500</v>
      </c>
      <c r="D427" s="37" t="n">
        <v>416500</v>
      </c>
      <c r="E427" s="69" t="n">
        <f aca="false">C427-D427</f>
        <v>0</v>
      </c>
    </row>
    <row r="428" customFormat="false" ht="15" hidden="false" customHeight="false" outlineLevel="0" collapsed="false">
      <c r="A428" s="12" t="n">
        <v>18</v>
      </c>
      <c r="B428" s="39" t="s">
        <v>550</v>
      </c>
      <c r="C428" s="14" t="n">
        <v>416500</v>
      </c>
      <c r="D428" s="37" t="n">
        <f aca="false">206500+60000</f>
        <v>266500</v>
      </c>
      <c r="E428" s="69" t="n">
        <f aca="false">C428-D428</f>
        <v>150000</v>
      </c>
    </row>
    <row r="429" customFormat="false" ht="15" hidden="false" customHeight="false" outlineLevel="0" collapsed="false">
      <c r="A429" s="35" t="n">
        <v>19</v>
      </c>
      <c r="B429" s="39" t="s">
        <v>551</v>
      </c>
      <c r="C429" s="14" t="n">
        <v>416500</v>
      </c>
      <c r="D429" s="37" t="n">
        <f aca="false">216500+200000</f>
        <v>416500</v>
      </c>
      <c r="E429" s="69" t="n">
        <f aca="false">C429-D429</f>
        <v>0</v>
      </c>
    </row>
    <row r="430" customFormat="false" ht="15" hidden="false" customHeight="false" outlineLevel="0" collapsed="false">
      <c r="A430" s="12" t="n">
        <v>20</v>
      </c>
      <c r="B430" s="39" t="s">
        <v>552</v>
      </c>
      <c r="C430" s="14" t="n">
        <v>416500</v>
      </c>
      <c r="D430" s="37" t="n">
        <f aca="false">100000+50000+217000</f>
        <v>367000</v>
      </c>
      <c r="E430" s="69" t="n">
        <f aca="false">C430-D430</f>
        <v>49500</v>
      </c>
    </row>
    <row r="431" customFormat="false" ht="15" hidden="false" customHeight="false" outlineLevel="0" collapsed="false">
      <c r="A431" s="12" t="n">
        <v>21</v>
      </c>
      <c r="B431" s="39" t="s">
        <v>553</v>
      </c>
      <c r="C431" s="14" t="n">
        <v>416500</v>
      </c>
      <c r="D431" s="37" t="n">
        <f aca="false">300000</f>
        <v>300000</v>
      </c>
      <c r="E431" s="69" t="n">
        <f aca="false">C431-D431</f>
        <v>116500</v>
      </c>
    </row>
    <row r="432" customFormat="false" ht="15" hidden="false" customHeight="false" outlineLevel="0" collapsed="false">
      <c r="A432" s="35" t="n">
        <v>22</v>
      </c>
      <c r="B432" s="39" t="s">
        <v>554</v>
      </c>
      <c r="C432" s="14" t="n">
        <v>416500</v>
      </c>
      <c r="D432" s="37" t="n">
        <f aca="false">217000+199500</f>
        <v>416500</v>
      </c>
      <c r="E432" s="69" t="n">
        <f aca="false">C432-D432</f>
        <v>0</v>
      </c>
    </row>
    <row r="433" customFormat="false" ht="15" hidden="false" customHeight="false" outlineLevel="0" collapsed="false">
      <c r="A433" s="12" t="n">
        <v>23</v>
      </c>
      <c r="B433" s="39" t="s">
        <v>555</v>
      </c>
      <c r="C433" s="14" t="s">
        <v>11</v>
      </c>
      <c r="D433" s="37" t="s">
        <v>11</v>
      </c>
      <c r="E433" s="69" t="s">
        <v>11</v>
      </c>
    </row>
    <row r="434" customFormat="false" ht="15" hidden="false" customHeight="false" outlineLevel="0" collapsed="false">
      <c r="A434" s="12" t="n">
        <v>24</v>
      </c>
      <c r="B434" s="39" t="s">
        <v>556</v>
      </c>
      <c r="C434" s="14" t="n">
        <v>416500</v>
      </c>
      <c r="D434" s="37" t="n">
        <f aca="false">216500+200000</f>
        <v>416500</v>
      </c>
      <c r="E434" s="69" t="n">
        <f aca="false">C434-D434</f>
        <v>0</v>
      </c>
    </row>
    <row r="435" customFormat="false" ht="15" hidden="false" customHeight="false" outlineLevel="0" collapsed="false">
      <c r="A435" s="35" t="n">
        <v>25</v>
      </c>
      <c r="B435" s="39" t="s">
        <v>557</v>
      </c>
      <c r="C435" s="14" t="n">
        <v>416500</v>
      </c>
      <c r="D435" s="37" t="n">
        <f aca="false">100000+115000+100000+101500</f>
        <v>416500</v>
      </c>
      <c r="E435" s="69" t="n">
        <f aca="false">C435-D435</f>
        <v>0</v>
      </c>
    </row>
    <row r="436" customFormat="false" ht="15" hidden="false" customHeight="false" outlineLevel="0" collapsed="false">
      <c r="A436" s="12" t="n">
        <v>26</v>
      </c>
      <c r="B436" s="39" t="s">
        <v>558</v>
      </c>
      <c r="C436" s="14" t="n">
        <v>416500</v>
      </c>
      <c r="D436" s="37" t="n">
        <f aca="false">216500+200000</f>
        <v>416500</v>
      </c>
      <c r="E436" s="69" t="n">
        <f aca="false">C436-D436</f>
        <v>0</v>
      </c>
    </row>
    <row r="437" customFormat="false" ht="15" hidden="false" customHeight="false" outlineLevel="0" collapsed="false">
      <c r="A437" s="12" t="n">
        <v>27</v>
      </c>
      <c r="B437" s="39" t="s">
        <v>559</v>
      </c>
      <c r="C437" s="14" t="n">
        <v>416500</v>
      </c>
      <c r="D437" s="37" t="n">
        <f aca="false">216500+200000</f>
        <v>416500</v>
      </c>
      <c r="E437" s="69" t="n">
        <f aca="false">C437-D437</f>
        <v>0</v>
      </c>
    </row>
    <row r="438" customFormat="false" ht="15" hidden="false" customHeight="false" outlineLevel="0" collapsed="false">
      <c r="A438" s="35" t="n">
        <v>28</v>
      </c>
      <c r="B438" s="39" t="s">
        <v>560</v>
      </c>
      <c r="C438" s="14" t="n">
        <v>416500</v>
      </c>
      <c r="D438" s="37" t="n">
        <f aca="false">216000+200000</f>
        <v>416000</v>
      </c>
      <c r="E438" s="69" t="n">
        <f aca="false">C438-D438</f>
        <v>500</v>
      </c>
    </row>
    <row r="439" customFormat="false" ht="15" hidden="false" customHeight="false" outlineLevel="0" collapsed="false">
      <c r="A439" s="12" t="n">
        <v>29</v>
      </c>
      <c r="B439" s="39" t="s">
        <v>561</v>
      </c>
      <c r="C439" s="14" t="n">
        <v>416500</v>
      </c>
      <c r="D439" s="37" t="n">
        <f aca="false">200000+16500+100000+100000</f>
        <v>416500</v>
      </c>
      <c r="E439" s="69" t="n">
        <f aca="false">C439-D439</f>
        <v>0</v>
      </c>
    </row>
    <row r="440" customFormat="false" ht="15" hidden="false" customHeight="false" outlineLevel="0" collapsed="false">
      <c r="A440" s="12" t="n">
        <v>30</v>
      </c>
      <c r="B440" s="39" t="s">
        <v>562</v>
      </c>
      <c r="C440" s="14" t="n">
        <v>416500</v>
      </c>
      <c r="D440" s="37" t="n">
        <f aca="false">217000</f>
        <v>217000</v>
      </c>
      <c r="E440" s="69" t="n">
        <f aca="false">C440-D440</f>
        <v>199500</v>
      </c>
    </row>
    <row r="441" customFormat="false" ht="15" hidden="false" customHeight="false" outlineLevel="0" collapsed="false">
      <c r="A441" s="35" t="n">
        <v>31</v>
      </c>
      <c r="B441" s="39" t="s">
        <v>563</v>
      </c>
      <c r="C441" s="14" t="n">
        <v>416500</v>
      </c>
      <c r="D441" s="37" t="n">
        <f aca="false">216500+200000</f>
        <v>416500</v>
      </c>
      <c r="E441" s="69" t="n">
        <f aca="false">C441-D441</f>
        <v>0</v>
      </c>
    </row>
    <row r="442" customFormat="false" ht="15" hidden="false" customHeight="false" outlineLevel="0" collapsed="false">
      <c r="A442" s="12" t="n">
        <v>32</v>
      </c>
      <c r="B442" s="39" t="s">
        <v>564</v>
      </c>
      <c r="C442" s="14" t="n">
        <v>416500</v>
      </c>
      <c r="D442" s="37" t="n">
        <f aca="false">106500+100000+50000+150000+10000</f>
        <v>416500</v>
      </c>
      <c r="E442" s="69" t="n">
        <f aca="false">C442-D442</f>
        <v>0</v>
      </c>
    </row>
    <row r="443" customFormat="false" ht="15" hidden="false" customHeight="false" outlineLevel="0" collapsed="false">
      <c r="A443" s="12" t="n">
        <v>33</v>
      </c>
      <c r="B443" s="39" t="s">
        <v>565</v>
      </c>
      <c r="C443" s="14" t="n">
        <v>416500</v>
      </c>
      <c r="D443" s="37" t="n">
        <f aca="false">216500+100000+100000</f>
        <v>416500</v>
      </c>
      <c r="E443" s="69" t="n">
        <f aca="false">C443-D443</f>
        <v>0</v>
      </c>
    </row>
    <row r="444" customFormat="false" ht="15" hidden="false" customHeight="false" outlineLevel="0" collapsed="false">
      <c r="A444" s="35" t="n">
        <v>34</v>
      </c>
      <c r="B444" s="39" t="s">
        <v>566</v>
      </c>
      <c r="C444" s="14" t="n">
        <v>416500</v>
      </c>
      <c r="D444" s="37" t="n">
        <f aca="false">16500+200000+200000</f>
        <v>416500</v>
      </c>
      <c r="E444" s="69" t="n">
        <f aca="false">C444-D444</f>
        <v>0</v>
      </c>
    </row>
    <row r="445" customFormat="false" ht="15" hidden="false" customHeight="false" outlineLevel="0" collapsed="false">
      <c r="A445" s="12" t="n">
        <v>35</v>
      </c>
      <c r="B445" s="39" t="s">
        <v>567</v>
      </c>
      <c r="C445" s="14" t="n">
        <v>416500</v>
      </c>
      <c r="D445" s="37" t="n">
        <f aca="false">200000+216000</f>
        <v>416000</v>
      </c>
      <c r="E445" s="69" t="n">
        <f aca="false">C445-D445</f>
        <v>500</v>
      </c>
    </row>
    <row r="446" customFormat="false" ht="15" hidden="false" customHeight="false" outlineLevel="0" collapsed="false">
      <c r="A446" s="12" t="n">
        <v>36</v>
      </c>
      <c r="B446" s="39" t="s">
        <v>568</v>
      </c>
      <c r="C446" s="14" t="n">
        <v>416500</v>
      </c>
      <c r="D446" s="37" t="n">
        <f aca="false">216500+200000</f>
        <v>416500</v>
      </c>
      <c r="E446" s="69" t="n">
        <f aca="false">C446-D446</f>
        <v>0</v>
      </c>
    </row>
    <row r="447" customFormat="false" ht="15" hidden="false" customHeight="false" outlineLevel="0" collapsed="false">
      <c r="A447" s="35" t="n">
        <v>37</v>
      </c>
      <c r="B447" s="39" t="s">
        <v>569</v>
      </c>
      <c r="C447" s="14" t="n">
        <v>416500</v>
      </c>
      <c r="D447" s="37" t="n">
        <f aca="false">217000+100000</f>
        <v>317000</v>
      </c>
      <c r="E447" s="69" t="n">
        <f aca="false">C447-D447</f>
        <v>99500</v>
      </c>
    </row>
    <row r="448" customFormat="false" ht="15" hidden="false" customHeight="false" outlineLevel="0" collapsed="false">
      <c r="A448" s="12" t="n">
        <v>38</v>
      </c>
      <c r="B448" s="39" t="s">
        <v>570</v>
      </c>
      <c r="C448" s="14" t="n">
        <v>416500</v>
      </c>
      <c r="D448" s="37" t="n">
        <f aca="false">216500+200000</f>
        <v>416500</v>
      </c>
      <c r="E448" s="69" t="n">
        <f aca="false">C448-D448</f>
        <v>0</v>
      </c>
    </row>
    <row r="449" customFormat="false" ht="15" hidden="false" customHeight="false" outlineLevel="0" collapsed="false">
      <c r="A449" s="12" t="n">
        <v>39</v>
      </c>
      <c r="B449" s="39" t="s">
        <v>571</v>
      </c>
      <c r="C449" s="14" t="n">
        <v>416500</v>
      </c>
      <c r="D449" s="37" t="n">
        <f aca="false">216500+200000</f>
        <v>416500</v>
      </c>
      <c r="E449" s="69" t="n">
        <f aca="false">C449-D449</f>
        <v>0</v>
      </c>
    </row>
    <row r="450" customFormat="false" ht="15" hidden="false" customHeight="false" outlineLevel="0" collapsed="false">
      <c r="A450" s="35" t="n">
        <v>40</v>
      </c>
      <c r="B450" s="39" t="s">
        <v>572</v>
      </c>
      <c r="C450" s="14" t="n">
        <v>416500</v>
      </c>
      <c r="D450" s="37" t="n">
        <f aca="false">216500+200000</f>
        <v>416500</v>
      </c>
      <c r="E450" s="69" t="n">
        <f aca="false">C450-D450</f>
        <v>0</v>
      </c>
    </row>
    <row r="451" customFormat="false" ht="15" hidden="false" customHeight="false" outlineLevel="0" collapsed="false">
      <c r="A451" s="12" t="n">
        <v>41</v>
      </c>
      <c r="B451" s="39" t="s">
        <v>573</v>
      </c>
      <c r="C451" s="14" t="n">
        <v>416500</v>
      </c>
      <c r="D451" s="37" t="n">
        <f aca="false">215500+200000</f>
        <v>415500</v>
      </c>
      <c r="E451" s="69" t="n">
        <f aca="false">C451-D451</f>
        <v>1000</v>
      </c>
    </row>
    <row r="452" customFormat="false" ht="15" hidden="false" customHeight="false" outlineLevel="0" collapsed="false">
      <c r="A452" s="12" t="n">
        <v>42</v>
      </c>
      <c r="B452" s="39" t="s">
        <v>574</v>
      </c>
      <c r="C452" s="14" t="n">
        <v>416500</v>
      </c>
      <c r="D452" s="37"/>
      <c r="E452" s="69" t="n">
        <f aca="false">C452-D452</f>
        <v>416500</v>
      </c>
    </row>
    <row r="453" customFormat="false" ht="15" hidden="false" customHeight="false" outlineLevel="0" collapsed="false">
      <c r="A453" s="35" t="n">
        <v>43</v>
      </c>
      <c r="B453" s="39" t="s">
        <v>575</v>
      </c>
      <c r="C453" s="14" t="n">
        <v>416500</v>
      </c>
      <c r="D453" s="37" t="n">
        <f aca="false">116500+300000</f>
        <v>416500</v>
      </c>
      <c r="E453" s="69" t="n">
        <f aca="false">C453-D453</f>
        <v>0</v>
      </c>
    </row>
    <row r="454" customFormat="false" ht="15" hidden="false" customHeight="false" outlineLevel="0" collapsed="false">
      <c r="A454" s="12" t="n">
        <v>44</v>
      </c>
      <c r="B454" s="39" t="s">
        <v>576</v>
      </c>
      <c r="C454" s="14" t="n">
        <v>416500</v>
      </c>
      <c r="D454" s="37" t="n">
        <f aca="false">216500+100000+100000</f>
        <v>416500</v>
      </c>
      <c r="E454" s="69" t="n">
        <f aca="false">C454-D454</f>
        <v>0</v>
      </c>
    </row>
    <row r="455" customFormat="false" ht="15" hidden="false" customHeight="false" outlineLevel="0" collapsed="false">
      <c r="A455" s="12" t="n">
        <v>45</v>
      </c>
      <c r="B455" s="39" t="s">
        <v>577</v>
      </c>
      <c r="C455" s="14" t="n">
        <v>416500</v>
      </c>
      <c r="D455" s="37" t="n">
        <f aca="false">90000+126500+95000+80000+25000</f>
        <v>416500</v>
      </c>
      <c r="E455" s="69" t="n">
        <f aca="false">C455-D455</f>
        <v>0</v>
      </c>
    </row>
    <row r="456" customFormat="false" ht="15" hidden="false" customHeight="false" outlineLevel="0" collapsed="false">
      <c r="A456" s="35" t="n">
        <v>46</v>
      </c>
      <c r="B456" s="39" t="s">
        <v>578</v>
      </c>
      <c r="C456" s="14" t="n">
        <v>416500</v>
      </c>
      <c r="D456" s="37" t="n">
        <f aca="false">216500+200000</f>
        <v>416500</v>
      </c>
      <c r="E456" s="69" t="n">
        <f aca="false">C456-D456</f>
        <v>0</v>
      </c>
    </row>
    <row r="457" customFormat="false" ht="15" hidden="false" customHeight="false" outlineLevel="0" collapsed="false">
      <c r="A457" s="12" t="n">
        <v>47</v>
      </c>
      <c r="B457" s="39" t="s">
        <v>579</v>
      </c>
      <c r="C457" s="14" t="n">
        <v>416500</v>
      </c>
      <c r="D457" s="37" t="n">
        <f aca="false">216500+200000</f>
        <v>416500</v>
      </c>
      <c r="E457" s="69" t="n">
        <f aca="false">C457-D457</f>
        <v>0</v>
      </c>
    </row>
    <row r="458" customFormat="false" ht="15" hidden="false" customHeight="false" outlineLevel="0" collapsed="false">
      <c r="A458" s="12" t="n">
        <v>48</v>
      </c>
      <c r="B458" s="39" t="s">
        <v>580</v>
      </c>
      <c r="C458" s="14" t="n">
        <v>416500</v>
      </c>
      <c r="D458" s="37" t="n">
        <f aca="false">216500+100000+100000</f>
        <v>416500</v>
      </c>
      <c r="E458" s="69" t="n">
        <f aca="false">C458-D458</f>
        <v>0</v>
      </c>
    </row>
    <row r="459" customFormat="false" ht="15" hidden="false" customHeight="false" outlineLevel="0" collapsed="false">
      <c r="A459" s="35" t="n">
        <v>49</v>
      </c>
      <c r="B459" s="39" t="s">
        <v>581</v>
      </c>
      <c r="C459" s="14" t="n">
        <v>416500</v>
      </c>
      <c r="D459" s="37" t="n">
        <f aca="false">220000+196500</f>
        <v>416500</v>
      </c>
      <c r="E459" s="69" t="n">
        <f aca="false">C459-D459</f>
        <v>0</v>
      </c>
    </row>
    <row r="460" customFormat="false" ht="15" hidden="false" customHeight="false" outlineLevel="0" collapsed="false">
      <c r="A460" s="12" t="n">
        <v>50</v>
      </c>
      <c r="B460" s="39" t="s">
        <v>582</v>
      </c>
      <c r="C460" s="14" t="n">
        <v>416500</v>
      </c>
      <c r="D460" s="37" t="n">
        <f aca="false">216500+200000</f>
        <v>416500</v>
      </c>
      <c r="E460" s="69" t="n">
        <f aca="false">C460-D460</f>
        <v>0</v>
      </c>
    </row>
    <row r="461" customFormat="false" ht="15" hidden="false" customHeight="false" outlineLevel="0" collapsed="false">
      <c r="A461" s="12" t="n">
        <v>51</v>
      </c>
      <c r="B461" s="39" t="s">
        <v>583</v>
      </c>
      <c r="C461" s="14" t="n">
        <v>416500</v>
      </c>
      <c r="D461" s="37" t="n">
        <f aca="false">216000+150000+50500</f>
        <v>416500</v>
      </c>
      <c r="E461" s="69" t="n">
        <f aca="false">C461-D461</f>
        <v>0</v>
      </c>
    </row>
    <row r="462" customFormat="false" ht="15" hidden="false" customHeight="false" outlineLevel="0" collapsed="false">
      <c r="A462" s="35" t="n">
        <v>52</v>
      </c>
      <c r="B462" s="39" t="s">
        <v>584</v>
      </c>
      <c r="C462" s="14" t="n">
        <v>416500</v>
      </c>
      <c r="D462" s="37" t="n">
        <f aca="false">100000+200000</f>
        <v>300000</v>
      </c>
      <c r="E462" s="69" t="n">
        <f aca="false">C462-D462</f>
        <v>116500</v>
      </c>
    </row>
    <row r="463" customFormat="false" ht="15" hidden="false" customHeight="false" outlineLevel="0" collapsed="false">
      <c r="A463" s="12" t="n">
        <v>53</v>
      </c>
      <c r="B463" s="39" t="s">
        <v>585</v>
      </c>
      <c r="C463" s="14" t="n">
        <v>416500</v>
      </c>
      <c r="D463" s="37" t="n">
        <f aca="false">216500+200000</f>
        <v>416500</v>
      </c>
      <c r="E463" s="69" t="n">
        <f aca="false">C463-D463</f>
        <v>0</v>
      </c>
    </row>
    <row r="464" customFormat="false" ht="15" hidden="false" customHeight="false" outlineLevel="0" collapsed="false">
      <c r="A464" s="12" t="n">
        <v>54</v>
      </c>
      <c r="B464" s="39" t="s">
        <v>586</v>
      </c>
      <c r="C464" s="14" t="n">
        <v>416500</v>
      </c>
      <c r="D464" s="37" t="n">
        <f aca="false">220000+196500</f>
        <v>416500</v>
      </c>
      <c r="E464" s="69" t="n">
        <f aca="false">C464-D464</f>
        <v>0</v>
      </c>
    </row>
    <row r="465" customFormat="false" ht="15" hidden="false" customHeight="false" outlineLevel="0" collapsed="false">
      <c r="A465" s="35" t="n">
        <v>55</v>
      </c>
      <c r="B465" s="39" t="s">
        <v>587</v>
      </c>
      <c r="C465" s="14" t="n">
        <v>416500</v>
      </c>
      <c r="D465" s="37" t="n">
        <f aca="false">216500+105000+95000</f>
        <v>416500</v>
      </c>
      <c r="E465" s="69" t="n">
        <f aca="false">C465-D465</f>
        <v>0</v>
      </c>
    </row>
    <row r="466" customFormat="false" ht="15" hidden="false" customHeight="false" outlineLevel="0" collapsed="false">
      <c r="A466" s="12" t="n">
        <v>56</v>
      </c>
      <c r="B466" s="39" t="s">
        <v>588</v>
      </c>
      <c r="C466" s="14" t="n">
        <v>416500</v>
      </c>
      <c r="D466" s="37" t="n">
        <f aca="false">216000+200500</f>
        <v>416500</v>
      </c>
      <c r="E466" s="69" t="n">
        <f aca="false">C466-D466</f>
        <v>0</v>
      </c>
    </row>
    <row r="467" customFormat="false" ht="15" hidden="false" customHeight="false" outlineLevel="0" collapsed="false">
      <c r="A467" s="12" t="n">
        <v>57</v>
      </c>
      <c r="B467" s="39" t="s">
        <v>589</v>
      </c>
      <c r="C467" s="14" t="n">
        <v>416500</v>
      </c>
      <c r="D467" s="37" t="n">
        <v>416500</v>
      </c>
      <c r="E467" s="69" t="n">
        <f aca="false">C467-D467</f>
        <v>0</v>
      </c>
    </row>
    <row r="468" customFormat="false" ht="15" hidden="false" customHeight="false" outlineLevel="0" collapsed="false">
      <c r="A468" s="35" t="n">
        <v>58</v>
      </c>
      <c r="B468" s="75" t="s">
        <v>590</v>
      </c>
      <c r="C468" s="14" t="n">
        <v>416500</v>
      </c>
      <c r="D468" s="76" t="n">
        <f aca="false">220000+200000</f>
        <v>420000</v>
      </c>
      <c r="E468" s="69" t="n">
        <f aca="false">C468-D468</f>
        <v>-3500</v>
      </c>
    </row>
    <row r="469" customFormat="false" ht="15" hidden="false" customHeight="false" outlineLevel="0" collapsed="false">
      <c r="A469" s="12" t="n">
        <v>59</v>
      </c>
      <c r="B469" s="75" t="s">
        <v>591</v>
      </c>
      <c r="C469" s="14" t="n">
        <v>416500</v>
      </c>
      <c r="D469" s="76" t="n">
        <f aca="false">217000+100000</f>
        <v>317000</v>
      </c>
      <c r="E469" s="69" t="n">
        <f aca="false">C469-D469</f>
        <v>99500</v>
      </c>
    </row>
    <row r="470" customFormat="false" ht="15" hidden="false" customHeight="false" outlineLevel="0" collapsed="false">
      <c r="A470" s="12" t="n">
        <v>60</v>
      </c>
      <c r="B470" s="75" t="s">
        <v>592</v>
      </c>
      <c r="C470" s="14" t="n">
        <v>416500</v>
      </c>
      <c r="D470" s="76"/>
      <c r="E470" s="69" t="n">
        <f aca="false">C470-D470</f>
        <v>416500</v>
      </c>
    </row>
    <row r="471" customFormat="false" ht="15" hidden="false" customHeight="false" outlineLevel="0" collapsed="false">
      <c r="A471" s="35" t="n">
        <v>61</v>
      </c>
      <c r="B471" s="39" t="s">
        <v>593</v>
      </c>
      <c r="C471" s="14" t="n">
        <v>416500</v>
      </c>
      <c r="D471" s="76" t="n">
        <f aca="false">300000+116500</f>
        <v>416500</v>
      </c>
      <c r="E471" s="69" t="n">
        <f aca="false">C471-D471</f>
        <v>0</v>
      </c>
    </row>
    <row r="472" customFormat="false" ht="15" hidden="false" customHeight="false" outlineLevel="0" collapsed="false">
      <c r="A472" s="12" t="n">
        <v>62</v>
      </c>
      <c r="B472" s="39" t="s">
        <v>594</v>
      </c>
      <c r="C472" s="14" t="s">
        <v>11</v>
      </c>
      <c r="D472" s="37" t="s">
        <v>11</v>
      </c>
      <c r="E472" s="69" t="s">
        <v>11</v>
      </c>
    </row>
    <row r="473" customFormat="false" ht="17.35" hidden="false" customHeight="false" outlineLevel="0" collapsed="false">
      <c r="A473" s="53"/>
      <c r="B473" s="23" t="s">
        <v>21</v>
      </c>
      <c r="C473" s="24" t="n">
        <f aca="false">SUM(C411:C472)</f>
        <v>24990000</v>
      </c>
      <c r="D473" s="25" t="n">
        <f aca="false">SUM(D411:D472)</f>
        <v>22210500</v>
      </c>
      <c r="E473" s="70" t="n">
        <f aca="false">SUM(E411:E472)</f>
        <v>2779500</v>
      </c>
    </row>
    <row r="474" customFormat="false" ht="15" hidden="false" customHeight="false" outlineLevel="0" collapsed="false">
      <c r="A474" s="71"/>
      <c r="D474" s="32"/>
      <c r="E474" s="32"/>
    </row>
    <row r="475" customFormat="false" ht="15" hidden="false" customHeight="false" outlineLevel="0" collapsed="false">
      <c r="A475" s="71"/>
      <c r="D475" s="32"/>
      <c r="E475" s="32"/>
    </row>
    <row r="476" customFormat="false" ht="15" hidden="false" customHeight="false" outlineLevel="0" collapsed="false">
      <c r="A476" s="71"/>
      <c r="D476" s="32"/>
      <c r="E476" s="32"/>
    </row>
    <row r="477" customFormat="false" ht="17.35" hidden="false" customHeight="false" outlineLevel="0" collapsed="false">
      <c r="A477" s="2"/>
      <c r="B477" s="3" t="s">
        <v>0</v>
      </c>
      <c r="D477" s="32"/>
      <c r="E477" s="32"/>
    </row>
    <row r="478" customFormat="false" ht="17.35" hidden="false" customHeight="false" outlineLevel="0" collapsed="false">
      <c r="A478" s="4"/>
      <c r="D478" s="32"/>
      <c r="E478" s="32"/>
    </row>
    <row r="479" customFormat="false" ht="15" hidden="false" customHeight="false" outlineLevel="0" collapsed="false">
      <c r="A479" s="2"/>
      <c r="D479" s="32"/>
      <c r="E479" s="32"/>
    </row>
    <row r="480" customFormat="false" ht="17.25" hidden="false" customHeight="false" outlineLevel="0" collapsed="false">
      <c r="A480" s="2"/>
      <c r="B480" s="5" t="s">
        <v>113</v>
      </c>
      <c r="D480" s="32"/>
      <c r="E480" s="32"/>
    </row>
    <row r="481" customFormat="false" ht="15" hidden="false" customHeight="false" outlineLevel="0" collapsed="false">
      <c r="A481" s="2"/>
      <c r="D481" s="33" t="s">
        <v>161</v>
      </c>
      <c r="E481" s="32"/>
    </row>
    <row r="482" customFormat="false" ht="15" hidden="false" customHeight="false" outlineLevel="0" collapsed="false">
      <c r="A482" s="2"/>
      <c r="D482" s="32"/>
      <c r="E482" s="32"/>
    </row>
    <row r="483" customFormat="false" ht="15" hidden="false" customHeight="false" outlineLevel="0" collapsed="false">
      <c r="A483" s="7" t="s">
        <v>3</v>
      </c>
      <c r="B483" s="8" t="s">
        <v>4</v>
      </c>
      <c r="C483" s="9" t="s">
        <v>5</v>
      </c>
      <c r="D483" s="34" t="s">
        <v>6</v>
      </c>
      <c r="E483" s="68" t="s">
        <v>7</v>
      </c>
    </row>
    <row r="484" customFormat="false" ht="15" hidden="false" customHeight="false" outlineLevel="0" collapsed="false">
      <c r="A484" s="35" t="n">
        <v>1</v>
      </c>
      <c r="B484" s="39" t="s">
        <v>595</v>
      </c>
      <c r="C484" s="14" t="n">
        <v>416500</v>
      </c>
      <c r="D484" s="37" t="n">
        <f aca="false">220000+196500</f>
        <v>416500</v>
      </c>
      <c r="E484" s="69" t="n">
        <f aca="false">C484-D484</f>
        <v>0</v>
      </c>
    </row>
    <row r="485" customFormat="false" ht="15" hidden="false" customHeight="false" outlineLevel="0" collapsed="false">
      <c r="A485" s="12" t="n">
        <v>2</v>
      </c>
      <c r="B485" s="39" t="s">
        <v>596</v>
      </c>
      <c r="C485" s="14" t="n">
        <v>416500</v>
      </c>
      <c r="D485" s="37" t="n">
        <f aca="false">310000+80000+26500</f>
        <v>416500</v>
      </c>
      <c r="E485" s="69" t="n">
        <f aca="false">C485-D485</f>
        <v>0</v>
      </c>
    </row>
    <row r="486" customFormat="false" ht="15" hidden="false" customHeight="false" outlineLevel="0" collapsed="false">
      <c r="A486" s="35" t="n">
        <v>3</v>
      </c>
      <c r="B486" s="39" t="s">
        <v>597</v>
      </c>
      <c r="C486" s="14" t="n">
        <v>416500</v>
      </c>
      <c r="D486" s="37" t="n">
        <f aca="false">200500+200000</f>
        <v>400500</v>
      </c>
      <c r="E486" s="69" t="n">
        <f aca="false">C486-D486</f>
        <v>16000</v>
      </c>
    </row>
    <row r="487" customFormat="false" ht="15" hidden="false" customHeight="false" outlineLevel="0" collapsed="false">
      <c r="A487" s="12" t="n">
        <v>4</v>
      </c>
      <c r="B487" s="39" t="s">
        <v>598</v>
      </c>
      <c r="C487" s="14" t="n">
        <v>416500</v>
      </c>
      <c r="D487" s="37" t="n">
        <f aca="false">216500+100000</f>
        <v>316500</v>
      </c>
      <c r="E487" s="69" t="n">
        <f aca="false">C487-D487</f>
        <v>100000</v>
      </c>
    </row>
    <row r="488" customFormat="false" ht="15" hidden="false" customHeight="false" outlineLevel="0" collapsed="false">
      <c r="A488" s="35" t="n">
        <v>5</v>
      </c>
      <c r="B488" s="39" t="s">
        <v>599</v>
      </c>
      <c r="C488" s="14" t="n">
        <v>416500</v>
      </c>
      <c r="D488" s="37" t="n">
        <f aca="false">216500+200000</f>
        <v>416500</v>
      </c>
      <c r="E488" s="69" t="n">
        <f aca="false">C488-D488</f>
        <v>0</v>
      </c>
    </row>
    <row r="489" customFormat="false" ht="15" hidden="false" customHeight="false" outlineLevel="0" collapsed="false">
      <c r="A489" s="12" t="n">
        <v>6</v>
      </c>
      <c r="B489" s="39" t="s">
        <v>600</v>
      </c>
      <c r="C489" s="14" t="n">
        <v>416500</v>
      </c>
      <c r="D489" s="37" t="n">
        <f aca="false">216500+200000</f>
        <v>416500</v>
      </c>
      <c r="E489" s="69" t="n">
        <f aca="false">C489-D489</f>
        <v>0</v>
      </c>
    </row>
    <row r="490" customFormat="false" ht="15" hidden="false" customHeight="false" outlineLevel="0" collapsed="false">
      <c r="A490" s="35" t="n">
        <v>7</v>
      </c>
      <c r="B490" s="39" t="s">
        <v>601</v>
      </c>
      <c r="C490" s="14" t="n">
        <v>416500</v>
      </c>
      <c r="D490" s="37" t="n">
        <f aca="false">216500+200000</f>
        <v>416500</v>
      </c>
      <c r="E490" s="69" t="n">
        <f aca="false">C490-D490</f>
        <v>0</v>
      </c>
    </row>
    <row r="491" customFormat="false" ht="15" hidden="false" customHeight="false" outlineLevel="0" collapsed="false">
      <c r="A491" s="12" t="n">
        <v>8</v>
      </c>
      <c r="B491" s="39" t="s">
        <v>602</v>
      </c>
      <c r="C491" s="14" t="n">
        <v>416500</v>
      </c>
      <c r="D491" s="37" t="n">
        <f aca="false">216500+100000+100000</f>
        <v>416500</v>
      </c>
      <c r="E491" s="69" t="n">
        <f aca="false">C491-D491</f>
        <v>0</v>
      </c>
    </row>
    <row r="492" customFormat="false" ht="15" hidden="false" customHeight="false" outlineLevel="0" collapsed="false">
      <c r="A492" s="35" t="n">
        <v>9</v>
      </c>
      <c r="B492" s="39" t="s">
        <v>603</v>
      </c>
      <c r="C492" s="37" t="n">
        <v>416500</v>
      </c>
      <c r="D492" s="37" t="n">
        <f aca="false">216500+100000</f>
        <v>316500</v>
      </c>
      <c r="E492" s="69" t="n">
        <f aca="false">C492-D492</f>
        <v>100000</v>
      </c>
    </row>
    <row r="493" customFormat="false" ht="15" hidden="false" customHeight="false" outlineLevel="0" collapsed="false">
      <c r="A493" s="12" t="n">
        <v>10</v>
      </c>
      <c r="B493" s="39" t="s">
        <v>604</v>
      </c>
      <c r="C493" s="14" t="n">
        <v>416500</v>
      </c>
      <c r="D493" s="37" t="n">
        <v>416500</v>
      </c>
      <c r="E493" s="69" t="n">
        <f aca="false">C493-D493</f>
        <v>0</v>
      </c>
    </row>
    <row r="494" customFormat="false" ht="15" hidden="false" customHeight="false" outlineLevel="0" collapsed="false">
      <c r="A494" s="35" t="n">
        <v>11</v>
      </c>
      <c r="B494" s="39" t="s">
        <v>605</v>
      </c>
      <c r="C494" s="14" t="n">
        <v>416500</v>
      </c>
      <c r="D494" s="37" t="n">
        <f aca="false">66500+100000+50000+200000</f>
        <v>416500</v>
      </c>
      <c r="E494" s="69" t="n">
        <f aca="false">C494-D494</f>
        <v>0</v>
      </c>
    </row>
    <row r="495" customFormat="false" ht="15" hidden="false" customHeight="false" outlineLevel="0" collapsed="false">
      <c r="A495" s="53" t="n">
        <v>12</v>
      </c>
      <c r="B495" s="39" t="s">
        <v>606</v>
      </c>
      <c r="C495" s="14" t="n">
        <v>416500</v>
      </c>
      <c r="D495" s="37" t="n">
        <v>416500</v>
      </c>
      <c r="E495" s="69" t="n">
        <f aca="false">C495-D495</f>
        <v>0</v>
      </c>
    </row>
    <row r="496" customFormat="false" ht="15" hidden="false" customHeight="false" outlineLevel="0" collapsed="false">
      <c r="A496" s="12" t="n">
        <v>13</v>
      </c>
      <c r="B496" s="39" t="s">
        <v>607</v>
      </c>
      <c r="C496" s="14" t="n">
        <v>416500</v>
      </c>
      <c r="D496" s="37" t="n">
        <f aca="false">216500+100000</f>
        <v>316500</v>
      </c>
      <c r="E496" s="69" t="n">
        <f aca="false">C496-D496</f>
        <v>100000</v>
      </c>
    </row>
    <row r="497" customFormat="false" ht="15" hidden="false" customHeight="false" outlineLevel="0" collapsed="false">
      <c r="A497" s="35" t="n">
        <v>14</v>
      </c>
      <c r="B497" s="39" t="s">
        <v>608</v>
      </c>
      <c r="C497" s="14" t="n">
        <v>416500</v>
      </c>
      <c r="D497" s="37" t="n">
        <f aca="false">16500+200000+100000+100000</f>
        <v>416500</v>
      </c>
      <c r="E497" s="69" t="n">
        <f aca="false">C497-D497</f>
        <v>0</v>
      </c>
    </row>
    <row r="498" customFormat="false" ht="15" hidden="false" customHeight="false" outlineLevel="0" collapsed="false">
      <c r="A498" s="53" t="n">
        <v>15</v>
      </c>
      <c r="B498" s="39" t="s">
        <v>609</v>
      </c>
      <c r="C498" s="14" t="n">
        <v>416500</v>
      </c>
      <c r="D498" s="37" t="n">
        <f aca="false">216500+200000</f>
        <v>416500</v>
      </c>
      <c r="E498" s="69" t="n">
        <f aca="false">C498-D498</f>
        <v>0</v>
      </c>
    </row>
    <row r="499" customFormat="false" ht="15" hidden="false" customHeight="false" outlineLevel="0" collapsed="false">
      <c r="A499" s="53" t="n">
        <v>16</v>
      </c>
      <c r="B499" s="39" t="s">
        <v>610</v>
      </c>
      <c r="C499" s="14" t="n">
        <v>416500</v>
      </c>
      <c r="D499" s="37" t="n">
        <f aca="false">220000+196500</f>
        <v>416500</v>
      </c>
      <c r="E499" s="69" t="n">
        <f aca="false">C499-D499</f>
        <v>0</v>
      </c>
    </row>
    <row r="500" customFormat="false" ht="15" hidden="false" customHeight="false" outlineLevel="0" collapsed="false">
      <c r="A500" s="53" t="n">
        <v>17</v>
      </c>
      <c r="B500" s="39" t="s">
        <v>611</v>
      </c>
      <c r="C500" s="14" t="n">
        <v>416500</v>
      </c>
      <c r="D500" s="37" t="n">
        <f aca="false">200000+200000</f>
        <v>400000</v>
      </c>
      <c r="E500" s="69" t="n">
        <f aca="false">C500-D500</f>
        <v>16500</v>
      </c>
    </row>
    <row r="501" customFormat="false" ht="15" hidden="false" customHeight="false" outlineLevel="0" collapsed="false">
      <c r="A501" s="53" t="n">
        <v>18</v>
      </c>
      <c r="B501" s="39" t="s">
        <v>612</v>
      </c>
      <c r="C501" s="14" t="n">
        <v>416500</v>
      </c>
      <c r="D501" s="37" t="n">
        <f aca="false">220000+150000+46500</f>
        <v>416500</v>
      </c>
      <c r="E501" s="69" t="n">
        <f aca="false">C501-D501</f>
        <v>0</v>
      </c>
    </row>
    <row r="502" customFormat="false" ht="15" hidden="false" customHeight="false" outlineLevel="0" collapsed="false">
      <c r="A502" s="53" t="n">
        <v>19</v>
      </c>
      <c r="B502" s="39" t="s">
        <v>613</v>
      </c>
      <c r="C502" s="14" t="n">
        <v>416500</v>
      </c>
      <c r="D502" s="37" t="n">
        <f aca="false">216500+200000</f>
        <v>416500</v>
      </c>
      <c r="E502" s="69" t="n">
        <f aca="false">C502-D502</f>
        <v>0</v>
      </c>
    </row>
    <row r="503" customFormat="false" ht="15" hidden="false" customHeight="false" outlineLevel="0" collapsed="false">
      <c r="A503" s="53" t="n">
        <v>20</v>
      </c>
      <c r="B503" s="39" t="s">
        <v>614</v>
      </c>
      <c r="C503" s="14" t="n">
        <v>416500</v>
      </c>
      <c r="D503" s="37" t="n">
        <f aca="false">220000+196500</f>
        <v>416500</v>
      </c>
      <c r="E503" s="69" t="n">
        <f aca="false">C503-D503</f>
        <v>0</v>
      </c>
    </row>
    <row r="504" customFormat="false" ht="15" hidden="false" customHeight="false" outlineLevel="0" collapsed="false">
      <c r="A504" s="53" t="n">
        <v>21</v>
      </c>
      <c r="B504" s="39" t="s">
        <v>615</v>
      </c>
      <c r="C504" s="14" t="n">
        <v>416500</v>
      </c>
      <c r="D504" s="37" t="n">
        <f aca="false">216500+200000</f>
        <v>416500</v>
      </c>
      <c r="E504" s="69" t="n">
        <f aca="false">C504-D504</f>
        <v>0</v>
      </c>
    </row>
    <row r="505" customFormat="false" ht="15" hidden="false" customHeight="false" outlineLevel="0" collapsed="false">
      <c r="A505" s="53" t="n">
        <v>22</v>
      </c>
      <c r="B505" s="39" t="s">
        <v>616</v>
      </c>
      <c r="C505" s="14" t="n">
        <v>416500</v>
      </c>
      <c r="D505" s="37" t="n">
        <f aca="false">216500+200000</f>
        <v>416500</v>
      </c>
      <c r="E505" s="69" t="n">
        <f aca="false">C505-D505</f>
        <v>0</v>
      </c>
    </row>
    <row r="506" customFormat="false" ht="15" hidden="false" customHeight="false" outlineLevel="0" collapsed="false">
      <c r="A506" s="53" t="n">
        <v>23</v>
      </c>
      <c r="B506" s="39" t="s">
        <v>617</v>
      </c>
      <c r="C506" s="14" t="n">
        <v>416500</v>
      </c>
      <c r="D506" s="37" t="n">
        <f aca="false">135000+70000+211500</f>
        <v>416500</v>
      </c>
      <c r="E506" s="69" t="n">
        <f aca="false">C506-D506</f>
        <v>0</v>
      </c>
    </row>
    <row r="507" customFormat="false" ht="15" hidden="false" customHeight="false" outlineLevel="0" collapsed="false">
      <c r="A507" s="53" t="n">
        <v>24</v>
      </c>
      <c r="B507" s="39" t="s">
        <v>618</v>
      </c>
      <c r="C507" s="14" t="n">
        <v>416500</v>
      </c>
      <c r="D507" s="37" t="n">
        <f aca="false">300000+100000+16500</f>
        <v>416500</v>
      </c>
      <c r="E507" s="69" t="n">
        <f aca="false">C507-D507</f>
        <v>0</v>
      </c>
    </row>
    <row r="508" customFormat="false" ht="15" hidden="false" customHeight="false" outlineLevel="0" collapsed="false">
      <c r="A508" s="53" t="n">
        <v>25</v>
      </c>
      <c r="B508" s="39" t="s">
        <v>619</v>
      </c>
      <c r="C508" s="14" t="n">
        <v>416500</v>
      </c>
      <c r="D508" s="37" t="n">
        <f aca="false">216500+200000</f>
        <v>416500</v>
      </c>
      <c r="E508" s="69" t="n">
        <f aca="false">C508-D508</f>
        <v>0</v>
      </c>
    </row>
    <row r="509" customFormat="false" ht="15" hidden="false" customHeight="false" outlineLevel="0" collapsed="false">
      <c r="A509" s="53" t="n">
        <v>26</v>
      </c>
      <c r="B509" s="39" t="s">
        <v>620</v>
      </c>
      <c r="C509" s="14" t="n">
        <v>416500</v>
      </c>
      <c r="D509" s="37" t="n">
        <f aca="false">216500+200000</f>
        <v>416500</v>
      </c>
      <c r="E509" s="69" t="n">
        <f aca="false">C509-D509</f>
        <v>0</v>
      </c>
    </row>
    <row r="510" customFormat="false" ht="17.35" hidden="false" customHeight="false" outlineLevel="0" collapsed="false">
      <c r="A510" s="22"/>
      <c r="B510" s="23" t="s">
        <v>21</v>
      </c>
      <c r="C510" s="24" t="n">
        <f aca="false">SUM(C484:C509)</f>
        <v>10829000</v>
      </c>
      <c r="D510" s="25" t="n">
        <f aca="false">SUM(D484:D509)</f>
        <v>10496500</v>
      </c>
      <c r="E510" s="70" t="n">
        <f aca="false">SUM(E484:E509)</f>
        <v>332500</v>
      </c>
    </row>
    <row r="511" customFormat="false" ht="15" hidden="false" customHeight="false" outlineLevel="0" collapsed="false">
      <c r="A511" s="71"/>
      <c r="D511" s="32"/>
      <c r="E511" s="32"/>
    </row>
    <row r="512" customFormat="false" ht="15" hidden="false" customHeight="false" outlineLevel="0" collapsed="false">
      <c r="D512" s="32"/>
      <c r="E512" s="32"/>
    </row>
    <row r="513" customFormat="false" ht="17.35" hidden="false" customHeight="false" outlineLevel="0" collapsed="false">
      <c r="A513" s="49"/>
      <c r="B513" s="28"/>
      <c r="C513" s="29"/>
      <c r="D513" s="30"/>
      <c r="E513" s="67"/>
    </row>
    <row r="514" customFormat="false" ht="17.35" hidden="false" customHeight="false" outlineLevel="0" collapsed="false">
      <c r="A514" s="2"/>
      <c r="B514" s="3" t="s">
        <v>0</v>
      </c>
      <c r="D514" s="32"/>
      <c r="E514" s="32"/>
    </row>
    <row r="515" customFormat="false" ht="17.35" hidden="false" customHeight="false" outlineLevel="0" collapsed="false">
      <c r="A515" s="4"/>
      <c r="D515" s="32"/>
      <c r="E515" s="32"/>
    </row>
    <row r="516" customFormat="false" ht="15" hidden="false" customHeight="false" outlineLevel="0" collapsed="false">
      <c r="A516" s="2"/>
      <c r="D516" s="32"/>
      <c r="E516" s="32"/>
    </row>
    <row r="517" customFormat="false" ht="17.25" hidden="false" customHeight="false" outlineLevel="0" collapsed="false">
      <c r="A517" s="2"/>
      <c r="B517" s="5" t="s">
        <v>61</v>
      </c>
      <c r="D517" s="32"/>
      <c r="E517" s="32"/>
    </row>
    <row r="518" customFormat="false" ht="15" hidden="false" customHeight="false" outlineLevel="0" collapsed="false">
      <c r="A518" s="2"/>
      <c r="D518" s="33" t="s">
        <v>161</v>
      </c>
      <c r="E518" s="32"/>
    </row>
    <row r="519" customFormat="false" ht="15" hidden="false" customHeight="false" outlineLevel="0" collapsed="false">
      <c r="A519" s="2"/>
      <c r="D519" s="32"/>
      <c r="E519" s="32"/>
    </row>
    <row r="520" customFormat="false" ht="15" hidden="false" customHeight="false" outlineLevel="0" collapsed="false">
      <c r="A520" s="7" t="s">
        <v>3</v>
      </c>
      <c r="B520" s="8" t="s">
        <v>4</v>
      </c>
      <c r="C520" s="9" t="s">
        <v>5</v>
      </c>
      <c r="D520" s="34" t="s">
        <v>6</v>
      </c>
      <c r="E520" s="68" t="s">
        <v>7</v>
      </c>
    </row>
    <row r="521" customFormat="false" ht="15" hidden="false" customHeight="false" outlineLevel="0" collapsed="false">
      <c r="A521" s="51" t="n">
        <v>1</v>
      </c>
      <c r="B521" s="13" t="s">
        <v>715</v>
      </c>
      <c r="C521" s="14" t="n">
        <v>416500</v>
      </c>
      <c r="D521" s="37" t="n">
        <f aca="false">200000+15500+201000</f>
        <v>416500</v>
      </c>
      <c r="E521" s="69" t="n">
        <f aca="false">C521-D521</f>
        <v>0</v>
      </c>
    </row>
    <row r="522" customFormat="false" ht="15" hidden="false" customHeight="false" outlineLevel="0" collapsed="false">
      <c r="A522" s="12" t="n">
        <v>2</v>
      </c>
      <c r="B522" s="43" t="s">
        <v>716</v>
      </c>
      <c r="C522" s="14" t="s">
        <v>11</v>
      </c>
      <c r="D522" s="37" t="s">
        <v>11</v>
      </c>
      <c r="E522" s="69" t="s">
        <v>11</v>
      </c>
    </row>
    <row r="523" customFormat="false" ht="15" hidden="false" customHeight="false" outlineLevel="0" collapsed="false">
      <c r="A523" s="35" t="n">
        <v>3</v>
      </c>
      <c r="B523" s="39" t="s">
        <v>717</v>
      </c>
      <c r="C523" s="14" t="n">
        <v>416500</v>
      </c>
      <c r="D523" s="37"/>
      <c r="E523" s="69" t="n">
        <f aca="false">C523-D523</f>
        <v>416500</v>
      </c>
    </row>
    <row r="524" customFormat="false" ht="15" hidden="false" customHeight="false" outlineLevel="0" collapsed="false">
      <c r="A524" s="35" t="n">
        <v>4</v>
      </c>
      <c r="B524" s="39" t="s">
        <v>718</v>
      </c>
      <c r="C524" s="14" t="n">
        <v>416500</v>
      </c>
      <c r="D524" s="37"/>
      <c r="E524" s="69" t="n">
        <f aca="false">C524-D524</f>
        <v>416500</v>
      </c>
    </row>
    <row r="525" customFormat="false" ht="15" hidden="false" customHeight="false" outlineLevel="0" collapsed="false">
      <c r="A525" s="12" t="n">
        <v>5</v>
      </c>
      <c r="B525" s="39" t="s">
        <v>719</v>
      </c>
      <c r="C525" s="37" t="n">
        <v>416500</v>
      </c>
      <c r="D525" s="37" t="n">
        <f aca="false">117000+100000+100000+99500</f>
        <v>416500</v>
      </c>
      <c r="E525" s="69" t="n">
        <f aca="false">C525-D525</f>
        <v>0</v>
      </c>
    </row>
    <row r="526" customFormat="false" ht="15" hidden="false" customHeight="false" outlineLevel="0" collapsed="false">
      <c r="A526" s="12" t="n">
        <v>6</v>
      </c>
      <c r="B526" s="39" t="s">
        <v>720</v>
      </c>
      <c r="C526" s="37" t="s">
        <v>11</v>
      </c>
      <c r="D526" s="37" t="s">
        <v>11</v>
      </c>
      <c r="E526" s="69" t="s">
        <v>11</v>
      </c>
    </row>
    <row r="527" customFormat="false" ht="15" hidden="false" customHeight="false" outlineLevel="0" collapsed="false">
      <c r="A527" s="12" t="n">
        <v>7</v>
      </c>
      <c r="B527" s="39" t="s">
        <v>721</v>
      </c>
      <c r="C527" s="14" t="n">
        <v>416500</v>
      </c>
      <c r="D527" s="37"/>
      <c r="E527" s="69" t="n">
        <f aca="false">C527-D527</f>
        <v>416500</v>
      </c>
    </row>
    <row r="528" customFormat="false" ht="15" hidden="false" customHeight="false" outlineLevel="0" collapsed="false">
      <c r="A528" s="12" t="n">
        <v>8</v>
      </c>
      <c r="B528" s="39" t="s">
        <v>722</v>
      </c>
      <c r="C528" s="14" t="n">
        <v>416500</v>
      </c>
      <c r="D528" s="37"/>
      <c r="E528" s="69" t="n">
        <f aca="false">C528-D528</f>
        <v>416500</v>
      </c>
    </row>
    <row r="529" customFormat="false" ht="15" hidden="false" customHeight="false" outlineLevel="0" collapsed="false">
      <c r="A529" s="12" t="n">
        <v>9</v>
      </c>
      <c r="B529" s="39" t="s">
        <v>723</v>
      </c>
      <c r="C529" s="14" t="n">
        <v>416500</v>
      </c>
      <c r="D529" s="37"/>
      <c r="E529" s="69" t="n">
        <f aca="false">C529-D529</f>
        <v>416500</v>
      </c>
    </row>
    <row r="530" customFormat="false" ht="15" hidden="false" customHeight="false" outlineLevel="0" collapsed="false">
      <c r="A530" s="12" t="n">
        <v>10</v>
      </c>
      <c r="B530" s="39" t="s">
        <v>724</v>
      </c>
      <c r="C530" s="14" t="n">
        <v>416500</v>
      </c>
      <c r="D530" s="37"/>
      <c r="E530" s="69" t="n">
        <f aca="false">C530-D530</f>
        <v>416500</v>
      </c>
    </row>
    <row r="531" customFormat="false" ht="15" hidden="false" customHeight="false" outlineLevel="0" collapsed="false">
      <c r="A531" s="12" t="n">
        <v>11</v>
      </c>
      <c r="B531" s="39" t="s">
        <v>725</v>
      </c>
      <c r="C531" s="14" t="n">
        <v>416500</v>
      </c>
      <c r="D531" s="37" t="n">
        <f aca="false">82000</f>
        <v>82000</v>
      </c>
      <c r="E531" s="69" t="n">
        <f aca="false">C531-D531</f>
        <v>334500</v>
      </c>
    </row>
    <row r="532" customFormat="false" ht="15" hidden="false" customHeight="false" outlineLevel="0" collapsed="false">
      <c r="A532" s="35" t="n">
        <v>12</v>
      </c>
      <c r="B532" s="39" t="s">
        <v>726</v>
      </c>
      <c r="C532" s="14" t="n">
        <v>416500</v>
      </c>
      <c r="D532" s="37" t="n">
        <f aca="false">215000+100000+101500</f>
        <v>416500</v>
      </c>
      <c r="E532" s="69" t="n">
        <f aca="false">C532-D532</f>
        <v>0</v>
      </c>
    </row>
    <row r="533" customFormat="false" ht="17.35" hidden="false" customHeight="false" outlineLevel="0" collapsed="false">
      <c r="A533" s="22"/>
      <c r="B533" s="23" t="s">
        <v>21</v>
      </c>
      <c r="C533" s="24" t="n">
        <f aca="false">SUM(C521:C532)</f>
        <v>4165000</v>
      </c>
      <c r="D533" s="25" t="n">
        <f aca="false">SUM(D521:D532)</f>
        <v>1331500</v>
      </c>
      <c r="E533" s="70" t="n">
        <f aca="false">SUM(E521:E532)</f>
        <v>2833500</v>
      </c>
    </row>
    <row r="534" customFormat="false" ht="17.35" hidden="false" customHeight="false" outlineLevel="0" collapsed="false">
      <c r="A534" s="49"/>
      <c r="B534" s="28"/>
      <c r="C534" s="29"/>
      <c r="D534" s="30"/>
      <c r="E534" s="67"/>
    </row>
    <row r="535" customFormat="false" ht="15" hidden="false" customHeight="false" outlineLevel="0" collapsed="false">
      <c r="D535" s="32"/>
      <c r="E535" s="32"/>
    </row>
    <row r="536" customFormat="false" ht="15" hidden="false" customHeight="false" outlineLevel="0" collapsed="false">
      <c r="D536" s="32"/>
      <c r="E536" s="32"/>
    </row>
    <row r="537" customFormat="false" ht="15" hidden="false" customHeight="false" outlineLevel="0" collapsed="false">
      <c r="D537" s="32"/>
      <c r="E537" s="32"/>
    </row>
    <row r="538" customFormat="false" ht="17.35" hidden="false" customHeight="false" outlineLevel="0" collapsed="false">
      <c r="A538" s="2"/>
      <c r="B538" s="3" t="s">
        <v>0</v>
      </c>
      <c r="D538" s="32"/>
      <c r="E538" s="32"/>
    </row>
    <row r="539" customFormat="false" ht="17.35" hidden="false" customHeight="false" outlineLevel="0" collapsed="false">
      <c r="A539" s="4"/>
      <c r="D539" s="32"/>
      <c r="E539" s="32"/>
    </row>
    <row r="540" customFormat="false" ht="15" hidden="false" customHeight="false" outlineLevel="0" collapsed="false">
      <c r="A540" s="2"/>
      <c r="D540" s="32"/>
      <c r="E540" s="32"/>
    </row>
    <row r="541" customFormat="false" ht="17.25" hidden="false" customHeight="false" outlineLevel="0" collapsed="false">
      <c r="A541" s="2"/>
      <c r="B541" s="5" t="s">
        <v>103</v>
      </c>
      <c r="D541" s="32"/>
      <c r="E541" s="32"/>
    </row>
    <row r="542" customFormat="false" ht="15" hidden="false" customHeight="false" outlineLevel="0" collapsed="false">
      <c r="A542" s="2"/>
      <c r="D542" s="33" t="s">
        <v>161</v>
      </c>
      <c r="E542" s="32"/>
    </row>
    <row r="543" customFormat="false" ht="15" hidden="false" customHeight="false" outlineLevel="0" collapsed="false">
      <c r="A543" s="2"/>
      <c r="D543" s="32"/>
      <c r="E543" s="32"/>
    </row>
    <row r="544" customFormat="false" ht="15" hidden="false" customHeight="false" outlineLevel="0" collapsed="false">
      <c r="A544" s="7" t="s">
        <v>3</v>
      </c>
      <c r="B544" s="8" t="s">
        <v>4</v>
      </c>
      <c r="C544" s="9" t="s">
        <v>5</v>
      </c>
      <c r="D544" s="34" t="s">
        <v>6</v>
      </c>
      <c r="E544" s="68" t="s">
        <v>7</v>
      </c>
    </row>
    <row r="545" customFormat="false" ht="15" hidden="false" customHeight="false" outlineLevel="0" collapsed="false">
      <c r="A545" s="12" t="n">
        <v>1</v>
      </c>
      <c r="B545" s="39" t="s">
        <v>742</v>
      </c>
      <c r="C545" s="14" t="n">
        <v>416500</v>
      </c>
      <c r="D545" s="37" t="n">
        <f aca="false">150500+70000+100000+96000</f>
        <v>416500</v>
      </c>
      <c r="E545" s="69" t="n">
        <f aca="false">C545-D545</f>
        <v>0</v>
      </c>
    </row>
    <row r="546" customFormat="false" ht="15" hidden="false" customHeight="false" outlineLevel="0" collapsed="false">
      <c r="A546" s="35" t="n">
        <v>2</v>
      </c>
      <c r="B546" s="95" t="s">
        <v>743</v>
      </c>
      <c r="C546" s="14" t="n">
        <v>416500</v>
      </c>
      <c r="D546" s="37" t="n">
        <f aca="false">216500+100000</f>
        <v>316500</v>
      </c>
      <c r="E546" s="69" t="n">
        <f aca="false">C546-D546</f>
        <v>100000</v>
      </c>
    </row>
    <row r="547" customFormat="false" ht="15" hidden="false" customHeight="false" outlineLevel="0" collapsed="false">
      <c r="A547" s="12" t="n">
        <v>3</v>
      </c>
      <c r="B547" s="39" t="s">
        <v>744</v>
      </c>
      <c r="C547" s="14" t="n">
        <v>416500</v>
      </c>
      <c r="D547" s="37"/>
      <c r="E547" s="69" t="n">
        <f aca="false">C547-D547</f>
        <v>416500</v>
      </c>
    </row>
    <row r="548" customFormat="false" ht="15" hidden="false" customHeight="false" outlineLevel="0" collapsed="false">
      <c r="A548" s="12" t="n">
        <v>4</v>
      </c>
      <c r="B548" s="39" t="s">
        <v>745</v>
      </c>
      <c r="C548" s="14" t="n">
        <v>416500</v>
      </c>
      <c r="D548" s="37" t="n">
        <f aca="false">83500</f>
        <v>83500</v>
      </c>
      <c r="E548" s="69" t="n">
        <f aca="false">C548-D548</f>
        <v>333000</v>
      </c>
    </row>
    <row r="549" customFormat="false" ht="15" hidden="false" customHeight="false" outlineLevel="0" collapsed="false">
      <c r="A549" s="12" t="n">
        <v>5</v>
      </c>
      <c r="B549" s="39" t="s">
        <v>746</v>
      </c>
      <c r="C549" s="96" t="n">
        <v>416500</v>
      </c>
      <c r="D549" s="97" t="n">
        <f aca="false">100000</f>
        <v>100000</v>
      </c>
      <c r="E549" s="69" t="n">
        <f aca="false">C549-D549</f>
        <v>316500</v>
      </c>
    </row>
    <row r="550" customFormat="false" ht="15" hidden="false" customHeight="false" outlineLevel="0" collapsed="false">
      <c r="A550" s="12" t="n">
        <v>6</v>
      </c>
      <c r="B550" s="39" t="s">
        <v>747</v>
      </c>
      <c r="C550" s="96" t="n">
        <v>416500</v>
      </c>
      <c r="D550" s="37" t="n">
        <f aca="false">32000</f>
        <v>32000</v>
      </c>
      <c r="E550" s="69" t="n">
        <f aca="false">C550-D550</f>
        <v>384500</v>
      </c>
    </row>
    <row r="551" customFormat="false" ht="15" hidden="false" customHeight="false" outlineLevel="0" collapsed="false">
      <c r="A551" s="12" t="n">
        <v>7</v>
      </c>
      <c r="B551" s="95" t="s">
        <v>748</v>
      </c>
      <c r="C551" s="96" t="n">
        <v>416500</v>
      </c>
      <c r="D551" s="37"/>
      <c r="E551" s="69" t="n">
        <f aca="false">C551-D551</f>
        <v>416500</v>
      </c>
    </row>
    <row r="552" customFormat="false" ht="15" hidden="false" customHeight="false" outlineLevel="0" collapsed="false">
      <c r="A552" s="12" t="n">
        <v>8</v>
      </c>
      <c r="B552" s="39" t="s">
        <v>749</v>
      </c>
      <c r="C552" s="96" t="n">
        <v>416500</v>
      </c>
      <c r="D552" s="37" t="n">
        <f aca="false">30000</f>
        <v>30000</v>
      </c>
      <c r="E552" s="69" t="n">
        <f aca="false">C552-D552</f>
        <v>386500</v>
      </c>
    </row>
    <row r="553" customFormat="false" ht="15" hidden="false" customHeight="false" outlineLevel="0" collapsed="false">
      <c r="A553" s="35" t="n">
        <v>9</v>
      </c>
      <c r="B553" s="39" t="s">
        <v>750</v>
      </c>
      <c r="C553" s="14" t="n">
        <v>416500</v>
      </c>
      <c r="D553" s="37"/>
      <c r="E553" s="69" t="n">
        <f aca="false">C553-D553</f>
        <v>416500</v>
      </c>
    </row>
    <row r="554" customFormat="false" ht="17.35" hidden="false" customHeight="false" outlineLevel="0" collapsed="false">
      <c r="A554" s="22"/>
      <c r="B554" s="23" t="s">
        <v>21</v>
      </c>
      <c r="C554" s="24" t="n">
        <f aca="false">SUM(C545:C553)</f>
        <v>3748500</v>
      </c>
      <c r="D554" s="25" t="n">
        <f aca="false">SUM(D545:D553)</f>
        <v>978500</v>
      </c>
      <c r="E554" s="70" t="n">
        <f aca="false">SUM(E545:E553)</f>
        <v>2770000</v>
      </c>
    </row>
    <row r="555" customFormat="false" ht="15" hidden="false" customHeight="false" outlineLevel="0" collapsed="false">
      <c r="D555" s="32"/>
      <c r="E555" s="32"/>
    </row>
    <row r="556" customFormat="false" ht="15" hidden="false" customHeight="false" outlineLevel="0" collapsed="false">
      <c r="D556" s="32"/>
      <c r="E556" s="32"/>
    </row>
    <row r="557" customFormat="false" ht="15" hidden="false" customHeight="false" outlineLevel="0" collapsed="false">
      <c r="D557" s="32"/>
      <c r="E557" s="32"/>
    </row>
    <row r="558" customFormat="false" ht="15" hidden="false" customHeight="false" outlineLevel="0" collapsed="false">
      <c r="D558" s="32"/>
      <c r="E558" s="32"/>
    </row>
    <row r="559" customFormat="false" ht="15" hidden="false" customHeight="false" outlineLevel="0" collapsed="false">
      <c r="D559" s="32"/>
      <c r="E559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2015-02-05T14:12:00Z</dcterms:created>
  <dc:creator>HP</dc:creator>
  <dc:description/>
  <dc:language>fr-FR</dc:language>
  <cp:lastModifiedBy/>
  <cp:lastPrinted>2011-08-11T21:38:00Z</cp:lastPrinted>
  <dcterms:modified xsi:type="dcterms:W3CDTF">2024-12-23T05:44:20Z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E104C559489E41FA93A8F4202EA3B209_12</vt:lpwstr>
  </property>
  <property fmtid="{D5CDD505-2E9C-101B-9397-08002B2CF9AE}" pid="3" name="KSOProductBuildVer">
    <vt:lpwstr>1036-12.2.0.17119</vt:lpwstr>
  </property>
</Properties>
</file>